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namedSheetViews/namedSheetView2.xml" ContentType="application/vnd.ms-excel.namedsheetview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xml" ContentType="application/vnd.openxmlformats-officedocument.drawing+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1.xml" ContentType="application/vnd.openxmlformats-officedocument.drawing+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omments7.xml" ContentType="application/vnd.openxmlformats-officedocument.spreadsheetml.comments+xml"/>
  <Override PartName="/xl/threadedComments/threadedComment7.xml" ContentType="application/vnd.ms-excel.threadedcomment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2.xml" ContentType="application/vnd.openxmlformats-officedocument.drawing+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omments8.xml" ContentType="application/vnd.openxmlformats-officedocument.spreadsheetml.comments+xml"/>
  <Override PartName="/xl/threadedComments/threadedComment8.xml" ContentType="application/vnd.ms-excel.threadedcomment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3.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namedSheetViews/namedSheetView3.xml" ContentType="application/vnd.ms-excel.namedsheetview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mc:AlternateContent xmlns:mc="http://schemas.openxmlformats.org/markup-compatibility/2006">
    <mc:Choice Requires="x15">
      <x15ac:absPath xmlns:x15ac="http://schemas.microsoft.com/office/spreadsheetml/2010/11/ac" url="https://delgadiadema.sharepoint.com/sites/GestoEstratgica/Documentos Compartilhados/Controle Master/"/>
    </mc:Choice>
  </mc:AlternateContent>
  <xr:revisionPtr revIDLastSave="0" documentId="8_{6C0E605C-9086-43E2-B2B4-92D15F175559}" xr6:coauthVersionLast="47" xr6:coauthVersionMax="47" xr10:uidLastSave="{00000000-0000-0000-0000-000000000000}"/>
  <bookViews>
    <workbookView xWindow="28680" yWindow="-120" windowWidth="29040" windowHeight="15720" tabRatio="683" firstSheet="1" activeTab="1" xr2:uid="{00000000-000D-0000-FFFF-FFFF00000000}"/>
  </bookViews>
  <sheets>
    <sheet name="MASTER" sheetId="1" state="hidden" r:id="rId1"/>
    <sheet name="5 Unidades  +" sheetId="32" r:id="rId2"/>
    <sheet name="Diadema" sheetId="2" r:id="rId3"/>
    <sheet name="Jarinu" sheetId="19" r:id="rId4"/>
    <sheet name="Ferraz" sheetId="17" r:id="rId5"/>
    <sheet name="São Leopoldo" sheetId="18" r:id="rId6"/>
    <sheet name="Comitê Aço" sheetId="28" state="hidden" r:id="rId7"/>
    <sheet name="Top 5 Projetos" sheetId="33" state="hidden" r:id="rId8"/>
    <sheet name="Diretoria Financeira" sheetId="15" state="hidden" r:id="rId9"/>
    <sheet name="Head Qualidade&amp;Dir. Industrial" sheetId="26" state="hidden" r:id="rId10"/>
    <sheet name="Config" sheetId="35" state="hidden" r:id="rId11"/>
    <sheet name="Testes" sheetId="36" state="hidden" r:id="rId12"/>
    <sheet name="Calculos" sheetId="22" state="hidden" r:id="rId13"/>
    <sheet name="Anchieta" sheetId="20" r:id="rId14"/>
    <sheet name="Compras " sheetId="24" r:id="rId15"/>
    <sheet name="Vendas" sheetId="8" r:id="rId16"/>
    <sheet name="Corporativo" sheetId="14" r:id="rId17"/>
    <sheet name="SPD" sheetId="40" state="hidden" r:id="rId18"/>
    <sheet name="Pareto" sheetId="34" r:id="rId19"/>
    <sheet name="Parâmetros" sheetId="9" r:id="rId20"/>
    <sheet name="R.E" sheetId="44" r:id="rId21"/>
    <sheet name="Top Ganhos " sheetId="42" state="hidden" r:id="rId22"/>
    <sheet name="Concluidos" sheetId="38" state="hidden" r:id="rId23"/>
    <sheet name="SPD (teste)" sheetId="37"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_FiltrarBancodeDados" localSheetId="1" hidden="1">'5 Unidades  +'!$D$53:$M$246</definedName>
    <definedName name="_FiltrarBancodeDados" localSheetId="18" hidden="1">Pareto!$A$3:$Z$211</definedName>
    <definedName name="_xlnm._FilterDatabase" localSheetId="1" hidden="1">'5 Unidades  +'!$D$53:$M$257</definedName>
    <definedName name="_xlnm._FilterDatabase" localSheetId="13" hidden="1">Anchieta!$A$54:$AF$102</definedName>
    <definedName name="_xlnm._FilterDatabase" localSheetId="14" hidden="1">'Compras '!$A$30:$AQ$146</definedName>
    <definedName name="_xlnm._FilterDatabase" localSheetId="22" hidden="1">Concluidos!$A$8:$E$501</definedName>
    <definedName name="_xlnm._FilterDatabase" localSheetId="2" hidden="1">Diadema!$A$54:$AL$176</definedName>
    <definedName name="_xlnm._FilterDatabase" localSheetId="4" hidden="1">Ferraz!$A$54:$AO$98</definedName>
    <definedName name="_xlnm._FilterDatabase" localSheetId="3" hidden="1">Jarinu!$A$54:$AL$128</definedName>
    <definedName name="_xlnm._FilterDatabase" localSheetId="18" hidden="1">Pareto!$A$3:$Z$211</definedName>
    <definedName name="_xlnm._FilterDatabase" localSheetId="5" hidden="1">'São Leopoldo'!$A$54:$AO$54</definedName>
    <definedName name="_xlnm._FilterDatabase" localSheetId="23" hidden="1">'SPD (teste)'!$B$2:$H$49</definedName>
    <definedName name="_xlnm._FilterDatabase" localSheetId="11" hidden="1">Testes!$A$54:$AI$114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9" i="34" l="1"/>
  <c r="R200" i="34"/>
  <c r="R201" i="34"/>
  <c r="R202" i="34"/>
  <c r="R203" i="34"/>
  <c r="R204" i="34"/>
  <c r="R205" i="34"/>
  <c r="R206" i="34"/>
  <c r="R207" i="34"/>
  <c r="R208" i="34"/>
  <c r="R209" i="34"/>
  <c r="R210" i="34"/>
  <c r="R211" i="34"/>
  <c r="R190" i="34"/>
  <c r="R191" i="34"/>
  <c r="R192" i="34"/>
  <c r="R193" i="34"/>
  <c r="R194" i="34"/>
  <c r="R195" i="34"/>
  <c r="R196" i="34"/>
  <c r="R197" i="34"/>
  <c r="R198" i="34"/>
  <c r="R172" i="34"/>
  <c r="R173" i="34"/>
  <c r="R174" i="34"/>
  <c r="R175" i="34"/>
  <c r="R176" i="34"/>
  <c r="R177" i="34"/>
  <c r="R178" i="34"/>
  <c r="R179" i="34"/>
  <c r="R180" i="34"/>
  <c r="R181" i="34"/>
  <c r="R182" i="34"/>
  <c r="R183" i="34"/>
  <c r="R184" i="34"/>
  <c r="R185" i="34"/>
  <c r="R186" i="34"/>
  <c r="R187" i="34"/>
  <c r="R188" i="34"/>
  <c r="R189" i="34"/>
  <c r="G5" i="8"/>
  <c r="S117" i="17"/>
  <c r="G5" i="17"/>
  <c r="AB7" i="20"/>
  <c r="G5" i="2"/>
  <c r="I131" i="24"/>
  <c r="I129" i="24"/>
  <c r="J131" i="24"/>
  <c r="J129" i="24"/>
  <c r="H131" i="24"/>
  <c r="G131" i="24"/>
  <c r="H129" i="24"/>
  <c r="G129" i="24"/>
  <c r="I121" i="24" l="1"/>
  <c r="I97" i="24"/>
  <c r="I39" i="24"/>
  <c r="I43" i="24"/>
  <c r="M86" i="8" l="1"/>
  <c r="AN103" i="17"/>
  <c r="AP103" i="17" s="1" a="1"/>
  <c r="AP103" i="17" s="1"/>
  <c r="AN104" i="17"/>
  <c r="AP104" i="17" s="1" a="1"/>
  <c r="AP104" i="17" s="1"/>
  <c r="AN105" i="17"/>
  <c r="AP105" i="17" s="1" a="1"/>
  <c r="AP105" i="17" s="1"/>
  <c r="AN106" i="17"/>
  <c r="AP106" i="17" s="1" a="1"/>
  <c r="AP106" i="17" s="1"/>
  <c r="AN107" i="17"/>
  <c r="AP107" i="17" s="1" a="1"/>
  <c r="AP107" i="17" s="1"/>
  <c r="AN108" i="17"/>
  <c r="AP108" i="17" s="1" a="1"/>
  <c r="AP108" i="17" s="1"/>
  <c r="AN109" i="17"/>
  <c r="AP109" i="17" s="1" a="1"/>
  <c r="AP109" i="17" s="1"/>
  <c r="AN110" i="17"/>
  <c r="AP110" i="17" s="1" a="1"/>
  <c r="AP110" i="17" s="1"/>
  <c r="AN111" i="17"/>
  <c r="AP111" i="17" s="1" a="1"/>
  <c r="AP111" i="17" s="1"/>
  <c r="AN112" i="17"/>
  <c r="AP112" i="17" s="1" a="1"/>
  <c r="AP112" i="17" s="1"/>
  <c r="AN113" i="17"/>
  <c r="AP113" i="17" s="1" a="1"/>
  <c r="AP113" i="17" s="1"/>
  <c r="AN114" i="17"/>
  <c r="AP114" i="17" s="1" a="1"/>
  <c r="AP114" i="17" s="1"/>
  <c r="AN99" i="17"/>
  <c r="AN100" i="17"/>
  <c r="AN101" i="17"/>
  <c r="AP101" i="17" s="1" a="1"/>
  <c r="AP101" i="17" s="1"/>
  <c r="AN102" i="17"/>
  <c r="AP102" i="17" s="1" a="1"/>
  <c r="AP102" i="17" s="1"/>
  <c r="AN95" i="18"/>
  <c r="AN96" i="18"/>
  <c r="AN97" i="18"/>
  <c r="AN98" i="18"/>
  <c r="AN99" i="18"/>
  <c r="AN100" i="18"/>
  <c r="AN101" i="18"/>
  <c r="AN102" i="18"/>
  <c r="AN103" i="18"/>
  <c r="AN104" i="18"/>
  <c r="AN105" i="18"/>
  <c r="AN106" i="18"/>
  <c r="AN107" i="18"/>
  <c r="AP107" i="18" s="1" a="1"/>
  <c r="AP107" i="18" s="1"/>
  <c r="AN108" i="18"/>
  <c r="AP108" i="18" s="1" a="1"/>
  <c r="AP108" i="18" s="1"/>
  <c r="AN109" i="18"/>
  <c r="AP109" i="18" s="1" a="1"/>
  <c r="AP109" i="18" s="1"/>
  <c r="AN110" i="18"/>
  <c r="AP110" i="18" s="1" a="1"/>
  <c r="AP110" i="18" s="1"/>
  <c r="AN111" i="18"/>
  <c r="AP111" i="18" s="1" a="1"/>
  <c r="AP111" i="18" s="1"/>
  <c r="AN112" i="18"/>
  <c r="AP112" i="18" s="1" a="1"/>
  <c r="AP112" i="18" s="1"/>
  <c r="AN113" i="18"/>
  <c r="AP113" i="18" s="1" a="1"/>
  <c r="AP113" i="18" s="1"/>
  <c r="AN114" i="18"/>
  <c r="AP114" i="18" s="1" a="1"/>
  <c r="AP114" i="18" s="1"/>
  <c r="I35" i="24"/>
  <c r="A5" i="19"/>
  <c r="V140" i="19" s="1"/>
  <c r="R98" i="18"/>
  <c r="R97" i="18"/>
  <c r="R90" i="18"/>
  <c r="R89" i="18"/>
  <c r="R88" i="18"/>
  <c r="R87" i="18"/>
  <c r="R86" i="18"/>
  <c r="R85" i="18"/>
  <c r="R84" i="18"/>
  <c r="R83" i="18"/>
  <c r="R82" i="18"/>
  <c r="R81" i="18"/>
  <c r="R80" i="18"/>
  <c r="R79" i="18"/>
  <c r="R78" i="18"/>
  <c r="R77" i="18"/>
  <c r="R76" i="18"/>
  <c r="R75" i="18"/>
  <c r="R74" i="18"/>
  <c r="R73" i="18"/>
  <c r="R72" i="18"/>
  <c r="R71" i="18"/>
  <c r="R68" i="18"/>
  <c r="R67" i="18"/>
  <c r="R66" i="18"/>
  <c r="R65" i="18"/>
  <c r="R64" i="18"/>
  <c r="R63" i="18"/>
  <c r="R62" i="18"/>
  <c r="R61" i="18"/>
  <c r="R60" i="18"/>
  <c r="R59" i="18"/>
  <c r="R58" i="18"/>
  <c r="R57" i="18"/>
  <c r="R56" i="18"/>
  <c r="R55" i="18"/>
  <c r="R68" i="20"/>
  <c r="R67" i="20"/>
  <c r="R66" i="20"/>
  <c r="R102" i="19"/>
  <c r="R101" i="19"/>
  <c r="R65" i="20"/>
  <c r="R96" i="19"/>
  <c r="R95" i="19"/>
  <c r="R94" i="19"/>
  <c r="R93" i="19"/>
  <c r="R88" i="19"/>
  <c r="R87" i="19"/>
  <c r="R86" i="19"/>
  <c r="R85" i="19"/>
  <c r="R84" i="19"/>
  <c r="R83" i="19"/>
  <c r="R82" i="19"/>
  <c r="R81" i="19"/>
  <c r="R66" i="19"/>
  <c r="R65" i="19"/>
  <c r="R64" i="19"/>
  <c r="R63" i="19"/>
  <c r="R60" i="19"/>
  <c r="R59" i="19"/>
  <c r="R58" i="19"/>
  <c r="R57" i="19"/>
  <c r="R56" i="19"/>
  <c r="R55" i="19"/>
  <c r="J127" i="24"/>
  <c r="I127" i="24"/>
  <c r="R78" i="20"/>
  <c r="R77" i="20" l="1"/>
  <c r="Y89" i="2" l="1"/>
  <c r="I89" i="2"/>
  <c r="J97" i="24"/>
  <c r="L148" i="34" l="1"/>
  <c r="L147" i="34"/>
  <c r="L146" i="34"/>
  <c r="I125" i="24" l="1"/>
  <c r="C5" i="20" l="1"/>
  <c r="Q6" i="20" l="1"/>
  <c r="Z6" i="20" l="1"/>
  <c r="U6" i="20"/>
  <c r="R6" i="20"/>
  <c r="K167" i="2"/>
  <c r="I167" i="2"/>
  <c r="P6" i="20" l="1"/>
  <c r="S6" i="20"/>
  <c r="I137" i="2"/>
  <c r="V78" i="17"/>
  <c r="L106" i="20" l="1"/>
  <c r="R58" i="20" l="1"/>
  <c r="R57" i="20"/>
  <c r="R56" i="20"/>
  <c r="R55" i="20"/>
  <c r="H73" i="24"/>
  <c r="P31" i="20"/>
  <c r="P18" i="24" l="1"/>
  <c r="P19" i="24"/>
  <c r="P20" i="24"/>
  <c r="P17" i="24"/>
  <c r="G16" i="20"/>
  <c r="G17" i="20"/>
  <c r="G18" i="20"/>
  <c r="G15" i="20"/>
  <c r="G18" i="18"/>
  <c r="G17" i="18"/>
  <c r="G16" i="18"/>
  <c r="G15" i="18"/>
  <c r="G16" i="17"/>
  <c r="G17" i="17"/>
  <c r="G18" i="17"/>
  <c r="G15" i="17"/>
  <c r="G15" i="19"/>
  <c r="G17" i="19"/>
  <c r="G16" i="19"/>
  <c r="G18" i="2"/>
  <c r="L140" i="18"/>
  <c r="L118" i="20" l="1"/>
  <c r="L207" i="2"/>
  <c r="L208" i="2"/>
  <c r="L209" i="2"/>
  <c r="L210" i="2"/>
  <c r="L211" i="2"/>
  <c r="L212" i="2"/>
  <c r="F134" i="19"/>
  <c r="F141" i="19"/>
  <c r="N165" i="2"/>
  <c r="G15" i="2" s="1"/>
  <c r="N22" i="32" s="1"/>
  <c r="W67" i="19" l="1"/>
  <c r="L107" i="20" l="1"/>
  <c r="L108" i="20"/>
  <c r="L109" i="20"/>
  <c r="L110" i="20"/>
  <c r="L111" i="20"/>
  <c r="L112" i="20"/>
  <c r="L113" i="20"/>
  <c r="L114" i="20"/>
  <c r="L115" i="20"/>
  <c r="L116" i="20"/>
  <c r="L117" i="20"/>
  <c r="L187" i="2"/>
  <c r="L138" i="18"/>
  <c r="G16" i="2" l="1"/>
  <c r="N23" i="32" s="1"/>
  <c r="G17" i="2"/>
  <c r="N24" i="32" s="1"/>
  <c r="J128" i="20"/>
  <c r="K128" i="20"/>
  <c r="I128" i="20"/>
  <c r="J148" i="18"/>
  <c r="K148" i="18"/>
  <c r="I148" i="18"/>
  <c r="J140" i="17"/>
  <c r="K140" i="17"/>
  <c r="I140" i="17"/>
  <c r="J154" i="19"/>
  <c r="K154" i="19"/>
  <c r="I154" i="19"/>
  <c r="K214" i="2"/>
  <c r="J214" i="2"/>
  <c r="I214" i="2"/>
  <c r="J123" i="24"/>
  <c r="I123" i="24"/>
  <c r="J121" i="24" l="1"/>
  <c r="L128" i="17"/>
  <c r="L129" i="17"/>
  <c r="L130" i="17"/>
  <c r="L131" i="17"/>
  <c r="L132" i="17"/>
  <c r="L133" i="17"/>
  <c r="E132" i="18" l="1"/>
  <c r="L139" i="18"/>
  <c r="I97" i="17"/>
  <c r="L201" i="2" l="1"/>
  <c r="L202" i="2"/>
  <c r="L203" i="2"/>
  <c r="L204" i="2"/>
  <c r="L205" i="2"/>
  <c r="L206" i="2"/>
  <c r="E120" i="17" l="1"/>
  <c r="E121" i="17"/>
  <c r="E122" i="17"/>
  <c r="E123" i="17"/>
  <c r="E124" i="17"/>
  <c r="E125" i="17"/>
  <c r="E126" i="17"/>
  <c r="E127" i="17"/>
  <c r="E128" i="17"/>
  <c r="T132" i="19"/>
  <c r="S133" i="19" a="1"/>
  <c r="T133" i="19" a="1"/>
  <c r="S85" i="18"/>
  <c r="T85" i="18"/>
  <c r="U85" i="18"/>
  <c r="W85" i="18"/>
  <c r="X85" i="18"/>
  <c r="Y85" i="18"/>
  <c r="AA85" i="18"/>
  <c r="AB85" i="18"/>
  <c r="AC85" i="18"/>
  <c r="AE85" i="18"/>
  <c r="AF85" i="18"/>
  <c r="AG85" i="18"/>
  <c r="AM85" i="18"/>
  <c r="AN85" i="18"/>
  <c r="V86" i="18"/>
  <c r="Z86" i="18"/>
  <c r="AD86" i="18"/>
  <c r="AH86" i="18"/>
  <c r="AN86" i="18"/>
  <c r="A2" i="42" a="1"/>
  <c r="E123" i="20"/>
  <c r="U83" i="18"/>
  <c r="T83" i="18"/>
  <c r="S83" i="18"/>
  <c r="N31" i="17"/>
  <c r="T38" i="8"/>
  <c r="N86" i="8" s="1"/>
  <c r="V38" i="8"/>
  <c r="O86" i="8" s="1"/>
  <c r="W38" i="8"/>
  <c r="P86" i="8" s="1"/>
  <c r="X38" i="8"/>
  <c r="Q86" i="8" s="1"/>
  <c r="Z38" i="8"/>
  <c r="R86" i="8" s="1"/>
  <c r="AA38" i="8"/>
  <c r="S86" i="8" s="1"/>
  <c r="AB38" i="8"/>
  <c r="T86" i="8" s="1"/>
  <c r="AD38" i="8"/>
  <c r="U86" i="8" s="1"/>
  <c r="AE38" i="8"/>
  <c r="V86" i="8" s="1"/>
  <c r="AF38" i="8"/>
  <c r="W86" i="8" s="1"/>
  <c r="R38" i="8"/>
  <c r="AH114" i="18"/>
  <c r="AD114" i="18"/>
  <c r="Z114" i="18"/>
  <c r="V114" i="18"/>
  <c r="AG113" i="18"/>
  <c r="AF113" i="18"/>
  <c r="AE113" i="18"/>
  <c r="AC113" i="18"/>
  <c r="AB113" i="18"/>
  <c r="AA113" i="18"/>
  <c r="Y113" i="18"/>
  <c r="X113" i="18"/>
  <c r="W113" i="18"/>
  <c r="U113" i="18"/>
  <c r="T113" i="18"/>
  <c r="S113" i="18"/>
  <c r="R113" i="18"/>
  <c r="AH112" i="18"/>
  <c r="AD112" i="18"/>
  <c r="Z112" i="18"/>
  <c r="V112" i="18"/>
  <c r="AG111" i="18"/>
  <c r="AF111" i="18"/>
  <c r="AE111" i="18"/>
  <c r="AC111" i="18"/>
  <c r="AB111" i="18"/>
  <c r="AA111" i="18"/>
  <c r="Y111" i="18"/>
  <c r="X111" i="18"/>
  <c r="W111" i="18"/>
  <c r="U111" i="18"/>
  <c r="T111" i="18"/>
  <c r="S111" i="18"/>
  <c r="AH110" i="18"/>
  <c r="AD110" i="18"/>
  <c r="Z110" i="18"/>
  <c r="V110" i="18"/>
  <c r="AG109" i="18"/>
  <c r="AF109" i="18"/>
  <c r="AE109" i="18"/>
  <c r="AC109" i="18"/>
  <c r="AB109" i="18"/>
  <c r="AA109" i="18"/>
  <c r="Y109" i="18"/>
  <c r="X109" i="18"/>
  <c r="W109" i="18"/>
  <c r="U109" i="18"/>
  <c r="T109" i="18"/>
  <c r="S109" i="18"/>
  <c r="R109" i="18"/>
  <c r="AH108" i="18"/>
  <c r="AD108" i="18"/>
  <c r="Z108" i="18"/>
  <c r="V108" i="18"/>
  <c r="AG107" i="18"/>
  <c r="AF107" i="18"/>
  <c r="AE107" i="18"/>
  <c r="AC107" i="18"/>
  <c r="AB107" i="18"/>
  <c r="AA107" i="18"/>
  <c r="Y107" i="18"/>
  <c r="X107" i="18"/>
  <c r="W107" i="18"/>
  <c r="U107" i="18"/>
  <c r="T107" i="18"/>
  <c r="S107" i="18"/>
  <c r="AH106" i="18"/>
  <c r="AD106" i="18"/>
  <c r="Z106" i="18"/>
  <c r="V106" i="18"/>
  <c r="AG105" i="18"/>
  <c r="AF105" i="18"/>
  <c r="AE105" i="18"/>
  <c r="AC105" i="18"/>
  <c r="AB105" i="18"/>
  <c r="AA105" i="18"/>
  <c r="Y105" i="18"/>
  <c r="X105" i="18"/>
  <c r="W105" i="18"/>
  <c r="U105" i="18"/>
  <c r="T105" i="18"/>
  <c r="S105" i="18"/>
  <c r="R105" i="18"/>
  <c r="AH104" i="18"/>
  <c r="AD104" i="18"/>
  <c r="Z104" i="18"/>
  <c r="V104" i="18"/>
  <c r="AG103" i="18"/>
  <c r="AF103" i="18"/>
  <c r="AE103" i="18"/>
  <c r="AC103" i="18"/>
  <c r="AB103" i="18"/>
  <c r="AA103" i="18"/>
  <c r="Y103" i="18"/>
  <c r="X103" i="18"/>
  <c r="W103" i="18"/>
  <c r="U103" i="18"/>
  <c r="T103" i="18"/>
  <c r="S103" i="18"/>
  <c r="AH102" i="18"/>
  <c r="AD102" i="18"/>
  <c r="Z102" i="18"/>
  <c r="V102" i="18"/>
  <c r="AG101" i="18"/>
  <c r="AF101" i="18"/>
  <c r="AE101" i="18"/>
  <c r="AC101" i="18"/>
  <c r="AB101" i="18"/>
  <c r="AA101" i="18"/>
  <c r="Y101" i="18"/>
  <c r="X101" i="18"/>
  <c r="W101" i="18"/>
  <c r="U101" i="18"/>
  <c r="T101" i="18"/>
  <c r="S101" i="18"/>
  <c r="AH100" i="18"/>
  <c r="AD100" i="18"/>
  <c r="Z100" i="18"/>
  <c r="V100" i="18"/>
  <c r="AG99" i="18"/>
  <c r="AF99" i="18"/>
  <c r="AE99" i="18"/>
  <c r="AC99" i="18"/>
  <c r="AB99" i="18"/>
  <c r="AA99" i="18"/>
  <c r="Y99" i="18"/>
  <c r="X99" i="18"/>
  <c r="W99" i="18"/>
  <c r="U99" i="18"/>
  <c r="T99" i="18"/>
  <c r="S99" i="18"/>
  <c r="AH98" i="18"/>
  <c r="AD98" i="18"/>
  <c r="Z98" i="18"/>
  <c r="V98" i="18"/>
  <c r="AG97" i="18"/>
  <c r="AF97" i="18"/>
  <c r="AE97" i="18"/>
  <c r="AC97" i="18"/>
  <c r="AB97" i="18"/>
  <c r="AA97" i="18"/>
  <c r="Y97" i="18"/>
  <c r="X97" i="18"/>
  <c r="W97" i="18"/>
  <c r="U97" i="18"/>
  <c r="T97" i="18"/>
  <c r="S97" i="18"/>
  <c r="AH96" i="18"/>
  <c r="AD96" i="18"/>
  <c r="Z96" i="18"/>
  <c r="V96" i="18"/>
  <c r="AG95" i="18"/>
  <c r="AF95" i="18"/>
  <c r="AE95" i="18"/>
  <c r="AC95" i="18"/>
  <c r="AB95" i="18"/>
  <c r="AA95" i="18"/>
  <c r="Y95" i="18"/>
  <c r="X95" i="18"/>
  <c r="W95" i="18"/>
  <c r="U95" i="18"/>
  <c r="T95" i="18"/>
  <c r="S95" i="18"/>
  <c r="U93" i="19"/>
  <c r="S119" i="19"/>
  <c r="V119" i="19" s="1"/>
  <c r="AH119" i="19"/>
  <c r="R119" i="18"/>
  <c r="S132" i="19" l="1"/>
  <c r="S135" i="19" s="1"/>
  <c r="T135" i="19" s="1"/>
  <c r="G18" i="19"/>
  <c r="N25" i="32" s="1"/>
  <c r="V85" i="18"/>
  <c r="AH85" i="18"/>
  <c r="Z85" i="18"/>
  <c r="AD85" i="18"/>
  <c r="AI86" i="18"/>
  <c r="AD101" i="18"/>
  <c r="AH105" i="18"/>
  <c r="V99" i="18"/>
  <c r="AD97" i="18"/>
  <c r="AD99" i="18"/>
  <c r="AH99" i="18"/>
  <c r="Z95" i="18"/>
  <c r="AH113" i="18"/>
  <c r="AH95" i="18"/>
  <c r="V97" i="18"/>
  <c r="Z97" i="18"/>
  <c r="AI96" i="18"/>
  <c r="Z109" i="18"/>
  <c r="AI110" i="18"/>
  <c r="AH107" i="18"/>
  <c r="V111" i="18"/>
  <c r="AI112" i="18"/>
  <c r="V101" i="18"/>
  <c r="Z99" i="18"/>
  <c r="AH103" i="18"/>
  <c r="V107" i="18"/>
  <c r="AI108" i="18"/>
  <c r="Z111" i="18"/>
  <c r="AI98" i="18"/>
  <c r="Z101" i="18"/>
  <c r="AH109" i="18"/>
  <c r="V113" i="18"/>
  <c r="AI114" i="18"/>
  <c r="V103" i="18"/>
  <c r="AI104" i="18"/>
  <c r="Z107" i="18"/>
  <c r="AD113" i="18"/>
  <c r="AI119" i="19"/>
  <c r="Z103" i="18"/>
  <c r="V95" i="18"/>
  <c r="AH101" i="18"/>
  <c r="V109" i="18"/>
  <c r="AD111" i="18"/>
  <c r="Z105" i="18"/>
  <c r="AD95" i="18"/>
  <c r="AI100" i="18"/>
  <c r="V105" i="18"/>
  <c r="AI106" i="18"/>
  <c r="AD107" i="18"/>
  <c r="AI102" i="18"/>
  <c r="AD109" i="18"/>
  <c r="AD105" i="18"/>
  <c r="AH97" i="18"/>
  <c r="AD103" i="18"/>
  <c r="AH111" i="18"/>
  <c r="Z113" i="18"/>
  <c r="R117" i="18"/>
  <c r="S136" i="19" l="1" a="1"/>
  <c r="AI85" i="18"/>
  <c r="AI99" i="18"/>
  <c r="AI109" i="18"/>
  <c r="AI101" i="18"/>
  <c r="AI111" i="18"/>
  <c r="AI95" i="18"/>
  <c r="AI103" i="18"/>
  <c r="AI107" i="18"/>
  <c r="AI113" i="18"/>
  <c r="AI97" i="18"/>
  <c r="AI105" i="18"/>
  <c r="E145" i="19"/>
  <c r="R157" i="2"/>
  <c r="K165" i="2"/>
  <c r="K163" i="2"/>
  <c r="K161" i="2"/>
  <c r="K159" i="2"/>
  <c r="I119" i="24"/>
  <c r="J119" i="24"/>
  <c r="J117" i="24"/>
  <c r="I117" i="24"/>
  <c r="H113" i="24"/>
  <c r="N31" i="20"/>
  <c r="D10" i="24"/>
  <c r="D15" i="8"/>
  <c r="D14" i="8"/>
  <c r="D13" i="8"/>
  <c r="D12" i="8"/>
  <c r="D11" i="8"/>
  <c r="G5" i="24"/>
  <c r="D13" i="24"/>
  <c r="D12" i="24"/>
  <c r="D11" i="24"/>
  <c r="D9" i="24"/>
  <c r="D12" i="17"/>
  <c r="D11" i="17"/>
  <c r="D10" i="17"/>
  <c r="D9" i="17"/>
  <c r="D12" i="18"/>
  <c r="D11" i="18"/>
  <c r="D10" i="18"/>
  <c r="D9" i="18"/>
  <c r="D12" i="19"/>
  <c r="D11" i="19"/>
  <c r="D10" i="19"/>
  <c r="D9" i="19"/>
  <c r="D11" i="20"/>
  <c r="D10" i="20"/>
  <c r="C10" i="20"/>
  <c r="D9" i="20"/>
  <c r="D12" i="2"/>
  <c r="D11" i="2"/>
  <c r="D10" i="2"/>
  <c r="D9" i="2"/>
  <c r="C9" i="2"/>
  <c r="G203" i="2"/>
  <c r="G204" i="2"/>
  <c r="G189" i="2"/>
  <c r="G190" i="2"/>
  <c r="F154" i="18"/>
  <c r="F153" i="18"/>
  <c r="F152" i="18"/>
  <c r="F151" i="18"/>
  <c r="F150" i="18"/>
  <c r="F149" i="18"/>
  <c r="F148" i="18"/>
  <c r="E148" i="18"/>
  <c r="F147" i="18"/>
  <c r="F146" i="18"/>
  <c r="F145" i="18"/>
  <c r="F144" i="18"/>
  <c r="F143" i="18"/>
  <c r="E143" i="18"/>
  <c r="F142" i="18"/>
  <c r="F141" i="18"/>
  <c r="F140" i="18"/>
  <c r="E140" i="18"/>
  <c r="F139" i="18"/>
  <c r="F138" i="18"/>
  <c r="F137" i="18"/>
  <c r="F136" i="18"/>
  <c r="F135" i="18"/>
  <c r="E135" i="18"/>
  <c r="F134" i="18"/>
  <c r="F133" i="18"/>
  <c r="E133" i="18"/>
  <c r="F132" i="18"/>
  <c r="F131" i="18"/>
  <c r="F130" i="18"/>
  <c r="F129" i="18"/>
  <c r="F128" i="18"/>
  <c r="F127" i="18"/>
  <c r="E305" i="18"/>
  <c r="F305" i="18"/>
  <c r="V66" i="17"/>
  <c r="G15" i="32" l="1"/>
  <c r="G17" i="32"/>
  <c r="G13" i="32"/>
  <c r="G14" i="32"/>
  <c r="D16" i="8"/>
  <c r="E12" i="8" s="1"/>
  <c r="D14" i="24"/>
  <c r="D13" i="17"/>
  <c r="E12" i="17" s="1"/>
  <c r="D13" i="18"/>
  <c r="D13" i="19"/>
  <c r="E12" i="19" s="1"/>
  <c r="D13" i="2"/>
  <c r="E10" i="2" l="1"/>
  <c r="E11" i="2"/>
  <c r="E15" i="8"/>
  <c r="E14" i="8"/>
  <c r="E13" i="8"/>
  <c r="E12" i="2"/>
  <c r="E11" i="8"/>
  <c r="E10" i="17"/>
  <c r="E11" i="17"/>
  <c r="E9" i="17"/>
  <c r="E12" i="18"/>
  <c r="E11" i="18"/>
  <c r="E10" i="18"/>
  <c r="E9" i="18"/>
  <c r="E10" i="19"/>
  <c r="E9" i="19"/>
  <c r="E11" i="19"/>
  <c r="E9" i="2"/>
  <c r="H39" i="8"/>
  <c r="M39" i="8"/>
  <c r="K55" i="17"/>
  <c r="AC55" i="17" s="1"/>
  <c r="I95" i="17"/>
  <c r="E13" i="2" l="1"/>
  <c r="E13" i="17"/>
  <c r="E13" i="18"/>
  <c r="X55" i="17"/>
  <c r="AB55" i="17"/>
  <c r="AA55" i="17"/>
  <c r="Y55" i="17"/>
  <c r="AE55" i="17"/>
  <c r="W55" i="17"/>
  <c r="S55" i="17"/>
  <c r="U55" i="17"/>
  <c r="T55" i="17"/>
  <c r="AG55" i="17"/>
  <c r="AF55" i="17"/>
  <c r="I75" i="2"/>
  <c r="AD55" i="17" l="1"/>
  <c r="Z55" i="17"/>
  <c r="V55" i="17"/>
  <c r="I99" i="24"/>
  <c r="S145" i="24"/>
  <c r="S146" i="24"/>
  <c r="S143" i="24"/>
  <c r="S141" i="24"/>
  <c r="S139" i="24"/>
  <c r="S137" i="24"/>
  <c r="S135" i="24"/>
  <c r="S129" i="24"/>
  <c r="S130" i="24"/>
  <c r="I115" i="24"/>
  <c r="J115" i="24"/>
  <c r="R116" i="19"/>
  <c r="R115" i="19"/>
  <c r="R106" i="19"/>
  <c r="R105" i="19"/>
  <c r="R104" i="19"/>
  <c r="R103" i="19"/>
  <c r="R98" i="19"/>
  <c r="R97" i="19"/>
  <c r="AC13" i="20"/>
  <c r="AB13" i="20"/>
  <c r="AC7" i="20" l="1"/>
  <c r="AC6" i="20"/>
  <c r="AB6" i="20"/>
  <c r="J113" i="24"/>
  <c r="I113" i="24"/>
  <c r="G113" i="24"/>
  <c r="Y199" i="34" l="1"/>
  <c r="Y200" i="34"/>
  <c r="Y201" i="34"/>
  <c r="Y202" i="34"/>
  <c r="Y203" i="34"/>
  <c r="F246" i="34"/>
  <c r="F247" i="34"/>
  <c r="F248" i="34"/>
  <c r="F249" i="34"/>
  <c r="F250" i="34"/>
  <c r="F251" i="34"/>
  <c r="F252" i="34"/>
  <c r="F253" i="34"/>
  <c r="F254" i="34"/>
  <c r="F255" i="34"/>
  <c r="F256" i="34"/>
  <c r="F257" i="34"/>
  <c r="F258" i="34"/>
  <c r="F259" i="34"/>
  <c r="F260" i="34"/>
  <c r="F261" i="34"/>
  <c r="F262" i="34"/>
  <c r="F263" i="34"/>
  <c r="F264" i="34"/>
  <c r="F265" i="34"/>
  <c r="A216" i="34" a="1"/>
  <c r="F100" i="34"/>
  <c r="F101" i="34"/>
  <c r="F102" i="34"/>
  <c r="F103" i="34"/>
  <c r="F104" i="34"/>
  <c r="F105" i="34"/>
  <c r="F106" i="34"/>
  <c r="F107" i="34"/>
  <c r="F108" i="34"/>
  <c r="F109" i="34"/>
  <c r="A70" i="34" a="1"/>
  <c r="F49" i="34"/>
  <c r="F50" i="34"/>
  <c r="F51" i="34"/>
  <c r="F52" i="34"/>
  <c r="F53" i="34"/>
  <c r="F54" i="34"/>
  <c r="F55" i="34"/>
  <c r="F56" i="34"/>
  <c r="F57" i="34"/>
  <c r="F58" i="34"/>
  <c r="F59" i="34"/>
  <c r="F60" i="34"/>
  <c r="F61" i="34"/>
  <c r="F62" i="34"/>
  <c r="F63" i="34"/>
  <c r="A4" i="34" a="1"/>
  <c r="B106" i="34" l="1"/>
  <c r="C106" i="34" s="1"/>
  <c r="B102" i="34"/>
  <c r="C102" i="34" s="1"/>
  <c r="L102" i="34" s="1"/>
  <c r="B109" i="34"/>
  <c r="C109" i="34" s="1"/>
  <c r="B107" i="34"/>
  <c r="C107" i="34" s="1"/>
  <c r="B103" i="34"/>
  <c r="C103" i="34" s="1"/>
  <c r="B105" i="34"/>
  <c r="C105" i="34" s="1"/>
  <c r="B100" i="34"/>
  <c r="C100" i="34" s="1"/>
  <c r="B104" i="34"/>
  <c r="C104" i="34" s="1"/>
  <c r="B108" i="34"/>
  <c r="C108" i="34" s="1"/>
  <c r="B101" i="34"/>
  <c r="C101" i="34" s="1"/>
  <c r="Q4" i="34" a="1"/>
  <c r="F34" i="34"/>
  <c r="F35" i="34"/>
  <c r="F36" i="34"/>
  <c r="F37" i="34"/>
  <c r="F38" i="34"/>
  <c r="F39" i="34"/>
  <c r="F40" i="34"/>
  <c r="F41" i="34"/>
  <c r="F42" i="34"/>
  <c r="F43" i="34"/>
  <c r="F44" i="34"/>
  <c r="F45" i="34"/>
  <c r="F46" i="34"/>
  <c r="F47" i="34"/>
  <c r="F48" i="34"/>
  <c r="I101" i="34" l="1"/>
  <c r="L101" i="34"/>
  <c r="I104" i="34"/>
  <c r="L104" i="34"/>
  <c r="I103" i="34"/>
  <c r="L103" i="34"/>
  <c r="I100" i="34"/>
  <c r="L100" i="34"/>
  <c r="I109" i="34"/>
  <c r="L109" i="34"/>
  <c r="I108" i="34"/>
  <c r="L108" i="34"/>
  <c r="I105" i="34"/>
  <c r="L105" i="34"/>
  <c r="I107" i="34"/>
  <c r="L107" i="34"/>
  <c r="K106" i="34" a="1"/>
  <c r="L106" i="34"/>
  <c r="H105" i="34"/>
  <c r="H102" i="34"/>
  <c r="I102" i="34"/>
  <c r="H106" i="34"/>
  <c r="I106" i="34"/>
  <c r="G105" i="34"/>
  <c r="J109" i="34"/>
  <c r="J103" i="34"/>
  <c r="H108" i="34"/>
  <c r="J102" i="34"/>
  <c r="J101" i="34"/>
  <c r="G106" i="34"/>
  <c r="H109" i="34"/>
  <c r="G102" i="34"/>
  <c r="K102" i="34" a="1"/>
  <c r="K101" i="34" a="1"/>
  <c r="K108" i="34" a="1"/>
  <c r="J108" i="34"/>
  <c r="G108" i="34"/>
  <c r="J105" i="34"/>
  <c r="K105" i="34" a="1"/>
  <c r="G109" i="34"/>
  <c r="J106" i="34"/>
  <c r="H103" i="34"/>
  <c r="G103" i="34"/>
  <c r="K103" i="34" a="1"/>
  <c r="H100" i="34"/>
  <c r="H104" i="34"/>
  <c r="K104" i="34" a="1"/>
  <c r="J104" i="34"/>
  <c r="G104" i="34"/>
  <c r="K109" i="34" a="1"/>
  <c r="G100" i="34"/>
  <c r="H101" i="34"/>
  <c r="G101" i="34"/>
  <c r="G107" i="34"/>
  <c r="H107" i="34"/>
  <c r="J107" i="34"/>
  <c r="K107" i="34" a="1"/>
  <c r="H9" i="24" l="1"/>
  <c r="B499" i="38"/>
  <c r="B498" i="38"/>
  <c r="X145" i="24"/>
  <c r="Y145" i="24"/>
  <c r="Z145" i="24"/>
  <c r="AB145" i="24"/>
  <c r="AC145" i="24"/>
  <c r="AD145" i="24"/>
  <c r="AF145" i="24"/>
  <c r="AG145" i="24"/>
  <c r="AH145" i="24"/>
  <c r="T145" i="24"/>
  <c r="U145" i="24"/>
  <c r="V145" i="24"/>
  <c r="X143" i="24"/>
  <c r="Y143" i="24"/>
  <c r="Z143" i="24"/>
  <c r="AB143" i="24"/>
  <c r="AC143" i="24"/>
  <c r="AD143" i="24"/>
  <c r="AF143" i="24"/>
  <c r="AG143" i="24"/>
  <c r="AH143" i="24"/>
  <c r="T143" i="24"/>
  <c r="U143" i="24"/>
  <c r="V143" i="24"/>
  <c r="AB141" i="24"/>
  <c r="AC141" i="24"/>
  <c r="AD141" i="24"/>
  <c r="AF141" i="24"/>
  <c r="AG141" i="24"/>
  <c r="AH141" i="24"/>
  <c r="X141" i="24"/>
  <c r="Y141" i="24"/>
  <c r="Z141" i="24"/>
  <c r="T141" i="24"/>
  <c r="U141" i="24"/>
  <c r="V141" i="24"/>
  <c r="AF139" i="24"/>
  <c r="AG139" i="24"/>
  <c r="AH139" i="24"/>
  <c r="AB139" i="24"/>
  <c r="AC139" i="24"/>
  <c r="AD139" i="24"/>
  <c r="X139" i="24"/>
  <c r="Y139" i="24"/>
  <c r="Z139" i="24"/>
  <c r="T139" i="24"/>
  <c r="U139" i="24"/>
  <c r="V139" i="24"/>
  <c r="AF137" i="24"/>
  <c r="AG137" i="24"/>
  <c r="AH137" i="24"/>
  <c r="AB137" i="24"/>
  <c r="AC137" i="24"/>
  <c r="AD137" i="24"/>
  <c r="X137" i="24"/>
  <c r="Y137" i="24"/>
  <c r="Z137" i="24"/>
  <c r="T137" i="24"/>
  <c r="U137" i="24"/>
  <c r="V137" i="24"/>
  <c r="AF135" i="24"/>
  <c r="AG135" i="24"/>
  <c r="AH135" i="24"/>
  <c r="AB135" i="24"/>
  <c r="AC135" i="24"/>
  <c r="AD135" i="24"/>
  <c r="X135" i="24"/>
  <c r="Y135" i="24"/>
  <c r="Z135" i="24"/>
  <c r="T135" i="24"/>
  <c r="U135" i="24"/>
  <c r="V135" i="24"/>
  <c r="AF133" i="24"/>
  <c r="AG133" i="24"/>
  <c r="AH133" i="24"/>
  <c r="AB133" i="24"/>
  <c r="AC133" i="24"/>
  <c r="AD133" i="24"/>
  <c r="X133" i="24"/>
  <c r="Y133" i="24"/>
  <c r="Z133" i="24"/>
  <c r="T133" i="24"/>
  <c r="U133" i="24"/>
  <c r="V133" i="24"/>
  <c r="T129" i="24"/>
  <c r="U129" i="24"/>
  <c r="V129" i="24"/>
  <c r="X129" i="24"/>
  <c r="Y129" i="24"/>
  <c r="Z129" i="24"/>
  <c r="AB129" i="24"/>
  <c r="AC129" i="24"/>
  <c r="AD129" i="24"/>
  <c r="AF129" i="24"/>
  <c r="AG129" i="24"/>
  <c r="AH129" i="24"/>
  <c r="W130" i="24"/>
  <c r="T131" i="24"/>
  <c r="U131" i="24"/>
  <c r="V131" i="24"/>
  <c r="X131" i="24"/>
  <c r="Y131" i="24"/>
  <c r="Z131" i="24"/>
  <c r="AB131" i="24"/>
  <c r="AC131" i="24"/>
  <c r="AD131" i="24"/>
  <c r="AF131" i="24"/>
  <c r="AG131" i="24"/>
  <c r="AH131" i="24"/>
  <c r="T127" i="24"/>
  <c r="U127" i="24"/>
  <c r="V127" i="24"/>
  <c r="X127" i="24"/>
  <c r="Y127" i="24"/>
  <c r="Z127" i="24"/>
  <c r="AB127" i="24"/>
  <c r="AC127" i="24"/>
  <c r="AD127" i="24"/>
  <c r="AF127" i="24"/>
  <c r="AG127" i="24"/>
  <c r="AH127" i="24"/>
  <c r="T121" i="24"/>
  <c r="U121" i="24"/>
  <c r="V121" i="24"/>
  <c r="X121" i="24"/>
  <c r="Y121" i="24"/>
  <c r="Z121" i="24"/>
  <c r="AB121" i="24"/>
  <c r="AC121" i="24"/>
  <c r="AD121" i="24"/>
  <c r="AF121" i="24"/>
  <c r="AG121" i="24"/>
  <c r="AH121" i="24"/>
  <c r="T123" i="24"/>
  <c r="U123" i="24"/>
  <c r="V123" i="24"/>
  <c r="X123" i="24"/>
  <c r="Y123" i="24"/>
  <c r="Z123" i="24"/>
  <c r="AB123" i="24"/>
  <c r="AC123" i="24"/>
  <c r="AD123" i="24"/>
  <c r="AF123" i="24"/>
  <c r="AG123" i="24"/>
  <c r="AH123" i="24"/>
  <c r="T115" i="24"/>
  <c r="U115" i="24"/>
  <c r="V115" i="24"/>
  <c r="X115" i="24"/>
  <c r="Y115" i="24"/>
  <c r="Z115" i="24"/>
  <c r="AB115" i="24"/>
  <c r="AC115" i="24"/>
  <c r="AD115" i="24"/>
  <c r="AF115" i="24"/>
  <c r="AG115" i="24"/>
  <c r="AH115" i="24"/>
  <c r="T117" i="24"/>
  <c r="U117" i="24"/>
  <c r="V117" i="24"/>
  <c r="X117" i="24"/>
  <c r="Y117" i="24"/>
  <c r="Z117" i="24"/>
  <c r="AB117" i="24"/>
  <c r="AC117" i="24"/>
  <c r="AD117" i="24"/>
  <c r="AF117" i="24"/>
  <c r="AG117" i="24"/>
  <c r="AH117" i="24"/>
  <c r="T119" i="24"/>
  <c r="U119" i="24"/>
  <c r="V119" i="24"/>
  <c r="X119" i="24"/>
  <c r="Y119" i="24"/>
  <c r="Z119" i="24"/>
  <c r="AB119" i="24"/>
  <c r="AC119" i="24"/>
  <c r="AD119" i="24"/>
  <c r="AF119" i="24"/>
  <c r="AG119" i="24"/>
  <c r="AH119" i="24"/>
  <c r="AF113" i="24"/>
  <c r="AG113" i="24"/>
  <c r="AH113" i="24"/>
  <c r="AB113" i="24"/>
  <c r="AC113" i="24"/>
  <c r="AD113" i="24"/>
  <c r="X113" i="24"/>
  <c r="Y113" i="24"/>
  <c r="Z113" i="24"/>
  <c r="T113" i="24"/>
  <c r="U113" i="24"/>
  <c r="V113" i="24"/>
  <c r="W114" i="24"/>
  <c r="AA114" i="24"/>
  <c r="AE114" i="24"/>
  <c r="AI114" i="24"/>
  <c r="AJ114" i="24"/>
  <c r="W116" i="24"/>
  <c r="AA116" i="24"/>
  <c r="AE116" i="24"/>
  <c r="AI116" i="24"/>
  <c r="AJ116" i="24"/>
  <c r="W118" i="24"/>
  <c r="AA118" i="24"/>
  <c r="AE118" i="24"/>
  <c r="AI118" i="24"/>
  <c r="AJ118" i="24"/>
  <c r="W120" i="24"/>
  <c r="AA120" i="24"/>
  <c r="AE120" i="24"/>
  <c r="AI120" i="24"/>
  <c r="AJ120" i="24"/>
  <c r="W122" i="24"/>
  <c r="AA122" i="24"/>
  <c r="AE122" i="24"/>
  <c r="AI122" i="24"/>
  <c r="AJ122" i="24"/>
  <c r="W124" i="24"/>
  <c r="AA124" i="24"/>
  <c r="AE124" i="24"/>
  <c r="AI124" i="24"/>
  <c r="AJ124" i="24"/>
  <c r="W126" i="24"/>
  <c r="AA126" i="24"/>
  <c r="AE126" i="24"/>
  <c r="AI126" i="24"/>
  <c r="AJ126" i="24"/>
  <c r="W128" i="24"/>
  <c r="AA128" i="24"/>
  <c r="AE128" i="24"/>
  <c r="AI128" i="24"/>
  <c r="AJ128" i="24"/>
  <c r="AA130" i="24"/>
  <c r="AE130" i="24"/>
  <c r="AI130" i="24"/>
  <c r="AJ130" i="24"/>
  <c r="W132" i="24"/>
  <c r="AA132" i="24"/>
  <c r="AE132" i="24"/>
  <c r="AI132" i="24"/>
  <c r="AJ132" i="24"/>
  <c r="W134" i="24"/>
  <c r="AA134" i="24"/>
  <c r="AE134" i="24"/>
  <c r="AI134" i="24"/>
  <c r="AJ134" i="24"/>
  <c r="W136" i="24"/>
  <c r="AA136" i="24"/>
  <c r="AE136" i="24"/>
  <c r="AI136" i="24"/>
  <c r="AJ136" i="24"/>
  <c r="W138" i="24"/>
  <c r="AA138" i="24"/>
  <c r="AE138" i="24"/>
  <c r="AI138" i="24"/>
  <c r="AJ138" i="24"/>
  <c r="W140" i="24"/>
  <c r="AA140" i="24"/>
  <c r="AE140" i="24"/>
  <c r="AI140" i="24"/>
  <c r="AJ140" i="24"/>
  <c r="W142" i="24"/>
  <c r="AA142" i="24"/>
  <c r="AE142" i="24"/>
  <c r="AI142" i="24"/>
  <c r="AJ142" i="24"/>
  <c r="W144" i="24"/>
  <c r="AA144" i="24"/>
  <c r="AE144" i="24"/>
  <c r="AI144" i="24"/>
  <c r="AJ144" i="24"/>
  <c r="W146" i="24"/>
  <c r="AA146" i="24"/>
  <c r="AE146" i="24"/>
  <c r="AI146" i="24"/>
  <c r="AJ146" i="24"/>
  <c r="AO144" i="24"/>
  <c r="AQ144" i="24" s="1" a="1"/>
  <c r="AQ144" i="24" s="1"/>
  <c r="S144" i="24"/>
  <c r="AO143" i="24"/>
  <c r="AQ143" i="24" s="1" a="1"/>
  <c r="AQ143" i="24" s="1"/>
  <c r="AN143" i="24"/>
  <c r="AO142" i="24"/>
  <c r="AQ142" i="24" s="1" a="1"/>
  <c r="AQ142" i="24" s="1"/>
  <c r="S142" i="24"/>
  <c r="AO141" i="24"/>
  <c r="AQ141" i="24" s="1" a="1"/>
  <c r="AQ141" i="24" s="1"/>
  <c r="AN141" i="24"/>
  <c r="AO140" i="24"/>
  <c r="AQ140" i="24" s="1" a="1"/>
  <c r="AQ140" i="24" s="1"/>
  <c r="S140" i="24"/>
  <c r="AO139" i="24"/>
  <c r="AQ139" i="24" s="1" a="1"/>
  <c r="AQ139" i="24" s="1"/>
  <c r="AN139" i="24"/>
  <c r="AO138" i="24"/>
  <c r="AQ138" i="24" s="1" a="1"/>
  <c r="AQ138" i="24" s="1"/>
  <c r="S138" i="24"/>
  <c r="AO137" i="24"/>
  <c r="AQ137" i="24" s="1" a="1"/>
  <c r="AQ137" i="24" s="1"/>
  <c r="AN137" i="24"/>
  <c r="AO136" i="24"/>
  <c r="AQ136" i="24" s="1" a="1"/>
  <c r="AQ136" i="24" s="1"/>
  <c r="S136" i="24"/>
  <c r="AO135" i="24"/>
  <c r="AQ135" i="24" s="1" a="1"/>
  <c r="AQ135" i="24" s="1"/>
  <c r="AN135" i="24"/>
  <c r="AO134" i="24"/>
  <c r="AQ134" i="24" s="1" a="1"/>
  <c r="AQ134" i="24" s="1"/>
  <c r="S134" i="24"/>
  <c r="AO133" i="24"/>
  <c r="AQ133" i="24" s="1" a="1"/>
  <c r="AQ133" i="24" s="1"/>
  <c r="AN133" i="24"/>
  <c r="S133" i="24"/>
  <c r="AO132" i="24"/>
  <c r="S132" i="24"/>
  <c r="AO131" i="24"/>
  <c r="AN131" i="24"/>
  <c r="S131" i="24"/>
  <c r="AO130" i="24"/>
  <c r="AO129" i="24"/>
  <c r="AN129" i="24"/>
  <c r="AO128" i="24"/>
  <c r="AO127" i="24"/>
  <c r="AN127" i="24"/>
  <c r="AO126" i="24"/>
  <c r="AO125" i="24"/>
  <c r="AN125" i="24"/>
  <c r="AO124" i="24"/>
  <c r="AO123" i="24"/>
  <c r="AN123" i="24"/>
  <c r="AO122" i="24"/>
  <c r="AO121" i="24"/>
  <c r="AN121" i="24"/>
  <c r="AO120" i="24"/>
  <c r="AO119" i="24"/>
  <c r="AN119" i="24"/>
  <c r="AO118" i="24"/>
  <c r="AO117" i="24"/>
  <c r="AN117" i="24"/>
  <c r="AO116" i="24"/>
  <c r="AO115" i="24"/>
  <c r="AN115" i="24"/>
  <c r="AO114" i="24"/>
  <c r="S114" i="24"/>
  <c r="AO113" i="24"/>
  <c r="AN113" i="24"/>
  <c r="S113" i="24"/>
  <c r="B380" i="38"/>
  <c r="B381" i="38"/>
  <c r="B382" i="38"/>
  <c r="B383" i="38"/>
  <c r="B384" i="38"/>
  <c r="B385" i="38"/>
  <c r="B386" i="38"/>
  <c r="B387" i="38"/>
  <c r="B388" i="38"/>
  <c r="B389" i="38"/>
  <c r="B390" i="38"/>
  <c r="B391" i="38"/>
  <c r="B392" i="38"/>
  <c r="B393" i="38"/>
  <c r="B394" i="38"/>
  <c r="B395" i="38"/>
  <c r="B396" i="38"/>
  <c r="B397" i="38"/>
  <c r="B398" i="38"/>
  <c r="B399" i="38"/>
  <c r="B400" i="38"/>
  <c r="B401" i="38"/>
  <c r="B402" i="38"/>
  <c r="B403" i="38"/>
  <c r="B404" i="38"/>
  <c r="B405" i="38"/>
  <c r="B406" i="38"/>
  <c r="B407" i="38"/>
  <c r="B408" i="38"/>
  <c r="B409" i="38"/>
  <c r="B410" i="38"/>
  <c r="B411" i="38"/>
  <c r="B412" i="38"/>
  <c r="B413" i="38"/>
  <c r="B414" i="38"/>
  <c r="B415" i="38"/>
  <c r="B416" i="38"/>
  <c r="B417" i="38"/>
  <c r="B418" i="38"/>
  <c r="B419" i="38"/>
  <c r="B420" i="38"/>
  <c r="B421" i="38"/>
  <c r="B422" i="38"/>
  <c r="B423" i="38"/>
  <c r="B424" i="38"/>
  <c r="B425" i="38"/>
  <c r="B426" i="38"/>
  <c r="B427" i="38"/>
  <c r="B428" i="38"/>
  <c r="B429" i="38"/>
  <c r="B430" i="38"/>
  <c r="B431" i="38"/>
  <c r="B432" i="38"/>
  <c r="B433" i="38"/>
  <c r="B434" i="38"/>
  <c r="B435" i="38"/>
  <c r="B436" i="38"/>
  <c r="B437" i="38"/>
  <c r="B438" i="38"/>
  <c r="B439" i="38"/>
  <c r="B440" i="38"/>
  <c r="B441" i="38"/>
  <c r="B442" i="38"/>
  <c r="B443" i="38"/>
  <c r="B444" i="38"/>
  <c r="B445" i="38"/>
  <c r="B446" i="38"/>
  <c r="B447" i="38"/>
  <c r="B448" i="38"/>
  <c r="B449" i="38"/>
  <c r="B450" i="38"/>
  <c r="B451" i="38"/>
  <c r="B452" i="38"/>
  <c r="B453" i="38"/>
  <c r="B454" i="38"/>
  <c r="B455" i="38"/>
  <c r="B456" i="38"/>
  <c r="B457" i="38"/>
  <c r="B458" i="38"/>
  <c r="B459" i="38"/>
  <c r="B460" i="38"/>
  <c r="B461" i="38"/>
  <c r="B462" i="38"/>
  <c r="B463" i="38"/>
  <c r="B464" i="38"/>
  <c r="B465" i="38"/>
  <c r="B466" i="38"/>
  <c r="B467" i="38"/>
  <c r="B468" i="38"/>
  <c r="B469" i="38"/>
  <c r="B470" i="38"/>
  <c r="B471" i="38"/>
  <c r="B472" i="38"/>
  <c r="B473" i="38"/>
  <c r="B474" i="38"/>
  <c r="B475" i="38"/>
  <c r="B476" i="38"/>
  <c r="B477" i="38"/>
  <c r="B478" i="38"/>
  <c r="B479" i="38"/>
  <c r="B480" i="38"/>
  <c r="B481" i="38"/>
  <c r="B482" i="38"/>
  <c r="B483" i="38"/>
  <c r="B484" i="38"/>
  <c r="B485" i="38"/>
  <c r="B486" i="38"/>
  <c r="B487" i="38"/>
  <c r="B488" i="38"/>
  <c r="B489" i="38"/>
  <c r="B490" i="38"/>
  <c r="B491" i="38"/>
  <c r="B492" i="38"/>
  <c r="B493" i="38"/>
  <c r="B494" i="38"/>
  <c r="B495" i="38"/>
  <c r="B496" i="38"/>
  <c r="B497" i="38"/>
  <c r="B379" i="38"/>
  <c r="B500" i="38" a="1"/>
  <c r="B330" i="38"/>
  <c r="B331" i="38"/>
  <c r="B332" i="38"/>
  <c r="B333" i="38"/>
  <c r="B334" i="38"/>
  <c r="B335" i="38"/>
  <c r="B336" i="38"/>
  <c r="B337" i="38"/>
  <c r="B338" i="38"/>
  <c r="B339" i="38"/>
  <c r="B340" i="38"/>
  <c r="B341" i="38"/>
  <c r="B342" i="38"/>
  <c r="B343" i="38"/>
  <c r="B344" i="38"/>
  <c r="B345" i="38"/>
  <c r="B346" i="38"/>
  <c r="B347" i="38"/>
  <c r="B348" i="38"/>
  <c r="B349" i="38"/>
  <c r="B350" i="38"/>
  <c r="B351" i="38"/>
  <c r="B352" i="38"/>
  <c r="B353" i="38"/>
  <c r="B354" i="38"/>
  <c r="B355" i="38"/>
  <c r="B356" i="38"/>
  <c r="B357" i="38"/>
  <c r="B358" i="38"/>
  <c r="B359" i="38"/>
  <c r="B360" i="38"/>
  <c r="B361" i="38"/>
  <c r="B362" i="38"/>
  <c r="B363" i="38"/>
  <c r="B364" i="38"/>
  <c r="B365" i="38"/>
  <c r="B366" i="38"/>
  <c r="B367" i="38"/>
  <c r="B368" i="38"/>
  <c r="B369" i="38"/>
  <c r="B370" i="38"/>
  <c r="B371" i="38"/>
  <c r="B372" i="38"/>
  <c r="B373" i="38"/>
  <c r="B374" i="38"/>
  <c r="B375" i="38"/>
  <c r="B376" i="38"/>
  <c r="B377" i="38"/>
  <c r="B378" i="38"/>
  <c r="B329" i="38"/>
  <c r="B323" i="38"/>
  <c r="B324" i="38"/>
  <c r="B325" i="38"/>
  <c r="B326" i="38"/>
  <c r="B327" i="38"/>
  <c r="B328" i="38"/>
  <c r="B248" i="38"/>
  <c r="B249" i="38"/>
  <c r="B250" i="38"/>
  <c r="B251" i="38"/>
  <c r="B252" i="38"/>
  <c r="B253" i="38"/>
  <c r="B254" i="38"/>
  <c r="B255" i="38"/>
  <c r="B256" i="38"/>
  <c r="B257" i="38"/>
  <c r="B258" i="38"/>
  <c r="B259" i="38"/>
  <c r="B260" i="38"/>
  <c r="B261" i="38"/>
  <c r="B262" i="38"/>
  <c r="B263" i="38"/>
  <c r="B264" i="38"/>
  <c r="B265" i="38"/>
  <c r="B266" i="38"/>
  <c r="B267" i="38"/>
  <c r="B268" i="38"/>
  <c r="B269" i="38"/>
  <c r="B270" i="38"/>
  <c r="B271" i="38"/>
  <c r="B272" i="38"/>
  <c r="B273" i="38"/>
  <c r="B274" i="38"/>
  <c r="B275" i="38"/>
  <c r="B276" i="38"/>
  <c r="B277" i="38"/>
  <c r="B278" i="38"/>
  <c r="B279" i="38"/>
  <c r="B280" i="38"/>
  <c r="B281" i="38"/>
  <c r="B282" i="38"/>
  <c r="B283" i="38"/>
  <c r="B284" i="38"/>
  <c r="B285" i="38"/>
  <c r="B286" i="38"/>
  <c r="B287" i="38"/>
  <c r="B288" i="38"/>
  <c r="B289" i="38"/>
  <c r="B290" i="38"/>
  <c r="B291" i="38"/>
  <c r="B292" i="38"/>
  <c r="B293" i="38"/>
  <c r="B294" i="38"/>
  <c r="B295" i="38"/>
  <c r="B296" i="38"/>
  <c r="B297" i="38"/>
  <c r="B298" i="38"/>
  <c r="B299" i="38"/>
  <c r="B300" i="38"/>
  <c r="B301" i="38"/>
  <c r="B302" i="38"/>
  <c r="B303" i="38"/>
  <c r="B304" i="38"/>
  <c r="B305" i="38"/>
  <c r="B306" i="38"/>
  <c r="B307" i="38"/>
  <c r="B308" i="38"/>
  <c r="B309" i="38"/>
  <c r="D309" i="38" s="1"/>
  <c r="B310" i="38"/>
  <c r="B311" i="38"/>
  <c r="B312" i="38"/>
  <c r="B313" i="38"/>
  <c r="D313" i="38" s="1"/>
  <c r="B314" i="38"/>
  <c r="B315" i="38"/>
  <c r="B316" i="38"/>
  <c r="B317" i="38"/>
  <c r="B318" i="38"/>
  <c r="B319" i="38"/>
  <c r="B320" i="38"/>
  <c r="B321" i="38"/>
  <c r="B322" i="38"/>
  <c r="B247" i="38"/>
  <c r="B181" i="38"/>
  <c r="B182" i="38"/>
  <c r="B183" i="38"/>
  <c r="B184" i="38"/>
  <c r="B185" i="38"/>
  <c r="B186" i="38"/>
  <c r="B187" i="38"/>
  <c r="B188" i="38"/>
  <c r="B189" i="38"/>
  <c r="B190" i="38"/>
  <c r="B191" i="38"/>
  <c r="B192" i="38"/>
  <c r="B193" i="38"/>
  <c r="B194" i="38"/>
  <c r="B195" i="38"/>
  <c r="B196" i="38"/>
  <c r="B197" i="38"/>
  <c r="B198" i="38"/>
  <c r="B199" i="38"/>
  <c r="B200" i="38"/>
  <c r="B201" i="38"/>
  <c r="B202" i="38"/>
  <c r="B203" i="38"/>
  <c r="B204" i="38"/>
  <c r="B205" i="38"/>
  <c r="B206" i="38"/>
  <c r="B207" i="38"/>
  <c r="B208" i="38"/>
  <c r="B209" i="38"/>
  <c r="B210" i="38"/>
  <c r="B211" i="38"/>
  <c r="B212" i="38"/>
  <c r="B213" i="38"/>
  <c r="B214" i="38"/>
  <c r="B215" i="38"/>
  <c r="B216" i="38"/>
  <c r="B217" i="38"/>
  <c r="B218" i="38"/>
  <c r="B219" i="38"/>
  <c r="B220" i="38"/>
  <c r="B221" i="38"/>
  <c r="B222" i="38"/>
  <c r="B223" i="38"/>
  <c r="B224" i="38"/>
  <c r="B225" i="38"/>
  <c r="B226" i="38"/>
  <c r="B227" i="38"/>
  <c r="B228" i="38"/>
  <c r="B229" i="38"/>
  <c r="B230" i="38"/>
  <c r="B231" i="38"/>
  <c r="B232" i="38"/>
  <c r="B233" i="38"/>
  <c r="B234" i="38"/>
  <c r="B235" i="38"/>
  <c r="B236" i="38"/>
  <c r="B237" i="38"/>
  <c r="B238" i="38"/>
  <c r="B239" i="38"/>
  <c r="B240" i="38"/>
  <c r="B241" i="38"/>
  <c r="B242" i="38"/>
  <c r="B243" i="38"/>
  <c r="B244" i="38"/>
  <c r="B245" i="38"/>
  <c r="B246" i="38"/>
  <c r="AN124" i="18"/>
  <c r="AH124" i="18"/>
  <c r="AD124" i="18"/>
  <c r="Z124" i="18"/>
  <c r="V124" i="18"/>
  <c r="AN123" i="18"/>
  <c r="AM123" i="18"/>
  <c r="AF123" i="18"/>
  <c r="AB123" i="18"/>
  <c r="AA123" i="18"/>
  <c r="W123" i="18"/>
  <c r="Y123" i="18"/>
  <c r="AN122" i="18"/>
  <c r="AH122" i="18"/>
  <c r="AD122" i="18"/>
  <c r="Z122" i="18"/>
  <c r="V122" i="18"/>
  <c r="AN121" i="18"/>
  <c r="AM121" i="18"/>
  <c r="AF121" i="18"/>
  <c r="AG121" i="18"/>
  <c r="AN120" i="18"/>
  <c r="AH120" i="18"/>
  <c r="AD120" i="18"/>
  <c r="Z120" i="18"/>
  <c r="V120" i="18"/>
  <c r="AN119" i="18"/>
  <c r="AM119" i="18"/>
  <c r="AG119" i="18"/>
  <c r="AB119" i="18"/>
  <c r="AA119" i="18"/>
  <c r="X119" i="18"/>
  <c r="U119" i="18"/>
  <c r="AC119" i="18"/>
  <c r="B178" i="38"/>
  <c r="B179" i="38"/>
  <c r="B180" i="38"/>
  <c r="B177" i="38"/>
  <c r="B176" i="38"/>
  <c r="B129" i="38"/>
  <c r="B131" i="38"/>
  <c r="B132" i="38"/>
  <c r="B133" i="38"/>
  <c r="B134" i="38"/>
  <c r="B135" i="38"/>
  <c r="B136" i="38"/>
  <c r="B137" i="38"/>
  <c r="B138" i="38"/>
  <c r="B139" i="38"/>
  <c r="B140" i="38"/>
  <c r="B141" i="38"/>
  <c r="B142" i="38"/>
  <c r="B143" i="38"/>
  <c r="B144" i="38"/>
  <c r="B145" i="38"/>
  <c r="B146" i="38"/>
  <c r="B147" i="38"/>
  <c r="B148" i="38"/>
  <c r="B149" i="38"/>
  <c r="B150" i="38"/>
  <c r="B151" i="38"/>
  <c r="B152" i="38"/>
  <c r="B153" i="38"/>
  <c r="B154" i="38"/>
  <c r="B155" i="38"/>
  <c r="B156" i="38"/>
  <c r="B157" i="38"/>
  <c r="B158" i="38"/>
  <c r="B159" i="38"/>
  <c r="B160" i="38"/>
  <c r="B161" i="38"/>
  <c r="B162" i="38"/>
  <c r="B163" i="38"/>
  <c r="B164" i="38"/>
  <c r="B165" i="38"/>
  <c r="B166" i="38"/>
  <c r="B167" i="38"/>
  <c r="B168" i="38"/>
  <c r="B169" i="38"/>
  <c r="B170" i="38"/>
  <c r="B171" i="38"/>
  <c r="B172" i="38"/>
  <c r="B173" i="38"/>
  <c r="B174" i="38"/>
  <c r="B175" i="38"/>
  <c r="B130" i="38"/>
  <c r="B122" i="38"/>
  <c r="B123" i="38"/>
  <c r="B124" i="38"/>
  <c r="B125" i="38"/>
  <c r="B126" i="38"/>
  <c r="B127" i="38"/>
  <c r="B128" i="38"/>
  <c r="B47" i="38"/>
  <c r="B48" i="38"/>
  <c r="B49" i="38"/>
  <c r="B50" i="38"/>
  <c r="B51" i="38"/>
  <c r="B52" i="38"/>
  <c r="B53" i="38"/>
  <c r="B54" i="38"/>
  <c r="B55" i="38"/>
  <c r="B56" i="38"/>
  <c r="B57" i="38"/>
  <c r="B58" i="38"/>
  <c r="B59" i="38"/>
  <c r="B60" i="38"/>
  <c r="B61" i="38"/>
  <c r="B62" i="38"/>
  <c r="B63" i="38"/>
  <c r="B64" i="38"/>
  <c r="B65" i="38"/>
  <c r="B66" i="38"/>
  <c r="B67" i="38"/>
  <c r="B68" i="38"/>
  <c r="B69" i="38"/>
  <c r="B70" i="38"/>
  <c r="B71" i="38"/>
  <c r="B72" i="38"/>
  <c r="B73" i="38"/>
  <c r="B74" i="38"/>
  <c r="B75" i="38"/>
  <c r="B76" i="38"/>
  <c r="B77" i="38"/>
  <c r="B78" i="38"/>
  <c r="B79" i="38"/>
  <c r="B80" i="38"/>
  <c r="B81" i="38"/>
  <c r="B82" i="38"/>
  <c r="B83" i="38"/>
  <c r="B84" i="38"/>
  <c r="B85" i="38"/>
  <c r="B86" i="38"/>
  <c r="B87" i="38"/>
  <c r="B88" i="38"/>
  <c r="B89" i="38"/>
  <c r="B90" i="38"/>
  <c r="B91" i="38"/>
  <c r="B92" i="38"/>
  <c r="B93" i="38"/>
  <c r="B94" i="38"/>
  <c r="B95" i="38"/>
  <c r="B96" i="38"/>
  <c r="B97" i="38"/>
  <c r="B98" i="38"/>
  <c r="B99" i="38"/>
  <c r="B100" i="38"/>
  <c r="B101" i="38"/>
  <c r="B102" i="38"/>
  <c r="B103" i="38"/>
  <c r="B104" i="38"/>
  <c r="B105" i="38"/>
  <c r="B106" i="38"/>
  <c r="B107" i="38"/>
  <c r="B108" i="38"/>
  <c r="B109" i="38"/>
  <c r="B110" i="38"/>
  <c r="B111" i="38"/>
  <c r="B112" i="38"/>
  <c r="B113" i="38"/>
  <c r="B114" i="38"/>
  <c r="B115" i="38"/>
  <c r="B116" i="38"/>
  <c r="B117" i="38"/>
  <c r="B118" i="38"/>
  <c r="B119" i="38"/>
  <c r="B120" i="38"/>
  <c r="B121"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44" i="38"/>
  <c r="B45" i="38"/>
  <c r="B46" i="38"/>
  <c r="B9" i="38"/>
  <c r="AE139" i="24" l="1"/>
  <c r="AE115" i="24"/>
  <c r="AE127" i="24"/>
  <c r="AI143" i="24"/>
  <c r="W143" i="24"/>
  <c r="AA131" i="24"/>
  <c r="AA123" i="24"/>
  <c r="AE133" i="24"/>
  <c r="AI137" i="24"/>
  <c r="AE141" i="24"/>
  <c r="AA121" i="24"/>
  <c r="AE137" i="24"/>
  <c r="AI133" i="24"/>
  <c r="AA115" i="24"/>
  <c r="AA117" i="24"/>
  <c r="AE145" i="24"/>
  <c r="AA129" i="24"/>
  <c r="AE113" i="24"/>
  <c r="AI141" i="24"/>
  <c r="C61" i="38"/>
  <c r="D61" i="38"/>
  <c r="C305" i="38"/>
  <c r="D305" i="38"/>
  <c r="C457" i="38"/>
  <c r="C44" i="38"/>
  <c r="D44" i="38"/>
  <c r="C20" i="38"/>
  <c r="D20" i="38"/>
  <c r="C108" i="38"/>
  <c r="D108" i="38"/>
  <c r="C72" i="38"/>
  <c r="D72" i="38"/>
  <c r="C48" i="38"/>
  <c r="D48" i="38"/>
  <c r="C173" i="38"/>
  <c r="D173" i="38"/>
  <c r="C137" i="38"/>
  <c r="D137" i="38"/>
  <c r="C178" i="38"/>
  <c r="D178" i="38"/>
  <c r="C233" i="38"/>
  <c r="D233" i="38"/>
  <c r="C209" i="38"/>
  <c r="D209" i="38"/>
  <c r="C316" i="38"/>
  <c r="D316" i="38"/>
  <c r="C280" i="38"/>
  <c r="D280" i="38"/>
  <c r="C325" i="38"/>
  <c r="D325" i="38"/>
  <c r="C346" i="38"/>
  <c r="D346" i="38"/>
  <c r="C468" i="38"/>
  <c r="D468" i="38"/>
  <c r="C444" i="38"/>
  <c r="D444" i="38"/>
  <c r="C432" i="38"/>
  <c r="D432" i="38"/>
  <c r="C408" i="38"/>
  <c r="D408" i="38"/>
  <c r="C384" i="38"/>
  <c r="D384" i="38"/>
  <c r="C31" i="38"/>
  <c r="D31" i="38"/>
  <c r="C107" i="38"/>
  <c r="D107" i="38"/>
  <c r="C71" i="38"/>
  <c r="D71" i="38"/>
  <c r="C148" i="38"/>
  <c r="D148" i="38"/>
  <c r="C244" i="38"/>
  <c r="D244" i="38"/>
  <c r="C232" i="38"/>
  <c r="D232" i="38"/>
  <c r="C220" i="38"/>
  <c r="D220" i="38"/>
  <c r="C208" i="38"/>
  <c r="D208" i="38"/>
  <c r="C196" i="38"/>
  <c r="D196" i="38"/>
  <c r="C184" i="38"/>
  <c r="D184" i="38"/>
  <c r="D315" i="38"/>
  <c r="C303" i="38"/>
  <c r="D303" i="38"/>
  <c r="C291" i="38"/>
  <c r="D291" i="38"/>
  <c r="C279" i="38"/>
  <c r="D279" i="38"/>
  <c r="C267" i="38"/>
  <c r="D267" i="38"/>
  <c r="C255" i="38"/>
  <c r="D255" i="38"/>
  <c r="C324" i="38"/>
  <c r="D324" i="38"/>
  <c r="C369" i="38"/>
  <c r="D369" i="38"/>
  <c r="C357" i="38"/>
  <c r="D357" i="38"/>
  <c r="C345" i="38"/>
  <c r="D345" i="38"/>
  <c r="C333" i="38"/>
  <c r="D333" i="38"/>
  <c r="C491" i="38"/>
  <c r="D491" i="38"/>
  <c r="C479" i="38"/>
  <c r="D479" i="38"/>
  <c r="C467" i="38"/>
  <c r="D467" i="38"/>
  <c r="C455" i="38"/>
  <c r="C443" i="38"/>
  <c r="C431" i="38"/>
  <c r="C419" i="38"/>
  <c r="C407" i="38"/>
  <c r="C395" i="38"/>
  <c r="C383" i="38"/>
  <c r="C138" i="38"/>
  <c r="D138" i="38"/>
  <c r="C234" i="38"/>
  <c r="D234" i="38"/>
  <c r="C281" i="38"/>
  <c r="D281" i="38"/>
  <c r="C326" i="38"/>
  <c r="D326" i="38"/>
  <c r="C433" i="38"/>
  <c r="D433" i="38"/>
  <c r="C32" i="38"/>
  <c r="D32" i="38"/>
  <c r="C96" i="38"/>
  <c r="D96" i="38"/>
  <c r="C84" i="38"/>
  <c r="D84" i="38"/>
  <c r="C60" i="38"/>
  <c r="D60" i="38"/>
  <c r="C149" i="38"/>
  <c r="D149" i="38"/>
  <c r="C197" i="38"/>
  <c r="D197" i="38"/>
  <c r="C304" i="38"/>
  <c r="D304" i="38"/>
  <c r="C268" i="38"/>
  <c r="D268" i="38"/>
  <c r="C370" i="38"/>
  <c r="D370" i="38"/>
  <c r="C334" i="38"/>
  <c r="D334" i="38"/>
  <c r="C480" i="38"/>
  <c r="D480" i="38"/>
  <c r="C420" i="38"/>
  <c r="D420" i="38"/>
  <c r="C43" i="38"/>
  <c r="D43" i="38"/>
  <c r="C19" i="38"/>
  <c r="D19" i="38"/>
  <c r="C119" i="38"/>
  <c r="D119" i="38"/>
  <c r="C95" i="38"/>
  <c r="D95" i="38"/>
  <c r="C83" i="38"/>
  <c r="D83" i="38"/>
  <c r="C59" i="38"/>
  <c r="D59" i="38"/>
  <c r="C47" i="38"/>
  <c r="D47" i="38"/>
  <c r="C172" i="38"/>
  <c r="D172" i="38"/>
  <c r="C160" i="38"/>
  <c r="D160" i="38"/>
  <c r="C136" i="38"/>
  <c r="D136" i="38"/>
  <c r="C42" i="38"/>
  <c r="D42" i="38"/>
  <c r="C30" i="38"/>
  <c r="D30" i="38"/>
  <c r="C18" i="38"/>
  <c r="D18" i="38"/>
  <c r="C118" i="38"/>
  <c r="D118" i="38"/>
  <c r="C106" i="38"/>
  <c r="D106" i="38"/>
  <c r="C94" i="38"/>
  <c r="D94" i="38"/>
  <c r="C82" i="38"/>
  <c r="D82" i="38"/>
  <c r="C70" i="38"/>
  <c r="D70" i="38"/>
  <c r="C58" i="38"/>
  <c r="D58" i="38"/>
  <c r="C128" i="38"/>
  <c r="D128" i="38"/>
  <c r="C171" i="38"/>
  <c r="D171" i="38"/>
  <c r="C159" i="38"/>
  <c r="D159" i="38"/>
  <c r="C147" i="38"/>
  <c r="D147" i="38"/>
  <c r="C135" i="38"/>
  <c r="D135" i="38"/>
  <c r="C243" i="38"/>
  <c r="D243" i="38"/>
  <c r="C231" i="38"/>
  <c r="D231" i="38"/>
  <c r="C219" i="38"/>
  <c r="D219" i="38"/>
  <c r="C207" i="38"/>
  <c r="D207" i="38"/>
  <c r="C195" i="38"/>
  <c r="D195" i="38"/>
  <c r="C183" i="38"/>
  <c r="D183" i="38"/>
  <c r="C314" i="38"/>
  <c r="D314" i="38"/>
  <c r="C302" i="38"/>
  <c r="D302" i="38"/>
  <c r="C290" i="38"/>
  <c r="D290" i="38"/>
  <c r="C278" i="38"/>
  <c r="D278" i="38"/>
  <c r="C266" i="38"/>
  <c r="D266" i="38"/>
  <c r="C254" i="38"/>
  <c r="D254" i="38"/>
  <c r="D323" i="38"/>
  <c r="C368" i="38"/>
  <c r="D368" i="38"/>
  <c r="C356" i="38"/>
  <c r="D356" i="38"/>
  <c r="C344" i="38"/>
  <c r="D344" i="38"/>
  <c r="C332" i="38"/>
  <c r="D332" i="38"/>
  <c r="C490" i="38"/>
  <c r="D490" i="38"/>
  <c r="C478" i="38"/>
  <c r="D478" i="38"/>
  <c r="C466" i="38"/>
  <c r="D466" i="38"/>
  <c r="C454" i="38"/>
  <c r="D454" i="38"/>
  <c r="C442" i="38"/>
  <c r="D442" i="38"/>
  <c r="C430" i="38"/>
  <c r="D430" i="38"/>
  <c r="C418" i="38"/>
  <c r="D418" i="38"/>
  <c r="C406" i="38"/>
  <c r="D406" i="38"/>
  <c r="C394" i="38"/>
  <c r="D394" i="38"/>
  <c r="C382" i="38"/>
  <c r="D382" i="38"/>
  <c r="C49" i="38"/>
  <c r="D49" i="38"/>
  <c r="C186" i="38"/>
  <c r="D186" i="38"/>
  <c r="C347" i="38"/>
  <c r="D347" i="38"/>
  <c r="C385" i="38"/>
  <c r="C120" i="38"/>
  <c r="D120" i="38"/>
  <c r="C161" i="38"/>
  <c r="D161" i="38"/>
  <c r="C245" i="38"/>
  <c r="D245" i="38"/>
  <c r="C221" i="38"/>
  <c r="D221" i="38"/>
  <c r="C185" i="38"/>
  <c r="D185" i="38"/>
  <c r="C292" i="38"/>
  <c r="D292" i="38"/>
  <c r="C256" i="38"/>
  <c r="D256" i="38"/>
  <c r="C358" i="38"/>
  <c r="D358" i="38"/>
  <c r="C492" i="38"/>
  <c r="D492" i="38"/>
  <c r="C456" i="38"/>
  <c r="D456" i="38"/>
  <c r="C396" i="38"/>
  <c r="D396" i="38"/>
  <c r="C41" i="38"/>
  <c r="D41" i="38"/>
  <c r="C29" i="38"/>
  <c r="D29" i="38"/>
  <c r="C17" i="38"/>
  <c r="D17" i="38"/>
  <c r="C117" i="38"/>
  <c r="D117" i="38"/>
  <c r="C105" i="38"/>
  <c r="D105" i="38"/>
  <c r="C93" i="38"/>
  <c r="D93" i="38"/>
  <c r="C81" i="38"/>
  <c r="D81" i="38"/>
  <c r="C69" i="38"/>
  <c r="D69" i="38"/>
  <c r="C57" i="38"/>
  <c r="D57" i="38"/>
  <c r="C127" i="38"/>
  <c r="D127" i="38"/>
  <c r="C170" i="38"/>
  <c r="D170" i="38"/>
  <c r="C158" i="38"/>
  <c r="D158" i="38"/>
  <c r="C146" i="38"/>
  <c r="D146" i="38"/>
  <c r="C134" i="38"/>
  <c r="D134" i="38"/>
  <c r="C242" i="38"/>
  <c r="D242" i="38"/>
  <c r="C230" i="38"/>
  <c r="D230" i="38"/>
  <c r="C218" i="38"/>
  <c r="D218" i="38"/>
  <c r="C206" i="38"/>
  <c r="D206" i="38"/>
  <c r="C194" i="38"/>
  <c r="D194" i="38"/>
  <c r="C182" i="38"/>
  <c r="D182" i="38"/>
  <c r="C301" i="38"/>
  <c r="D301" i="38"/>
  <c r="C289" i="38"/>
  <c r="D289" i="38"/>
  <c r="C277" i="38"/>
  <c r="D277" i="38"/>
  <c r="C265" i="38"/>
  <c r="D265" i="38"/>
  <c r="C253" i="38"/>
  <c r="D253" i="38"/>
  <c r="C329" i="38"/>
  <c r="D329" i="38"/>
  <c r="C367" i="38"/>
  <c r="D367" i="38"/>
  <c r="C355" i="38"/>
  <c r="D355" i="38"/>
  <c r="C343" i="38"/>
  <c r="D343" i="38"/>
  <c r="C331" i="38"/>
  <c r="D331" i="38"/>
  <c r="C489" i="38"/>
  <c r="D489" i="38"/>
  <c r="C477" i="38"/>
  <c r="D477" i="38"/>
  <c r="C465" i="38"/>
  <c r="D465" i="38"/>
  <c r="C453" i="38"/>
  <c r="C441" i="38"/>
  <c r="C429" i="38"/>
  <c r="C417" i="38"/>
  <c r="C405" i="38"/>
  <c r="C393" i="38"/>
  <c r="C381" i="38"/>
  <c r="AI113" i="24"/>
  <c r="W119" i="24"/>
  <c r="W117" i="24"/>
  <c r="W121" i="24"/>
  <c r="W131" i="24"/>
  <c r="C21" i="38"/>
  <c r="D21" i="38"/>
  <c r="C85" i="38"/>
  <c r="D85" i="38"/>
  <c r="C150" i="38"/>
  <c r="D150" i="38"/>
  <c r="C210" i="38"/>
  <c r="D210" i="38"/>
  <c r="C293" i="38"/>
  <c r="D293" i="38"/>
  <c r="C371" i="38"/>
  <c r="D371" i="38"/>
  <c r="C16" i="38"/>
  <c r="D16" i="38"/>
  <c r="C80" i="38"/>
  <c r="D80" i="38"/>
  <c r="C126" i="38"/>
  <c r="D126" i="38"/>
  <c r="C157" i="38"/>
  <c r="D157" i="38"/>
  <c r="C193" i="38"/>
  <c r="D193" i="38"/>
  <c r="C300" i="38"/>
  <c r="D300" i="38"/>
  <c r="C252" i="38"/>
  <c r="D252" i="38"/>
  <c r="C452" i="38"/>
  <c r="D452" i="38"/>
  <c r="C15" i="38"/>
  <c r="D15" i="38"/>
  <c r="C132" i="38"/>
  <c r="D132" i="38"/>
  <c r="C109" i="38"/>
  <c r="D109" i="38"/>
  <c r="C73" i="38"/>
  <c r="D73" i="38"/>
  <c r="C179" i="38"/>
  <c r="D179" i="38"/>
  <c r="C359" i="38"/>
  <c r="D359" i="38"/>
  <c r="C469" i="38"/>
  <c r="D469" i="38"/>
  <c r="C421" i="38"/>
  <c r="C104" i="38"/>
  <c r="D104" i="38"/>
  <c r="C241" i="38"/>
  <c r="D241" i="38"/>
  <c r="C217" i="38"/>
  <c r="D217" i="38"/>
  <c r="C312" i="38"/>
  <c r="D312" i="38"/>
  <c r="C276" i="38"/>
  <c r="D276" i="38"/>
  <c r="C366" i="38"/>
  <c r="D366" i="38"/>
  <c r="C330" i="38"/>
  <c r="D330" i="38"/>
  <c r="C488" i="38"/>
  <c r="D488" i="38"/>
  <c r="C476" i="38"/>
  <c r="D476" i="38"/>
  <c r="C440" i="38"/>
  <c r="D440" i="38"/>
  <c r="C416" i="38"/>
  <c r="D416" i="38"/>
  <c r="C392" i="38"/>
  <c r="D392" i="38"/>
  <c r="C380" i="38"/>
  <c r="D380" i="38"/>
  <c r="C39" i="38"/>
  <c r="D39" i="38"/>
  <c r="C79" i="38"/>
  <c r="D79" i="38"/>
  <c r="C144" i="38"/>
  <c r="D144" i="38"/>
  <c r="C228" i="38"/>
  <c r="D228" i="38"/>
  <c r="C204" i="38"/>
  <c r="D204" i="38"/>
  <c r="C247" i="38"/>
  <c r="D247" i="38"/>
  <c r="C263" i="38"/>
  <c r="D263" i="38"/>
  <c r="D501" i="38"/>
  <c r="C475" i="38"/>
  <c r="D475" i="38"/>
  <c r="C439" i="38"/>
  <c r="C403" i="38"/>
  <c r="C498" i="38"/>
  <c r="D498" i="38"/>
  <c r="C26" i="38"/>
  <c r="D26" i="38"/>
  <c r="C90" i="38"/>
  <c r="D90" i="38"/>
  <c r="C54" i="38"/>
  <c r="D54" i="38"/>
  <c r="C124" i="38"/>
  <c r="D124" i="38"/>
  <c r="C167" i="38"/>
  <c r="D167" i="38"/>
  <c r="C155" i="38"/>
  <c r="D155" i="38"/>
  <c r="C143" i="38"/>
  <c r="D143" i="38"/>
  <c r="C131" i="38"/>
  <c r="D131" i="38"/>
  <c r="C239" i="38"/>
  <c r="D239" i="38"/>
  <c r="C227" i="38"/>
  <c r="D227" i="38"/>
  <c r="C215" i="38"/>
  <c r="D215" i="38"/>
  <c r="C203" i="38"/>
  <c r="D203" i="38"/>
  <c r="C191" i="38"/>
  <c r="D191" i="38"/>
  <c r="C322" i="38"/>
  <c r="D322" i="38"/>
  <c r="C310" i="38"/>
  <c r="D310" i="38"/>
  <c r="C298" i="38"/>
  <c r="D298" i="38"/>
  <c r="C286" i="38"/>
  <c r="D286" i="38"/>
  <c r="C274" i="38"/>
  <c r="D274" i="38"/>
  <c r="C262" i="38"/>
  <c r="D262" i="38"/>
  <c r="C250" i="38"/>
  <c r="D250" i="38"/>
  <c r="C376" i="38"/>
  <c r="D376" i="38"/>
  <c r="C364" i="38"/>
  <c r="D364" i="38"/>
  <c r="C352" i="38"/>
  <c r="D352" i="38"/>
  <c r="C340" i="38"/>
  <c r="D340" i="38"/>
  <c r="C379" i="38"/>
  <c r="C486" i="38"/>
  <c r="D486" i="38"/>
  <c r="C474" i="38"/>
  <c r="D474" i="38"/>
  <c r="C462" i="38"/>
  <c r="D462" i="38"/>
  <c r="C450" i="38"/>
  <c r="D450" i="38"/>
  <c r="C438" i="38"/>
  <c r="D438" i="38"/>
  <c r="C426" i="38"/>
  <c r="D426" i="38"/>
  <c r="C414" i="38"/>
  <c r="D414" i="38"/>
  <c r="C402" i="38"/>
  <c r="D402" i="38"/>
  <c r="C390" i="38"/>
  <c r="D390" i="38"/>
  <c r="W137" i="24"/>
  <c r="C499" i="38"/>
  <c r="D499" i="38"/>
  <c r="C33" i="38"/>
  <c r="D33" i="38"/>
  <c r="C97" i="38"/>
  <c r="D97" i="38"/>
  <c r="C162" i="38"/>
  <c r="D162" i="38"/>
  <c r="C246" i="38"/>
  <c r="D246" i="38"/>
  <c r="C198" i="38"/>
  <c r="D198" i="38"/>
  <c r="C269" i="38"/>
  <c r="D269" i="38"/>
  <c r="C335" i="38"/>
  <c r="D335" i="38"/>
  <c r="C493" i="38"/>
  <c r="D493" i="38"/>
  <c r="C445" i="38"/>
  <c r="C397" i="38"/>
  <c r="C116" i="38"/>
  <c r="D116" i="38"/>
  <c r="C68" i="38"/>
  <c r="D68" i="38"/>
  <c r="C169" i="38"/>
  <c r="D169" i="38"/>
  <c r="C145" i="38"/>
  <c r="D145" i="38"/>
  <c r="C229" i="38"/>
  <c r="D229" i="38"/>
  <c r="C181" i="38"/>
  <c r="D181" i="38"/>
  <c r="C264" i="38"/>
  <c r="D264" i="38"/>
  <c r="C378" i="38"/>
  <c r="D378" i="38"/>
  <c r="C342" i="38"/>
  <c r="D342" i="38"/>
  <c r="C464" i="38"/>
  <c r="D464" i="38"/>
  <c r="C404" i="38"/>
  <c r="D404" i="38"/>
  <c r="C103" i="38"/>
  <c r="D103" i="38"/>
  <c r="C55" i="38"/>
  <c r="D55" i="38"/>
  <c r="C125" i="38"/>
  <c r="D125" i="38"/>
  <c r="C156" i="38"/>
  <c r="D156" i="38"/>
  <c r="C240" i="38"/>
  <c r="D240" i="38"/>
  <c r="C216" i="38"/>
  <c r="D216" i="38"/>
  <c r="C192" i="38"/>
  <c r="D192" i="38"/>
  <c r="C311" i="38"/>
  <c r="D311" i="38"/>
  <c r="C299" i="38"/>
  <c r="D299" i="38"/>
  <c r="C275" i="38"/>
  <c r="D275" i="38"/>
  <c r="C251" i="38"/>
  <c r="D251" i="38"/>
  <c r="C377" i="38"/>
  <c r="D377" i="38"/>
  <c r="C365" i="38"/>
  <c r="D365" i="38"/>
  <c r="C341" i="38"/>
  <c r="D341" i="38"/>
  <c r="C487" i="38"/>
  <c r="D487" i="38"/>
  <c r="C463" i="38"/>
  <c r="D463" i="38"/>
  <c r="C451" i="38"/>
  <c r="C427" i="38"/>
  <c r="C415" i="38"/>
  <c r="C391" i="38"/>
  <c r="C38" i="38"/>
  <c r="D38" i="38"/>
  <c r="C14" i="38"/>
  <c r="D14" i="38"/>
  <c r="C114" i="38"/>
  <c r="D114" i="38"/>
  <c r="C102" i="38"/>
  <c r="D102" i="38"/>
  <c r="C78" i="38"/>
  <c r="D78" i="38"/>
  <c r="C66" i="38"/>
  <c r="D66" i="38"/>
  <c r="C37" i="38"/>
  <c r="D37" i="38"/>
  <c r="C25" i="38"/>
  <c r="D25" i="38"/>
  <c r="C13" i="38"/>
  <c r="D13" i="38"/>
  <c r="C113" i="38"/>
  <c r="D113" i="38"/>
  <c r="C101" i="38"/>
  <c r="D101" i="38"/>
  <c r="C89" i="38"/>
  <c r="D89" i="38"/>
  <c r="C77" i="38"/>
  <c r="D77" i="38"/>
  <c r="C65" i="38"/>
  <c r="D65" i="38"/>
  <c r="C53" i="38"/>
  <c r="D53" i="38"/>
  <c r="C123" i="38"/>
  <c r="D123" i="38"/>
  <c r="C166" i="38"/>
  <c r="D166" i="38"/>
  <c r="C154" i="38"/>
  <c r="D154" i="38"/>
  <c r="C142" i="38"/>
  <c r="D142" i="38"/>
  <c r="C129" i="38"/>
  <c r="D129" i="38"/>
  <c r="C238" i="38"/>
  <c r="D238" i="38"/>
  <c r="C226" i="38"/>
  <c r="D226" i="38"/>
  <c r="C214" i="38"/>
  <c r="D214" i="38"/>
  <c r="C202" i="38"/>
  <c r="D202" i="38"/>
  <c r="C190" i="38"/>
  <c r="D190" i="38"/>
  <c r="D321" i="38"/>
  <c r="C297" i="38"/>
  <c r="D297" i="38"/>
  <c r="C285" i="38"/>
  <c r="D285" i="38"/>
  <c r="C273" i="38"/>
  <c r="D273" i="38"/>
  <c r="C261" i="38"/>
  <c r="D261" i="38"/>
  <c r="C249" i="38"/>
  <c r="D249" i="38"/>
  <c r="C375" i="38"/>
  <c r="D375" i="38"/>
  <c r="C363" i="38"/>
  <c r="D363" i="38"/>
  <c r="C351" i="38"/>
  <c r="D351" i="38"/>
  <c r="C339" i="38"/>
  <c r="D339" i="38"/>
  <c r="C497" i="38"/>
  <c r="D497" i="38"/>
  <c r="C485" i="38"/>
  <c r="D485" i="38"/>
  <c r="C473" i="38"/>
  <c r="D473" i="38"/>
  <c r="C461" i="38"/>
  <c r="D461" i="38"/>
  <c r="C449" i="38"/>
  <c r="C437" i="38"/>
  <c r="C425" i="38"/>
  <c r="C413" i="38"/>
  <c r="C401" i="38"/>
  <c r="C389" i="38"/>
  <c r="D317" i="38"/>
  <c r="C287" i="38"/>
  <c r="D287" i="38"/>
  <c r="C353" i="38"/>
  <c r="D353" i="38"/>
  <c r="C165" i="38"/>
  <c r="D165" i="38"/>
  <c r="C237" i="38"/>
  <c r="D237" i="38"/>
  <c r="C225" i="38"/>
  <c r="D225" i="38"/>
  <c r="C213" i="38"/>
  <c r="D213" i="38"/>
  <c r="C201" i="38"/>
  <c r="D201" i="38"/>
  <c r="C189" i="38"/>
  <c r="D189" i="38"/>
  <c r="C320" i="38"/>
  <c r="D320" i="38"/>
  <c r="C308" i="38"/>
  <c r="D308" i="38"/>
  <c r="C296" i="38"/>
  <c r="D296" i="38"/>
  <c r="C284" i="38"/>
  <c r="D284" i="38"/>
  <c r="C272" i="38"/>
  <c r="D272" i="38"/>
  <c r="C260" i="38"/>
  <c r="D260" i="38"/>
  <c r="C248" i="38"/>
  <c r="D248" i="38"/>
  <c r="C374" i="38"/>
  <c r="D374" i="38"/>
  <c r="C362" i="38"/>
  <c r="D362" i="38"/>
  <c r="C350" i="38"/>
  <c r="D350" i="38"/>
  <c r="C338" i="38"/>
  <c r="D338" i="38"/>
  <c r="C496" i="38"/>
  <c r="D496" i="38"/>
  <c r="C484" i="38"/>
  <c r="D484" i="38"/>
  <c r="C472" i="38"/>
  <c r="D472" i="38"/>
  <c r="C460" i="38"/>
  <c r="D460" i="38"/>
  <c r="C448" i="38"/>
  <c r="D448" i="38"/>
  <c r="C436" i="38"/>
  <c r="D436" i="38"/>
  <c r="C424" i="38"/>
  <c r="D424" i="38"/>
  <c r="C412" i="38"/>
  <c r="D412" i="38"/>
  <c r="C400" i="38"/>
  <c r="D400" i="38"/>
  <c r="C388" i="38"/>
  <c r="D388" i="38"/>
  <c r="C45" i="38"/>
  <c r="D45" i="38"/>
  <c r="C121" i="38"/>
  <c r="D121" i="38"/>
  <c r="C174" i="38"/>
  <c r="D174" i="38"/>
  <c r="C222" i="38"/>
  <c r="D222" i="38"/>
  <c r="C257" i="38"/>
  <c r="D257" i="38"/>
  <c r="C481" i="38"/>
  <c r="D481" i="38"/>
  <c r="C40" i="38"/>
  <c r="D40" i="38"/>
  <c r="C28" i="38"/>
  <c r="D28" i="38"/>
  <c r="C92" i="38"/>
  <c r="D92" i="38"/>
  <c r="C56" i="38"/>
  <c r="D56" i="38"/>
  <c r="C133" i="38"/>
  <c r="D133" i="38"/>
  <c r="C205" i="38"/>
  <c r="D205" i="38"/>
  <c r="C288" i="38"/>
  <c r="D288" i="38"/>
  <c r="C354" i="38"/>
  <c r="D354" i="38"/>
  <c r="C428" i="38"/>
  <c r="D428" i="38"/>
  <c r="C27" i="38"/>
  <c r="D27" i="38"/>
  <c r="C115" i="38"/>
  <c r="D115" i="38"/>
  <c r="C91" i="38"/>
  <c r="D91" i="38"/>
  <c r="C67" i="38"/>
  <c r="D67" i="38"/>
  <c r="C168" i="38"/>
  <c r="D168" i="38"/>
  <c r="C36" i="38"/>
  <c r="D36" i="38"/>
  <c r="C24" i="38"/>
  <c r="D24" i="38"/>
  <c r="C12" i="38"/>
  <c r="D12" i="38"/>
  <c r="C112" i="38"/>
  <c r="D112" i="38"/>
  <c r="C100" i="38"/>
  <c r="D100" i="38"/>
  <c r="C88" i="38"/>
  <c r="D88" i="38"/>
  <c r="C76" i="38"/>
  <c r="D76" i="38"/>
  <c r="C64" i="38"/>
  <c r="D64" i="38"/>
  <c r="C52" i="38"/>
  <c r="D52" i="38"/>
  <c r="C122" i="38"/>
  <c r="D122" i="38"/>
  <c r="C153" i="38"/>
  <c r="D153" i="38"/>
  <c r="C141" i="38"/>
  <c r="D141" i="38"/>
  <c r="C176" i="38"/>
  <c r="D176" i="38"/>
  <c r="C35" i="38"/>
  <c r="D35" i="38"/>
  <c r="C23" i="38"/>
  <c r="D23" i="38"/>
  <c r="C11" i="38"/>
  <c r="D11" i="38"/>
  <c r="C111" i="38"/>
  <c r="D111" i="38"/>
  <c r="C99" i="38"/>
  <c r="D99" i="38"/>
  <c r="C87" i="38"/>
  <c r="D87" i="38"/>
  <c r="C75" i="38"/>
  <c r="D75" i="38"/>
  <c r="C63" i="38"/>
  <c r="D63" i="38"/>
  <c r="C51" i="38"/>
  <c r="D51" i="38"/>
  <c r="C130" i="38"/>
  <c r="D130" i="38"/>
  <c r="C164" i="38"/>
  <c r="D164" i="38"/>
  <c r="C152" i="38"/>
  <c r="D152" i="38"/>
  <c r="C140" i="38"/>
  <c r="D140" i="38"/>
  <c r="C177" i="38"/>
  <c r="D177" i="38"/>
  <c r="C236" i="38"/>
  <c r="D236" i="38"/>
  <c r="C224" i="38"/>
  <c r="D224" i="38"/>
  <c r="C212" i="38"/>
  <c r="D212" i="38"/>
  <c r="C200" i="38"/>
  <c r="D200" i="38"/>
  <c r="C188" i="38"/>
  <c r="D188" i="38"/>
  <c r="D319" i="38"/>
  <c r="C307" i="38"/>
  <c r="D307" i="38"/>
  <c r="C295" i="38"/>
  <c r="D295" i="38"/>
  <c r="C283" i="38"/>
  <c r="D283" i="38"/>
  <c r="C271" i="38"/>
  <c r="D271" i="38"/>
  <c r="C259" i="38"/>
  <c r="D259" i="38"/>
  <c r="C328" i="38"/>
  <c r="D328" i="38"/>
  <c r="C373" i="38"/>
  <c r="D373" i="38"/>
  <c r="C361" i="38"/>
  <c r="D361" i="38"/>
  <c r="C349" i="38"/>
  <c r="D349" i="38"/>
  <c r="C337" i="38"/>
  <c r="D337" i="38"/>
  <c r="C495" i="38"/>
  <c r="D495" i="38"/>
  <c r="C483" i="38"/>
  <c r="D483" i="38"/>
  <c r="C471" i="38"/>
  <c r="D471" i="38"/>
  <c r="C459" i="38"/>
  <c r="C447" i="38"/>
  <c r="C435" i="38"/>
  <c r="C423" i="38"/>
  <c r="C411" i="38"/>
  <c r="C399" i="38"/>
  <c r="C387" i="38"/>
  <c r="C409" i="38"/>
  <c r="D409" i="38"/>
  <c r="C46" i="38"/>
  <c r="D46" i="38"/>
  <c r="C34" i="38"/>
  <c r="D34" i="38"/>
  <c r="C22" i="38"/>
  <c r="D22" i="38"/>
  <c r="C10" i="38"/>
  <c r="D10" i="38"/>
  <c r="C110" i="38"/>
  <c r="D110" i="38"/>
  <c r="C98" i="38"/>
  <c r="D98" i="38"/>
  <c r="C86" i="38"/>
  <c r="D86" i="38"/>
  <c r="C74" i="38"/>
  <c r="D74" i="38"/>
  <c r="C62" i="38"/>
  <c r="D62" i="38"/>
  <c r="C50" i="38"/>
  <c r="D50" i="38"/>
  <c r="C175" i="38"/>
  <c r="D175" i="38"/>
  <c r="C163" i="38"/>
  <c r="D163" i="38"/>
  <c r="C151" i="38"/>
  <c r="D151" i="38"/>
  <c r="C139" i="38"/>
  <c r="D139" i="38"/>
  <c r="C180" i="38"/>
  <c r="D180" i="38"/>
  <c r="C235" i="38"/>
  <c r="D235" i="38"/>
  <c r="C223" i="38"/>
  <c r="D223" i="38"/>
  <c r="C211" i="38"/>
  <c r="D211" i="38"/>
  <c r="C199" i="38"/>
  <c r="D199" i="38"/>
  <c r="C187" i="38"/>
  <c r="D187" i="38"/>
  <c r="C318" i="38"/>
  <c r="D318" i="38"/>
  <c r="C306" i="38"/>
  <c r="D306" i="38"/>
  <c r="C294" i="38"/>
  <c r="D294" i="38"/>
  <c r="C282" i="38"/>
  <c r="D282" i="38"/>
  <c r="C270" i="38"/>
  <c r="D270" i="38"/>
  <c r="C258" i="38"/>
  <c r="D258" i="38"/>
  <c r="C327" i="38"/>
  <c r="D327" i="38"/>
  <c r="C372" i="38"/>
  <c r="D372" i="38"/>
  <c r="C360" i="38"/>
  <c r="D360" i="38"/>
  <c r="C348" i="38"/>
  <c r="D348" i="38"/>
  <c r="C336" i="38"/>
  <c r="D336" i="38"/>
  <c r="C494" i="38"/>
  <c r="D494" i="38"/>
  <c r="C482" i="38"/>
  <c r="D482" i="38"/>
  <c r="C470" i="38"/>
  <c r="D470" i="38"/>
  <c r="C458" i="38"/>
  <c r="D458" i="38"/>
  <c r="C446" i="38"/>
  <c r="D446" i="38"/>
  <c r="C434" i="38"/>
  <c r="D434" i="38"/>
  <c r="C422" i="38"/>
  <c r="D422" i="38"/>
  <c r="C410" i="38"/>
  <c r="D410" i="38"/>
  <c r="C398" i="38"/>
  <c r="D398" i="38"/>
  <c r="C386" i="38"/>
  <c r="D386" i="38"/>
  <c r="C9" i="38"/>
  <c r="D9" i="38"/>
  <c r="C501" i="38"/>
  <c r="AI121" i="24"/>
  <c r="AI131" i="24"/>
  <c r="AI129" i="24"/>
  <c r="W141" i="24"/>
  <c r="AJ145" i="24"/>
  <c r="W113" i="24"/>
  <c r="AI119" i="24"/>
  <c r="AA113" i="24"/>
  <c r="AE117" i="24"/>
  <c r="AE121" i="24"/>
  <c r="AE131" i="24"/>
  <c r="AI117" i="24"/>
  <c r="AA133" i="24"/>
  <c r="AA135" i="24"/>
  <c r="AA141" i="24"/>
  <c r="AJ121" i="24"/>
  <c r="AJ129" i="24"/>
  <c r="W145" i="24"/>
  <c r="AE119" i="24"/>
  <c r="AA143" i="24"/>
  <c r="AJ141" i="24"/>
  <c r="AJ137" i="24"/>
  <c r="AJ133" i="24"/>
  <c r="W127" i="24"/>
  <c r="W135" i="24"/>
  <c r="AE135" i="24"/>
  <c r="AE123" i="24"/>
  <c r="AE143" i="24"/>
  <c r="AA137" i="24"/>
  <c r="AE129" i="24"/>
  <c r="W115" i="24"/>
  <c r="AI115" i="24"/>
  <c r="AI124" i="18"/>
  <c r="AA139" i="24"/>
  <c r="W133" i="24"/>
  <c r="AI127" i="24"/>
  <c r="W123" i="24"/>
  <c r="AJ119" i="24"/>
  <c r="AI139" i="24"/>
  <c r="AI145" i="24"/>
  <c r="AA145" i="24"/>
  <c r="W129" i="24"/>
  <c r="AJ117" i="24"/>
  <c r="AJ113" i="24"/>
  <c r="AA127" i="24"/>
  <c r="AI123" i="24"/>
  <c r="AJ139" i="24"/>
  <c r="AJ135" i="24"/>
  <c r="AI135" i="24"/>
  <c r="AJ131" i="24"/>
  <c r="AJ143" i="24"/>
  <c r="AJ123" i="24"/>
  <c r="AJ127" i="24"/>
  <c r="AJ115" i="24"/>
  <c r="W139" i="24"/>
  <c r="AA119" i="24"/>
  <c r="AE119" i="18"/>
  <c r="AF119" i="18"/>
  <c r="S121" i="18"/>
  <c r="AI122" i="18"/>
  <c r="W121" i="18"/>
  <c r="X121" i="18"/>
  <c r="Y121" i="18"/>
  <c r="T121" i="18"/>
  <c r="AD119" i="18"/>
  <c r="S119" i="18"/>
  <c r="AB121" i="18"/>
  <c r="T119" i="18"/>
  <c r="AI120" i="18"/>
  <c r="AE121" i="18"/>
  <c r="AH121" i="18" s="1"/>
  <c r="T123" i="18"/>
  <c r="AC123" i="18"/>
  <c r="AD123" i="18" s="1"/>
  <c r="W119" i="18"/>
  <c r="AA121" i="18"/>
  <c r="S123" i="18"/>
  <c r="AE123" i="18"/>
  <c r="Y119" i="18"/>
  <c r="AC121" i="18"/>
  <c r="U123" i="18"/>
  <c r="AG123" i="18"/>
  <c r="X123" i="18"/>
  <c r="Z123" i="18" s="1"/>
  <c r="U121" i="18"/>
  <c r="K6" i="38" l="1"/>
  <c r="H4" i="38"/>
  <c r="N3" i="38"/>
  <c r="N4" i="38"/>
  <c r="H3" i="38"/>
  <c r="H6" i="38"/>
  <c r="K2" i="38"/>
  <c r="N2" i="38"/>
  <c r="N6" i="38"/>
  <c r="K3" i="38"/>
  <c r="K4" i="38"/>
  <c r="H2" i="38"/>
  <c r="AD121" i="18"/>
  <c r="Z119" i="18"/>
  <c r="V123" i="18"/>
  <c r="AH123" i="18"/>
  <c r="V119" i="18"/>
  <c r="Z121" i="18"/>
  <c r="V121" i="18"/>
  <c r="AH119" i="18"/>
  <c r="AI123" i="18" l="1"/>
  <c r="AI119" i="18"/>
  <c r="AI121" i="18"/>
  <c r="AP118" i="18" a="1"/>
  <c r="AP117" i="18" a="1"/>
  <c r="R80" i="20" l="1"/>
  <c r="AC14" i="20" s="1"/>
  <c r="R79" i="20"/>
  <c r="AB14" i="20" s="1"/>
  <c r="K157" i="2"/>
  <c r="V62" i="20" l="1"/>
  <c r="R59" i="17" l="1"/>
  <c r="L38" i="2"/>
  <c r="K155" i="2" l="1"/>
  <c r="F390" i="2" l="1"/>
  <c r="E390" i="2"/>
  <c r="I160" i="18"/>
  <c r="I159" i="18"/>
  <c r="I158" i="18"/>
  <c r="J155" i="18"/>
  <c r="J154" i="18"/>
  <c r="J153" i="18"/>
  <c r="J152" i="18"/>
  <c r="K155" i="18"/>
  <c r="M155" i="18" s="1"/>
  <c r="J160" i="18"/>
  <c r="I166" i="19"/>
  <c r="I165" i="19"/>
  <c r="I164" i="19"/>
  <c r="J161" i="19"/>
  <c r="J160" i="19"/>
  <c r="J159" i="19"/>
  <c r="J158" i="19"/>
  <c r="E132" i="19"/>
  <c r="F132" i="19"/>
  <c r="E133" i="19"/>
  <c r="F133" i="19"/>
  <c r="E135" i="19"/>
  <c r="F135" i="19"/>
  <c r="E136" i="19"/>
  <c r="F136" i="19"/>
  <c r="E137" i="19"/>
  <c r="F137" i="19"/>
  <c r="F138" i="19"/>
  <c r="E139" i="19"/>
  <c r="F140" i="19"/>
  <c r="E142" i="19"/>
  <c r="F142" i="19"/>
  <c r="K161" i="19"/>
  <c r="E144" i="19"/>
  <c r="F144" i="19"/>
  <c r="F145" i="19"/>
  <c r="E146" i="19"/>
  <c r="F146" i="19"/>
  <c r="E147" i="19"/>
  <c r="F147" i="19"/>
  <c r="E148" i="19"/>
  <c r="F148" i="19"/>
  <c r="E149" i="19"/>
  <c r="F149" i="19"/>
  <c r="E150" i="19"/>
  <c r="F150" i="19"/>
  <c r="E151" i="19"/>
  <c r="F151" i="19"/>
  <c r="E152" i="19"/>
  <c r="F152" i="19"/>
  <c r="E153" i="19"/>
  <c r="F153" i="19"/>
  <c r="E154" i="19"/>
  <c r="F154" i="19"/>
  <c r="F155" i="19"/>
  <c r="E156" i="19"/>
  <c r="F156" i="19"/>
  <c r="E157" i="19"/>
  <c r="F157" i="19"/>
  <c r="E158" i="19"/>
  <c r="K166" i="19" s="1"/>
  <c r="F158" i="19"/>
  <c r="F402" i="19"/>
  <c r="E402" i="19"/>
  <c r="I152" i="17"/>
  <c r="I151" i="17"/>
  <c r="I150" i="17"/>
  <c r="J147" i="17"/>
  <c r="J146" i="17"/>
  <c r="J145" i="17"/>
  <c r="J144" i="17"/>
  <c r="E144" i="17"/>
  <c r="J152" i="17" s="1"/>
  <c r="E142" i="17"/>
  <c r="E141" i="17"/>
  <c r="E140" i="17"/>
  <c r="E138" i="17"/>
  <c r="E136" i="17"/>
  <c r="E135" i="17"/>
  <c r="E134" i="17"/>
  <c r="E133" i="17"/>
  <c r="E130" i="17"/>
  <c r="K147" i="17"/>
  <c r="M147" i="17" s="1"/>
  <c r="E129" i="17"/>
  <c r="E119" i="17"/>
  <c r="E118" i="17"/>
  <c r="E117" i="17"/>
  <c r="F400" i="17"/>
  <c r="E400" i="17"/>
  <c r="I140" i="20"/>
  <c r="I139" i="20"/>
  <c r="I138" i="20"/>
  <c r="J135" i="20"/>
  <c r="J134" i="20"/>
  <c r="J133" i="20"/>
  <c r="J132" i="20"/>
  <c r="F132" i="20"/>
  <c r="E132" i="20"/>
  <c r="J140" i="20" s="1"/>
  <c r="F131" i="20"/>
  <c r="E131" i="20"/>
  <c r="F130" i="20"/>
  <c r="F129" i="20"/>
  <c r="F128" i="20"/>
  <c r="E128" i="20"/>
  <c r="F127" i="20"/>
  <c r="E127" i="20"/>
  <c r="F126" i="20"/>
  <c r="E126" i="20"/>
  <c r="F125" i="20"/>
  <c r="E125" i="20"/>
  <c r="F124" i="20"/>
  <c r="E124" i="20"/>
  <c r="F123" i="20"/>
  <c r="F122" i="20"/>
  <c r="E122" i="20"/>
  <c r="F121" i="20"/>
  <c r="E121" i="20"/>
  <c r="F120" i="20"/>
  <c r="E120" i="20"/>
  <c r="F119" i="20"/>
  <c r="E119" i="20"/>
  <c r="F118" i="20"/>
  <c r="E118" i="20"/>
  <c r="K135" i="20"/>
  <c r="M135" i="20" s="1"/>
  <c r="E115" i="20"/>
  <c r="E114" i="20"/>
  <c r="E113" i="20"/>
  <c r="E111" i="20"/>
  <c r="E110" i="20"/>
  <c r="E107" i="20"/>
  <c r="E106" i="20"/>
  <c r="F390" i="20"/>
  <c r="E390" i="20"/>
  <c r="I227" i="2"/>
  <c r="I226" i="2"/>
  <c r="I225" i="2"/>
  <c r="J220" i="2"/>
  <c r="J221" i="2"/>
  <c r="J222" i="2"/>
  <c r="J21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179" i="2"/>
  <c r="E191" i="2"/>
  <c r="E192" i="2"/>
  <c r="E193" i="2"/>
  <c r="E194" i="2"/>
  <c r="E195" i="2"/>
  <c r="E196" i="2"/>
  <c r="E197" i="2"/>
  <c r="E198" i="2"/>
  <c r="E199" i="2"/>
  <c r="E200" i="2"/>
  <c r="E201" i="2"/>
  <c r="E202" i="2"/>
  <c r="E203" i="2"/>
  <c r="E204" i="2"/>
  <c r="E205" i="2"/>
  <c r="E206" i="2"/>
  <c r="J227" i="2" s="1"/>
  <c r="E180" i="2"/>
  <c r="E181" i="2"/>
  <c r="E182" i="2"/>
  <c r="E183" i="2"/>
  <c r="E184" i="2"/>
  <c r="E185" i="2"/>
  <c r="E186" i="2"/>
  <c r="E187" i="2"/>
  <c r="E188" i="2"/>
  <c r="E189" i="2"/>
  <c r="E179" i="2"/>
  <c r="I71" i="2"/>
  <c r="M161" i="19" l="1"/>
  <c r="L164" i="19"/>
  <c r="J158" i="18"/>
  <c r="O158" i="18" s="1"/>
  <c r="L158" i="18"/>
  <c r="K225" i="2"/>
  <c r="E133" i="20"/>
  <c r="K10" i="20" s="1"/>
  <c r="K158" i="18"/>
  <c r="B51" i="34"/>
  <c r="C51" i="34" s="1"/>
  <c r="B61" i="34"/>
  <c r="C61" i="34" s="1"/>
  <c r="I61" i="34" s="1"/>
  <c r="B56" i="34"/>
  <c r="C56" i="34" s="1"/>
  <c r="B60" i="34"/>
  <c r="C60" i="34" s="1"/>
  <c r="I60" i="34" s="1"/>
  <c r="B53" i="34"/>
  <c r="C53" i="34" s="1"/>
  <c r="B55" i="34"/>
  <c r="C55" i="34" s="1"/>
  <c r="B50" i="34"/>
  <c r="C50" i="34" s="1"/>
  <c r="B63" i="34"/>
  <c r="C63" i="34" s="1"/>
  <c r="I63" i="34" s="1"/>
  <c r="B57" i="34"/>
  <c r="C57" i="34" s="1"/>
  <c r="B54" i="34"/>
  <c r="C54" i="34" s="1"/>
  <c r="B49" i="34"/>
  <c r="C49" i="34" s="1"/>
  <c r="B62" i="34"/>
  <c r="C62" i="34" s="1"/>
  <c r="I62" i="34" s="1"/>
  <c r="B59" i="34"/>
  <c r="C59" i="34" s="1"/>
  <c r="I59" i="34" s="1"/>
  <c r="B52" i="34"/>
  <c r="C52" i="34" s="1"/>
  <c r="B58" i="34"/>
  <c r="C58" i="34" s="1"/>
  <c r="B45" i="34"/>
  <c r="C45" i="34" s="1"/>
  <c r="B44" i="34"/>
  <c r="C44" i="34" s="1"/>
  <c r="B46" i="34"/>
  <c r="C46" i="34" s="1"/>
  <c r="B43" i="34"/>
  <c r="C43" i="34" s="1"/>
  <c r="B34" i="34"/>
  <c r="C34" i="34" s="1"/>
  <c r="B42" i="34"/>
  <c r="C42" i="34" s="1"/>
  <c r="B41" i="34"/>
  <c r="C41" i="34" s="1"/>
  <c r="B39" i="34"/>
  <c r="C39" i="34" s="1"/>
  <c r="B40" i="34"/>
  <c r="C40" i="34" s="1"/>
  <c r="B38" i="34"/>
  <c r="C38" i="34" s="1"/>
  <c r="B36" i="34"/>
  <c r="C36" i="34" s="1"/>
  <c r="B47" i="34"/>
  <c r="C47" i="34" s="1"/>
  <c r="B37" i="34"/>
  <c r="C37" i="34" s="1"/>
  <c r="B35" i="34"/>
  <c r="C35" i="34" s="1"/>
  <c r="B48" i="34"/>
  <c r="C48" i="34" s="1"/>
  <c r="O160" i="18"/>
  <c r="O152" i="17"/>
  <c r="K134" i="20"/>
  <c r="M134" i="20" s="1"/>
  <c r="K139" i="20"/>
  <c r="I161" i="18"/>
  <c r="I135" i="20"/>
  <c r="L135" i="20" s="1"/>
  <c r="I161" i="19"/>
  <c r="L161" i="19" s="1"/>
  <c r="K140" i="20"/>
  <c r="M165" i="19"/>
  <c r="K133" i="20"/>
  <c r="M133" i="20" s="1"/>
  <c r="M164" i="19"/>
  <c r="L166" i="19"/>
  <c r="J166" i="19"/>
  <c r="O166" i="19" s="1"/>
  <c r="K154" i="18"/>
  <c r="M154" i="18" s="1"/>
  <c r="O226" i="2"/>
  <c r="K158" i="19"/>
  <c r="M158" i="19" s="1"/>
  <c r="K227" i="2"/>
  <c r="I160" i="19"/>
  <c r="L160" i="19" s="1"/>
  <c r="N160" i="18"/>
  <c r="L165" i="19"/>
  <c r="J164" i="19"/>
  <c r="O164" i="19" s="1"/>
  <c r="K226" i="2"/>
  <c r="O227" i="2"/>
  <c r="K165" i="19"/>
  <c r="I153" i="18"/>
  <c r="L153" i="18" s="1"/>
  <c r="N226" i="2"/>
  <c r="K160" i="19"/>
  <c r="M160" i="19" s="1"/>
  <c r="M166" i="19"/>
  <c r="J159" i="18"/>
  <c r="O159" i="18" s="1"/>
  <c r="K138" i="20"/>
  <c r="K153" i="18"/>
  <c r="M153" i="18" s="1"/>
  <c r="M227" i="2"/>
  <c r="N225" i="2"/>
  <c r="K219" i="2"/>
  <c r="N227" i="2"/>
  <c r="L225" i="2"/>
  <c r="I132" i="20"/>
  <c r="L132" i="20" s="1"/>
  <c r="N164" i="19"/>
  <c r="K159" i="18"/>
  <c r="L226" i="2"/>
  <c r="J138" i="20"/>
  <c r="J165" i="19"/>
  <c r="O165" i="19" s="1"/>
  <c r="N165" i="19"/>
  <c r="I155" i="18"/>
  <c r="L155" i="18" s="1"/>
  <c r="L227" i="2"/>
  <c r="J139" i="20"/>
  <c r="N166" i="19"/>
  <c r="F155" i="18"/>
  <c r="L10" i="18" s="1"/>
  <c r="K159" i="19"/>
  <c r="M159" i="19" s="1"/>
  <c r="F207" i="2"/>
  <c r="L10" i="2" s="1"/>
  <c r="M225" i="2"/>
  <c r="I158" i="19"/>
  <c r="L158" i="19" s="1"/>
  <c r="K164" i="19"/>
  <c r="N159" i="18"/>
  <c r="M226" i="2"/>
  <c r="I159" i="19"/>
  <c r="L159" i="19" s="1"/>
  <c r="I152" i="18"/>
  <c r="L152" i="18" s="1"/>
  <c r="F133" i="20"/>
  <c r="L10" i="20" s="1"/>
  <c r="K132" i="20"/>
  <c r="M132" i="20" s="1"/>
  <c r="J225" i="2"/>
  <c r="O225" i="2"/>
  <c r="N138" i="20"/>
  <c r="K152" i="18"/>
  <c r="M152" i="18" s="1"/>
  <c r="J226" i="2"/>
  <c r="I133" i="20"/>
  <c r="L133" i="20" s="1"/>
  <c r="N139" i="20"/>
  <c r="K160" i="18"/>
  <c r="I134" i="20"/>
  <c r="L134" i="20" s="1"/>
  <c r="N140" i="20"/>
  <c r="N158" i="18"/>
  <c r="I154" i="18"/>
  <c r="L154" i="18" s="1"/>
  <c r="E155" i="18"/>
  <c r="K10" i="18" s="1"/>
  <c r="I167" i="19"/>
  <c r="E159" i="19"/>
  <c r="K10" i="19" s="1"/>
  <c r="F159" i="19"/>
  <c r="L10" i="19" s="1"/>
  <c r="K152" i="17"/>
  <c r="K144" i="17"/>
  <c r="M144" i="17" s="1"/>
  <c r="K146" i="17"/>
  <c r="M146" i="17" s="1"/>
  <c r="N151" i="17"/>
  <c r="N152" i="17"/>
  <c r="N150" i="17"/>
  <c r="M152" i="17"/>
  <c r="I144" i="17"/>
  <c r="L144" i="17" s="1"/>
  <c r="J151" i="17"/>
  <c r="O151" i="17" s="1"/>
  <c r="L150" i="17"/>
  <c r="L152" i="17"/>
  <c r="K151" i="17"/>
  <c r="K145" i="17"/>
  <c r="M145" i="17" s="1"/>
  <c r="F145" i="17"/>
  <c r="L10" i="17" s="1"/>
  <c r="J150" i="17"/>
  <c r="O150" i="17" s="1"/>
  <c r="E145" i="17"/>
  <c r="K10" i="17" s="1"/>
  <c r="I145" i="17"/>
  <c r="L145" i="17" s="1"/>
  <c r="K150" i="17"/>
  <c r="I146" i="17"/>
  <c r="L146" i="17" s="1"/>
  <c r="L151" i="17"/>
  <c r="I147" i="17"/>
  <c r="L147" i="17" s="1"/>
  <c r="M151" i="17"/>
  <c r="M150" i="17"/>
  <c r="I153" i="17"/>
  <c r="I141" i="20"/>
  <c r="E207" i="2"/>
  <c r="K10" i="2" s="1"/>
  <c r="I222" i="2"/>
  <c r="I220" i="2"/>
  <c r="I219" i="2"/>
  <c r="I221" i="2"/>
  <c r="AB5" i="37"/>
  <c r="R8" i="37"/>
  <c r="S8" i="37"/>
  <c r="T8" i="37"/>
  <c r="U8" i="37"/>
  <c r="W8" i="37"/>
  <c r="X8" i="37"/>
  <c r="Y8" i="37"/>
  <c r="Z8" i="37"/>
  <c r="AA8" i="37"/>
  <c r="V8" i="37"/>
  <c r="AB6" i="37"/>
  <c r="AB7" i="37"/>
  <c r="AB3" i="37"/>
  <c r="D4" i="37"/>
  <c r="D5" i="37"/>
  <c r="D6" i="37"/>
  <c r="D7" i="37"/>
  <c r="D8" i="37"/>
  <c r="D9" i="37"/>
  <c r="D10" i="37"/>
  <c r="D11" i="37"/>
  <c r="D12" i="37"/>
  <c r="D13" i="37"/>
  <c r="D14" i="37"/>
  <c r="D15" i="37"/>
  <c r="D16" i="37"/>
  <c r="D17" i="37"/>
  <c r="D18" i="37"/>
  <c r="D19" i="37"/>
  <c r="D20" i="37"/>
  <c r="D21" i="37"/>
  <c r="D22" i="37"/>
  <c r="D23" i="37"/>
  <c r="D24" i="37"/>
  <c r="D25" i="37"/>
  <c r="D26" i="37"/>
  <c r="D27" i="37"/>
  <c r="D28" i="37"/>
  <c r="D29" i="37"/>
  <c r="D30" i="37"/>
  <c r="D31" i="37"/>
  <c r="D32" i="37"/>
  <c r="D33" i="37"/>
  <c r="D34" i="37"/>
  <c r="D35" i="37"/>
  <c r="D36" i="37"/>
  <c r="D37" i="37"/>
  <c r="D38" i="37"/>
  <c r="D39" i="37"/>
  <c r="D40" i="37"/>
  <c r="D41" i="37"/>
  <c r="D42" i="37"/>
  <c r="D43" i="37"/>
  <c r="D44" i="37"/>
  <c r="D45" i="37"/>
  <c r="D46" i="37"/>
  <c r="D47" i="37"/>
  <c r="D48" i="37"/>
  <c r="D49" i="37"/>
  <c r="D3"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H42" i="37"/>
  <c r="H43" i="37"/>
  <c r="H44" i="37"/>
  <c r="H45" i="37"/>
  <c r="H46" i="37"/>
  <c r="H47" i="37"/>
  <c r="H48" i="37"/>
  <c r="H49" i="37"/>
  <c r="H6" i="37"/>
  <c r="H4" i="37"/>
  <c r="H5" i="37"/>
  <c r="H3" i="37"/>
  <c r="K153" i="2"/>
  <c r="K151" i="2"/>
  <c r="I53" i="34" l="1"/>
  <c r="I45" i="34"/>
  <c r="I37" i="34"/>
  <c r="I47" i="34"/>
  <c r="I58" i="34"/>
  <c r="I56" i="34"/>
  <c r="I44" i="34"/>
  <c r="I51" i="34"/>
  <c r="I38" i="34"/>
  <c r="I39" i="34"/>
  <c r="I49" i="34"/>
  <c r="I52" i="34"/>
  <c r="I41" i="34"/>
  <c r="I54" i="34"/>
  <c r="I36" i="34"/>
  <c r="I40" i="34"/>
  <c r="I42" i="34"/>
  <c r="I57" i="34"/>
  <c r="I34" i="34"/>
  <c r="I35" i="34"/>
  <c r="I43" i="34"/>
  <c r="I50" i="34"/>
  <c r="I48" i="34"/>
  <c r="I46" i="34"/>
  <c r="I55" i="34"/>
  <c r="G40" i="34"/>
  <c r="H40" i="34"/>
  <c r="G62" i="34"/>
  <c r="H62" i="34"/>
  <c r="J62" i="34"/>
  <c r="H39" i="34"/>
  <c r="G39" i="34"/>
  <c r="G49" i="34"/>
  <c r="H49" i="34"/>
  <c r="G41" i="34"/>
  <c r="H41" i="34"/>
  <c r="G54" i="34"/>
  <c r="H54" i="34"/>
  <c r="H42" i="34"/>
  <c r="G42" i="34"/>
  <c r="G57" i="34"/>
  <c r="H57" i="34"/>
  <c r="H34" i="34"/>
  <c r="G34" i="34"/>
  <c r="J63" i="34"/>
  <c r="H63" i="34"/>
  <c r="G63" i="34"/>
  <c r="G43" i="34"/>
  <c r="H43" i="34"/>
  <c r="G50" i="34"/>
  <c r="H50" i="34"/>
  <c r="H48" i="34"/>
  <c r="G48" i="34"/>
  <c r="H46" i="34"/>
  <c r="G46" i="34"/>
  <c r="H55" i="34"/>
  <c r="G55" i="34"/>
  <c r="G35" i="34"/>
  <c r="H35" i="34"/>
  <c r="H44" i="34"/>
  <c r="G44" i="34"/>
  <c r="G53" i="34"/>
  <c r="H53" i="34"/>
  <c r="H37" i="34"/>
  <c r="G37" i="34"/>
  <c r="G45" i="34"/>
  <c r="H45" i="34"/>
  <c r="G60" i="34"/>
  <c r="H60" i="34"/>
  <c r="J60" i="34"/>
  <c r="H47" i="34"/>
  <c r="G47" i="34"/>
  <c r="G58" i="34"/>
  <c r="H58" i="34"/>
  <c r="H56" i="34"/>
  <c r="G56" i="34"/>
  <c r="G36" i="34"/>
  <c r="H36" i="34"/>
  <c r="G52" i="34"/>
  <c r="H52" i="34"/>
  <c r="G61" i="34"/>
  <c r="H61" i="34"/>
  <c r="J61" i="34"/>
  <c r="H38" i="34"/>
  <c r="G38" i="34"/>
  <c r="G59" i="34"/>
  <c r="H59" i="34"/>
  <c r="H51" i="34"/>
  <c r="G51" i="34"/>
  <c r="L139" i="20"/>
  <c r="M160" i="18"/>
  <c r="M158" i="18"/>
  <c r="M140" i="20"/>
  <c r="O140" i="20" s="1"/>
  <c r="L159" i="18"/>
  <c r="K222" i="2"/>
  <c r="K220" i="2"/>
  <c r="L160" i="18"/>
  <c r="K221" i="2"/>
  <c r="M139" i="20"/>
  <c r="O139" i="20" s="1"/>
  <c r="M138" i="20"/>
  <c r="O138" i="20" s="1"/>
  <c r="L140" i="20"/>
  <c r="M159" i="18"/>
  <c r="L138" i="20"/>
  <c r="AB4" i="37"/>
  <c r="AB8" i="37" s="1"/>
  <c r="AA9" i="37" l="1"/>
  <c r="Z9" i="37"/>
  <c r="S9" i="37"/>
  <c r="R9" i="37"/>
  <c r="T9" i="37"/>
  <c r="W9" i="37"/>
  <c r="X9" i="37"/>
  <c r="Y9" i="37"/>
  <c r="V9" i="37"/>
  <c r="U9" i="37"/>
  <c r="K149" i="2"/>
  <c r="U149" i="2" s="1"/>
  <c r="K147" i="2"/>
  <c r="AG147" i="2" s="1"/>
  <c r="AN168" i="2"/>
  <c r="AH168" i="2"/>
  <c r="AD168" i="2"/>
  <c r="Z168" i="2"/>
  <c r="V168" i="2"/>
  <c r="AN167" i="2"/>
  <c r="AM167" i="2"/>
  <c r="AG167" i="2"/>
  <c r="AA167" i="2"/>
  <c r="Y167" i="2"/>
  <c r="X167" i="2"/>
  <c r="U167" i="2"/>
  <c r="R167" i="2"/>
  <c r="W167" i="2"/>
  <c r="AN166" i="2"/>
  <c r="AH166" i="2"/>
  <c r="AD166" i="2"/>
  <c r="Z166" i="2"/>
  <c r="V166" i="2"/>
  <c r="AN165" i="2"/>
  <c r="AM165" i="2"/>
  <c r="AF165" i="2"/>
  <c r="AE165" i="2"/>
  <c r="T165" i="2"/>
  <c r="S165" i="2"/>
  <c r="R165" i="2"/>
  <c r="AC165" i="2"/>
  <c r="AN164" i="2"/>
  <c r="AH164" i="2"/>
  <c r="AD164" i="2"/>
  <c r="Z164" i="2"/>
  <c r="V164" i="2"/>
  <c r="AN163" i="2"/>
  <c r="AM163" i="2"/>
  <c r="AB163" i="2"/>
  <c r="AA163" i="2"/>
  <c r="X163" i="2"/>
  <c r="R163" i="2"/>
  <c r="Y163" i="2"/>
  <c r="AN162" i="2"/>
  <c r="AH162" i="2"/>
  <c r="AD162" i="2"/>
  <c r="Z162" i="2"/>
  <c r="V162" i="2"/>
  <c r="AN161" i="2"/>
  <c r="AM161" i="2"/>
  <c r="AG161" i="2"/>
  <c r="AF161" i="2"/>
  <c r="AE161" i="2"/>
  <c r="AA161" i="2"/>
  <c r="Y161" i="2"/>
  <c r="X161" i="2"/>
  <c r="W161" i="2"/>
  <c r="U161" i="2"/>
  <c r="T161" i="2"/>
  <c r="S161" i="2"/>
  <c r="R161" i="2"/>
  <c r="AC161" i="2"/>
  <c r="AN160" i="2"/>
  <c r="AH160" i="2"/>
  <c r="AD160" i="2"/>
  <c r="Z160" i="2"/>
  <c r="V160" i="2"/>
  <c r="AN159" i="2"/>
  <c r="AM159" i="2"/>
  <c r="AB159" i="2"/>
  <c r="R159" i="2"/>
  <c r="AA159" i="2"/>
  <c r="AN158" i="2"/>
  <c r="AH158" i="2"/>
  <c r="AD158" i="2"/>
  <c r="Z158" i="2"/>
  <c r="V158" i="2"/>
  <c r="AN157" i="2"/>
  <c r="AM157" i="2"/>
  <c r="AG157" i="2"/>
  <c r="AF157" i="2"/>
  <c r="Y157" i="2"/>
  <c r="X157" i="2"/>
  <c r="W157" i="2"/>
  <c r="U157" i="2"/>
  <c r="T157" i="2"/>
  <c r="AE157" i="2"/>
  <c r="AN156" i="2"/>
  <c r="AH156" i="2"/>
  <c r="AD156" i="2"/>
  <c r="Z156" i="2"/>
  <c r="V156" i="2"/>
  <c r="AN155" i="2"/>
  <c r="AM155" i="2"/>
  <c r="AG155" i="2"/>
  <c r="AF155" i="2"/>
  <c r="AE155" i="2"/>
  <c r="AB155" i="2"/>
  <c r="AA155" i="2"/>
  <c r="U155" i="2"/>
  <c r="T155" i="2"/>
  <c r="S155" i="2"/>
  <c r="AC155" i="2"/>
  <c r="AN154" i="2"/>
  <c r="AH154" i="2"/>
  <c r="AD154" i="2"/>
  <c r="Z154" i="2"/>
  <c r="V154" i="2"/>
  <c r="AN153" i="2"/>
  <c r="AM153" i="2"/>
  <c r="AG153" i="2"/>
  <c r="AB153" i="2"/>
  <c r="AA153" i="2"/>
  <c r="Y153" i="2"/>
  <c r="X153" i="2"/>
  <c r="W153" i="2"/>
  <c r="U153" i="2"/>
  <c r="AF153" i="2"/>
  <c r="AN152" i="2"/>
  <c r="AH152" i="2"/>
  <c r="AD152" i="2"/>
  <c r="Z152" i="2"/>
  <c r="V152" i="2"/>
  <c r="AN151" i="2"/>
  <c r="AM151" i="2"/>
  <c r="AG151" i="2"/>
  <c r="AF151" i="2"/>
  <c r="AB151" i="2"/>
  <c r="W151" i="2"/>
  <c r="U151" i="2"/>
  <c r="T151" i="2"/>
  <c r="AE151" i="2"/>
  <c r="AN150" i="2"/>
  <c r="AH150" i="2"/>
  <c r="AD150" i="2"/>
  <c r="Z150" i="2"/>
  <c r="V150" i="2"/>
  <c r="AN149" i="2"/>
  <c r="AM149" i="2"/>
  <c r="AN148" i="2"/>
  <c r="AH148" i="2"/>
  <c r="AD148" i="2"/>
  <c r="Z148" i="2"/>
  <c r="V148" i="2"/>
  <c r="AN147" i="2"/>
  <c r="AM147" i="2"/>
  <c r="K137" i="2"/>
  <c r="Y137" i="2" s="1"/>
  <c r="AM137" i="2"/>
  <c r="AN137" i="2"/>
  <c r="V138" i="2"/>
  <c r="Z138" i="2"/>
  <c r="AD138" i="2"/>
  <c r="AH138" i="2"/>
  <c r="AN138" i="2"/>
  <c r="K139" i="2"/>
  <c r="W139" i="2" s="1"/>
  <c r="AM139" i="2"/>
  <c r="AN139" i="2"/>
  <c r="V140" i="2"/>
  <c r="Z140" i="2"/>
  <c r="AD140" i="2"/>
  <c r="AH140" i="2"/>
  <c r="AN140" i="2"/>
  <c r="K141" i="2"/>
  <c r="AA141" i="2" s="1"/>
  <c r="AM141" i="2"/>
  <c r="AN141" i="2"/>
  <c r="V142" i="2"/>
  <c r="Z142" i="2"/>
  <c r="AD142" i="2"/>
  <c r="AH142" i="2"/>
  <c r="AN142" i="2"/>
  <c r="K143" i="2"/>
  <c r="T143" i="2" s="1"/>
  <c r="AM143" i="2"/>
  <c r="AN143" i="2"/>
  <c r="V144" i="2"/>
  <c r="Z144" i="2"/>
  <c r="AD144" i="2"/>
  <c r="AH144" i="2"/>
  <c r="AN144" i="2"/>
  <c r="K145" i="2"/>
  <c r="Y145" i="2" s="1"/>
  <c r="AM145" i="2"/>
  <c r="AN145" i="2"/>
  <c r="V146" i="2"/>
  <c r="Z146" i="2"/>
  <c r="AD146" i="2"/>
  <c r="AH146" i="2"/>
  <c r="AN146" i="2"/>
  <c r="U147" i="2" l="1"/>
  <c r="W149" i="2"/>
  <c r="Y149" i="2"/>
  <c r="AI148" i="2"/>
  <c r="Y147" i="2"/>
  <c r="AA149" i="2"/>
  <c r="AB149" i="2"/>
  <c r="AG149" i="2"/>
  <c r="X149" i="2"/>
  <c r="T147" i="2"/>
  <c r="S147" i="2"/>
  <c r="X147" i="2"/>
  <c r="AB147" i="2"/>
  <c r="W147" i="2"/>
  <c r="AA147" i="2"/>
  <c r="AF147" i="2"/>
  <c r="AF137" i="2"/>
  <c r="AA137" i="2"/>
  <c r="AF145" i="2"/>
  <c r="AE147" i="2"/>
  <c r="AC147" i="2"/>
  <c r="AI158" i="2"/>
  <c r="AI164" i="2"/>
  <c r="AI146" i="2"/>
  <c r="AI166" i="2"/>
  <c r="AI160" i="2"/>
  <c r="X141" i="2"/>
  <c r="AI152" i="2"/>
  <c r="W141" i="2"/>
  <c r="AD155" i="2"/>
  <c r="AI154" i="2"/>
  <c r="AH155" i="2"/>
  <c r="Z157" i="2"/>
  <c r="Z153" i="2"/>
  <c r="AI150" i="2"/>
  <c r="AI156" i="2"/>
  <c r="AI162" i="2"/>
  <c r="AI168" i="2"/>
  <c r="V161" i="2"/>
  <c r="Z161" i="2"/>
  <c r="V155" i="2"/>
  <c r="AH161" i="2"/>
  <c r="Z167" i="2"/>
  <c r="AH151" i="2"/>
  <c r="AH157" i="2"/>
  <c r="W137" i="2"/>
  <c r="AC149" i="2"/>
  <c r="AC159" i="2"/>
  <c r="AD159" i="2" s="1"/>
  <c r="U137" i="2"/>
  <c r="AG165" i="2"/>
  <c r="AH165" i="2" s="1"/>
  <c r="U165" i="2"/>
  <c r="V165" i="2" s="1"/>
  <c r="T137" i="2"/>
  <c r="S159" i="2"/>
  <c r="AE159" i="2"/>
  <c r="S137" i="2"/>
  <c r="S149" i="2"/>
  <c r="AE149" i="2"/>
  <c r="X151" i="2"/>
  <c r="AC153" i="2"/>
  <c r="AD153" i="2" s="1"/>
  <c r="AA157" i="2"/>
  <c r="T159" i="2"/>
  <c r="AF159" i="2"/>
  <c r="W165" i="2"/>
  <c r="AB167" i="2"/>
  <c r="X137" i="2"/>
  <c r="AC163" i="2"/>
  <c r="AD163" i="2" s="1"/>
  <c r="AG137" i="2"/>
  <c r="T149" i="2"/>
  <c r="AF149" i="2"/>
  <c r="Y151" i="2"/>
  <c r="W155" i="2"/>
  <c r="AB157" i="2"/>
  <c r="U159" i="2"/>
  <c r="AG159" i="2"/>
  <c r="S163" i="2"/>
  <c r="AE163" i="2"/>
  <c r="X165" i="2"/>
  <c r="AC167" i="2"/>
  <c r="S153" i="2"/>
  <c r="AE153" i="2"/>
  <c r="AH153" i="2" s="1"/>
  <c r="X155" i="2"/>
  <c r="AC157" i="2"/>
  <c r="T163" i="2"/>
  <c r="AF163" i="2"/>
  <c r="Y165" i="2"/>
  <c r="AF139" i="2"/>
  <c r="AE137" i="2"/>
  <c r="AA151" i="2"/>
  <c r="T153" i="2"/>
  <c r="Y155" i="2"/>
  <c r="W159" i="2"/>
  <c r="AB161" i="2"/>
  <c r="AD161" i="2" s="1"/>
  <c r="U163" i="2"/>
  <c r="AG163" i="2"/>
  <c r="S167" i="2"/>
  <c r="AE167" i="2"/>
  <c r="S157" i="2"/>
  <c r="V157" i="2" s="1"/>
  <c r="X159" i="2"/>
  <c r="AA165" i="2"/>
  <c r="T167" i="2"/>
  <c r="AF167" i="2"/>
  <c r="AC137" i="2"/>
  <c r="AB137" i="2"/>
  <c r="AC151" i="2"/>
  <c r="Y159" i="2"/>
  <c r="W163" i="2"/>
  <c r="Z163" i="2" s="1"/>
  <c r="AB165" i="2"/>
  <c r="S151" i="2"/>
  <c r="V151" i="2" s="1"/>
  <c r="AI138" i="2"/>
  <c r="AI140" i="2"/>
  <c r="AG141" i="2"/>
  <c r="AC141" i="2"/>
  <c r="AG139" i="2"/>
  <c r="AC145" i="2"/>
  <c r="AB145" i="2"/>
  <c r="AE139" i="2"/>
  <c r="AA145" i="2"/>
  <c r="AI142" i="2"/>
  <c r="AC139" i="2"/>
  <c r="X145" i="2"/>
  <c r="AI144" i="2"/>
  <c r="AB139" i="2"/>
  <c r="AA139" i="2"/>
  <c r="AE145" i="2"/>
  <c r="W145" i="2"/>
  <c r="U145" i="2"/>
  <c r="AE143" i="2"/>
  <c r="X139" i="2"/>
  <c r="Y139" i="2"/>
  <c r="T145" i="2"/>
  <c r="AC143" i="2"/>
  <c r="U139" i="2"/>
  <c r="S145" i="2"/>
  <c r="S143" i="2"/>
  <c r="T139" i="2"/>
  <c r="AG145" i="2"/>
  <c r="Y141" i="2"/>
  <c r="S139" i="2"/>
  <c r="AA143" i="2"/>
  <c r="U141" i="2"/>
  <c r="Y143" i="2"/>
  <c r="AF141" i="2"/>
  <c r="T141" i="2"/>
  <c r="AB143" i="2"/>
  <c r="X143" i="2"/>
  <c r="AE141" i="2"/>
  <c r="S141" i="2"/>
  <c r="W143" i="2"/>
  <c r="AG143" i="2"/>
  <c r="U143" i="2"/>
  <c r="AB141" i="2"/>
  <c r="AF143" i="2"/>
  <c r="V56" i="18"/>
  <c r="AD149" i="2" l="1"/>
  <c r="V147" i="2"/>
  <c r="Z149" i="2"/>
  <c r="AH147" i="2"/>
  <c r="AD147" i="2"/>
  <c r="Z147" i="2"/>
  <c r="AD137" i="2"/>
  <c r="V153" i="2"/>
  <c r="AI153" i="2" s="1"/>
  <c r="AH137" i="2"/>
  <c r="AI161" i="2"/>
  <c r="Z159" i="2"/>
  <c r="V137" i="2"/>
  <c r="Z141" i="2"/>
  <c r="Z137" i="2"/>
  <c r="V159" i="2"/>
  <c r="Z139" i="2"/>
  <c r="AH159" i="2"/>
  <c r="AH163" i="2"/>
  <c r="AD165" i="2"/>
  <c r="V163" i="2"/>
  <c r="AD167" i="2"/>
  <c r="Z165" i="2"/>
  <c r="V149" i="2"/>
  <c r="AD157" i="2"/>
  <c r="AI157" i="2" s="1"/>
  <c r="AH167" i="2"/>
  <c r="AD141" i="2"/>
  <c r="AD145" i="2"/>
  <c r="V167" i="2"/>
  <c r="Z155" i="2"/>
  <c r="AI155" i="2" s="1"/>
  <c r="AH139" i="2"/>
  <c r="Z151" i="2"/>
  <c r="AD151" i="2"/>
  <c r="V143" i="2"/>
  <c r="AH149" i="2"/>
  <c r="V145" i="2"/>
  <c r="Z145" i="2"/>
  <c r="AH143" i="2"/>
  <c r="V139" i="2"/>
  <c r="AH145" i="2"/>
  <c r="AD139" i="2"/>
  <c r="AD143" i="2"/>
  <c r="Z143" i="2"/>
  <c r="V141" i="2"/>
  <c r="AH141" i="2"/>
  <c r="AI151" i="2" l="1"/>
  <c r="AI147" i="2"/>
  <c r="AI137" i="2"/>
  <c r="AI159" i="2"/>
  <c r="AI163" i="2"/>
  <c r="AI167" i="2"/>
  <c r="AI165" i="2"/>
  <c r="AI149" i="2"/>
  <c r="AI143" i="2"/>
  <c r="AI145" i="2"/>
  <c r="L46" i="34" s="1"/>
  <c r="AI139" i="2"/>
  <c r="AI141" i="2"/>
  <c r="K81" i="17" l="1"/>
  <c r="I111" i="24" l="1"/>
  <c r="G111" i="24"/>
  <c r="K79" i="18" l="1"/>
  <c r="S79" i="18" s="1"/>
  <c r="AM79" i="18"/>
  <c r="AN79" i="18"/>
  <c r="V80" i="18"/>
  <c r="Z80" i="18"/>
  <c r="AD80" i="18"/>
  <c r="AH80" i="18"/>
  <c r="AN80" i="18"/>
  <c r="AI80" i="18" l="1"/>
  <c r="X79" i="18"/>
  <c r="W79" i="18"/>
  <c r="Y79" i="18"/>
  <c r="AG79" i="18"/>
  <c r="AF79" i="18"/>
  <c r="T79" i="18"/>
  <c r="AC79" i="18"/>
  <c r="AB79" i="18"/>
  <c r="AA79" i="18"/>
  <c r="U79" i="18"/>
  <c r="AE79" i="18"/>
  <c r="V79" i="18" l="1"/>
  <c r="AH79" i="18"/>
  <c r="Z79" i="18"/>
  <c r="AD79" i="18"/>
  <c r="L31" i="20"/>
  <c r="AI79" i="18" l="1"/>
  <c r="K93" i="17"/>
  <c r="I109" i="24" l="1"/>
  <c r="R74" i="20" l="1"/>
  <c r="AC12" i="20" s="1"/>
  <c r="R73" i="20"/>
  <c r="AB12" i="20" s="1"/>
  <c r="R72" i="20"/>
  <c r="R71" i="20"/>
  <c r="R70" i="20"/>
  <c r="R69" i="20"/>
  <c r="AC11" i="20"/>
  <c r="AB11" i="20"/>
  <c r="R62" i="20"/>
  <c r="AC9" i="20" s="1"/>
  <c r="R61" i="20"/>
  <c r="AB9" i="20" s="1"/>
  <c r="AC10" i="20"/>
  <c r="AB10" i="20"/>
  <c r="R64" i="20"/>
  <c r="R63" i="20"/>
  <c r="R60" i="20"/>
  <c r="AC8" i="20" s="1"/>
  <c r="R59" i="20"/>
  <c r="AB8" i="20" s="1"/>
  <c r="J57" i="24" l="1"/>
  <c r="D405" i="38" s="1"/>
  <c r="K71" i="18"/>
  <c r="D37" i="8" l="1"/>
  <c r="V60" i="20" l="1"/>
  <c r="J31" i="17" l="1"/>
  <c r="B12" i="8"/>
  <c r="E5" i="2" l="1"/>
  <c r="O7" i="8"/>
  <c r="O5" i="8" s="1"/>
  <c r="AN35" i="8" l="1"/>
  <c r="AN36" i="8"/>
  <c r="AN37" i="8"/>
  <c r="AN38" i="8"/>
  <c r="AN39" i="8"/>
  <c r="AN40" i="8"/>
  <c r="AN41" i="8"/>
  <c r="AN42" i="8"/>
  <c r="AN43" i="8"/>
  <c r="AN44" i="8"/>
  <c r="AN45" i="8"/>
  <c r="AN46" i="8"/>
  <c r="AN47" i="8"/>
  <c r="AN48" i="8"/>
  <c r="AN49" i="8"/>
  <c r="AN50" i="8"/>
  <c r="AN51" i="8"/>
  <c r="AN52" i="8"/>
  <c r="AN53" i="8"/>
  <c r="AN54" i="8"/>
  <c r="AN55" i="8"/>
  <c r="AN56" i="8"/>
  <c r="AN57" i="8"/>
  <c r="AN58" i="8"/>
  <c r="AN59" i="8"/>
  <c r="AN60" i="8"/>
  <c r="AN61" i="8"/>
  <c r="AN62" i="8"/>
  <c r="AN63" i="8"/>
  <c r="AN64" i="8"/>
  <c r="AN65" i="8"/>
  <c r="AN66" i="8"/>
  <c r="AN67" i="8"/>
  <c r="AN68" i="8"/>
  <c r="AN69" i="8"/>
  <c r="AN70" i="8"/>
  <c r="AN71" i="8"/>
  <c r="AN72" i="8"/>
  <c r="AN73" i="8"/>
  <c r="AN74" i="8"/>
  <c r="AN75" i="8"/>
  <c r="AN76" i="8"/>
  <c r="AN77" i="8"/>
  <c r="AN78" i="8"/>
  <c r="AN79" i="8"/>
  <c r="AN80" i="8"/>
  <c r="AN81" i="8"/>
  <c r="AN82" i="8"/>
  <c r="AN34" i="8"/>
  <c r="AN33" i="8"/>
  <c r="F238" i="34"/>
  <c r="F239" i="34"/>
  <c r="F240" i="34"/>
  <c r="F241" i="34"/>
  <c r="F242" i="34"/>
  <c r="F243" i="34"/>
  <c r="F244" i="34"/>
  <c r="F245" i="34"/>
  <c r="R69" i="18"/>
  <c r="U57" i="19"/>
  <c r="AO115" i="17" a="1"/>
  <c r="AO116" i="17" a="1"/>
  <c r="AO117" i="17" a="1"/>
  <c r="AO118" i="17" a="1"/>
  <c r="AO119" i="17" a="1"/>
  <c r="AO120" i="17" a="1"/>
  <c r="AO121" i="17" a="1"/>
  <c r="AO122" i="17" a="1"/>
  <c r="AO123" i="17" a="1"/>
  <c r="AO124" i="17" a="1"/>
  <c r="AO125" i="17" a="1"/>
  <c r="AO126" i="17" a="1"/>
  <c r="AO127" i="17" a="1"/>
  <c r="AO128" i="17" a="1"/>
  <c r="AO129" i="17" a="1"/>
  <c r="AO130" i="17" a="1"/>
  <c r="AO131" i="17" a="1"/>
  <c r="AO132" i="17" a="1"/>
  <c r="AO133" i="17" a="1"/>
  <c r="AO134" i="17" a="1"/>
  <c r="AO135" i="17" a="1"/>
  <c r="AO136" i="17" a="1"/>
  <c r="AO137" i="17" a="1"/>
  <c r="AO138" i="17" a="1"/>
  <c r="AO139" i="17" a="1"/>
  <c r="AO140" i="17" a="1"/>
  <c r="AO141" i="17" a="1"/>
  <c r="AO142" i="17" a="1"/>
  <c r="AO143" i="17" a="1"/>
  <c r="AO144" i="17" a="1"/>
  <c r="AO145" i="17" a="1"/>
  <c r="AO146" i="17" a="1"/>
  <c r="AO147" i="17" a="1"/>
  <c r="AO148" i="17" a="1"/>
  <c r="AO149" i="17" a="1"/>
  <c r="AO150" i="17" a="1"/>
  <c r="AO151" i="17" a="1"/>
  <c r="AO152" i="17" a="1"/>
  <c r="AO153" i="17" a="1"/>
  <c r="AO154" i="17" a="1"/>
  <c r="AO155" i="17" a="1"/>
  <c r="AO156" i="17" a="1"/>
  <c r="AO157" i="17" a="1"/>
  <c r="AO158" i="17" a="1"/>
  <c r="AO159" i="17" a="1"/>
  <c r="AO160" i="17" a="1"/>
  <c r="AO161" i="17" a="1"/>
  <c r="AO162" i="17" a="1"/>
  <c r="AO163" i="17" a="1"/>
  <c r="AO164" i="17" a="1"/>
  <c r="K63" i="2" l="1"/>
  <c r="J35" i="17"/>
  <c r="J32" i="17"/>
  <c r="L31" i="2"/>
  <c r="M45" i="8" l="1"/>
  <c r="L45" i="8"/>
  <c r="J45" i="8"/>
  <c r="I45" i="8"/>
  <c r="H45" i="8"/>
  <c r="G45" i="8"/>
  <c r="F45" i="8"/>
  <c r="D45" i="8"/>
  <c r="I43" i="8"/>
  <c r="H43" i="8"/>
  <c r="G43" i="8"/>
  <c r="F43" i="8"/>
  <c r="D43" i="8"/>
  <c r="D39" i="8" l="1"/>
  <c r="D41" i="8"/>
  <c r="F39" i="8"/>
  <c r="F41" i="8"/>
  <c r="F37" i="8"/>
  <c r="G39" i="8"/>
  <c r="G41" i="8"/>
  <c r="G37" i="8"/>
  <c r="H41" i="8"/>
  <c r="H37" i="8"/>
  <c r="J35" i="8"/>
  <c r="J41" i="8"/>
  <c r="I37" i="8"/>
  <c r="I39" i="8"/>
  <c r="I41" i="8"/>
  <c r="M37" i="8"/>
  <c r="R35" i="8" l="1"/>
  <c r="S35" i="8"/>
  <c r="C7" i="8"/>
  <c r="C5" i="8"/>
  <c r="G7" i="8"/>
  <c r="J105" i="24"/>
  <c r="D453" i="38" s="1"/>
  <c r="I105" i="24"/>
  <c r="I103" i="24"/>
  <c r="G105" i="24"/>
  <c r="E254" i="18"/>
  <c r="E351" i="19"/>
  <c r="E322" i="20"/>
  <c r="E235" i="17"/>
  <c r="E340" i="2"/>
  <c r="AM35" i="8"/>
  <c r="AM36" i="8"/>
  <c r="AM37" i="8"/>
  <c r="AM38" i="8"/>
  <c r="AM39" i="8"/>
  <c r="AM40" i="8"/>
  <c r="AM41" i="8"/>
  <c r="AM42" i="8"/>
  <c r="AM43" i="8"/>
  <c r="AM44" i="8"/>
  <c r="AM45" i="8"/>
  <c r="AM46" i="8"/>
  <c r="AM47" i="8"/>
  <c r="AM48" i="8"/>
  <c r="AM49" i="8"/>
  <c r="AM50" i="8"/>
  <c r="AM51" i="8"/>
  <c r="AM52" i="8"/>
  <c r="AM53" i="8"/>
  <c r="AM54" i="8"/>
  <c r="AM55" i="8"/>
  <c r="AM56" i="8"/>
  <c r="AM57" i="8"/>
  <c r="AM58" i="8"/>
  <c r="AM59" i="8"/>
  <c r="AM60" i="8"/>
  <c r="AM61" i="8"/>
  <c r="AM62" i="8"/>
  <c r="AM63" i="8"/>
  <c r="AM64" i="8"/>
  <c r="AM65" i="8"/>
  <c r="AM66" i="8"/>
  <c r="AM67" i="8"/>
  <c r="AM68" i="8"/>
  <c r="AM69" i="8"/>
  <c r="AM70" i="8"/>
  <c r="AM71" i="8"/>
  <c r="AM72" i="8"/>
  <c r="AM73" i="8"/>
  <c r="AM74" i="8"/>
  <c r="AM75" i="8"/>
  <c r="AM76" i="8"/>
  <c r="AM77" i="8"/>
  <c r="AM78" i="8"/>
  <c r="AM79" i="8"/>
  <c r="AM80" i="8"/>
  <c r="AM81" i="8"/>
  <c r="AM82" i="8"/>
  <c r="AM34" i="8"/>
  <c r="AM33" i="8"/>
  <c r="C15" i="8"/>
  <c r="B15" i="8"/>
  <c r="C14" i="8"/>
  <c r="B14" i="8"/>
  <c r="C13" i="8"/>
  <c r="B13" i="8"/>
  <c r="C12" i="8"/>
  <c r="C11" i="8"/>
  <c r="B11" i="8"/>
  <c r="T10" i="8"/>
  <c r="X10" i="8" s="1"/>
  <c r="R10" i="8" a="1"/>
  <c r="T19" i="8" s="1"/>
  <c r="X19" i="8" s="1"/>
  <c r="Q6" i="19"/>
  <c r="R6" i="19" s="1"/>
  <c r="O6" i="19" a="1"/>
  <c r="AP69" i="8" l="1" a="1"/>
  <c r="AP70" i="8" a="1"/>
  <c r="AP77" i="8" a="1"/>
  <c r="AP78" i="8" a="1"/>
  <c r="AP65" i="8" a="1"/>
  <c r="AP66" i="8" a="1"/>
  <c r="AP53" i="8" a="1"/>
  <c r="AP54" i="8" a="1"/>
  <c r="AP81" i="8" a="1"/>
  <c r="AP82" i="8" a="1"/>
  <c r="AP57" i="8" a="1"/>
  <c r="AP58" i="8" a="1"/>
  <c r="AP67" i="8" a="1"/>
  <c r="AP68" i="8" a="1"/>
  <c r="AP75" i="8" a="1"/>
  <c r="AP76" i="8" a="1"/>
  <c r="AP63" i="8" a="1"/>
  <c r="AP64" i="8" a="1"/>
  <c r="AP51" i="8" a="1"/>
  <c r="AP52" i="8" a="1"/>
  <c r="AP80" i="8" a="1"/>
  <c r="AP79" i="8" a="1"/>
  <c r="AP55" i="8" a="1"/>
  <c r="AP56" i="8" a="1"/>
  <c r="AP73" i="8" a="1"/>
  <c r="AP74" i="8" a="1"/>
  <c r="AP61" i="8" a="1"/>
  <c r="AP62" i="8" a="1"/>
  <c r="AP49" i="8" a="1"/>
  <c r="AP50" i="8" a="1"/>
  <c r="AP72" i="8" a="1"/>
  <c r="AP71" i="8" a="1"/>
  <c r="AP60" i="8" a="1"/>
  <c r="AP59" i="8" a="1"/>
  <c r="T15" i="8"/>
  <c r="X15" i="8" s="1"/>
  <c r="S15" i="8" s="1"/>
  <c r="T24" i="8"/>
  <c r="X24" i="8" s="1"/>
  <c r="AI24" i="8" s="1"/>
  <c r="T11" i="8"/>
  <c r="X11" i="8" s="1"/>
  <c r="U11" i="8" s="1"/>
  <c r="T27" i="8"/>
  <c r="X27" i="8" s="1"/>
  <c r="S27" i="8" s="1"/>
  <c r="T29" i="8"/>
  <c r="X29" i="8" s="1"/>
  <c r="S29" i="8" s="1"/>
  <c r="B16" i="8"/>
  <c r="T16" i="8"/>
  <c r="X16" i="8" s="1"/>
  <c r="AI16" i="8" s="1"/>
  <c r="C16" i="8"/>
  <c r="F14" i="8" s="1"/>
  <c r="S10" i="8"/>
  <c r="U10" i="8"/>
  <c r="AH10" i="8"/>
  <c r="AH19" i="8"/>
  <c r="S19" i="8"/>
  <c r="AI19" i="8"/>
  <c r="T20" i="8"/>
  <c r="X20" i="8" s="1"/>
  <c r="AI20" i="8" s="1"/>
  <c r="T14" i="8"/>
  <c r="T22" i="8"/>
  <c r="X22" i="8" s="1"/>
  <c r="U6" i="19"/>
  <c r="P6" i="19" s="1"/>
  <c r="AI10" i="8"/>
  <c r="T25" i="8"/>
  <c r="X25" i="8" s="1"/>
  <c r="T18" i="8"/>
  <c r="X18" i="8" s="1"/>
  <c r="T23" i="8"/>
  <c r="X23" i="8" s="1"/>
  <c r="T21" i="8"/>
  <c r="X21" i="8" s="1"/>
  <c r="T28" i="8"/>
  <c r="X28" i="8" s="1"/>
  <c r="T12" i="8"/>
  <c r="T17" i="8"/>
  <c r="X17" i="8" s="1"/>
  <c r="T26" i="8"/>
  <c r="X26" i="8" s="1"/>
  <c r="T13" i="8"/>
  <c r="Q21" i="19"/>
  <c r="Q19" i="19"/>
  <c r="Q9" i="19"/>
  <c r="Q22" i="19"/>
  <c r="Q20" i="19"/>
  <c r="Q24" i="19"/>
  <c r="U24" i="19" s="1"/>
  <c r="Q7" i="19"/>
  <c r="Q16" i="19"/>
  <c r="Q14" i="19"/>
  <c r="Q11" i="19"/>
  <c r="Q18" i="19"/>
  <c r="Q12" i="19"/>
  <c r="Q8" i="19"/>
  <c r="Q25" i="19"/>
  <c r="Q10" i="19"/>
  <c r="Q23" i="19"/>
  <c r="Q17" i="19"/>
  <c r="Q15" i="19"/>
  <c r="U15" i="19" s="1"/>
  <c r="Q13" i="19"/>
  <c r="R55" i="17"/>
  <c r="AD35" i="8"/>
  <c r="L86" i="8"/>
  <c r="U40" i="8"/>
  <c r="Y40" i="8"/>
  <c r="AC40" i="8"/>
  <c r="U42" i="8"/>
  <c r="Y42" i="8"/>
  <c r="AC42" i="8"/>
  <c r="U44" i="8"/>
  <c r="Y44" i="8"/>
  <c r="AC44" i="8"/>
  <c r="U46" i="8"/>
  <c r="Y46" i="8"/>
  <c r="AC46" i="8"/>
  <c r="U48" i="8"/>
  <c r="Y48" i="8"/>
  <c r="AC48" i="8"/>
  <c r="U50" i="8"/>
  <c r="Y50" i="8"/>
  <c r="AC50" i="8"/>
  <c r="U52" i="8"/>
  <c r="Y52" i="8"/>
  <c r="AC52" i="8"/>
  <c r="U54" i="8"/>
  <c r="Y54" i="8"/>
  <c r="AC54" i="8"/>
  <c r="U56" i="8"/>
  <c r="Y56" i="8"/>
  <c r="AC56" i="8"/>
  <c r="U58" i="8"/>
  <c r="Y58" i="8"/>
  <c r="AC58" i="8"/>
  <c r="U60" i="8"/>
  <c r="Y60" i="8"/>
  <c r="AC60" i="8"/>
  <c r="U62" i="8"/>
  <c r="Y62" i="8"/>
  <c r="AC62" i="8"/>
  <c r="U64" i="8"/>
  <c r="Y64" i="8"/>
  <c r="AC64" i="8"/>
  <c r="U66" i="8"/>
  <c r="Y66" i="8"/>
  <c r="AC66" i="8"/>
  <c r="U68" i="8"/>
  <c r="Y68" i="8"/>
  <c r="AC68" i="8"/>
  <c r="U70" i="8"/>
  <c r="Y70" i="8"/>
  <c r="AC70" i="8"/>
  <c r="U72" i="8"/>
  <c r="Y72" i="8"/>
  <c r="AC72" i="8"/>
  <c r="U74" i="8"/>
  <c r="Y74" i="8"/>
  <c r="AC74" i="8"/>
  <c r="U76" i="8"/>
  <c r="Y76" i="8"/>
  <c r="AC76" i="8"/>
  <c r="U78" i="8"/>
  <c r="Y78" i="8"/>
  <c r="AC78" i="8"/>
  <c r="U80" i="8"/>
  <c r="Y80" i="8"/>
  <c r="AC80" i="8"/>
  <c r="U82" i="8"/>
  <c r="Y82" i="8"/>
  <c r="AC82" i="8"/>
  <c r="U36" i="8"/>
  <c r="Y36" i="8"/>
  <c r="AC36" i="8"/>
  <c r="T41" i="8"/>
  <c r="J47" i="8"/>
  <c r="J49" i="8"/>
  <c r="AA49" i="8" s="1"/>
  <c r="J51" i="8"/>
  <c r="V51" i="8" s="1"/>
  <c r="J53" i="8"/>
  <c r="AD53" i="8" s="1"/>
  <c r="J55" i="8"/>
  <c r="X55" i="8" s="1"/>
  <c r="J57" i="8"/>
  <c r="T57" i="8" s="1"/>
  <c r="J59" i="8"/>
  <c r="AB59" i="8" s="1"/>
  <c r="J61" i="8"/>
  <c r="X61" i="8" s="1"/>
  <c r="J63" i="8"/>
  <c r="R63" i="8" s="1"/>
  <c r="J65" i="8"/>
  <c r="AA65" i="8" s="1"/>
  <c r="J67" i="8"/>
  <c r="V67" i="8" s="1"/>
  <c r="J69" i="8"/>
  <c r="J71" i="8"/>
  <c r="J73" i="8"/>
  <c r="V73" i="8" s="1"/>
  <c r="J75" i="8"/>
  <c r="AB75" i="8" s="1"/>
  <c r="J77" i="8"/>
  <c r="X77" i="8" s="1"/>
  <c r="J79" i="8"/>
  <c r="R79" i="8" s="1"/>
  <c r="J81" i="8"/>
  <c r="AA81" i="8" s="1"/>
  <c r="Z60" i="20"/>
  <c r="AD60" i="20"/>
  <c r="Z62" i="20"/>
  <c r="AD62" i="20"/>
  <c r="V64" i="20"/>
  <c r="Z64" i="20"/>
  <c r="AD64" i="20"/>
  <c r="V66" i="20"/>
  <c r="Z66" i="20"/>
  <c r="AD66" i="20"/>
  <c r="V68" i="20"/>
  <c r="Z68" i="20"/>
  <c r="AD68" i="20"/>
  <c r="V70" i="20"/>
  <c r="Z70" i="20"/>
  <c r="AD70" i="20"/>
  <c r="V72" i="20"/>
  <c r="Z72" i="20"/>
  <c r="AD72" i="20"/>
  <c r="V74" i="20"/>
  <c r="Z74" i="20"/>
  <c r="AD74" i="20"/>
  <c r="V76" i="20"/>
  <c r="Z76" i="20"/>
  <c r="AD76" i="20"/>
  <c r="V78" i="20"/>
  <c r="Z78" i="20"/>
  <c r="AD78" i="20"/>
  <c r="V80" i="20"/>
  <c r="Z80" i="20"/>
  <c r="AD80" i="20"/>
  <c r="V82" i="20"/>
  <c r="Z82" i="20"/>
  <c r="AD82" i="20"/>
  <c r="V84" i="20"/>
  <c r="Z84" i="20"/>
  <c r="AD84" i="20"/>
  <c r="V86" i="20"/>
  <c r="Z86" i="20"/>
  <c r="AD86" i="20"/>
  <c r="V88" i="20"/>
  <c r="Z88" i="20"/>
  <c r="AD88" i="20"/>
  <c r="V90" i="20"/>
  <c r="Z90" i="20"/>
  <c r="AD90" i="20"/>
  <c r="V92" i="20"/>
  <c r="Z92" i="20"/>
  <c r="AD92" i="20"/>
  <c r="V94" i="20"/>
  <c r="Z94" i="20"/>
  <c r="AD94" i="20"/>
  <c r="V96" i="20"/>
  <c r="Z96" i="20"/>
  <c r="AD96" i="20"/>
  <c r="V98" i="20"/>
  <c r="Z98" i="20"/>
  <c r="AD98" i="20"/>
  <c r="V100" i="20"/>
  <c r="Z100" i="20"/>
  <c r="AD100" i="20"/>
  <c r="V102" i="20"/>
  <c r="Z102" i="20"/>
  <c r="AD102" i="20"/>
  <c r="K59" i="20"/>
  <c r="Y59" i="20" s="1"/>
  <c r="K61" i="20"/>
  <c r="K63" i="20"/>
  <c r="AE63" i="20" s="1"/>
  <c r="K65" i="20"/>
  <c r="W65" i="20" s="1"/>
  <c r="K67" i="20"/>
  <c r="S67" i="20" s="1"/>
  <c r="Y69" i="20"/>
  <c r="U71" i="20"/>
  <c r="K73" i="20"/>
  <c r="Y75" i="20"/>
  <c r="K77" i="20"/>
  <c r="AE77" i="20" s="1"/>
  <c r="K79" i="20"/>
  <c r="AB79" i="20" s="1"/>
  <c r="K81" i="20"/>
  <c r="W81" i="20" s="1"/>
  <c r="K83" i="20"/>
  <c r="AE83" i="20" s="1"/>
  <c r="K85" i="20"/>
  <c r="K87" i="20"/>
  <c r="S87" i="20" s="1"/>
  <c r="K89" i="20"/>
  <c r="AC89" i="20" s="1"/>
  <c r="K91" i="20"/>
  <c r="T91" i="20" s="1"/>
  <c r="K93" i="20"/>
  <c r="S93" i="20" s="1"/>
  <c r="K95" i="20"/>
  <c r="AB95" i="20" s="1"/>
  <c r="K97" i="20"/>
  <c r="AA97" i="20" s="1"/>
  <c r="K99" i="20"/>
  <c r="S99" i="20" s="1"/>
  <c r="K101" i="20"/>
  <c r="S101" i="20" s="1"/>
  <c r="K57" i="20"/>
  <c r="AE57" i="20" s="1"/>
  <c r="K55" i="20"/>
  <c r="AC55" i="20" s="1"/>
  <c r="AD114" i="17"/>
  <c r="Z114" i="17"/>
  <c r="V114" i="17"/>
  <c r="AD112" i="17"/>
  <c r="Z112" i="17"/>
  <c r="V112" i="17"/>
  <c r="AD98" i="17"/>
  <c r="Z98" i="17"/>
  <c r="V98" i="17"/>
  <c r="AD96" i="17"/>
  <c r="Z96" i="17"/>
  <c r="V96" i="17"/>
  <c r="AD94" i="17"/>
  <c r="Z94" i="17"/>
  <c r="V94" i="17"/>
  <c r="AD92" i="17"/>
  <c r="Z92" i="17"/>
  <c r="V92" i="17"/>
  <c r="AD90" i="17"/>
  <c r="Z90" i="17"/>
  <c r="V90" i="17"/>
  <c r="AD88" i="17"/>
  <c r="Z88" i="17"/>
  <c r="V88" i="17"/>
  <c r="AD86" i="17"/>
  <c r="Z86" i="17"/>
  <c r="V86" i="17"/>
  <c r="AD84" i="17"/>
  <c r="Z84" i="17"/>
  <c r="V84" i="17"/>
  <c r="AD82" i="17"/>
  <c r="Z82" i="17"/>
  <c r="V82" i="17"/>
  <c r="AD80" i="17"/>
  <c r="Z80" i="17"/>
  <c r="V80" i="17"/>
  <c r="AD78" i="17"/>
  <c r="Z78" i="17"/>
  <c r="AD76" i="17"/>
  <c r="Z76" i="17"/>
  <c r="V76" i="17"/>
  <c r="AD74" i="17"/>
  <c r="Z74" i="17"/>
  <c r="V74" i="17"/>
  <c r="AD72" i="17"/>
  <c r="Z72" i="17"/>
  <c r="V72" i="17"/>
  <c r="AD70" i="17"/>
  <c r="Z70" i="17"/>
  <c r="V70" i="17"/>
  <c r="AD68" i="17"/>
  <c r="Z68" i="17"/>
  <c r="V68" i="17"/>
  <c r="AD58" i="17"/>
  <c r="Z58" i="17"/>
  <c r="V58" i="17"/>
  <c r="AD56" i="17"/>
  <c r="Z56" i="17"/>
  <c r="V56" i="17"/>
  <c r="AH56" i="17"/>
  <c r="AH58" i="17"/>
  <c r="K59" i="17"/>
  <c r="AF59" i="17" s="1"/>
  <c r="K61" i="17"/>
  <c r="AE61" i="17" s="1"/>
  <c r="K63" i="17"/>
  <c r="AG63" i="17" s="1"/>
  <c r="K65" i="17"/>
  <c r="AE65" i="17" s="1"/>
  <c r="K67" i="17"/>
  <c r="AG67" i="17" s="1"/>
  <c r="K69" i="17"/>
  <c r="T69" i="17" s="1"/>
  <c r="K71" i="17"/>
  <c r="AB73" i="17"/>
  <c r="K75" i="17"/>
  <c r="T75" i="17" s="1"/>
  <c r="K77" i="17"/>
  <c r="U77" i="17" s="1"/>
  <c r="K79" i="17"/>
  <c r="AC79" i="17" s="1"/>
  <c r="Y81" i="17"/>
  <c r="K83" i="17"/>
  <c r="U85" i="17"/>
  <c r="K87" i="17"/>
  <c r="AG87" i="17" s="1"/>
  <c r="K89" i="17"/>
  <c r="Y89" i="17" s="1"/>
  <c r="T91" i="17"/>
  <c r="AG93" i="17"/>
  <c r="K95" i="17"/>
  <c r="AC95" i="17" s="1"/>
  <c r="K97" i="17"/>
  <c r="T97" i="17" s="1"/>
  <c r="K111" i="17"/>
  <c r="U111" i="17" s="1"/>
  <c r="K113" i="17"/>
  <c r="AB113" i="17" s="1"/>
  <c r="K57" i="17"/>
  <c r="T57" i="17" s="1"/>
  <c r="AF61" i="20" l="1"/>
  <c r="W61" i="20"/>
  <c r="AC73" i="20"/>
  <c r="W73" i="20"/>
  <c r="U25" i="19"/>
  <c r="S24" i="19"/>
  <c r="P24" i="19"/>
  <c r="AG71" i="17"/>
  <c r="T71" i="17"/>
  <c r="U71" i="17"/>
  <c r="X33" i="8"/>
  <c r="R33" i="8"/>
  <c r="S33" i="8"/>
  <c r="AH15" i="8"/>
  <c r="AI11" i="8"/>
  <c r="X83" i="17"/>
  <c r="U83" i="17"/>
  <c r="AH16" i="8"/>
  <c r="S24" i="8"/>
  <c r="AI15" i="8"/>
  <c r="S16" i="8"/>
  <c r="AH11" i="8"/>
  <c r="AH29" i="8"/>
  <c r="AI29" i="8"/>
  <c r="AH27" i="8"/>
  <c r="S11" i="8"/>
  <c r="T30" i="8" s="1"/>
  <c r="AC13" i="8" s="1"/>
  <c r="AI27" i="8"/>
  <c r="AH24" i="8"/>
  <c r="F13" i="8"/>
  <c r="AH20" i="8"/>
  <c r="F11" i="8"/>
  <c r="S23" i="8"/>
  <c r="S18" i="8"/>
  <c r="S22" i="8"/>
  <c r="X14" i="8"/>
  <c r="T99" i="20"/>
  <c r="S25" i="8"/>
  <c r="X13" i="8"/>
  <c r="AI13" i="8" s="1"/>
  <c r="X75" i="20"/>
  <c r="S26" i="8"/>
  <c r="AH22" i="8"/>
  <c r="S20" i="8"/>
  <c r="AI22" i="8"/>
  <c r="W75" i="20"/>
  <c r="X12" i="8"/>
  <c r="AI12" i="8" s="1"/>
  <c r="S17" i="8"/>
  <c r="S6" i="19"/>
  <c r="S28" i="8"/>
  <c r="AF87" i="20"/>
  <c r="S21" i="8"/>
  <c r="AH28" i="8"/>
  <c r="AI28" i="8"/>
  <c r="AH26" i="8"/>
  <c r="AI26" i="8"/>
  <c r="AH21" i="8"/>
  <c r="AI21" i="8"/>
  <c r="AI23" i="8"/>
  <c r="AH23" i="8"/>
  <c r="AI18" i="8"/>
  <c r="AH18" i="8"/>
  <c r="AI17" i="8"/>
  <c r="AH17" i="8"/>
  <c r="AI25" i="8"/>
  <c r="AH25" i="8"/>
  <c r="AA35" i="8"/>
  <c r="AF35" i="8"/>
  <c r="AE35" i="8"/>
  <c r="R15" i="19"/>
  <c r="R7" i="19"/>
  <c r="U7" i="19"/>
  <c r="R17" i="19"/>
  <c r="U17" i="19"/>
  <c r="R24" i="19"/>
  <c r="R20" i="19"/>
  <c r="U20" i="19"/>
  <c r="R10" i="19"/>
  <c r="U10" i="19"/>
  <c r="R22" i="19"/>
  <c r="U22" i="19"/>
  <c r="R16" i="19"/>
  <c r="U16" i="19"/>
  <c r="R23" i="19"/>
  <c r="U23" i="19"/>
  <c r="R25" i="19"/>
  <c r="R9" i="19"/>
  <c r="U9" i="19"/>
  <c r="U11" i="19"/>
  <c r="R11" i="19"/>
  <c r="R13" i="19"/>
  <c r="U13" i="19"/>
  <c r="R8" i="19"/>
  <c r="U8" i="19"/>
  <c r="R19" i="19"/>
  <c r="U19" i="19"/>
  <c r="U18" i="19"/>
  <c r="R18" i="19"/>
  <c r="R14" i="19"/>
  <c r="U14" i="19"/>
  <c r="R12" i="19"/>
  <c r="U12" i="19"/>
  <c r="R21" i="19"/>
  <c r="U21" i="19"/>
  <c r="U75" i="20"/>
  <c r="AC99" i="20"/>
  <c r="S79" i="20"/>
  <c r="AB99" i="20"/>
  <c r="Y99" i="20"/>
  <c r="U99" i="20"/>
  <c r="W59" i="20"/>
  <c r="AA41" i="8"/>
  <c r="AE71" i="20"/>
  <c r="Y81" i="20"/>
  <c r="AE75" i="20"/>
  <c r="AB71" i="20"/>
  <c r="X59" i="20"/>
  <c r="S95" i="20"/>
  <c r="X81" i="20"/>
  <c r="AC75" i="20"/>
  <c r="AC69" i="17"/>
  <c r="Y111" i="17"/>
  <c r="S65" i="17"/>
  <c r="S63" i="17"/>
  <c r="AA73" i="17"/>
  <c r="Y63" i="17"/>
  <c r="AG73" i="17"/>
  <c r="AC111" i="17"/>
  <c r="Y77" i="17"/>
  <c r="AF111" i="17"/>
  <c r="U67" i="17"/>
  <c r="U91" i="17"/>
  <c r="AA97" i="17"/>
  <c r="S75" i="17"/>
  <c r="S85" i="17"/>
  <c r="AB91" i="17"/>
  <c r="AB97" i="17"/>
  <c r="W57" i="17"/>
  <c r="Y75" i="17"/>
  <c r="AE79" i="17"/>
  <c r="AG97" i="17"/>
  <c r="AB75" i="17"/>
  <c r="AC75" i="17"/>
  <c r="AF75" i="17"/>
  <c r="AE87" i="17"/>
  <c r="T93" i="17"/>
  <c r="X59" i="17"/>
  <c r="W69" i="17"/>
  <c r="AG75" i="17"/>
  <c r="W111" i="17"/>
  <c r="S61" i="17"/>
  <c r="AB69" i="17"/>
  <c r="T73" i="17"/>
  <c r="X111" i="17"/>
  <c r="X57" i="17"/>
  <c r="T61" i="17"/>
  <c r="AB57" i="17"/>
  <c r="W61" i="17"/>
  <c r="X65" i="17"/>
  <c r="AF69" i="17"/>
  <c r="AG79" i="17"/>
  <c r="X91" i="17"/>
  <c r="Y93" i="17"/>
  <c r="AB55" i="20"/>
  <c r="AG101" i="20"/>
  <c r="Y95" i="20"/>
  <c r="AB81" i="20"/>
  <c r="Y79" i="20"/>
  <c r="AG71" i="20"/>
  <c r="W69" i="20"/>
  <c r="T67" i="20"/>
  <c r="W73" i="8"/>
  <c r="AB53" i="8"/>
  <c r="AE57" i="17"/>
  <c r="X61" i="17"/>
  <c r="AG69" i="17"/>
  <c r="T89" i="17"/>
  <c r="Y91" i="17"/>
  <c r="AB93" i="17"/>
  <c r="AE55" i="20"/>
  <c r="U95" i="20"/>
  <c r="AA81" i="20"/>
  <c r="U79" i="20"/>
  <c r="AF71" i="20"/>
  <c r="S69" i="20"/>
  <c r="S49" i="8"/>
  <c r="AF55" i="20"/>
  <c r="AF91" i="20"/>
  <c r="W77" i="8"/>
  <c r="Z65" i="8"/>
  <c r="AA89" i="17"/>
  <c r="T85" i="17"/>
  <c r="AB89" i="17"/>
  <c r="AG55" i="20"/>
  <c r="AE91" i="20"/>
  <c r="AB89" i="20"/>
  <c r="AB61" i="17"/>
  <c r="X67" i="17"/>
  <c r="AC61" i="17"/>
  <c r="AE67" i="17"/>
  <c r="U75" i="17"/>
  <c r="AB77" i="17"/>
  <c r="T81" i="17"/>
  <c r="AC89" i="17"/>
  <c r="AF91" i="17"/>
  <c r="S57" i="20"/>
  <c r="AC97" i="20"/>
  <c r="AC91" i="20"/>
  <c r="AA89" i="20"/>
  <c r="U81" i="20"/>
  <c r="T71" i="20"/>
  <c r="AG65" i="20"/>
  <c r="S57" i="8"/>
  <c r="AF51" i="8"/>
  <c r="AA61" i="17"/>
  <c r="AC91" i="17"/>
  <c r="S59" i="17"/>
  <c r="AF61" i="17"/>
  <c r="AF67" i="17"/>
  <c r="S69" i="17"/>
  <c r="S71" i="17"/>
  <c r="W75" i="17"/>
  <c r="U81" i="17"/>
  <c r="AG89" i="17"/>
  <c r="AG91" i="17"/>
  <c r="U95" i="17"/>
  <c r="W57" i="20"/>
  <c r="AG99" i="20"/>
  <c r="U97" i="20"/>
  <c r="AB91" i="20"/>
  <c r="Y89" i="20"/>
  <c r="AC83" i="20"/>
  <c r="T81" i="20"/>
  <c r="S71" i="20"/>
  <c r="AG67" i="20"/>
  <c r="AC65" i="20"/>
  <c r="AE51" i="8"/>
  <c r="T59" i="17"/>
  <c r="AG61" i="17"/>
  <c r="U69" i="17"/>
  <c r="X75" i="17"/>
  <c r="W81" i="17"/>
  <c r="X95" i="17"/>
  <c r="Y57" i="20"/>
  <c r="AE99" i="20"/>
  <c r="T97" i="20"/>
  <c r="AF93" i="20"/>
  <c r="AA91" i="20"/>
  <c r="T89" i="20"/>
  <c r="S81" i="20"/>
  <c r="AF77" i="20"/>
  <c r="AE67" i="20"/>
  <c r="AA65" i="20"/>
  <c r="W75" i="8"/>
  <c r="AD51" i="8"/>
  <c r="T55" i="20"/>
  <c r="AF57" i="20"/>
  <c r="AE93" i="20"/>
  <c r="Y91" i="20"/>
  <c r="AB73" i="20"/>
  <c r="AC67" i="20"/>
  <c r="U65" i="20"/>
  <c r="V75" i="8"/>
  <c r="AB51" i="8"/>
  <c r="AA59" i="17"/>
  <c r="T63" i="17"/>
  <c r="X69" i="17"/>
  <c r="Y71" i="17"/>
  <c r="U79" i="17"/>
  <c r="AF87" i="17"/>
  <c r="AF95" i="17"/>
  <c r="W55" i="20"/>
  <c r="AG57" i="20"/>
  <c r="AC93" i="20"/>
  <c r="X91" i="20"/>
  <c r="AA73" i="20"/>
  <c r="AB67" i="20"/>
  <c r="T65" i="20"/>
  <c r="T55" i="8"/>
  <c r="S51" i="8"/>
  <c r="AE95" i="17"/>
  <c r="U57" i="17"/>
  <c r="AG59" i="17"/>
  <c r="W63" i="17"/>
  <c r="Y69" i="17"/>
  <c r="AB71" i="17"/>
  <c r="X79" i="17"/>
  <c r="S91" i="17"/>
  <c r="S93" i="17"/>
  <c r="AG95" i="17"/>
  <c r="X55" i="20"/>
  <c r="Y93" i="20"/>
  <c r="W91" i="20"/>
  <c r="AG81" i="20"/>
  <c r="AG69" i="20"/>
  <c r="Y67" i="20"/>
  <c r="S65" i="20"/>
  <c r="W61" i="8"/>
  <c r="R51" i="8"/>
  <c r="Y55" i="20"/>
  <c r="W99" i="20"/>
  <c r="AF95" i="20"/>
  <c r="W93" i="20"/>
  <c r="U91" i="20"/>
  <c r="AE81" i="20"/>
  <c r="AF79" i="20"/>
  <c r="AE69" i="20"/>
  <c r="W67" i="20"/>
  <c r="AB79" i="8"/>
  <c r="AB67" i="8"/>
  <c r="AF79" i="17"/>
  <c r="W91" i="17"/>
  <c r="U93" i="17"/>
  <c r="AA55" i="20"/>
  <c r="AA95" i="20"/>
  <c r="S91" i="20"/>
  <c r="AC81" i="20"/>
  <c r="AA79" i="20"/>
  <c r="X69" i="20"/>
  <c r="U67" i="20"/>
  <c r="AE73" i="8"/>
  <c r="AB63" i="20"/>
  <c r="AC63" i="20"/>
  <c r="S63" i="20"/>
  <c r="AF63" i="20"/>
  <c r="T63" i="20"/>
  <c r="AG63" i="20"/>
  <c r="U63" i="20"/>
  <c r="W63" i="20"/>
  <c r="X63" i="20"/>
  <c r="Y63" i="20"/>
  <c r="T87" i="20"/>
  <c r="Y85" i="20"/>
  <c r="AA85" i="20"/>
  <c r="AB85" i="20"/>
  <c r="AC85" i="20"/>
  <c r="AE85" i="20"/>
  <c r="AF85" i="20"/>
  <c r="S85" i="20"/>
  <c r="AG85" i="20"/>
  <c r="T85" i="20"/>
  <c r="U85" i="20"/>
  <c r="X71" i="8"/>
  <c r="S71" i="8"/>
  <c r="R71" i="8"/>
  <c r="T71" i="8"/>
  <c r="V71" i="8"/>
  <c r="W71" i="8"/>
  <c r="AF71" i="8"/>
  <c r="AF63" i="17"/>
  <c r="S77" i="17"/>
  <c r="AE61" i="20"/>
  <c r="AD69" i="8"/>
  <c r="W69" i="8"/>
  <c r="X69" i="8"/>
  <c r="Z69" i="8"/>
  <c r="AA69" i="8"/>
  <c r="AB69" i="8"/>
  <c r="X45" i="8"/>
  <c r="R45" i="8"/>
  <c r="S45" i="8"/>
  <c r="T45" i="8"/>
  <c r="V45" i="8"/>
  <c r="W45" i="8"/>
  <c r="AD45" i="8"/>
  <c r="AE45" i="8"/>
  <c r="AF45" i="8"/>
  <c r="R47" i="8"/>
  <c r="X47" i="8"/>
  <c r="Z47" i="8"/>
  <c r="AA47" i="8"/>
  <c r="AB47" i="8"/>
  <c r="AD47" i="8"/>
  <c r="AE47" i="8"/>
  <c r="AC87" i="17"/>
  <c r="AB87" i="17"/>
  <c r="AA87" i="17"/>
  <c r="Y87" i="17"/>
  <c r="W87" i="17"/>
  <c r="T87" i="17"/>
  <c r="S87" i="17"/>
  <c r="AC67" i="17"/>
  <c r="AB67" i="17"/>
  <c r="AA67" i="17"/>
  <c r="Y67" i="17"/>
  <c r="W67" i="17"/>
  <c r="T67" i="17"/>
  <c r="S67" i="17"/>
  <c r="AG85" i="17"/>
  <c r="AF85" i="17"/>
  <c r="AE85" i="17"/>
  <c r="AC85" i="17"/>
  <c r="AA85" i="17"/>
  <c r="X85" i="17"/>
  <c r="W85" i="17"/>
  <c r="AC65" i="17"/>
  <c r="AB65" i="17"/>
  <c r="AA65" i="17"/>
  <c r="Y65" i="17"/>
  <c r="W65" i="17"/>
  <c r="U65" i="17"/>
  <c r="T65" i="17"/>
  <c r="T77" i="17"/>
  <c r="Y85" i="17"/>
  <c r="T83" i="17"/>
  <c r="S83" i="17"/>
  <c r="AG83" i="17"/>
  <c r="AE83" i="17"/>
  <c r="AB83" i="17"/>
  <c r="AA83" i="17"/>
  <c r="AE63" i="17"/>
  <c r="AC63" i="17"/>
  <c r="AB63" i="17"/>
  <c r="AA63" i="17"/>
  <c r="X63" i="17"/>
  <c r="U63" i="17"/>
  <c r="W83" i="17"/>
  <c r="AB85" i="17"/>
  <c r="Y101" i="20"/>
  <c r="AA101" i="20"/>
  <c r="AE101" i="20"/>
  <c r="AB101" i="20"/>
  <c r="AC101" i="20"/>
  <c r="AF101" i="20"/>
  <c r="T101" i="20"/>
  <c r="U101" i="20"/>
  <c r="S77" i="20"/>
  <c r="AG77" i="20"/>
  <c r="T77" i="20"/>
  <c r="U77" i="20"/>
  <c r="W77" i="20"/>
  <c r="X77" i="20"/>
  <c r="Y77" i="20"/>
  <c r="AA77" i="20"/>
  <c r="AC77" i="20"/>
  <c r="AB77" i="20"/>
  <c r="X85" i="20"/>
  <c r="S61" i="20"/>
  <c r="AG61" i="20"/>
  <c r="T61" i="20"/>
  <c r="U61" i="20"/>
  <c r="X61" i="20"/>
  <c r="Y61" i="20"/>
  <c r="AA61" i="20"/>
  <c r="AB61" i="20"/>
  <c r="AC61" i="20"/>
  <c r="Y83" i="17"/>
  <c r="W85" i="20"/>
  <c r="AG113" i="17"/>
  <c r="AF113" i="17"/>
  <c r="AE113" i="17"/>
  <c r="AC113" i="17"/>
  <c r="AA113" i="17"/>
  <c r="X113" i="17"/>
  <c r="U113" i="17"/>
  <c r="W113" i="17"/>
  <c r="AG77" i="17"/>
  <c r="AF77" i="17"/>
  <c r="AE77" i="17"/>
  <c r="AC77" i="17"/>
  <c r="AA77" i="17"/>
  <c r="X77" i="17"/>
  <c r="W77" i="17"/>
  <c r="S113" i="17"/>
  <c r="AF65" i="17"/>
  <c r="AF83" i="17"/>
  <c r="U87" i="17"/>
  <c r="T113" i="17"/>
  <c r="X101" i="20"/>
  <c r="AA63" i="20"/>
  <c r="U87" i="20"/>
  <c r="W87" i="20"/>
  <c r="X87" i="20"/>
  <c r="Y87" i="20"/>
  <c r="AA87" i="20"/>
  <c r="AB87" i="20"/>
  <c r="AC87" i="20"/>
  <c r="AE87" i="20"/>
  <c r="AC83" i="17"/>
  <c r="Y97" i="17"/>
  <c r="X97" i="17"/>
  <c r="W97" i="17"/>
  <c r="U97" i="17"/>
  <c r="S97" i="17"/>
  <c r="AF97" i="17"/>
  <c r="AC97" i="17"/>
  <c r="AE97" i="17"/>
  <c r="Y73" i="17"/>
  <c r="X73" i="17"/>
  <c r="W73" i="17"/>
  <c r="U73" i="17"/>
  <c r="S73" i="17"/>
  <c r="AF73" i="17"/>
  <c r="AE73" i="17"/>
  <c r="AG65" i="17"/>
  <c r="AC73" i="17"/>
  <c r="X87" i="17"/>
  <c r="Y113" i="17"/>
  <c r="W101" i="20"/>
  <c r="AG87" i="20"/>
  <c r="AA79" i="8"/>
  <c r="AD73" i="8"/>
  <c r="AA67" i="8"/>
  <c r="X65" i="8"/>
  <c r="R57" i="8"/>
  <c r="AA53" i="8"/>
  <c r="S41" i="8"/>
  <c r="X67" i="8"/>
  <c r="W65" i="8"/>
  <c r="Z53" i="8"/>
  <c r="AG97" i="20"/>
  <c r="S97" i="20"/>
  <c r="AB83" i="20"/>
  <c r="U59" i="20"/>
  <c r="Y57" i="17"/>
  <c r="U59" i="17"/>
  <c r="U61" i="17"/>
  <c r="AA69" i="17"/>
  <c r="W71" i="17"/>
  <c r="AA75" i="17"/>
  <c r="S79" i="17"/>
  <c r="AE89" i="17"/>
  <c r="AA91" i="17"/>
  <c r="W93" i="17"/>
  <c r="S95" i="17"/>
  <c r="AA111" i="17"/>
  <c r="U55" i="20"/>
  <c r="T57" i="20"/>
  <c r="AA99" i="20"/>
  <c r="AF97" i="20"/>
  <c r="X95" i="20"/>
  <c r="AB93" i="20"/>
  <c r="AG91" i="20"/>
  <c r="X89" i="20"/>
  <c r="AA83" i="20"/>
  <c r="AF81" i="20"/>
  <c r="X79" i="20"/>
  <c r="AG75" i="20"/>
  <c r="T75" i="20"/>
  <c r="X73" i="20"/>
  <c r="U69" i="20"/>
  <c r="AA67" i="20"/>
  <c r="AF65" i="20"/>
  <c r="AG59" i="20"/>
  <c r="T59" i="20"/>
  <c r="AA75" i="8"/>
  <c r="AB73" i="8"/>
  <c r="W67" i="8"/>
  <c r="V65" i="8"/>
  <c r="Y73" i="20"/>
  <c r="AA57" i="17"/>
  <c r="W59" i="17"/>
  <c r="X71" i="17"/>
  <c r="T79" i="17"/>
  <c r="AF89" i="17"/>
  <c r="X93" i="17"/>
  <c r="T95" i="17"/>
  <c r="AB111" i="17"/>
  <c r="U57" i="20"/>
  <c r="AE97" i="20"/>
  <c r="W95" i="20"/>
  <c r="AA93" i="20"/>
  <c r="W89" i="20"/>
  <c r="W79" i="20"/>
  <c r="AF75" i="20"/>
  <c r="S75" i="20"/>
  <c r="AC71" i="20"/>
  <c r="T69" i="20"/>
  <c r="AE65" i="20"/>
  <c r="AF59" i="20"/>
  <c r="S59" i="20"/>
  <c r="Z75" i="8"/>
  <c r="AA73" i="8"/>
  <c r="T67" i="8"/>
  <c r="T65" i="8"/>
  <c r="AA59" i="8"/>
  <c r="AF49" i="8"/>
  <c r="Z81" i="8"/>
  <c r="AF77" i="8"/>
  <c r="X75" i="8"/>
  <c r="Z73" i="8"/>
  <c r="S67" i="8"/>
  <c r="S65" i="8"/>
  <c r="Z59" i="8"/>
  <c r="W55" i="8"/>
  <c r="AD49" i="8"/>
  <c r="Y83" i="20"/>
  <c r="AE59" i="20"/>
  <c r="AC57" i="17"/>
  <c r="Y59" i="17"/>
  <c r="Y61" i="17"/>
  <c r="AE69" i="17"/>
  <c r="AA71" i="17"/>
  <c r="AE75" i="17"/>
  <c r="W79" i="17"/>
  <c r="S81" i="17"/>
  <c r="S89" i="17"/>
  <c r="AE91" i="17"/>
  <c r="AA93" i="17"/>
  <c r="W95" i="17"/>
  <c r="AE111" i="17"/>
  <c r="X57" i="20"/>
  <c r="X99" i="20"/>
  <c r="AB97" i="20"/>
  <c r="AG95" i="20"/>
  <c r="T95" i="20"/>
  <c r="X93" i="20"/>
  <c r="U89" i="20"/>
  <c r="X83" i="20"/>
  <c r="AG79" i="20"/>
  <c r="T79" i="20"/>
  <c r="U73" i="20"/>
  <c r="AA71" i="20"/>
  <c r="AF69" i="20"/>
  <c r="X67" i="20"/>
  <c r="AB65" i="20"/>
  <c r="X81" i="8"/>
  <c r="AE77" i="8"/>
  <c r="X73" i="8"/>
  <c r="R67" i="8"/>
  <c r="V55" i="8"/>
  <c r="Z49" i="8"/>
  <c r="AC71" i="17"/>
  <c r="Y79" i="17"/>
  <c r="U89" i="17"/>
  <c r="AC93" i="17"/>
  <c r="Y95" i="17"/>
  <c r="AG111" i="17"/>
  <c r="AA57" i="20"/>
  <c r="Y97" i="20"/>
  <c r="AE95" i="20"/>
  <c r="AG89" i="20"/>
  <c r="S89" i="20"/>
  <c r="U83" i="20"/>
  <c r="AE79" i="20"/>
  <c r="AB75" i="20"/>
  <c r="AG73" i="20"/>
  <c r="S73" i="20"/>
  <c r="Y71" i="20"/>
  <c r="AC69" i="20"/>
  <c r="Y65" i="20"/>
  <c r="AB59" i="20"/>
  <c r="V77" i="8"/>
  <c r="T73" i="8"/>
  <c r="X49" i="8"/>
  <c r="W83" i="20"/>
  <c r="AC59" i="20"/>
  <c r="AF57" i="17"/>
  <c r="AB59" i="17"/>
  <c r="W89" i="17"/>
  <c r="AA95" i="17"/>
  <c r="S111" i="17"/>
  <c r="AB57" i="20"/>
  <c r="X97" i="20"/>
  <c r="U93" i="20"/>
  <c r="AF89" i="20"/>
  <c r="AG83" i="20"/>
  <c r="T83" i="20"/>
  <c r="AA75" i="20"/>
  <c r="AF73" i="20"/>
  <c r="X71" i="20"/>
  <c r="AB69" i="20"/>
  <c r="X65" i="20"/>
  <c r="AA59" i="20"/>
  <c r="T77" i="8"/>
  <c r="S73" i="8"/>
  <c r="AF67" i="8"/>
  <c r="AF57" i="8"/>
  <c r="W49" i="8"/>
  <c r="AE41" i="8"/>
  <c r="AG57" i="17"/>
  <c r="AC59" i="17"/>
  <c r="AE71" i="17"/>
  <c r="AA79" i="17"/>
  <c r="AE93" i="17"/>
  <c r="S57" i="17"/>
  <c r="AE59" i="17"/>
  <c r="AF71" i="17"/>
  <c r="AB79" i="17"/>
  <c r="X81" i="17"/>
  <c r="X89" i="17"/>
  <c r="AF93" i="17"/>
  <c r="AB95" i="17"/>
  <c r="T111" i="17"/>
  <c r="AC57" i="20"/>
  <c r="AF99" i="20"/>
  <c r="W97" i="20"/>
  <c r="AC95" i="20"/>
  <c r="T93" i="20"/>
  <c r="AE89" i="20"/>
  <c r="AF83" i="20"/>
  <c r="S83" i="20"/>
  <c r="AC79" i="20"/>
  <c r="AE73" i="20"/>
  <c r="W71" i="20"/>
  <c r="AA69" i="20"/>
  <c r="AF67" i="20"/>
  <c r="Z33" i="8"/>
  <c r="AE79" i="8"/>
  <c r="S77" i="8"/>
  <c r="R73" i="8"/>
  <c r="AE67" i="8"/>
  <c r="AF65" i="8"/>
  <c r="AE57" i="8"/>
  <c r="T51" i="8"/>
  <c r="V49" i="8"/>
  <c r="AD41" i="8"/>
  <c r="T73" i="20"/>
  <c r="AG93" i="20"/>
  <c r="AD79" i="8"/>
  <c r="R77" i="8"/>
  <c r="AF73" i="8"/>
  <c r="AD67" i="8"/>
  <c r="AD57" i="8"/>
  <c r="T49" i="8"/>
  <c r="AB41" i="8"/>
  <c r="R41" i="8"/>
  <c r="AF41" i="8"/>
  <c r="T61" i="8"/>
  <c r="AD33" i="8"/>
  <c r="X79" i="8"/>
  <c r="AF81" i="8"/>
  <c r="T75" i="8"/>
  <c r="AE63" i="8"/>
  <c r="AA33" i="8"/>
  <c r="AD63" i="8"/>
  <c r="AB33" i="8"/>
  <c r="AB63" i="8"/>
  <c r="X59" i="8"/>
  <c r="AA63" i="8"/>
  <c r="AF61" i="8"/>
  <c r="W59" i="8"/>
  <c r="AE33" i="8"/>
  <c r="V81" i="8"/>
  <c r="Z63" i="8"/>
  <c r="AE61" i="8"/>
  <c r="AB57" i="8"/>
  <c r="S55" i="8"/>
  <c r="AF33" i="8"/>
  <c r="AD77" i="8"/>
  <c r="AD61" i="8"/>
  <c r="AF55" i="8"/>
  <c r="R55" i="8"/>
  <c r="X53" i="8"/>
  <c r="S81" i="8"/>
  <c r="W79" i="8"/>
  <c r="AE71" i="8"/>
  <c r="W63" i="8"/>
  <c r="T59" i="8"/>
  <c r="Z57" i="8"/>
  <c r="AE55" i="8"/>
  <c r="W53" i="8"/>
  <c r="AA51" i="8"/>
  <c r="W47" i="8"/>
  <c r="Z41" i="8"/>
  <c r="T33" i="8"/>
  <c r="AE81" i="8"/>
  <c r="R81" i="8"/>
  <c r="V79" i="8"/>
  <c r="AB77" i="8"/>
  <c r="S75" i="8"/>
  <c r="AD71" i="8"/>
  <c r="V69" i="8"/>
  <c r="Z67" i="8"/>
  <c r="AE65" i="8"/>
  <c r="R65" i="8"/>
  <c r="V63" i="8"/>
  <c r="AB61" i="8"/>
  <c r="S59" i="8"/>
  <c r="AD55" i="8"/>
  <c r="V53" i="8"/>
  <c r="Z51" i="8"/>
  <c r="AE49" i="8"/>
  <c r="R49" i="8"/>
  <c r="V47" i="8"/>
  <c r="AB45" i="8"/>
  <c r="Z79" i="8"/>
  <c r="V59" i="8"/>
  <c r="T81" i="8"/>
  <c r="V35" i="8"/>
  <c r="AD81" i="8"/>
  <c r="AA77" i="8"/>
  <c r="AF75" i="8"/>
  <c r="R75" i="8"/>
  <c r="AB71" i="8"/>
  <c r="T69" i="8"/>
  <c r="AD65" i="8"/>
  <c r="AA61" i="8"/>
  <c r="AF59" i="8"/>
  <c r="R59" i="8"/>
  <c r="X57" i="8"/>
  <c r="AB55" i="8"/>
  <c r="T53" i="8"/>
  <c r="X51" i="8"/>
  <c r="AA45" i="8"/>
  <c r="X41" i="8"/>
  <c r="V61" i="8"/>
  <c r="V33" i="8"/>
  <c r="T79" i="8"/>
  <c r="AE75" i="8"/>
  <c r="AA71" i="8"/>
  <c r="AF69" i="8"/>
  <c r="T63" i="8"/>
  <c r="Z61" i="8"/>
  <c r="AE59" i="8"/>
  <c r="W57" i="8"/>
  <c r="AA55" i="8"/>
  <c r="AF53" i="8"/>
  <c r="S53" i="8"/>
  <c r="W51" i="8"/>
  <c r="T47" i="8"/>
  <c r="Z45" i="8"/>
  <c r="W41" i="8"/>
  <c r="W81" i="8"/>
  <c r="AA57" i="8"/>
  <c r="W35" i="8"/>
  <c r="Z77" i="8"/>
  <c r="S69" i="8"/>
  <c r="W33" i="8"/>
  <c r="X35" i="8"/>
  <c r="AB81" i="8"/>
  <c r="S79" i="8"/>
  <c r="AD75" i="8"/>
  <c r="Z71" i="8"/>
  <c r="AE69" i="8"/>
  <c r="R69" i="8"/>
  <c r="AB65" i="8"/>
  <c r="S63" i="8"/>
  <c r="AD59" i="8"/>
  <c r="V57" i="8"/>
  <c r="Z55" i="8"/>
  <c r="AE53" i="8"/>
  <c r="R53" i="8"/>
  <c r="AB49" i="8"/>
  <c r="S47" i="8"/>
  <c r="V41" i="8"/>
  <c r="S61" i="8"/>
  <c r="R61" i="8"/>
  <c r="X63" i="8"/>
  <c r="AB35" i="8"/>
  <c r="AF79" i="8"/>
  <c r="AF63" i="8"/>
  <c r="AF47" i="8"/>
  <c r="T35" i="8"/>
  <c r="Z35" i="8"/>
  <c r="S78" i="2"/>
  <c r="X77" i="2"/>
  <c r="K79" i="2"/>
  <c r="AE79" i="2" s="1"/>
  <c r="V136" i="2"/>
  <c r="Z136" i="2"/>
  <c r="AD136" i="2"/>
  <c r="V170" i="2"/>
  <c r="Z170" i="2"/>
  <c r="AD170" i="2"/>
  <c r="V172" i="2"/>
  <c r="Z172" i="2"/>
  <c r="AD172" i="2"/>
  <c r="V174" i="2"/>
  <c r="Z174" i="2"/>
  <c r="AD174" i="2"/>
  <c r="V176" i="2"/>
  <c r="Z176" i="2"/>
  <c r="AD176" i="2"/>
  <c r="AD134" i="2"/>
  <c r="Z134" i="2"/>
  <c r="V134" i="2"/>
  <c r="AD132" i="2"/>
  <c r="Z132" i="2"/>
  <c r="V132" i="2"/>
  <c r="AD130" i="2"/>
  <c r="Z130" i="2"/>
  <c r="V130" i="2"/>
  <c r="AD128" i="2"/>
  <c r="Z128" i="2"/>
  <c r="V128" i="2"/>
  <c r="AD126" i="2"/>
  <c r="Z126" i="2"/>
  <c r="V126" i="2"/>
  <c r="AD124" i="2"/>
  <c r="Z124" i="2"/>
  <c r="V124" i="2"/>
  <c r="AD122" i="2"/>
  <c r="Z122" i="2"/>
  <c r="V122" i="2"/>
  <c r="AD120" i="2"/>
  <c r="Z120" i="2"/>
  <c r="V120" i="2"/>
  <c r="AD118" i="2"/>
  <c r="Z118" i="2"/>
  <c r="V118" i="2"/>
  <c r="AD116" i="2"/>
  <c r="Z116" i="2"/>
  <c r="V116" i="2"/>
  <c r="AD114" i="2"/>
  <c r="Z114" i="2"/>
  <c r="V114" i="2"/>
  <c r="AD112" i="2"/>
  <c r="Z112" i="2"/>
  <c r="V112" i="2"/>
  <c r="AD110" i="2"/>
  <c r="Z110" i="2"/>
  <c r="V110" i="2"/>
  <c r="AD108" i="2"/>
  <c r="AC38" i="8" s="1"/>
  <c r="Z108" i="2"/>
  <c r="Y38" i="8" s="1"/>
  <c r="V108" i="2"/>
  <c r="U38" i="8" s="1"/>
  <c r="AD106" i="2"/>
  <c r="Z106" i="2"/>
  <c r="V106" i="2"/>
  <c r="AD104" i="2"/>
  <c r="Z104" i="2"/>
  <c r="V104" i="2"/>
  <c r="AD102" i="2"/>
  <c r="Z102" i="2"/>
  <c r="V102" i="2"/>
  <c r="AD100" i="2"/>
  <c r="Z100" i="2"/>
  <c r="V100" i="2"/>
  <c r="AD98" i="2"/>
  <c r="Z98" i="2"/>
  <c r="V98" i="2"/>
  <c r="AD96" i="2"/>
  <c r="Z96" i="2"/>
  <c r="V96" i="2"/>
  <c r="V90" i="2"/>
  <c r="Z90" i="2"/>
  <c r="AD90" i="2"/>
  <c r="V92" i="2"/>
  <c r="Z92" i="2"/>
  <c r="AD92" i="2"/>
  <c r="AG83" i="2"/>
  <c r="AF83" i="2"/>
  <c r="AE83" i="2"/>
  <c r="AC83" i="2"/>
  <c r="AB83" i="2"/>
  <c r="AA83" i="2"/>
  <c r="Y83" i="2"/>
  <c r="X83" i="2"/>
  <c r="W83" i="2"/>
  <c r="U83" i="2"/>
  <c r="T83" i="2"/>
  <c r="S83" i="2"/>
  <c r="AD80" i="2"/>
  <c r="Z80" i="2"/>
  <c r="V80" i="2"/>
  <c r="AG77" i="2"/>
  <c r="AF77" i="2"/>
  <c r="AE77" i="2"/>
  <c r="AC77" i="2"/>
  <c r="AB77" i="2"/>
  <c r="AA77" i="2"/>
  <c r="Y77" i="2"/>
  <c r="W77" i="2"/>
  <c r="U77" i="2"/>
  <c r="T77" i="2"/>
  <c r="S77" i="2"/>
  <c r="V64" i="2"/>
  <c r="Z64" i="2"/>
  <c r="AD64" i="2"/>
  <c r="V66" i="2"/>
  <c r="Z66" i="2"/>
  <c r="AD66" i="2"/>
  <c r="V68" i="2"/>
  <c r="Z68" i="2"/>
  <c r="AD68" i="2"/>
  <c r="V70" i="2"/>
  <c r="Z70" i="2"/>
  <c r="AD70" i="2"/>
  <c r="V72" i="2"/>
  <c r="Z72" i="2"/>
  <c r="AD72" i="2"/>
  <c r="V74" i="2"/>
  <c r="Z74" i="2"/>
  <c r="AD74" i="2"/>
  <c r="V76" i="2"/>
  <c r="Z76" i="2"/>
  <c r="AD76" i="2"/>
  <c r="K59" i="2"/>
  <c r="AA59" i="2" s="1"/>
  <c r="K61" i="2"/>
  <c r="AF61" i="2" s="1"/>
  <c r="W63" i="2"/>
  <c r="K65" i="2"/>
  <c r="AF65" i="2" s="1"/>
  <c r="K67" i="2"/>
  <c r="AA67" i="2" s="1"/>
  <c r="K69" i="2"/>
  <c r="U69" i="2" s="1"/>
  <c r="K71" i="2"/>
  <c r="AB71" i="2" s="1"/>
  <c r="K73" i="2"/>
  <c r="Y73" i="2" s="1"/>
  <c r="K75" i="2"/>
  <c r="AC75" i="2" s="1"/>
  <c r="K81" i="2"/>
  <c r="W81" i="2" s="1"/>
  <c r="K85" i="2"/>
  <c r="U85" i="2" s="1"/>
  <c r="K87" i="2"/>
  <c r="U87" i="2" s="1"/>
  <c r="K89" i="2"/>
  <c r="AA89" i="2" s="1"/>
  <c r="K91" i="2"/>
  <c r="T91" i="2" s="1"/>
  <c r="K93" i="2"/>
  <c r="AC93" i="2" s="1"/>
  <c r="K95" i="2"/>
  <c r="Y95" i="2" s="1"/>
  <c r="K97" i="2"/>
  <c r="AF97" i="2" s="1"/>
  <c r="K99" i="2"/>
  <c r="AB99" i="2" s="1"/>
  <c r="K101" i="2"/>
  <c r="X101" i="2" s="1"/>
  <c r="K103" i="2"/>
  <c r="T103" i="2" s="1"/>
  <c r="K105" i="2"/>
  <c r="AF105" i="2" s="1"/>
  <c r="K107" i="2"/>
  <c r="K109" i="2"/>
  <c r="X109" i="2" s="1"/>
  <c r="K111" i="2"/>
  <c r="T111" i="2" s="1"/>
  <c r="K113" i="2"/>
  <c r="K115" i="2"/>
  <c r="K117" i="2"/>
  <c r="K119" i="2"/>
  <c r="K121" i="2"/>
  <c r="AC121" i="2" s="1"/>
  <c r="K123" i="2"/>
  <c r="Y123" i="2" s="1"/>
  <c r="K125" i="2"/>
  <c r="U125" i="2" s="1"/>
  <c r="K127" i="2"/>
  <c r="AG127" i="2" s="1"/>
  <c r="K129" i="2"/>
  <c r="AB129" i="2" s="1"/>
  <c r="K131" i="2"/>
  <c r="X131" i="2" s="1"/>
  <c r="K133" i="2"/>
  <c r="S133" i="2" s="1"/>
  <c r="K135" i="2"/>
  <c r="AC135" i="2" s="1"/>
  <c r="K169" i="2"/>
  <c r="T169" i="2" s="1"/>
  <c r="K171" i="2"/>
  <c r="AC171" i="2" s="1"/>
  <c r="K173" i="2"/>
  <c r="X173" i="2" s="1"/>
  <c r="K175" i="2"/>
  <c r="S175" i="2" s="1"/>
  <c r="AB57" i="2"/>
  <c r="K55" i="2"/>
  <c r="AB55" i="2" s="1"/>
  <c r="K59" i="18"/>
  <c r="T59" i="18" s="1"/>
  <c r="K61" i="18"/>
  <c r="W61" i="18" s="1"/>
  <c r="K63" i="18"/>
  <c r="AA63" i="18" s="1"/>
  <c r="K65" i="18"/>
  <c r="AA65" i="18" s="1"/>
  <c r="AA67" i="18"/>
  <c r="K69" i="18"/>
  <c r="AE69" i="18" s="1"/>
  <c r="X71" i="18"/>
  <c r="K73" i="18"/>
  <c r="S73" i="18" s="1"/>
  <c r="K75" i="18"/>
  <c r="AC75" i="18" s="1"/>
  <c r="K77" i="18"/>
  <c r="Y77" i="18" s="1"/>
  <c r="U81" i="18"/>
  <c r="AB87" i="18"/>
  <c r="S89" i="18"/>
  <c r="Y91" i="18"/>
  <c r="AC93" i="18"/>
  <c r="AA115" i="18"/>
  <c r="U117" i="18"/>
  <c r="V62" i="18"/>
  <c r="Z62" i="18"/>
  <c r="AD62" i="18"/>
  <c r="V64" i="18"/>
  <c r="Z64" i="18"/>
  <c r="AD64" i="18"/>
  <c r="V66" i="18"/>
  <c r="Z66" i="18"/>
  <c r="AD66" i="18"/>
  <c r="V68" i="18"/>
  <c r="Z68" i="18"/>
  <c r="AD68" i="18"/>
  <c r="V70" i="18"/>
  <c r="Z70" i="18"/>
  <c r="AD70" i="18"/>
  <c r="V72" i="18"/>
  <c r="Z72" i="18"/>
  <c r="AD72" i="18"/>
  <c r="V74" i="18"/>
  <c r="Z74" i="18"/>
  <c r="AD74" i="18"/>
  <c r="V76" i="18"/>
  <c r="Z76" i="18"/>
  <c r="AD76" i="18"/>
  <c r="V78" i="18"/>
  <c r="Z78" i="18"/>
  <c r="AD78" i="18"/>
  <c r="V82" i="18"/>
  <c r="Z82" i="18"/>
  <c r="AD82" i="18"/>
  <c r="V84" i="18"/>
  <c r="Z84" i="18"/>
  <c r="AD84" i="18"/>
  <c r="V88" i="18"/>
  <c r="Z88" i="18"/>
  <c r="AD88" i="18"/>
  <c r="V90" i="18"/>
  <c r="Z90" i="18"/>
  <c r="AD90" i="18"/>
  <c r="V92" i="18"/>
  <c r="Z92" i="18"/>
  <c r="AD92" i="18"/>
  <c r="V94" i="18"/>
  <c r="Z94" i="18"/>
  <c r="AD94" i="18"/>
  <c r="V116" i="18"/>
  <c r="Z116" i="18"/>
  <c r="AD116" i="18"/>
  <c r="V118" i="18"/>
  <c r="Z118" i="18"/>
  <c r="AD118" i="18"/>
  <c r="K57" i="18"/>
  <c r="T57" i="18" s="1"/>
  <c r="K55" i="18"/>
  <c r="AF55" i="18" s="1"/>
  <c r="K59" i="19"/>
  <c r="K61" i="19"/>
  <c r="K63" i="19"/>
  <c r="K67" i="19"/>
  <c r="K69" i="19"/>
  <c r="K71" i="19"/>
  <c r="K73" i="19"/>
  <c r="K75" i="19"/>
  <c r="K79" i="19"/>
  <c r="K81" i="19"/>
  <c r="K83" i="19"/>
  <c r="K85" i="19"/>
  <c r="K89" i="19"/>
  <c r="K91" i="19"/>
  <c r="K93" i="19"/>
  <c r="K95" i="19"/>
  <c r="K97" i="19"/>
  <c r="K99" i="19"/>
  <c r="K101" i="19"/>
  <c r="K103" i="19"/>
  <c r="K105" i="19"/>
  <c r="K113" i="19"/>
  <c r="K117" i="19"/>
  <c r="K121" i="19"/>
  <c r="K123" i="19"/>
  <c r="K125" i="19"/>
  <c r="K127" i="19"/>
  <c r="K57" i="19"/>
  <c r="K55" i="19"/>
  <c r="AC55" i="19" s="1"/>
  <c r="V61" i="24"/>
  <c r="W36" i="24"/>
  <c r="AA36" i="24"/>
  <c r="AE36" i="24"/>
  <c r="W38" i="24"/>
  <c r="AA38" i="24"/>
  <c r="AE38" i="24"/>
  <c r="W40" i="24"/>
  <c r="AA40" i="24"/>
  <c r="AE40" i="24"/>
  <c r="W42" i="24"/>
  <c r="AA42" i="24"/>
  <c r="AE42" i="24"/>
  <c r="W44" i="24"/>
  <c r="AA44" i="24"/>
  <c r="AE44" i="24"/>
  <c r="W46" i="24"/>
  <c r="AA46" i="24"/>
  <c r="AE46" i="24"/>
  <c r="W48" i="24"/>
  <c r="AA48" i="24"/>
  <c r="AE48" i="24"/>
  <c r="W50" i="24"/>
  <c r="AA50" i="24"/>
  <c r="AE50" i="24"/>
  <c r="W52" i="24"/>
  <c r="AA52" i="24"/>
  <c r="AE52" i="24"/>
  <c r="W54" i="24"/>
  <c r="AA54" i="24"/>
  <c r="AE54" i="24"/>
  <c r="W56" i="24"/>
  <c r="AA56" i="24"/>
  <c r="AE56" i="24"/>
  <c r="W58" i="24"/>
  <c r="AA58" i="24"/>
  <c r="AE58" i="24"/>
  <c r="W60" i="24"/>
  <c r="AA60" i="24"/>
  <c r="AE60" i="24"/>
  <c r="T61" i="24"/>
  <c r="U61" i="24"/>
  <c r="X61" i="24"/>
  <c r="Y61" i="24"/>
  <c r="Z61" i="24"/>
  <c r="AB61" i="24"/>
  <c r="AC61" i="24"/>
  <c r="AD61" i="24"/>
  <c r="AF61" i="24"/>
  <c r="W62" i="24"/>
  <c r="AA62" i="24"/>
  <c r="AE62" i="24"/>
  <c r="W64" i="24"/>
  <c r="AA64" i="24"/>
  <c r="AE64" i="24"/>
  <c r="W66" i="24"/>
  <c r="AA66" i="24"/>
  <c r="AE66" i="24"/>
  <c r="W68" i="24"/>
  <c r="AA68" i="24"/>
  <c r="AE68" i="24"/>
  <c r="W70" i="24"/>
  <c r="AA70" i="24"/>
  <c r="AE70" i="24"/>
  <c r="W72" i="24"/>
  <c r="AA72" i="24"/>
  <c r="AE72" i="24"/>
  <c r="W74" i="24"/>
  <c r="AA74" i="24"/>
  <c r="AE74" i="24"/>
  <c r="W76" i="24"/>
  <c r="AA76" i="24"/>
  <c r="AE76" i="24"/>
  <c r="W78" i="24"/>
  <c r="AA78" i="24"/>
  <c r="AE78" i="24"/>
  <c r="W80" i="24"/>
  <c r="AA80" i="24"/>
  <c r="AE80" i="24"/>
  <c r="W82" i="24"/>
  <c r="AA82" i="24"/>
  <c r="AE82" i="24"/>
  <c r="W84" i="24"/>
  <c r="AA84" i="24"/>
  <c r="AE84" i="24"/>
  <c r="W86" i="24"/>
  <c r="AA86" i="24"/>
  <c r="AE86" i="24"/>
  <c r="W88" i="24"/>
  <c r="AA88" i="24"/>
  <c r="AE88" i="24"/>
  <c r="W90" i="24"/>
  <c r="AA90" i="24"/>
  <c r="AE90" i="24"/>
  <c r="W92" i="24"/>
  <c r="AA92" i="24"/>
  <c r="AE92" i="24"/>
  <c r="W94" i="24"/>
  <c r="AA94" i="24"/>
  <c r="AE94" i="24"/>
  <c r="W96" i="24"/>
  <c r="AA96" i="24"/>
  <c r="AE96" i="24"/>
  <c r="W98" i="24"/>
  <c r="AA98" i="24"/>
  <c r="AE98" i="24"/>
  <c r="W100" i="24"/>
  <c r="AA100" i="24"/>
  <c r="AE100" i="24"/>
  <c r="W102" i="24"/>
  <c r="AA102" i="24"/>
  <c r="AE102" i="24"/>
  <c r="W104" i="24"/>
  <c r="AA104" i="24"/>
  <c r="AE104" i="24"/>
  <c r="T105" i="24"/>
  <c r="U105" i="24"/>
  <c r="V105" i="24"/>
  <c r="X105" i="24"/>
  <c r="Y105" i="24"/>
  <c r="Z105" i="24"/>
  <c r="AB105" i="24"/>
  <c r="AC105" i="24"/>
  <c r="AD105" i="24"/>
  <c r="AF105" i="24"/>
  <c r="AG105" i="24"/>
  <c r="AH105" i="24"/>
  <c r="W106" i="24"/>
  <c r="AA106" i="24"/>
  <c r="AE106" i="24"/>
  <c r="W108" i="24"/>
  <c r="AA108" i="24"/>
  <c r="AE108" i="24"/>
  <c r="W110" i="24"/>
  <c r="AA110" i="24"/>
  <c r="AE110" i="24"/>
  <c r="W112" i="24"/>
  <c r="AA112" i="24"/>
  <c r="AE112" i="24"/>
  <c r="W34" i="24"/>
  <c r="AA34" i="24"/>
  <c r="AE34" i="24"/>
  <c r="S113" i="2" l="1"/>
  <c r="J39" i="8"/>
  <c r="AB107" i="2"/>
  <c r="J37" i="8"/>
  <c r="J43" i="8"/>
  <c r="V59" i="17"/>
  <c r="AD89" i="20"/>
  <c r="Y73" i="8"/>
  <c r="U89" i="18"/>
  <c r="AC14" i="8"/>
  <c r="V95" i="20"/>
  <c r="Z59" i="20"/>
  <c r="E16" i="8"/>
  <c r="F12" i="8"/>
  <c r="Y77" i="8"/>
  <c r="Z91" i="17"/>
  <c r="Z75" i="20"/>
  <c r="AD73" i="17"/>
  <c r="AH13" i="8"/>
  <c r="V93" i="20"/>
  <c r="Y81" i="18"/>
  <c r="AC65" i="8"/>
  <c r="Z93" i="20"/>
  <c r="AH12" i="8"/>
  <c r="X81" i="18"/>
  <c r="Y61" i="8"/>
  <c r="V91" i="20"/>
  <c r="V71" i="20"/>
  <c r="AB59" i="2"/>
  <c r="Z69" i="20"/>
  <c r="AD97" i="20"/>
  <c r="AD99" i="20"/>
  <c r="AD75" i="20"/>
  <c r="AD81" i="20"/>
  <c r="AH14" i="8"/>
  <c r="S14" i="8"/>
  <c r="AI14" i="8"/>
  <c r="V91" i="17"/>
  <c r="Z63" i="17"/>
  <c r="AD73" i="20"/>
  <c r="AD91" i="20"/>
  <c r="V85" i="17"/>
  <c r="Z81" i="20"/>
  <c r="AC12" i="8"/>
  <c r="AG55" i="2"/>
  <c r="AC11" i="8"/>
  <c r="AC10" i="8"/>
  <c r="AD10" i="8" s="1"/>
  <c r="S12" i="8"/>
  <c r="S13" i="8"/>
  <c r="Z91" i="20"/>
  <c r="V97" i="20"/>
  <c r="V99" i="20"/>
  <c r="U57" i="8"/>
  <c r="AC47" i="8"/>
  <c r="Y69" i="8"/>
  <c r="AC59" i="8"/>
  <c r="Y71" i="8"/>
  <c r="Y75" i="8"/>
  <c r="U51" i="8"/>
  <c r="AC41" i="8"/>
  <c r="AC79" i="8"/>
  <c r="Y67" i="8"/>
  <c r="W65" i="18"/>
  <c r="Y89" i="18"/>
  <c r="W89" i="18"/>
  <c r="W55" i="18"/>
  <c r="W69" i="18"/>
  <c r="U65" i="18"/>
  <c r="AB55" i="18"/>
  <c r="X115" i="18"/>
  <c r="X91" i="18"/>
  <c r="X55" i="18"/>
  <c r="AC55" i="18"/>
  <c r="W115" i="18"/>
  <c r="W91" i="18"/>
  <c r="T87" i="18"/>
  <c r="AG91" i="18"/>
  <c r="AE91" i="18"/>
  <c r="AE55" i="18"/>
  <c r="S87" i="18"/>
  <c r="AF67" i="18"/>
  <c r="AE63" i="18"/>
  <c r="X69" i="18"/>
  <c r="Y67" i="18"/>
  <c r="X67" i="18"/>
  <c r="X93" i="18"/>
  <c r="AA89" i="18"/>
  <c r="T71" i="18"/>
  <c r="S67" i="18"/>
  <c r="T93" i="18"/>
  <c r="X89" i="18"/>
  <c r="S17" i="19"/>
  <c r="P17" i="19"/>
  <c r="S16" i="19"/>
  <c r="P16" i="19"/>
  <c r="S11" i="19"/>
  <c r="P11" i="19"/>
  <c r="S18" i="19"/>
  <c r="P18" i="19"/>
  <c r="S9" i="19"/>
  <c r="P9" i="19"/>
  <c r="S19" i="19"/>
  <c r="P19" i="19"/>
  <c r="S12" i="19"/>
  <c r="P12" i="19"/>
  <c r="S7" i="19"/>
  <c r="P7" i="19"/>
  <c r="Q26" i="19" s="1"/>
  <c r="S8" i="19"/>
  <c r="P8" i="19"/>
  <c r="S10" i="19"/>
  <c r="P10" i="19"/>
  <c r="R26" i="19"/>
  <c r="S22" i="19"/>
  <c r="P22" i="19"/>
  <c r="S14" i="19"/>
  <c r="P14" i="19"/>
  <c r="S13" i="19"/>
  <c r="P13" i="19"/>
  <c r="S20" i="19"/>
  <c r="P20" i="19"/>
  <c r="S15" i="19"/>
  <c r="P15" i="19"/>
  <c r="S21" i="19"/>
  <c r="P21" i="19"/>
  <c r="S23" i="19"/>
  <c r="P23" i="19"/>
  <c r="P25" i="19"/>
  <c r="S25" i="19"/>
  <c r="Z67" i="20"/>
  <c r="AD67" i="20"/>
  <c r="AD65" i="20"/>
  <c r="V81" i="20"/>
  <c r="AD95" i="20"/>
  <c r="V79" i="20"/>
  <c r="AD83" i="20"/>
  <c r="U91" i="18"/>
  <c r="U69" i="18"/>
  <c r="W67" i="18"/>
  <c r="U65" i="8"/>
  <c r="Y55" i="8"/>
  <c r="V69" i="17"/>
  <c r="V101" i="20"/>
  <c r="T91" i="18"/>
  <c r="U67" i="18"/>
  <c r="Z65" i="20"/>
  <c r="U59" i="18"/>
  <c r="S91" i="18"/>
  <c r="T67" i="18"/>
  <c r="U75" i="8"/>
  <c r="AC67" i="8"/>
  <c r="AC33" i="8"/>
  <c r="AD79" i="20"/>
  <c r="V65" i="20"/>
  <c r="W59" i="18"/>
  <c r="AG63" i="18"/>
  <c r="AF91" i="18"/>
  <c r="AG67" i="18"/>
  <c r="AF63" i="18"/>
  <c r="AA101" i="2"/>
  <c r="AG93" i="18"/>
  <c r="AC91" i="18"/>
  <c r="AF89" i="18"/>
  <c r="AG87" i="18"/>
  <c r="W83" i="18"/>
  <c r="X77" i="18"/>
  <c r="AE67" i="18"/>
  <c r="Y63" i="18"/>
  <c r="U63" i="8"/>
  <c r="Z99" i="20"/>
  <c r="AD69" i="17"/>
  <c r="V75" i="17"/>
  <c r="V67" i="20"/>
  <c r="AB93" i="18"/>
  <c r="AB91" i="18"/>
  <c r="AE89" i="18"/>
  <c r="AF87" i="18"/>
  <c r="W77" i="18"/>
  <c r="AC67" i="18"/>
  <c r="AF65" i="18"/>
  <c r="X63" i="18"/>
  <c r="AA93" i="18"/>
  <c r="AA91" i="18"/>
  <c r="AC89" i="18"/>
  <c r="AA87" i="18"/>
  <c r="AB67" i="18"/>
  <c r="Y65" i="18"/>
  <c r="S63" i="18"/>
  <c r="AD63" i="20"/>
  <c r="Y93" i="18"/>
  <c r="AB89" i="18"/>
  <c r="Y87" i="18"/>
  <c r="AG69" i="18"/>
  <c r="X65" i="18"/>
  <c r="S71" i="2"/>
  <c r="AG79" i="2"/>
  <c r="V69" i="20"/>
  <c r="Y65" i="8"/>
  <c r="Z85" i="20"/>
  <c r="Z81" i="17"/>
  <c r="AD75" i="17"/>
  <c r="Z67" i="17"/>
  <c r="Z61" i="17"/>
  <c r="Z57" i="17"/>
  <c r="V71" i="17"/>
  <c r="AH55" i="17"/>
  <c r="V65" i="17"/>
  <c r="Z111" i="17"/>
  <c r="V63" i="17"/>
  <c r="V73" i="17"/>
  <c r="AD89" i="17"/>
  <c r="Z69" i="17"/>
  <c r="Z75" i="17"/>
  <c r="AD97" i="17"/>
  <c r="V57" i="17"/>
  <c r="V61" i="17"/>
  <c r="V83" i="17"/>
  <c r="Z77" i="17"/>
  <c r="AD83" i="17"/>
  <c r="Z83" i="17"/>
  <c r="V81" i="17"/>
  <c r="AD91" i="17"/>
  <c r="AD61" i="17"/>
  <c r="AD85" i="17"/>
  <c r="V87" i="17"/>
  <c r="U111" i="2"/>
  <c r="AC73" i="2"/>
  <c r="AG67" i="2"/>
  <c r="Y79" i="2"/>
  <c r="AA85" i="2"/>
  <c r="W79" i="2"/>
  <c r="X79" i="2"/>
  <c r="S73" i="2"/>
  <c r="Y67" i="2"/>
  <c r="AA79" i="2"/>
  <c r="X87" i="2"/>
  <c r="X67" i="2"/>
  <c r="AB79" i="2"/>
  <c r="Y85" i="2"/>
  <c r="S79" i="2"/>
  <c r="Y87" i="2"/>
  <c r="S67" i="2"/>
  <c r="AF79" i="2"/>
  <c r="Y101" i="2"/>
  <c r="U123" i="2"/>
  <c r="AF71" i="2"/>
  <c r="AF69" i="2"/>
  <c r="T99" i="2"/>
  <c r="W125" i="2"/>
  <c r="AE169" i="2"/>
  <c r="AC57" i="2"/>
  <c r="AE71" i="2"/>
  <c r="AE69" i="2"/>
  <c r="U99" i="2"/>
  <c r="X133" i="2"/>
  <c r="AC169" i="2"/>
  <c r="AC101" i="2"/>
  <c r="AA71" i="2"/>
  <c r="AA69" i="2"/>
  <c r="AF99" i="2"/>
  <c r="Y133" i="2"/>
  <c r="Y169" i="2"/>
  <c r="Y71" i="2"/>
  <c r="Y69" i="2"/>
  <c r="AG99" i="2"/>
  <c r="Y103" i="2"/>
  <c r="Y109" i="2"/>
  <c r="AA133" i="2"/>
  <c r="S169" i="2"/>
  <c r="AG73" i="2"/>
  <c r="X71" i="2"/>
  <c r="X69" i="2"/>
  <c r="Y81" i="2"/>
  <c r="AA103" i="2"/>
  <c r="AA109" i="2"/>
  <c r="AB171" i="2"/>
  <c r="AE55" i="2"/>
  <c r="AF73" i="2"/>
  <c r="U71" i="2"/>
  <c r="AB81" i="2"/>
  <c r="AB103" i="2"/>
  <c r="AB109" i="2"/>
  <c r="AA171" i="2"/>
  <c r="AF55" i="2"/>
  <c r="AE73" i="2"/>
  <c r="T71" i="2"/>
  <c r="X85" i="2"/>
  <c r="AC109" i="2"/>
  <c r="T123" i="2"/>
  <c r="W171" i="2"/>
  <c r="U171" i="2"/>
  <c r="T171" i="2"/>
  <c r="AB101" i="2"/>
  <c r="AG135" i="2"/>
  <c r="AG69" i="2"/>
  <c r="S99" i="2"/>
  <c r="AE101" i="2"/>
  <c r="Y111" i="2"/>
  <c r="S125" i="2"/>
  <c r="AB135" i="2"/>
  <c r="X87" i="18"/>
  <c r="W63" i="18"/>
  <c r="T75" i="2"/>
  <c r="Y97" i="2"/>
  <c r="Y55" i="18"/>
  <c r="W87" i="18"/>
  <c r="AC71" i="18"/>
  <c r="S69" i="18"/>
  <c r="U63" i="18"/>
  <c r="S57" i="2"/>
  <c r="AE59" i="2"/>
  <c r="T69" i="2"/>
  <c r="T79" i="2"/>
  <c r="AB85" i="2"/>
  <c r="AG97" i="2"/>
  <c r="U103" i="2"/>
  <c r="W105" i="2"/>
  <c r="W111" i="2"/>
  <c r="AF123" i="2"/>
  <c r="AC127" i="2"/>
  <c r="AC131" i="2"/>
  <c r="AG173" i="2"/>
  <c r="Y171" i="2"/>
  <c r="AB169" i="2"/>
  <c r="U77" i="8"/>
  <c r="Z95" i="20"/>
  <c r="Z59" i="17"/>
  <c r="Z71" i="17"/>
  <c r="AD67" i="17"/>
  <c r="AC59" i="2"/>
  <c r="W67" i="2"/>
  <c r="AB131" i="2"/>
  <c r="AA55" i="18"/>
  <c r="U87" i="18"/>
  <c r="W71" i="18"/>
  <c r="T63" i="18"/>
  <c r="T57" i="2"/>
  <c r="AG71" i="2"/>
  <c r="S69" i="2"/>
  <c r="U67" i="2"/>
  <c r="U79" i="2"/>
  <c r="W87" i="2"/>
  <c r="W103" i="2"/>
  <c r="X105" i="2"/>
  <c r="X111" i="2"/>
  <c r="AG123" i="2"/>
  <c r="AF173" i="2"/>
  <c r="X171" i="2"/>
  <c r="AA169" i="2"/>
  <c r="U45" i="8"/>
  <c r="V77" i="17"/>
  <c r="X57" i="2"/>
  <c r="T67" i="2"/>
  <c r="X81" i="2"/>
  <c r="W95" i="2"/>
  <c r="X103" i="2"/>
  <c r="AG105" i="2"/>
  <c r="W173" i="2"/>
  <c r="Y63" i="8"/>
  <c r="U41" i="8"/>
  <c r="V97" i="17"/>
  <c r="AG175" i="2"/>
  <c r="AE57" i="2"/>
  <c r="AG75" i="2"/>
  <c r="AA81" i="2"/>
  <c r="S129" i="2"/>
  <c r="AF175" i="2"/>
  <c r="U173" i="2"/>
  <c r="AD93" i="17"/>
  <c r="AC81" i="8"/>
  <c r="AD111" i="17"/>
  <c r="T129" i="2"/>
  <c r="AE175" i="2"/>
  <c r="T173" i="2"/>
  <c r="Z73" i="20"/>
  <c r="AD77" i="17"/>
  <c r="AD113" i="17"/>
  <c r="AC81" i="2"/>
  <c r="S107" i="2"/>
  <c r="R37" i="8" s="1"/>
  <c r="AC175" i="2"/>
  <c r="AD95" i="17"/>
  <c r="V89" i="17"/>
  <c r="V75" i="20"/>
  <c r="Z93" i="17"/>
  <c r="AD101" i="20"/>
  <c r="U57" i="18"/>
  <c r="W81" i="18"/>
  <c r="AA57" i="18"/>
  <c r="AE87" i="18"/>
  <c r="AC63" i="18"/>
  <c r="AC61" i="18"/>
  <c r="AG57" i="2"/>
  <c r="AA75" i="2"/>
  <c r="AF67" i="2"/>
  <c r="S97" i="2"/>
  <c r="S173" i="2"/>
  <c r="Y55" i="19"/>
  <c r="AB57" i="18"/>
  <c r="W93" i="18"/>
  <c r="AC87" i="18"/>
  <c r="AA69" i="18"/>
  <c r="AB63" i="18"/>
  <c r="S55" i="2"/>
  <c r="AC61" i="2"/>
  <c r="U73" i="2"/>
  <c r="W71" i="2"/>
  <c r="AC69" i="2"/>
  <c r="AE67" i="2"/>
  <c r="AC79" i="2"/>
  <c r="AE81" i="2"/>
  <c r="T97" i="2"/>
  <c r="AC99" i="2"/>
  <c r="AF101" i="2"/>
  <c r="T107" i="2"/>
  <c r="AE109" i="2"/>
  <c r="AF125" i="2"/>
  <c r="AC133" i="2"/>
  <c r="AB175" i="2"/>
  <c r="AC45" i="8"/>
  <c r="Y81" i="8"/>
  <c r="V83" i="20"/>
  <c r="U67" i="8"/>
  <c r="AD87" i="17"/>
  <c r="AF57" i="2"/>
  <c r="AB75" i="2"/>
  <c r="AE57" i="18"/>
  <c r="Y115" i="18"/>
  <c r="U93" i="18"/>
  <c r="Y69" i="18"/>
  <c r="AC55" i="2"/>
  <c r="AE61" i="2"/>
  <c r="Y75" i="2"/>
  <c r="T73" i="2"/>
  <c r="AB69" i="2"/>
  <c r="V83" i="2"/>
  <c r="W85" i="2"/>
  <c r="U91" i="2"/>
  <c r="U97" i="2"/>
  <c r="AE99" i="2"/>
  <c r="AG101" i="2"/>
  <c r="AC107" i="2"/>
  <c r="AG125" i="2"/>
  <c r="AE133" i="2"/>
  <c r="AA175" i="2"/>
  <c r="AF169" i="2"/>
  <c r="AC77" i="8"/>
  <c r="Z79" i="17"/>
  <c r="AC75" i="8"/>
  <c r="Z65" i="17"/>
  <c r="V67" i="17"/>
  <c r="V93" i="17"/>
  <c r="X75" i="2"/>
  <c r="W97" i="2"/>
  <c r="S105" i="2"/>
  <c r="AE107" i="2"/>
  <c r="Y131" i="2"/>
  <c r="V73" i="20"/>
  <c r="W75" i="2"/>
  <c r="X97" i="2"/>
  <c r="T105" i="2"/>
  <c r="AF107" i="2"/>
  <c r="AA131" i="2"/>
  <c r="U73" i="8"/>
  <c r="V87" i="20"/>
  <c r="U105" i="2"/>
  <c r="AG107" i="2"/>
  <c r="AH57" i="17"/>
  <c r="AD87" i="20"/>
  <c r="Y45" i="8"/>
  <c r="AA55" i="19"/>
  <c r="S119" i="2"/>
  <c r="T119" i="2"/>
  <c r="X95" i="2"/>
  <c r="Z63" i="20"/>
  <c r="S61" i="18"/>
  <c r="AF61" i="18"/>
  <c r="T65" i="2"/>
  <c r="AG65" i="2"/>
  <c r="U65" i="2"/>
  <c r="AA65" i="2"/>
  <c r="AB65" i="2"/>
  <c r="AC65" i="2"/>
  <c r="W65" i="2"/>
  <c r="X65" i="2"/>
  <c r="Y65" i="2"/>
  <c r="AB55" i="19"/>
  <c r="Y83" i="18"/>
  <c r="X83" i="18"/>
  <c r="AC83" i="18"/>
  <c r="W117" i="2"/>
  <c r="AA117" i="2"/>
  <c r="AG117" i="2"/>
  <c r="AB117" i="2"/>
  <c r="AC117" i="2"/>
  <c r="S93" i="2"/>
  <c r="AF93" i="2"/>
  <c r="AA93" i="2"/>
  <c r="AB93" i="2"/>
  <c r="T93" i="2"/>
  <c r="AG93" i="2"/>
  <c r="U93" i="2"/>
  <c r="W93" i="2"/>
  <c r="X93" i="2"/>
  <c r="Y93" i="2"/>
  <c r="X63" i="2"/>
  <c r="Y63" i="2"/>
  <c r="AA63" i="2"/>
  <c r="T63" i="2"/>
  <c r="AB63" i="2"/>
  <c r="AF63" i="2"/>
  <c r="S63" i="2"/>
  <c r="AC63" i="2"/>
  <c r="AE63" i="2"/>
  <c r="AG63" i="2"/>
  <c r="U95" i="2"/>
  <c r="AB95" i="2"/>
  <c r="T95" i="2"/>
  <c r="S95" i="2"/>
  <c r="AG95" i="2"/>
  <c r="AF95" i="2"/>
  <c r="AE95" i="2"/>
  <c r="AC95" i="2"/>
  <c r="AA95" i="2"/>
  <c r="AE61" i="18"/>
  <c r="AA81" i="18"/>
  <c r="AE81" i="18"/>
  <c r="S81" i="18"/>
  <c r="T81" i="18"/>
  <c r="AB81" i="18"/>
  <c r="AC81" i="18"/>
  <c r="AF81" i="18"/>
  <c r="AG81" i="18"/>
  <c r="X115" i="2"/>
  <c r="AG115" i="2"/>
  <c r="AB115" i="2"/>
  <c r="AA115" i="2"/>
  <c r="Y115" i="2"/>
  <c r="U115" i="2"/>
  <c r="W91" i="2"/>
  <c r="AF91" i="2"/>
  <c r="X91" i="2"/>
  <c r="Y91" i="2"/>
  <c r="AA91" i="2"/>
  <c r="AB91" i="2"/>
  <c r="AC91" i="2"/>
  <c r="AE91" i="2"/>
  <c r="AG91" i="2"/>
  <c r="S91" i="2"/>
  <c r="AB61" i="2"/>
  <c r="X61" i="2"/>
  <c r="AA61" i="2"/>
  <c r="Y61" i="2"/>
  <c r="W61" i="2"/>
  <c r="U61" i="2"/>
  <c r="T61" i="2"/>
  <c r="S61" i="2"/>
  <c r="AG61" i="2"/>
  <c r="U63" i="2"/>
  <c r="X117" i="2"/>
  <c r="AE113" i="2"/>
  <c r="AC113" i="2"/>
  <c r="T113" i="2"/>
  <c r="AB113" i="2"/>
  <c r="AA113" i="2"/>
  <c r="Y113" i="2"/>
  <c r="U113" i="2"/>
  <c r="X113" i="2"/>
  <c r="W113" i="2"/>
  <c r="AC89" i="2"/>
  <c r="X89" i="2"/>
  <c r="AE89" i="2"/>
  <c r="S89" i="2"/>
  <c r="AF89" i="2"/>
  <c r="T89" i="2"/>
  <c r="AG89" i="2"/>
  <c r="U89" i="2"/>
  <c r="W89" i="2"/>
  <c r="Y117" i="2"/>
  <c r="V95" i="17"/>
  <c r="Z89" i="17"/>
  <c r="AF113" i="2"/>
  <c r="X55" i="19"/>
  <c r="U55" i="19"/>
  <c r="W55" i="19"/>
  <c r="T55" i="19"/>
  <c r="S55" i="19"/>
  <c r="AG55" i="19"/>
  <c r="AF55" i="19"/>
  <c r="AE55" i="19"/>
  <c r="AE65" i="2"/>
  <c r="AG113" i="2"/>
  <c r="Z77" i="20"/>
  <c r="S65" i="2"/>
  <c r="AE93" i="2"/>
  <c r="AB89" i="2"/>
  <c r="AD59" i="17"/>
  <c r="S59" i="2"/>
  <c r="Z79" i="20"/>
  <c r="AC85" i="2"/>
  <c r="AB87" i="2"/>
  <c r="AF109" i="2"/>
  <c r="AA111" i="2"/>
  <c r="S127" i="2"/>
  <c r="AF133" i="2"/>
  <c r="AE173" i="2"/>
  <c r="Y135" i="2"/>
  <c r="U47" i="8"/>
  <c r="Y47" i="8"/>
  <c r="Z89" i="20"/>
  <c r="Z97" i="17"/>
  <c r="Z87" i="20"/>
  <c r="Z87" i="17"/>
  <c r="AD83" i="2"/>
  <c r="Z61" i="20"/>
  <c r="T55" i="2"/>
  <c r="U57" i="2"/>
  <c r="U59" i="2"/>
  <c r="AB73" i="2"/>
  <c r="AF81" i="2"/>
  <c r="AE85" i="2"/>
  <c r="AC87" i="2"/>
  <c r="AC103" i="2"/>
  <c r="Y105" i="2"/>
  <c r="U107" i="2"/>
  <c r="AG109" i="2"/>
  <c r="AB111" i="2"/>
  <c r="T127" i="2"/>
  <c r="W129" i="2"/>
  <c r="Y175" i="2"/>
  <c r="X135" i="2"/>
  <c r="Y51" i="8"/>
  <c r="U49" i="8"/>
  <c r="Z97" i="20"/>
  <c r="V79" i="17"/>
  <c r="V61" i="20"/>
  <c r="V77" i="20"/>
  <c r="U55" i="2"/>
  <c r="AG55" i="18"/>
  <c r="S93" i="18"/>
  <c r="W55" i="2"/>
  <c r="W57" i="2"/>
  <c r="U75" i="2"/>
  <c r="AA73" i="2"/>
  <c r="S81" i="2"/>
  <c r="AG81" i="2"/>
  <c r="AF85" i="2"/>
  <c r="AE87" i="2"/>
  <c r="AA97" i="2"/>
  <c r="W99" i="2"/>
  <c r="S101" i="2"/>
  <c r="AE103" i="2"/>
  <c r="AA105" i="2"/>
  <c r="W107" i="2"/>
  <c r="S109" i="2"/>
  <c r="AC111" i="2"/>
  <c r="W123" i="2"/>
  <c r="X125" i="2"/>
  <c r="U127" i="2"/>
  <c r="AC129" i="2"/>
  <c r="X175" i="2"/>
  <c r="AC173" i="2"/>
  <c r="S171" i="2"/>
  <c r="X169" i="2"/>
  <c r="W135" i="2"/>
  <c r="AD71" i="17"/>
  <c r="AD93" i="20"/>
  <c r="V113" i="17"/>
  <c r="AC69" i="8"/>
  <c r="V85" i="20"/>
  <c r="AA87" i="2"/>
  <c r="T59" i="2"/>
  <c r="T81" i="2"/>
  <c r="S85" i="2"/>
  <c r="AG85" i="2"/>
  <c r="AF87" i="2"/>
  <c r="AB97" i="2"/>
  <c r="X99" i="2"/>
  <c r="T101" i="2"/>
  <c r="AF103" i="2"/>
  <c r="AB105" i="2"/>
  <c r="X107" i="2"/>
  <c r="T109" i="2"/>
  <c r="AE111" i="2"/>
  <c r="AA123" i="2"/>
  <c r="Y125" i="2"/>
  <c r="W127" i="2"/>
  <c r="AE129" i="2"/>
  <c r="W175" i="2"/>
  <c r="AB173" i="2"/>
  <c r="AG171" i="2"/>
  <c r="W169" i="2"/>
  <c r="AC49" i="8"/>
  <c r="U79" i="8"/>
  <c r="AC51" i="8"/>
  <c r="Z83" i="20"/>
  <c r="V59" i="20"/>
  <c r="AD85" i="20"/>
  <c r="V63" i="20"/>
  <c r="AA135" i="2"/>
  <c r="S55" i="18"/>
  <c r="W57" i="18"/>
  <c r="AF93" i="18"/>
  <c r="AF73" i="18"/>
  <c r="AF69" i="18"/>
  <c r="Y55" i="2"/>
  <c r="Y57" i="2"/>
  <c r="X59" i="2"/>
  <c r="AF75" i="2"/>
  <c r="S75" i="2"/>
  <c r="X73" i="2"/>
  <c r="W69" i="2"/>
  <c r="AC67" i="2"/>
  <c r="U81" i="2"/>
  <c r="T85" i="2"/>
  <c r="S87" i="2"/>
  <c r="AG87" i="2"/>
  <c r="AC97" i="2"/>
  <c r="Y99" i="2"/>
  <c r="U101" i="2"/>
  <c r="AG103" i="2"/>
  <c r="AC105" i="2"/>
  <c r="Y107" i="2"/>
  <c r="U109" i="2"/>
  <c r="AF111" i="2"/>
  <c r="AB123" i="2"/>
  <c r="AA125" i="2"/>
  <c r="X127" i="2"/>
  <c r="AF129" i="2"/>
  <c r="T133" i="2"/>
  <c r="U175" i="2"/>
  <c r="AA173" i="2"/>
  <c r="AF171" i="2"/>
  <c r="AD69" i="20"/>
  <c r="V89" i="20"/>
  <c r="AC73" i="8"/>
  <c r="AD57" i="17"/>
  <c r="AC53" i="8"/>
  <c r="Z73" i="17"/>
  <c r="U71" i="8"/>
  <c r="Z85" i="17"/>
  <c r="U55" i="18"/>
  <c r="X57" i="18"/>
  <c r="AE93" i="18"/>
  <c r="AE73" i="18"/>
  <c r="AC69" i="18"/>
  <c r="AA55" i="2"/>
  <c r="AA57" i="2"/>
  <c r="Y59" i="2"/>
  <c r="AE75" i="2"/>
  <c r="W73" i="2"/>
  <c r="AC71" i="2"/>
  <c r="AB67" i="2"/>
  <c r="T87" i="2"/>
  <c r="AE97" i="2"/>
  <c r="AA99" i="2"/>
  <c r="W101" i="2"/>
  <c r="S103" i="2"/>
  <c r="AE105" i="2"/>
  <c r="AA107" i="2"/>
  <c r="W109" i="2"/>
  <c r="S111" i="2"/>
  <c r="AG111" i="2"/>
  <c r="AC123" i="2"/>
  <c r="AB125" i="2"/>
  <c r="Y127" i="2"/>
  <c r="AG129" i="2"/>
  <c r="U133" i="2"/>
  <c r="T175" i="2"/>
  <c r="Y173" i="2"/>
  <c r="AE171" i="2"/>
  <c r="U169" i="2"/>
  <c r="Z71" i="20"/>
  <c r="AD79" i="17"/>
  <c r="AD71" i="20"/>
  <c r="Z101" i="20"/>
  <c r="AD63" i="17"/>
  <c r="AD65" i="17"/>
  <c r="AF59" i="2"/>
  <c r="AG59" i="2"/>
  <c r="X55" i="2"/>
  <c r="W59" i="2"/>
  <c r="T55" i="18"/>
  <c r="Y57" i="18"/>
  <c r="AB69" i="18"/>
  <c r="Z83" i="2"/>
  <c r="AE123" i="2"/>
  <c r="AC125" i="2"/>
  <c r="AB127" i="2"/>
  <c r="W133" i="2"/>
  <c r="AG169" i="2"/>
  <c r="AC55" i="8"/>
  <c r="Y49" i="8"/>
  <c r="AD59" i="20"/>
  <c r="V111" i="17"/>
  <c r="Z95" i="17"/>
  <c r="Z113" i="17"/>
  <c r="AD61" i="20"/>
  <c r="AD77" i="20"/>
  <c r="U35" i="8"/>
  <c r="AE121" i="2"/>
  <c r="U119" i="2"/>
  <c r="W119" i="2"/>
  <c r="AA119" i="2"/>
  <c r="U129" i="2"/>
  <c r="AE131" i="2"/>
  <c r="AB119" i="2"/>
  <c r="W121" i="2"/>
  <c r="S123" i="2"/>
  <c r="AE125" i="2"/>
  <c r="AA127" i="2"/>
  <c r="AF131" i="2"/>
  <c r="AB133" i="2"/>
  <c r="U135" i="2"/>
  <c r="AF121" i="2"/>
  <c r="AG121" i="2"/>
  <c r="AC119" i="2"/>
  <c r="AE119" i="2"/>
  <c r="AE135" i="2"/>
  <c r="X119" i="2"/>
  <c r="T121" i="2"/>
  <c r="Y119" i="2"/>
  <c r="S131" i="2"/>
  <c r="T135" i="2"/>
  <c r="Y121" i="2"/>
  <c r="T131" i="2"/>
  <c r="AF135" i="2"/>
  <c r="S135" i="2"/>
  <c r="AF119" i="2"/>
  <c r="AE127" i="2"/>
  <c r="Y129" i="2"/>
  <c r="U131" i="2"/>
  <c r="AG119" i="2"/>
  <c r="AB121" i="2"/>
  <c r="X123" i="2"/>
  <c r="T125" i="2"/>
  <c r="AF127" i="2"/>
  <c r="AA129" i="2"/>
  <c r="W131" i="2"/>
  <c r="AG133" i="2"/>
  <c r="S121" i="2"/>
  <c r="U121" i="2"/>
  <c r="X121" i="2"/>
  <c r="AG131" i="2"/>
  <c r="X129" i="2"/>
  <c r="AA121" i="2"/>
  <c r="AE117" i="2"/>
  <c r="AF117" i="2"/>
  <c r="T117" i="2"/>
  <c r="S117" i="2"/>
  <c r="U117" i="2"/>
  <c r="AC115" i="2"/>
  <c r="AE115" i="2"/>
  <c r="AF115" i="2"/>
  <c r="S115" i="2"/>
  <c r="T115" i="2"/>
  <c r="W115" i="2"/>
  <c r="W105" i="24"/>
  <c r="U69" i="8"/>
  <c r="Y41" i="8"/>
  <c r="AC71" i="8"/>
  <c r="Y33" i="8"/>
  <c r="Y35" i="8"/>
  <c r="U55" i="8"/>
  <c r="AC63" i="8"/>
  <c r="U61" i="8"/>
  <c r="U53" i="8"/>
  <c r="U59" i="8"/>
  <c r="Y59" i="8"/>
  <c r="Y53" i="8"/>
  <c r="Y79" i="8"/>
  <c r="AC57" i="8"/>
  <c r="U81" i="8"/>
  <c r="AC35" i="8"/>
  <c r="Y57" i="8"/>
  <c r="AC61" i="8"/>
  <c r="T77" i="18"/>
  <c r="U77" i="18"/>
  <c r="AB59" i="18"/>
  <c r="T117" i="18"/>
  <c r="AG77" i="18"/>
  <c r="S77" i="18"/>
  <c r="T65" i="18"/>
  <c r="X59" i="18"/>
  <c r="AC57" i="18"/>
  <c r="AC59" i="18"/>
  <c r="S117" i="18"/>
  <c r="AF77" i="18"/>
  <c r="AG65" i="18"/>
  <c r="S65" i="18"/>
  <c r="Y59" i="18"/>
  <c r="AG117" i="18"/>
  <c r="AE77" i="18"/>
  <c r="AF57" i="18"/>
  <c r="AF59" i="18"/>
  <c r="AC77" i="18"/>
  <c r="U71" i="18"/>
  <c r="AE65" i="18"/>
  <c r="AA59" i="18"/>
  <c r="AE59" i="18"/>
  <c r="AG57" i="18"/>
  <c r="AG59" i="18"/>
  <c r="AB77" i="18"/>
  <c r="AB75" i="18"/>
  <c r="AC65" i="18"/>
  <c r="S57" i="18"/>
  <c r="S59" i="18"/>
  <c r="AE115" i="18"/>
  <c r="T89" i="18"/>
  <c r="AA77" i="18"/>
  <c r="AB65" i="18"/>
  <c r="AG89" i="18"/>
  <c r="Z77" i="2"/>
  <c r="V77" i="2"/>
  <c r="AD77" i="2"/>
  <c r="AF117" i="18"/>
  <c r="U115" i="18"/>
  <c r="X75" i="18"/>
  <c r="AB73" i="18"/>
  <c r="AG71" i="18"/>
  <c r="S71" i="18"/>
  <c r="AB61" i="18"/>
  <c r="Y75" i="18"/>
  <c r="AE117" i="18"/>
  <c r="AC117" i="18"/>
  <c r="T115" i="18"/>
  <c r="AG83" i="18"/>
  <c r="W75" i="18"/>
  <c r="AA73" i="18"/>
  <c r="AF71" i="18"/>
  <c r="AA61" i="18"/>
  <c r="AB117" i="18"/>
  <c r="AF83" i="18"/>
  <c r="U75" i="18"/>
  <c r="Y73" i="18"/>
  <c r="AE71" i="18"/>
  <c r="Y61" i="18"/>
  <c r="AC73" i="18"/>
  <c r="AG115" i="18"/>
  <c r="S115" i="18"/>
  <c r="AA117" i="18"/>
  <c r="AF115" i="18"/>
  <c r="AE83" i="18"/>
  <c r="T75" i="18"/>
  <c r="X73" i="18"/>
  <c r="T69" i="18"/>
  <c r="X61" i="18"/>
  <c r="AG75" i="18"/>
  <c r="AF75" i="18"/>
  <c r="AB71" i="18"/>
  <c r="W117" i="18"/>
  <c r="AC115" i="18"/>
  <c r="AB83" i="18"/>
  <c r="AE75" i="18"/>
  <c r="U73" i="18"/>
  <c r="AA71" i="18"/>
  <c r="U61" i="18"/>
  <c r="Y117" i="18"/>
  <c r="S75" i="18"/>
  <c r="AA83" i="18"/>
  <c r="T73" i="18"/>
  <c r="Y71" i="18"/>
  <c r="T61" i="18"/>
  <c r="AA75" i="18"/>
  <c r="W73" i="18"/>
  <c r="X117" i="18"/>
  <c r="AB115" i="18"/>
  <c r="AG73" i="18"/>
  <c r="AG61" i="18"/>
  <c r="AE105" i="24"/>
  <c r="AA105" i="24"/>
  <c r="W61" i="24"/>
  <c r="AA61" i="24"/>
  <c r="AE61" i="24"/>
  <c r="AH118" i="18"/>
  <c r="AH116" i="18"/>
  <c r="AH94" i="18"/>
  <c r="AH92" i="18"/>
  <c r="AI92" i="18" s="1"/>
  <c r="AH90" i="18"/>
  <c r="AI90" i="18" s="1"/>
  <c r="AH88" i="18"/>
  <c r="AH84" i="18"/>
  <c r="AH82" i="18"/>
  <c r="AH78" i="18"/>
  <c r="AI78" i="18" s="1"/>
  <c r="AH76" i="18"/>
  <c r="AH74" i="18"/>
  <c r="AH72" i="18"/>
  <c r="AH70" i="18"/>
  <c r="AH68" i="18"/>
  <c r="AI68" i="18" s="1"/>
  <c r="AH66" i="18"/>
  <c r="AI66" i="18" s="1"/>
  <c r="AH64" i="18"/>
  <c r="AH62" i="18"/>
  <c r="AH60" i="18"/>
  <c r="AD60" i="18"/>
  <c r="Z60" i="18"/>
  <c r="V60" i="18"/>
  <c r="AH58" i="18"/>
  <c r="AD58" i="18"/>
  <c r="Z58" i="18"/>
  <c r="V58" i="18"/>
  <c r="AH56" i="18"/>
  <c r="AD56" i="18"/>
  <c r="Z56" i="18"/>
  <c r="AH56" i="19"/>
  <c r="AH58" i="19"/>
  <c r="AH60" i="19"/>
  <c r="AH62" i="19"/>
  <c r="AH64" i="19"/>
  <c r="AH66" i="19"/>
  <c r="AH68" i="19"/>
  <c r="AH70" i="19"/>
  <c r="AH72" i="19"/>
  <c r="AH74" i="19"/>
  <c r="AH76" i="19"/>
  <c r="AH78" i="19"/>
  <c r="AH80" i="19"/>
  <c r="AH82" i="19"/>
  <c r="AH84" i="19"/>
  <c r="AH86" i="19"/>
  <c r="AH88" i="19"/>
  <c r="AH90" i="19"/>
  <c r="AH92" i="19"/>
  <c r="AH94" i="19"/>
  <c r="AH96" i="19"/>
  <c r="AH98" i="19"/>
  <c r="AH100" i="19"/>
  <c r="AH102" i="19"/>
  <c r="AH104" i="19"/>
  <c r="AH106" i="19"/>
  <c r="AH108" i="19"/>
  <c r="AH110" i="19"/>
  <c r="AH112" i="19"/>
  <c r="AH114" i="19"/>
  <c r="AH116" i="19"/>
  <c r="AH118" i="19"/>
  <c r="AH120" i="19"/>
  <c r="AH122" i="19"/>
  <c r="AH124" i="19"/>
  <c r="AH126" i="19"/>
  <c r="AH128" i="19"/>
  <c r="AD56" i="19"/>
  <c r="AD58" i="19"/>
  <c r="AD60" i="19"/>
  <c r="AD62" i="19"/>
  <c r="AD64" i="19"/>
  <c r="AD66" i="19"/>
  <c r="AD68" i="19"/>
  <c r="AD70" i="19"/>
  <c r="AD72" i="19"/>
  <c r="AD74" i="19"/>
  <c r="AD76" i="19"/>
  <c r="AD78" i="19"/>
  <c r="AD80" i="19"/>
  <c r="AD82" i="19"/>
  <c r="AD84" i="19"/>
  <c r="AD86" i="19"/>
  <c r="AD88" i="19"/>
  <c r="AD90" i="19"/>
  <c r="AD92" i="19"/>
  <c r="AD94" i="19"/>
  <c r="AD96" i="19"/>
  <c r="AD98" i="19"/>
  <c r="AD100" i="19"/>
  <c r="AD102" i="19"/>
  <c r="AD104" i="19"/>
  <c r="AD106" i="19"/>
  <c r="AD108" i="19"/>
  <c r="AD110" i="19"/>
  <c r="AD112" i="19"/>
  <c r="AD114" i="19"/>
  <c r="AD116" i="19"/>
  <c r="AD118" i="19"/>
  <c r="AD120" i="19"/>
  <c r="AD122" i="19"/>
  <c r="AD124" i="19"/>
  <c r="AD126" i="19"/>
  <c r="AD128" i="19"/>
  <c r="Z56" i="19"/>
  <c r="Z58" i="19"/>
  <c r="Z60" i="19"/>
  <c r="Z62" i="19"/>
  <c r="Z64" i="19"/>
  <c r="Z66" i="19"/>
  <c r="Z68" i="19"/>
  <c r="Z70" i="19"/>
  <c r="Z72" i="19"/>
  <c r="Z74" i="19"/>
  <c r="Z76" i="19"/>
  <c r="Z78" i="19"/>
  <c r="Z80" i="19"/>
  <c r="Z82" i="19"/>
  <c r="Z84" i="19"/>
  <c r="Z86" i="19"/>
  <c r="Z88" i="19"/>
  <c r="Z90" i="19"/>
  <c r="Z92" i="19"/>
  <c r="Z94" i="19"/>
  <c r="Z96" i="19"/>
  <c r="Z98" i="19"/>
  <c r="Z100" i="19"/>
  <c r="Z102" i="19"/>
  <c r="Z104" i="19"/>
  <c r="Z106" i="19"/>
  <c r="Z108" i="19"/>
  <c r="Z110" i="19"/>
  <c r="Z112" i="19"/>
  <c r="Z114" i="19"/>
  <c r="Z116" i="19"/>
  <c r="Z118" i="19"/>
  <c r="Z120" i="19"/>
  <c r="Z122" i="19"/>
  <c r="Z124" i="19"/>
  <c r="Z126" i="19"/>
  <c r="Z128" i="19"/>
  <c r="V56" i="19"/>
  <c r="V58" i="19"/>
  <c r="V60" i="19"/>
  <c r="V62" i="19"/>
  <c r="V64" i="19"/>
  <c r="V66" i="19"/>
  <c r="V68" i="19"/>
  <c r="V70" i="19"/>
  <c r="V72" i="19"/>
  <c r="V74" i="19"/>
  <c r="V76" i="19"/>
  <c r="V78" i="19"/>
  <c r="V80" i="19"/>
  <c r="V82" i="19"/>
  <c r="V84" i="19"/>
  <c r="V86" i="19"/>
  <c r="V88" i="19"/>
  <c r="V90" i="19"/>
  <c r="V92" i="19"/>
  <c r="V94" i="19"/>
  <c r="V96" i="19"/>
  <c r="V98" i="19"/>
  <c r="V100" i="19"/>
  <c r="V102" i="19"/>
  <c r="V104" i="19"/>
  <c r="V106" i="19"/>
  <c r="V108" i="19"/>
  <c r="V110" i="19"/>
  <c r="V112" i="19"/>
  <c r="V114" i="19"/>
  <c r="V116" i="19"/>
  <c r="V118" i="19"/>
  <c r="V120" i="19"/>
  <c r="V122" i="19"/>
  <c r="V124" i="19"/>
  <c r="V126" i="19"/>
  <c r="V128" i="19"/>
  <c r="S59" i="19"/>
  <c r="T59" i="19"/>
  <c r="U59" i="19"/>
  <c r="W59" i="19"/>
  <c r="X59" i="19"/>
  <c r="Y59" i="19"/>
  <c r="AA59" i="19"/>
  <c r="AB59" i="19"/>
  <c r="AC59" i="19"/>
  <c r="AE59" i="19"/>
  <c r="AF59" i="19"/>
  <c r="AG59" i="19"/>
  <c r="S61" i="19"/>
  <c r="T61" i="19"/>
  <c r="U61" i="19"/>
  <c r="W61" i="19"/>
  <c r="X61" i="19"/>
  <c r="Y61" i="19"/>
  <c r="AA61" i="19"/>
  <c r="AB61" i="19"/>
  <c r="AC61" i="19"/>
  <c r="AE61" i="19"/>
  <c r="AF61" i="19"/>
  <c r="AG61" i="19"/>
  <c r="S63" i="19"/>
  <c r="T63" i="19"/>
  <c r="U63" i="19"/>
  <c r="W63" i="19"/>
  <c r="X63" i="19"/>
  <c r="Y63" i="19"/>
  <c r="AA63" i="19"/>
  <c r="AB63" i="19"/>
  <c r="AC63" i="19"/>
  <c r="AE63" i="19"/>
  <c r="AF63" i="19"/>
  <c r="AG63" i="19"/>
  <c r="S65" i="19"/>
  <c r="T65" i="19"/>
  <c r="U65" i="19"/>
  <c r="W65" i="19"/>
  <c r="X65" i="19"/>
  <c r="Y65" i="19"/>
  <c r="AA65" i="19"/>
  <c r="AB65" i="19"/>
  <c r="AC65" i="19"/>
  <c r="AE65" i="19"/>
  <c r="AF65" i="19"/>
  <c r="AG65" i="19"/>
  <c r="S67" i="19"/>
  <c r="T67" i="19"/>
  <c r="U67" i="19"/>
  <c r="X67" i="19"/>
  <c r="Y67" i="19"/>
  <c r="AA67" i="19"/>
  <c r="AB67" i="19"/>
  <c r="AC67" i="19"/>
  <c r="AE67" i="19"/>
  <c r="AF67" i="19"/>
  <c r="AG67" i="19"/>
  <c r="S69" i="19"/>
  <c r="T69" i="19"/>
  <c r="U69" i="19"/>
  <c r="W69" i="19"/>
  <c r="X69" i="19"/>
  <c r="Y69" i="19"/>
  <c r="AA69" i="19"/>
  <c r="AB69" i="19"/>
  <c r="AC69" i="19"/>
  <c r="AE69" i="19"/>
  <c r="AF69" i="19"/>
  <c r="AG69" i="19"/>
  <c r="S71" i="19"/>
  <c r="T71" i="19"/>
  <c r="U71" i="19"/>
  <c r="W71" i="19"/>
  <c r="X71" i="19"/>
  <c r="Y71" i="19"/>
  <c r="AA71" i="19"/>
  <c r="AB71" i="19"/>
  <c r="AC71" i="19"/>
  <c r="AE71" i="19"/>
  <c r="AF71" i="19"/>
  <c r="AG71" i="19"/>
  <c r="S73" i="19"/>
  <c r="T73" i="19"/>
  <c r="U73" i="19"/>
  <c r="W73" i="19"/>
  <c r="X73" i="19"/>
  <c r="Y73" i="19"/>
  <c r="AA73" i="19"/>
  <c r="AB73" i="19"/>
  <c r="AC73" i="19"/>
  <c r="AE73" i="19"/>
  <c r="AF73" i="19"/>
  <c r="AG73" i="19"/>
  <c r="S75" i="19"/>
  <c r="T75" i="19"/>
  <c r="U75" i="19"/>
  <c r="Y75" i="19"/>
  <c r="AA75" i="19"/>
  <c r="AB75" i="19"/>
  <c r="AC75" i="19"/>
  <c r="AE75" i="19"/>
  <c r="AF75" i="19"/>
  <c r="AG75" i="19"/>
  <c r="S77" i="19"/>
  <c r="T77" i="19"/>
  <c r="U77" i="19"/>
  <c r="W77" i="19"/>
  <c r="X77" i="19"/>
  <c r="Y77" i="19"/>
  <c r="AA77" i="19"/>
  <c r="AB77" i="19"/>
  <c r="AC77" i="19"/>
  <c r="AE77" i="19"/>
  <c r="AF77" i="19"/>
  <c r="AG77" i="19"/>
  <c r="S79" i="19"/>
  <c r="T79" i="19"/>
  <c r="U79" i="19"/>
  <c r="W79" i="19"/>
  <c r="X79" i="19"/>
  <c r="Y79" i="19"/>
  <c r="AA79" i="19"/>
  <c r="AB79" i="19"/>
  <c r="AC79" i="19"/>
  <c r="AE79" i="19"/>
  <c r="AF79" i="19"/>
  <c r="AG79" i="19"/>
  <c r="S81" i="19"/>
  <c r="T81" i="19"/>
  <c r="U81" i="19"/>
  <c r="W81" i="19"/>
  <c r="X81" i="19"/>
  <c r="Y81" i="19"/>
  <c r="AA81" i="19"/>
  <c r="AB81" i="19"/>
  <c r="AC81" i="19"/>
  <c r="AE81" i="19"/>
  <c r="AF81" i="19"/>
  <c r="AG81" i="19"/>
  <c r="S83" i="19"/>
  <c r="T83" i="19"/>
  <c r="U83" i="19"/>
  <c r="W83" i="19"/>
  <c r="X83" i="19"/>
  <c r="Y83" i="19"/>
  <c r="AA83" i="19"/>
  <c r="AB83" i="19"/>
  <c r="AC83" i="19"/>
  <c r="AE83" i="19"/>
  <c r="AF83" i="19"/>
  <c r="AG83" i="19"/>
  <c r="S85" i="19"/>
  <c r="T85" i="19"/>
  <c r="U85" i="19"/>
  <c r="W85" i="19"/>
  <c r="X85" i="19"/>
  <c r="Y85" i="19"/>
  <c r="AA85" i="19"/>
  <c r="AB85" i="19"/>
  <c r="AC85" i="19"/>
  <c r="AE85" i="19"/>
  <c r="AF85" i="19"/>
  <c r="AG85" i="19"/>
  <c r="S87" i="19"/>
  <c r="T87" i="19"/>
  <c r="U87" i="19"/>
  <c r="W87" i="19"/>
  <c r="X87" i="19"/>
  <c r="Y87" i="19"/>
  <c r="AA87" i="19"/>
  <c r="AB87" i="19"/>
  <c r="AC87" i="19"/>
  <c r="AE87" i="19"/>
  <c r="AF87" i="19"/>
  <c r="AG87" i="19"/>
  <c r="S89" i="19"/>
  <c r="T89" i="19"/>
  <c r="U89" i="19"/>
  <c r="W89" i="19"/>
  <c r="X89" i="19"/>
  <c r="Y89" i="19"/>
  <c r="AA89" i="19"/>
  <c r="AB89" i="19"/>
  <c r="AC89" i="19"/>
  <c r="AE89" i="19"/>
  <c r="AF89" i="19"/>
  <c r="AG89" i="19"/>
  <c r="S91" i="19"/>
  <c r="T91" i="19"/>
  <c r="U91" i="19"/>
  <c r="W91" i="19"/>
  <c r="X91" i="19"/>
  <c r="Y91" i="19"/>
  <c r="AA91" i="19"/>
  <c r="AB91" i="19"/>
  <c r="AC91" i="19"/>
  <c r="AE91" i="19"/>
  <c r="AF91" i="19"/>
  <c r="AG91" i="19"/>
  <c r="S93" i="19"/>
  <c r="T93" i="19"/>
  <c r="W93" i="19"/>
  <c r="X93" i="19"/>
  <c r="Y93" i="19"/>
  <c r="AA93" i="19"/>
  <c r="AB93" i="19"/>
  <c r="AC93" i="19"/>
  <c r="AE93" i="19"/>
  <c r="AF93" i="19"/>
  <c r="AG93" i="19"/>
  <c r="S95" i="19"/>
  <c r="T95" i="19"/>
  <c r="U95" i="19"/>
  <c r="W95" i="19"/>
  <c r="X95" i="19"/>
  <c r="Y95" i="19"/>
  <c r="AA95" i="19"/>
  <c r="AB95" i="19"/>
  <c r="AC95" i="19"/>
  <c r="AE95" i="19"/>
  <c r="AF95" i="19"/>
  <c r="AG95" i="19"/>
  <c r="S97" i="19"/>
  <c r="T97" i="19"/>
  <c r="U97" i="19"/>
  <c r="W97" i="19"/>
  <c r="X97" i="19"/>
  <c r="Y97" i="19"/>
  <c r="AA97" i="19"/>
  <c r="AB97" i="19"/>
  <c r="AC97" i="19"/>
  <c r="AE97" i="19"/>
  <c r="AF97" i="19"/>
  <c r="AG97" i="19"/>
  <c r="S99" i="19"/>
  <c r="T99" i="19"/>
  <c r="U99" i="19"/>
  <c r="W99" i="19"/>
  <c r="X99" i="19"/>
  <c r="Y99" i="19"/>
  <c r="AA99" i="19"/>
  <c r="AB99" i="19"/>
  <c r="AC99" i="19"/>
  <c r="AE99" i="19"/>
  <c r="AF99" i="19"/>
  <c r="AG99" i="19"/>
  <c r="S101" i="19"/>
  <c r="T101" i="19"/>
  <c r="U101" i="19"/>
  <c r="W101" i="19"/>
  <c r="X101" i="19"/>
  <c r="Y101" i="19"/>
  <c r="AA101" i="19"/>
  <c r="AB101" i="19"/>
  <c r="AC101" i="19"/>
  <c r="AE101" i="19"/>
  <c r="AF101" i="19"/>
  <c r="AG101" i="19"/>
  <c r="S103" i="19"/>
  <c r="T103" i="19"/>
  <c r="U103" i="19"/>
  <c r="W103" i="19"/>
  <c r="X103" i="19"/>
  <c r="Y103" i="19"/>
  <c r="AA103" i="19"/>
  <c r="AB103" i="19"/>
  <c r="AC103" i="19"/>
  <c r="AE103" i="19"/>
  <c r="AF103" i="19"/>
  <c r="AG103" i="19"/>
  <c r="S105" i="19"/>
  <c r="T105" i="19"/>
  <c r="U105" i="19"/>
  <c r="W105" i="19"/>
  <c r="X105" i="19"/>
  <c r="Y105" i="19"/>
  <c r="AA105" i="19"/>
  <c r="AB105" i="19"/>
  <c r="AC105" i="19"/>
  <c r="AE105" i="19"/>
  <c r="AF105" i="19"/>
  <c r="AG105" i="19"/>
  <c r="S107" i="19"/>
  <c r="T107" i="19"/>
  <c r="U107" i="19"/>
  <c r="W107" i="19"/>
  <c r="X107" i="19"/>
  <c r="Y107" i="19"/>
  <c r="AA107" i="19"/>
  <c r="AB107" i="19"/>
  <c r="AC107" i="19"/>
  <c r="AE107" i="19"/>
  <c r="AF107" i="19"/>
  <c r="AG107" i="19"/>
  <c r="S109" i="19"/>
  <c r="T109" i="19"/>
  <c r="U109" i="19"/>
  <c r="W109" i="19"/>
  <c r="X109" i="19"/>
  <c r="Y109" i="19"/>
  <c r="AA109" i="19"/>
  <c r="AB109" i="19"/>
  <c r="AC109" i="19"/>
  <c r="AE109" i="19"/>
  <c r="AF109" i="19"/>
  <c r="AG109" i="19"/>
  <c r="S111" i="19"/>
  <c r="T111" i="19"/>
  <c r="U111" i="19"/>
  <c r="W111" i="19"/>
  <c r="X111" i="19"/>
  <c r="Y111" i="19"/>
  <c r="AA111" i="19"/>
  <c r="AB111" i="19"/>
  <c r="AC111" i="19"/>
  <c r="AE111" i="19"/>
  <c r="AF111" i="19"/>
  <c r="AG111" i="19"/>
  <c r="S113" i="19"/>
  <c r="T113" i="19"/>
  <c r="U113" i="19"/>
  <c r="W113" i="19"/>
  <c r="X113" i="19"/>
  <c r="Y113" i="19"/>
  <c r="AA113" i="19"/>
  <c r="AB113" i="19"/>
  <c r="AC113" i="19"/>
  <c r="AE113" i="19"/>
  <c r="AF113" i="19"/>
  <c r="AG113" i="19"/>
  <c r="S115" i="19"/>
  <c r="T115" i="19"/>
  <c r="U115" i="19"/>
  <c r="W115" i="19"/>
  <c r="X115" i="19"/>
  <c r="Y115" i="19"/>
  <c r="AA115" i="19"/>
  <c r="AB115" i="19"/>
  <c r="AC115" i="19"/>
  <c r="AE115" i="19"/>
  <c r="AF115" i="19"/>
  <c r="AG115" i="19"/>
  <c r="S117" i="19"/>
  <c r="T117" i="19"/>
  <c r="U117" i="19"/>
  <c r="W117" i="19"/>
  <c r="X117" i="19"/>
  <c r="Y117" i="19"/>
  <c r="AA117" i="19"/>
  <c r="AB117" i="19"/>
  <c r="AC117" i="19"/>
  <c r="AE117" i="19"/>
  <c r="AF117" i="19"/>
  <c r="AG117" i="19"/>
  <c r="S121" i="19"/>
  <c r="T121" i="19"/>
  <c r="U121" i="19"/>
  <c r="W121" i="19"/>
  <c r="X121" i="19"/>
  <c r="Y121" i="19"/>
  <c r="AA121" i="19"/>
  <c r="AB121" i="19"/>
  <c r="AC121" i="19"/>
  <c r="AE121" i="19"/>
  <c r="AF121" i="19"/>
  <c r="AG121" i="19"/>
  <c r="S123" i="19"/>
  <c r="T123" i="19"/>
  <c r="U123" i="19"/>
  <c r="W123" i="19"/>
  <c r="X123" i="19"/>
  <c r="Y123" i="19"/>
  <c r="AA123" i="19"/>
  <c r="AB123" i="19"/>
  <c r="AC123" i="19"/>
  <c r="AE123" i="19"/>
  <c r="AF123" i="19"/>
  <c r="AG123" i="19"/>
  <c r="S125" i="19"/>
  <c r="T125" i="19"/>
  <c r="U125" i="19"/>
  <c r="W125" i="19"/>
  <c r="X125" i="19"/>
  <c r="Y125" i="19"/>
  <c r="AA125" i="19"/>
  <c r="AB125" i="19"/>
  <c r="AC125" i="19"/>
  <c r="AE125" i="19"/>
  <c r="AF125" i="19"/>
  <c r="AG125" i="19"/>
  <c r="S127" i="19"/>
  <c r="T127" i="19"/>
  <c r="U127" i="19"/>
  <c r="W127" i="19"/>
  <c r="X127" i="19"/>
  <c r="Y127" i="19"/>
  <c r="AA127" i="19"/>
  <c r="AB127" i="19"/>
  <c r="AC127" i="19"/>
  <c r="AE127" i="19"/>
  <c r="AF127" i="19"/>
  <c r="AG127" i="19"/>
  <c r="AG57" i="19"/>
  <c r="AF57" i="19"/>
  <c r="AE57" i="19"/>
  <c r="AC57" i="19"/>
  <c r="AB57" i="19"/>
  <c r="AA57" i="19"/>
  <c r="Y57" i="19"/>
  <c r="X57" i="19"/>
  <c r="W57" i="19"/>
  <c r="T57" i="19"/>
  <c r="S57" i="19"/>
  <c r="S131" i="19" l="1"/>
  <c r="S134" i="19" s="1"/>
  <c r="T131" i="19"/>
  <c r="AE37" i="8"/>
  <c r="S37" i="8"/>
  <c r="AF37" i="8"/>
  <c r="T37" i="8"/>
  <c r="V37" i="8"/>
  <c r="W37" i="8"/>
  <c r="X37" i="8"/>
  <c r="Z37" i="8"/>
  <c r="AA37" i="8"/>
  <c r="AB37" i="8"/>
  <c r="AD37" i="8"/>
  <c r="X39" i="8"/>
  <c r="W39" i="8"/>
  <c r="Z39" i="8"/>
  <c r="AB39" i="8"/>
  <c r="AD39" i="8"/>
  <c r="AE39" i="8"/>
  <c r="V39" i="8"/>
  <c r="T39" i="8"/>
  <c r="S39" i="8"/>
  <c r="AF39" i="8"/>
  <c r="R39" i="8"/>
  <c r="AA39" i="8"/>
  <c r="AB43" i="8"/>
  <c r="Z43" i="8"/>
  <c r="AF43" i="8"/>
  <c r="S43" i="8"/>
  <c r="R43" i="8"/>
  <c r="AD43" i="8"/>
  <c r="T43" i="8"/>
  <c r="AE43" i="8"/>
  <c r="AA43" i="8"/>
  <c r="X43" i="8"/>
  <c r="V43" i="8"/>
  <c r="W43" i="8"/>
  <c r="Z81" i="2"/>
  <c r="V89" i="18"/>
  <c r="Z101" i="2"/>
  <c r="AD67" i="18"/>
  <c r="AD63" i="18"/>
  <c r="U30" i="8"/>
  <c r="Z175" i="2"/>
  <c r="V81" i="18"/>
  <c r="Z89" i="18"/>
  <c r="AD59" i="2"/>
  <c r="Z77" i="18"/>
  <c r="Z81" i="18"/>
  <c r="V99" i="2"/>
  <c r="Z171" i="2"/>
  <c r="V103" i="2"/>
  <c r="Z115" i="18"/>
  <c r="Z131" i="2"/>
  <c r="Z67" i="2"/>
  <c r="V63" i="18"/>
  <c r="Z121" i="2"/>
  <c r="AD115" i="18"/>
  <c r="V71" i="2"/>
  <c r="V67" i="18"/>
  <c r="Z69" i="18"/>
  <c r="AD11" i="8"/>
  <c r="AD12" i="8" s="1"/>
  <c r="AD13" i="8" s="1"/>
  <c r="AD14" i="8" s="1"/>
  <c r="AD89" i="2"/>
  <c r="AD101" i="2"/>
  <c r="AD171" i="2"/>
  <c r="AD135" i="2"/>
  <c r="Z135" i="2"/>
  <c r="AD99" i="2"/>
  <c r="Z87" i="2"/>
  <c r="Z123" i="2"/>
  <c r="Z173" i="2"/>
  <c r="Z79" i="2"/>
  <c r="Z69" i="2"/>
  <c r="V123" i="2"/>
  <c r="Z71" i="18"/>
  <c r="V91" i="18"/>
  <c r="AH55" i="18"/>
  <c r="AD69" i="18"/>
  <c r="AD87" i="18"/>
  <c r="AH93" i="18"/>
  <c r="Z93" i="18"/>
  <c r="AD55" i="18"/>
  <c r="AD93" i="18"/>
  <c r="Z67" i="18"/>
  <c r="Z87" i="18"/>
  <c r="Z63" i="18"/>
  <c r="V87" i="18"/>
  <c r="V93" i="18"/>
  <c r="AD89" i="18"/>
  <c r="Z91" i="18"/>
  <c r="V69" i="18"/>
  <c r="AH65" i="18"/>
  <c r="Z55" i="18"/>
  <c r="AD57" i="18"/>
  <c r="Z65" i="18"/>
  <c r="AD91" i="18"/>
  <c r="V125" i="19"/>
  <c r="V79" i="19"/>
  <c r="V87" i="19"/>
  <c r="Z117" i="2"/>
  <c r="V67" i="2"/>
  <c r="Z71" i="2"/>
  <c r="V59" i="18"/>
  <c r="V59" i="2"/>
  <c r="V101" i="19"/>
  <c r="V57" i="18"/>
  <c r="V83" i="18"/>
  <c r="AH89" i="18"/>
  <c r="AD129" i="2"/>
  <c r="V133" i="2"/>
  <c r="V175" i="2"/>
  <c r="Z85" i="2"/>
  <c r="Z95" i="2"/>
  <c r="V79" i="2"/>
  <c r="Z57" i="19"/>
  <c r="AD101" i="19"/>
  <c r="V125" i="2"/>
  <c r="AD127" i="2"/>
  <c r="AD67" i="2"/>
  <c r="AD75" i="2"/>
  <c r="AD175" i="2"/>
  <c r="Z115" i="2"/>
  <c r="AD71" i="2"/>
  <c r="Z61" i="2"/>
  <c r="AD95" i="2"/>
  <c r="V111" i="2"/>
  <c r="AD109" i="2"/>
  <c r="AD61" i="2"/>
  <c r="V73" i="2"/>
  <c r="V69" i="2"/>
  <c r="V169" i="2"/>
  <c r="AD107" i="2"/>
  <c r="V105" i="2"/>
  <c r="AD79" i="2"/>
  <c r="AD103" i="2"/>
  <c r="V75" i="2"/>
  <c r="Z133" i="2"/>
  <c r="AD69" i="2"/>
  <c r="AD131" i="2"/>
  <c r="Z103" i="2"/>
  <c r="AD81" i="2"/>
  <c r="AD133" i="2"/>
  <c r="Z109" i="2"/>
  <c r="V107" i="2"/>
  <c r="AD173" i="2"/>
  <c r="V171" i="2"/>
  <c r="V129" i="2"/>
  <c r="Z169" i="2"/>
  <c r="Z105" i="2"/>
  <c r="AD85" i="2"/>
  <c r="Z111" i="2"/>
  <c r="Z75" i="2"/>
  <c r="V113" i="19"/>
  <c r="V111" i="19"/>
  <c r="V71" i="19"/>
  <c r="AD65" i="18"/>
  <c r="AD73" i="2"/>
  <c r="V63" i="2"/>
  <c r="AD91" i="2"/>
  <c r="Z83" i="18"/>
  <c r="V173" i="2"/>
  <c r="V97" i="2"/>
  <c r="V73" i="18"/>
  <c r="Z63" i="2"/>
  <c r="AD83" i="18"/>
  <c r="AH59" i="18"/>
  <c r="V117" i="18"/>
  <c r="AD169" i="2"/>
  <c r="AD59" i="18"/>
  <c r="V65" i="2"/>
  <c r="V113" i="2"/>
  <c r="V91" i="2"/>
  <c r="AD115" i="2"/>
  <c r="AD81" i="18"/>
  <c r="V95" i="2"/>
  <c r="V87" i="2"/>
  <c r="AD111" i="2"/>
  <c r="V89" i="2"/>
  <c r="Z113" i="2"/>
  <c r="AD125" i="2"/>
  <c r="Z125" i="2"/>
  <c r="V55" i="18"/>
  <c r="Z57" i="18"/>
  <c r="AD63" i="2"/>
  <c r="Z97" i="2"/>
  <c r="AD57" i="19"/>
  <c r="V63" i="19"/>
  <c r="AH127" i="19"/>
  <c r="AH117" i="19"/>
  <c r="AH95" i="19"/>
  <c r="V119" i="2"/>
  <c r="V93" i="2"/>
  <c r="Z103" i="19"/>
  <c r="Z87" i="19"/>
  <c r="Z71" i="19"/>
  <c r="Z127" i="2"/>
  <c r="AD113" i="2"/>
  <c r="Z65" i="2"/>
  <c r="Z107" i="2"/>
  <c r="Z89" i="2"/>
  <c r="V85" i="2"/>
  <c r="V101" i="2"/>
  <c r="AD123" i="2"/>
  <c r="Z99" i="2"/>
  <c r="AD117" i="2"/>
  <c r="Z61" i="18"/>
  <c r="AD105" i="2"/>
  <c r="V127" i="19"/>
  <c r="V123" i="19"/>
  <c r="V121" i="19"/>
  <c r="V117" i="19"/>
  <c r="V115" i="19"/>
  <c r="V107" i="19"/>
  <c r="V105" i="19"/>
  <c r="V103" i="19"/>
  <c r="V95" i="19"/>
  <c r="V93" i="19"/>
  <c r="V91" i="19"/>
  <c r="V89" i="19"/>
  <c r="V83" i="19"/>
  <c r="V81" i="19"/>
  <c r="V77" i="19"/>
  <c r="V75" i="19"/>
  <c r="V73" i="19"/>
  <c r="V69" i="19"/>
  <c r="V65" i="19"/>
  <c r="V61" i="19"/>
  <c r="V59" i="19"/>
  <c r="Z59" i="18"/>
  <c r="AD97" i="2"/>
  <c r="V61" i="2"/>
  <c r="Z93" i="2"/>
  <c r="AD65" i="2"/>
  <c r="AH65" i="19"/>
  <c r="AD77" i="18"/>
  <c r="Z73" i="2"/>
  <c r="AD87" i="2"/>
  <c r="V127" i="2"/>
  <c r="AH77" i="19"/>
  <c r="AH63" i="19"/>
  <c r="V71" i="18"/>
  <c r="Z59" i="2"/>
  <c r="Z91" i="2"/>
  <c r="AD93" i="2"/>
  <c r="AH107" i="19"/>
  <c r="AH97" i="19"/>
  <c r="AH85" i="19"/>
  <c r="AH67" i="19"/>
  <c r="V81" i="2"/>
  <c r="V109" i="2"/>
  <c r="AD121" i="2"/>
  <c r="AD119" i="2"/>
  <c r="Z119" i="2"/>
  <c r="Z129" i="2"/>
  <c r="V121" i="2"/>
  <c r="V131" i="2"/>
  <c r="V135" i="2"/>
  <c r="V117" i="2"/>
  <c r="V115" i="2"/>
  <c r="V77" i="18"/>
  <c r="V61" i="18"/>
  <c r="V65" i="18"/>
  <c r="AD61" i="18"/>
  <c r="AD75" i="18"/>
  <c r="Z73" i="18"/>
  <c r="V75" i="18"/>
  <c r="AD117" i="18"/>
  <c r="AD73" i="18"/>
  <c r="Z75" i="18"/>
  <c r="Z117" i="18"/>
  <c r="V115" i="18"/>
  <c r="AD71" i="18"/>
  <c r="AH117" i="18"/>
  <c r="AH57" i="18"/>
  <c r="AH63" i="18"/>
  <c r="AH69" i="18"/>
  <c r="AH75" i="18"/>
  <c r="AH81" i="18"/>
  <c r="AH87" i="18"/>
  <c r="AH77" i="18"/>
  <c r="AH67" i="18"/>
  <c r="AI58" i="18"/>
  <c r="AH71" i="18"/>
  <c r="AH83" i="18"/>
  <c r="AH115" i="18"/>
  <c r="AH61" i="18"/>
  <c r="AI72" i="18"/>
  <c r="AH73" i="18"/>
  <c r="AI84" i="18"/>
  <c r="AI116" i="18"/>
  <c r="AI60" i="18"/>
  <c r="AH91" i="18"/>
  <c r="AI62" i="18"/>
  <c r="AI74" i="18"/>
  <c r="AI118" i="18"/>
  <c r="AI64" i="18"/>
  <c r="AI70" i="18"/>
  <c r="AI76" i="18"/>
  <c r="AI82" i="18"/>
  <c r="AI88" i="18"/>
  <c r="AI94" i="18"/>
  <c r="AD121" i="19"/>
  <c r="AD87" i="19"/>
  <c r="AD67" i="19"/>
  <c r="Z123" i="19"/>
  <c r="Z121" i="19"/>
  <c r="Z113" i="19"/>
  <c r="Z111" i="19"/>
  <c r="Z109" i="19"/>
  <c r="Z101" i="19"/>
  <c r="Z91" i="19"/>
  <c r="Z85" i="19"/>
  <c r="Z83" i="19"/>
  <c r="Z81" i="19"/>
  <c r="Z69" i="19"/>
  <c r="Z67" i="19"/>
  <c r="Z59" i="19"/>
  <c r="AD111" i="19"/>
  <c r="AD109" i="19"/>
  <c r="AD85" i="19"/>
  <c r="AD81" i="19"/>
  <c r="AD65" i="19"/>
  <c r="AH57" i="19"/>
  <c r="V109" i="19"/>
  <c r="V99" i="19"/>
  <c r="V67" i="19"/>
  <c r="AD107" i="19"/>
  <c r="AD77" i="19"/>
  <c r="AD69" i="19"/>
  <c r="V97" i="19"/>
  <c r="V85" i="19"/>
  <c r="AD97" i="19"/>
  <c r="AH75" i="19"/>
  <c r="AI56" i="18"/>
  <c r="AH79" i="19"/>
  <c r="AD79" i="19"/>
  <c r="Z79" i="19"/>
  <c r="AD127" i="19"/>
  <c r="AD125" i="19"/>
  <c r="AD123" i="19"/>
  <c r="AD117" i="19"/>
  <c r="AD115" i="19"/>
  <c r="AD113" i="19"/>
  <c r="AD105" i="19"/>
  <c r="AD103" i="19"/>
  <c r="AD99" i="19"/>
  <c r="AD95" i="19"/>
  <c r="AD93" i="19"/>
  <c r="AD91" i="19"/>
  <c r="AD89" i="19"/>
  <c r="AD83" i="19"/>
  <c r="AD75" i="19"/>
  <c r="AD73" i="19"/>
  <c r="AD71" i="19"/>
  <c r="AD63" i="19"/>
  <c r="AD61" i="19"/>
  <c r="AD59" i="19"/>
  <c r="Z97" i="19"/>
  <c r="Z127" i="19"/>
  <c r="Z125" i="19"/>
  <c r="Z117" i="19"/>
  <c r="Z115" i="19"/>
  <c r="Z107" i="19"/>
  <c r="Z105" i="19"/>
  <c r="Z95" i="19"/>
  <c r="Z93" i="19"/>
  <c r="Z77" i="19"/>
  <c r="Z75" i="19"/>
  <c r="Z73" i="19"/>
  <c r="Z65" i="19"/>
  <c r="Z63" i="19"/>
  <c r="Z61" i="19"/>
  <c r="V57" i="19"/>
  <c r="AH125" i="19"/>
  <c r="AH123" i="19"/>
  <c r="AH121" i="19"/>
  <c r="AH115" i="19"/>
  <c r="AH113" i="19"/>
  <c r="AH111" i="19"/>
  <c r="AH109" i="19"/>
  <c r="AH105" i="19"/>
  <c r="AH103" i="19"/>
  <c r="AH101" i="19"/>
  <c r="AH99" i="19"/>
  <c r="AH93" i="19"/>
  <c r="AH91" i="19"/>
  <c r="AH89" i="19"/>
  <c r="AH87" i="19"/>
  <c r="AH83" i="19"/>
  <c r="AH81" i="19"/>
  <c r="AH73" i="19"/>
  <c r="AH71" i="19"/>
  <c r="AH69" i="19"/>
  <c r="AH61" i="19"/>
  <c r="AH59" i="19"/>
  <c r="Z99" i="19"/>
  <c r="Z89" i="19"/>
  <c r="J99" i="24"/>
  <c r="D447" i="38" s="1"/>
  <c r="D445" i="38"/>
  <c r="J91" i="24"/>
  <c r="D439" i="38" s="1"/>
  <c r="J87" i="24"/>
  <c r="D435" i="38" s="1"/>
  <c r="J77" i="24"/>
  <c r="D425" i="38" s="1"/>
  <c r="J39" i="24"/>
  <c r="D387" i="38" s="1"/>
  <c r="S85" i="8" l="1"/>
  <c r="T134" i="19"/>
  <c r="AC37" i="8"/>
  <c r="U37" i="8"/>
  <c r="Y37" i="8"/>
  <c r="AI65" i="18"/>
  <c r="Y39" i="8"/>
  <c r="G5" i="18"/>
  <c r="U39" i="8"/>
  <c r="AC39" i="8"/>
  <c r="Y43" i="8"/>
  <c r="U43" i="8"/>
  <c r="AC43" i="8"/>
  <c r="AI55" i="18"/>
  <c r="AI93" i="18"/>
  <c r="AI59" i="18"/>
  <c r="AI77" i="18"/>
  <c r="AD97" i="24"/>
  <c r="T97" i="24"/>
  <c r="AC97" i="24"/>
  <c r="AB97" i="24"/>
  <c r="AF97" i="24"/>
  <c r="AG97" i="24"/>
  <c r="X97" i="24"/>
  <c r="AH97" i="24"/>
  <c r="Y97" i="24"/>
  <c r="U97" i="24"/>
  <c r="Z97" i="24"/>
  <c r="V97" i="24"/>
  <c r="Y39" i="24"/>
  <c r="V39" i="24"/>
  <c r="X39" i="24"/>
  <c r="Z39" i="24"/>
  <c r="AD39" i="24"/>
  <c r="AB39" i="24"/>
  <c r="AC39" i="24"/>
  <c r="T39" i="24"/>
  <c r="AF39" i="24"/>
  <c r="U39" i="24"/>
  <c r="AG39" i="24"/>
  <c r="AH39" i="24"/>
  <c r="Y91" i="24"/>
  <c r="V91" i="24"/>
  <c r="T91" i="24"/>
  <c r="U91" i="24"/>
  <c r="X91" i="24"/>
  <c r="T99" i="24"/>
  <c r="AF77" i="24"/>
  <c r="AG77" i="24"/>
  <c r="AC77" i="24"/>
  <c r="AD77" i="24"/>
  <c r="T77" i="24"/>
  <c r="Y77" i="24"/>
  <c r="U77" i="24"/>
  <c r="AB77" i="24"/>
  <c r="V77" i="24"/>
  <c r="X77" i="24"/>
  <c r="AH77" i="24"/>
  <c r="Z77" i="24"/>
  <c r="U85" i="24"/>
  <c r="T85" i="24"/>
  <c r="T87" i="24"/>
  <c r="AB87" i="24"/>
  <c r="Z87" i="24"/>
  <c r="U87" i="24"/>
  <c r="V87" i="24"/>
  <c r="X87" i="24"/>
  <c r="Y87" i="24"/>
  <c r="AI73" i="18"/>
  <c r="AI89" i="18"/>
  <c r="AI87" i="18"/>
  <c r="AI117" i="18"/>
  <c r="AI91" i="18"/>
  <c r="AI61" i="18"/>
  <c r="AI75" i="18"/>
  <c r="AI63" i="18"/>
  <c r="AI67" i="18"/>
  <c r="AI69" i="18"/>
  <c r="AI57" i="18"/>
  <c r="AI81" i="18"/>
  <c r="AI83" i="18"/>
  <c r="AI71" i="18"/>
  <c r="AI115" i="18"/>
  <c r="D5" i="18" l="1"/>
  <c r="AE97" i="24"/>
  <c r="AF81" i="17"/>
  <c r="AA81" i="17"/>
  <c r="AC81" i="17"/>
  <c r="AG81" i="17"/>
  <c r="AB81" i="17"/>
  <c r="AE81" i="17"/>
  <c r="W91" i="24"/>
  <c r="AA77" i="24"/>
  <c r="AE77" i="24"/>
  <c r="W97" i="24"/>
  <c r="W39" i="24"/>
  <c r="AE39" i="24"/>
  <c r="W77" i="24"/>
  <c r="AA97" i="24"/>
  <c r="AA39" i="24"/>
  <c r="AA87" i="24"/>
  <c r="W87" i="24"/>
  <c r="AN128" i="2"/>
  <c r="AH128" i="2"/>
  <c r="AN127" i="2"/>
  <c r="AM127" i="2"/>
  <c r="AH127" i="2"/>
  <c r="AN126" i="2"/>
  <c r="AH126" i="2"/>
  <c r="AN125" i="2"/>
  <c r="AM125" i="2"/>
  <c r="AH125" i="2"/>
  <c r="AN124" i="2"/>
  <c r="AH124" i="2"/>
  <c r="AN123" i="2"/>
  <c r="AM123" i="2"/>
  <c r="AH123" i="2"/>
  <c r="AN122" i="2"/>
  <c r="AH122" i="2"/>
  <c r="AN121" i="2"/>
  <c r="AM121" i="2"/>
  <c r="AH121" i="2"/>
  <c r="AN120" i="2"/>
  <c r="AH120" i="2"/>
  <c r="AI120" i="2" s="1"/>
  <c r="AN119" i="2"/>
  <c r="AM119" i="2"/>
  <c r="AH119" i="2"/>
  <c r="AN118" i="2"/>
  <c r="AH118" i="2"/>
  <c r="AN117" i="2"/>
  <c r="AM117" i="2"/>
  <c r="AH117" i="2"/>
  <c r="AN116" i="2"/>
  <c r="AH116" i="2"/>
  <c r="AN115" i="2"/>
  <c r="AM115" i="2"/>
  <c r="AH115" i="2"/>
  <c r="AN114" i="2"/>
  <c r="AH114" i="2"/>
  <c r="AN113" i="2"/>
  <c r="AM113" i="2"/>
  <c r="AH113" i="2"/>
  <c r="AN112" i="2"/>
  <c r="AH112" i="2"/>
  <c r="AN111" i="2"/>
  <c r="AM111" i="2"/>
  <c r="AH111" i="2"/>
  <c r="AN110" i="2"/>
  <c r="AH110" i="2"/>
  <c r="AN109" i="2"/>
  <c r="AM109" i="2"/>
  <c r="AH109" i="2"/>
  <c r="AN170" i="2"/>
  <c r="AH170" i="2"/>
  <c r="AN169" i="2"/>
  <c r="AM169" i="2"/>
  <c r="AH169" i="2"/>
  <c r="R169" i="2"/>
  <c r="O169" i="2"/>
  <c r="AN136" i="2"/>
  <c r="AH136" i="2"/>
  <c r="AN135" i="2"/>
  <c r="AM135" i="2"/>
  <c r="AH135" i="2"/>
  <c r="AN134" i="2"/>
  <c r="AH134" i="2"/>
  <c r="AN133" i="2"/>
  <c r="AM133" i="2"/>
  <c r="AH133" i="2"/>
  <c r="AI133" i="2" s="1"/>
  <c r="L55" i="34" s="1"/>
  <c r="AN132" i="2"/>
  <c r="AH132" i="2"/>
  <c r="AN131" i="2"/>
  <c r="AM131" i="2"/>
  <c r="AH131" i="2"/>
  <c r="AI131" i="2" s="1"/>
  <c r="L54" i="34" s="1"/>
  <c r="AN130" i="2"/>
  <c r="AH130" i="2"/>
  <c r="AN129" i="2"/>
  <c r="AM129" i="2"/>
  <c r="AH129" i="2"/>
  <c r="AD81" i="17" l="1"/>
  <c r="AI114" i="2"/>
  <c r="AI126" i="2"/>
  <c r="AI112" i="2"/>
  <c r="AI118" i="2"/>
  <c r="AI124" i="2"/>
  <c r="AI113" i="2"/>
  <c r="AI125" i="2"/>
  <c r="AI115" i="2"/>
  <c r="AI117" i="2"/>
  <c r="AI127" i="2"/>
  <c r="L52" i="34" s="1"/>
  <c r="AI135" i="2"/>
  <c r="AI130" i="2"/>
  <c r="AI110" i="2"/>
  <c r="AI122" i="2"/>
  <c r="AI119" i="2"/>
  <c r="L44" i="34" s="1"/>
  <c r="AI109" i="2"/>
  <c r="AI111" i="2"/>
  <c r="AI121" i="2"/>
  <c r="L50" i="34" s="1"/>
  <c r="AI123" i="2"/>
  <c r="L43" i="34" s="1"/>
  <c r="AI136" i="2"/>
  <c r="AI116" i="2"/>
  <c r="AI128" i="2"/>
  <c r="AI170" i="2"/>
  <c r="AI132" i="2"/>
  <c r="AI169" i="2"/>
  <c r="AI134" i="2"/>
  <c r="AI129" i="2"/>
  <c r="G103" i="24"/>
  <c r="L57" i="34" l="1"/>
  <c r="L56" i="34"/>
  <c r="L48" i="34"/>
  <c r="L47" i="34"/>
  <c r="I101" i="24"/>
  <c r="G101" i="24"/>
  <c r="Y99" i="24" l="1"/>
  <c r="Z99" i="24"/>
  <c r="U99" i="24"/>
  <c r="V99" i="24"/>
  <c r="X99" i="24"/>
  <c r="AB99" i="24"/>
  <c r="AC99" i="24"/>
  <c r="AG99" i="24"/>
  <c r="AD99" i="24"/>
  <c r="AF99" i="24"/>
  <c r="AH99" i="24"/>
  <c r="AL33" i="8"/>
  <c r="AE99" i="24" l="1"/>
  <c r="AA99" i="24"/>
  <c r="W99" i="24"/>
  <c r="U33" i="8"/>
  <c r="AG33" i="8"/>
  <c r="AH33" i="8"/>
  <c r="U34" i="8"/>
  <c r="Y34" i="8"/>
  <c r="AC34" i="8"/>
  <c r="AG34" i="8"/>
  <c r="AH34" i="8"/>
  <c r="AP48" i="8" l="1" a="1"/>
  <c r="AP47" i="8" a="1"/>
  <c r="AP33" i="8" a="1"/>
  <c r="AP45" i="8" a="1"/>
  <c r="AP46" i="8" a="1"/>
  <c r="AP35" i="8" a="1"/>
  <c r="AP37" i="8" a="1"/>
  <c r="AP42" i="8" a="1"/>
  <c r="AP43" i="8" a="1"/>
  <c r="AP38" i="8" a="1"/>
  <c r="AP39" i="8" a="1"/>
  <c r="AP44" i="8" a="1"/>
  <c r="AP40" i="8" a="1"/>
  <c r="AP41" i="8" a="1"/>
  <c r="AN100" i="19"/>
  <c r="AN99" i="19"/>
  <c r="AM99" i="19"/>
  <c r="R99" i="19"/>
  <c r="AN98" i="19"/>
  <c r="AN97" i="19"/>
  <c r="AM97" i="19"/>
  <c r="AN124" i="19"/>
  <c r="AN123" i="19"/>
  <c r="AM123" i="19"/>
  <c r="O123" i="19"/>
  <c r="C323" i="38" s="1"/>
  <c r="AN122" i="19"/>
  <c r="AN121" i="19"/>
  <c r="AM121" i="19"/>
  <c r="C321" i="38"/>
  <c r="C319" i="38"/>
  <c r="AN120" i="19"/>
  <c r="AN119" i="19"/>
  <c r="AM119" i="19"/>
  <c r="C317" i="38"/>
  <c r="AN118" i="19"/>
  <c r="AN117" i="19"/>
  <c r="AM117" i="19"/>
  <c r="R117" i="19"/>
  <c r="C315" i="38"/>
  <c r="AN116" i="19"/>
  <c r="AN115" i="19"/>
  <c r="AM115" i="19"/>
  <c r="C313" i="38"/>
  <c r="AN114" i="19"/>
  <c r="AN113" i="19"/>
  <c r="AM113" i="19"/>
  <c r="R113" i="19"/>
  <c r="AN112" i="19"/>
  <c r="AN111" i="19"/>
  <c r="AM111" i="19"/>
  <c r="R111" i="19"/>
  <c r="C309" i="38"/>
  <c r="AN110" i="19"/>
  <c r="AN109" i="19"/>
  <c r="AM109" i="19"/>
  <c r="AN108" i="19"/>
  <c r="AN107" i="19"/>
  <c r="AM107" i="19"/>
  <c r="AN106" i="19"/>
  <c r="AN105" i="19"/>
  <c r="AM105" i="19"/>
  <c r="AN104" i="19"/>
  <c r="AN103" i="19"/>
  <c r="AM103" i="19"/>
  <c r="AN102" i="19"/>
  <c r="AN101" i="19"/>
  <c r="AM101" i="19"/>
  <c r="AN55" i="17"/>
  <c r="AN56" i="17"/>
  <c r="AN57" i="17"/>
  <c r="AN58" i="17"/>
  <c r="C5" i="17"/>
  <c r="B5" i="19"/>
  <c r="H23" i="32" s="1"/>
  <c r="C13" i="24"/>
  <c r="F17" i="32" s="1"/>
  <c r="B13" i="24"/>
  <c r="E17" i="32" s="1"/>
  <c r="M87" i="8" a="1"/>
  <c r="N87" i="8" a="1"/>
  <c r="O87" i="8" a="1"/>
  <c r="P87" i="8" a="1"/>
  <c r="Q87" i="8" a="1"/>
  <c r="R87" i="8" a="1"/>
  <c r="S87" i="8" a="1"/>
  <c r="T87" i="8" a="1"/>
  <c r="U87" i="8" a="1"/>
  <c r="V87" i="8" a="1"/>
  <c r="W87" i="8" a="1"/>
  <c r="L87" i="8" a="1"/>
  <c r="L89" i="8"/>
  <c r="V85" i="8"/>
  <c r="W85" i="8"/>
  <c r="U85" i="8"/>
  <c r="T85" i="8"/>
  <c r="R85" i="8"/>
  <c r="P85" i="8"/>
  <c r="Q85" i="8"/>
  <c r="O85" i="8"/>
  <c r="M85" i="8"/>
  <c r="N85" i="8"/>
  <c r="L85" i="8"/>
  <c r="U181" i="2" a="1"/>
  <c r="V181" i="2" a="1"/>
  <c r="W181" i="2" a="1"/>
  <c r="Y181" i="2" a="1"/>
  <c r="Z181" i="2" a="1"/>
  <c r="AA181" i="2" a="1"/>
  <c r="AC181" i="2" a="1"/>
  <c r="AD181" i="2" a="1"/>
  <c r="AE181" i="2" a="1"/>
  <c r="AD179" i="2"/>
  <c r="AE179" i="2"/>
  <c r="AD180" i="2"/>
  <c r="AE180" i="2"/>
  <c r="AC180" i="2"/>
  <c r="AC179" i="2"/>
  <c r="AB179" i="2"/>
  <c r="AA179" i="2"/>
  <c r="AA180" i="2"/>
  <c r="AB180" i="2"/>
  <c r="Z180" i="2"/>
  <c r="Z179" i="2"/>
  <c r="X179" i="2"/>
  <c r="Y179" i="2"/>
  <c r="X180" i="2"/>
  <c r="Y180" i="2"/>
  <c r="W180" i="2"/>
  <c r="W179" i="2"/>
  <c r="U179" i="2"/>
  <c r="U180" i="2"/>
  <c r="V180" i="2"/>
  <c r="T179" i="2"/>
  <c r="T182" i="2" s="1"/>
  <c r="T127" i="18"/>
  <c r="AD119" i="17" a="1"/>
  <c r="AC119" i="17" a="1"/>
  <c r="AB119" i="17" a="1"/>
  <c r="AA119" i="17" a="1"/>
  <c r="Z119" i="17" a="1"/>
  <c r="Y119" i="17" a="1"/>
  <c r="X119" i="17" a="1"/>
  <c r="W119" i="17" a="1"/>
  <c r="V119" i="17" a="1"/>
  <c r="U119" i="17" a="1"/>
  <c r="T119" i="17" a="1"/>
  <c r="S119" i="17" a="1"/>
  <c r="AD118" i="17"/>
  <c r="AC118" i="17"/>
  <c r="AB118" i="17"/>
  <c r="AA118" i="17"/>
  <c r="Z118" i="17"/>
  <c r="Y118" i="17"/>
  <c r="X118" i="17"/>
  <c r="W118" i="17"/>
  <c r="V118" i="17"/>
  <c r="U118" i="17"/>
  <c r="T118" i="17"/>
  <c r="S118" i="17"/>
  <c r="AD117" i="17"/>
  <c r="AC117" i="17"/>
  <c r="AB117" i="17"/>
  <c r="AA117" i="17"/>
  <c r="Z117" i="17"/>
  <c r="Y117" i="17"/>
  <c r="X117" i="17"/>
  <c r="W117" i="17"/>
  <c r="V117" i="17"/>
  <c r="U117" i="17"/>
  <c r="T117" i="17"/>
  <c r="S120" i="17"/>
  <c r="S107" i="20" a="1"/>
  <c r="AC105" i="20"/>
  <c r="AD105" i="20"/>
  <c r="AC106" i="20"/>
  <c r="AD106" i="20"/>
  <c r="AB106" i="20"/>
  <c r="AB105" i="20"/>
  <c r="Z105" i="20"/>
  <c r="AA105" i="20"/>
  <c r="Z106" i="20"/>
  <c r="AA106" i="20"/>
  <c r="Y106" i="20"/>
  <c r="Y105" i="20"/>
  <c r="W105" i="20"/>
  <c r="X105" i="20"/>
  <c r="W106" i="20"/>
  <c r="X106" i="20"/>
  <c r="V106" i="20"/>
  <c r="V105" i="20"/>
  <c r="T105" i="20"/>
  <c r="U105" i="20"/>
  <c r="T106" i="20"/>
  <c r="U106" i="20"/>
  <c r="T107" i="20" a="1"/>
  <c r="U107" i="20" a="1"/>
  <c r="V107" i="20" a="1"/>
  <c r="W107" i="20" a="1"/>
  <c r="X107" i="20" a="1"/>
  <c r="Y107" i="20" a="1"/>
  <c r="Z107" i="20" a="1"/>
  <c r="AA107" i="20" a="1"/>
  <c r="AB107" i="20" a="1"/>
  <c r="AC107" i="20" a="1"/>
  <c r="AD107" i="20" a="1"/>
  <c r="S106" i="20"/>
  <c r="S105" i="20"/>
  <c r="Z150" i="24"/>
  <c r="AA150" i="24"/>
  <c r="Y150" i="24"/>
  <c r="W150" i="24"/>
  <c r="X150" i="24"/>
  <c r="V150" i="24"/>
  <c r="U150" i="24"/>
  <c r="T150" i="24"/>
  <c r="S150" i="24"/>
  <c r="Q150" i="24"/>
  <c r="R150" i="24"/>
  <c r="P150" i="24"/>
  <c r="AD129" i="18" a="1"/>
  <c r="AC129" i="18" a="1"/>
  <c r="AB129" i="18" a="1"/>
  <c r="AA129" i="18" a="1"/>
  <c r="Z129" i="18" a="1"/>
  <c r="Y129" i="18" a="1"/>
  <c r="X129" i="18" a="1"/>
  <c r="W129" i="18" a="1"/>
  <c r="V129" i="18" a="1"/>
  <c r="U129" i="18" a="1"/>
  <c r="T129" i="18" a="1"/>
  <c r="S129" i="18" a="1"/>
  <c r="AD128" i="18"/>
  <c r="AC128" i="18"/>
  <c r="AB128" i="18"/>
  <c r="AA128" i="18"/>
  <c r="Z128" i="18"/>
  <c r="Y128" i="18"/>
  <c r="X128" i="18"/>
  <c r="W128" i="18"/>
  <c r="V128" i="18"/>
  <c r="U128" i="18"/>
  <c r="T128" i="18"/>
  <c r="S128" i="18"/>
  <c r="S127" i="18"/>
  <c r="AC132" i="19"/>
  <c r="AD132" i="19"/>
  <c r="AB132" i="19"/>
  <c r="Z132" i="19"/>
  <c r="AA132" i="19"/>
  <c r="Y132" i="19"/>
  <c r="W132" i="19"/>
  <c r="X132" i="19"/>
  <c r="V132" i="19"/>
  <c r="U132" i="19"/>
  <c r="AC131" i="19"/>
  <c r="AD131" i="19"/>
  <c r="AB131" i="19"/>
  <c r="AA131" i="19"/>
  <c r="Z131" i="19"/>
  <c r="Y131" i="19"/>
  <c r="X131" i="19"/>
  <c r="W131" i="19"/>
  <c r="V131" i="19"/>
  <c r="U131" i="19"/>
  <c r="N5" i="38" l="1"/>
  <c r="H5" i="38"/>
  <c r="K5" i="38"/>
  <c r="S121" i="17"/>
  <c r="S122" i="17" s="1"/>
  <c r="S109" i="20"/>
  <c r="S110" i="20" s="1"/>
  <c r="U135" i="19"/>
  <c r="V135" i="19" s="1"/>
  <c r="W135" i="19" s="1"/>
  <c r="X135" i="19" s="1"/>
  <c r="Y135" i="19" s="1"/>
  <c r="Z135" i="19" s="1"/>
  <c r="AA135" i="19" s="1"/>
  <c r="AB135" i="19" s="1"/>
  <c r="AC135" i="19" s="1"/>
  <c r="AD135" i="19" s="1"/>
  <c r="P153" i="24"/>
  <c r="I10" i="19"/>
  <c r="U134" i="19"/>
  <c r="V134" i="19" s="1"/>
  <c r="W134" i="19" s="1"/>
  <c r="X134" i="19" s="1"/>
  <c r="Y134" i="19" s="1"/>
  <c r="Z134" i="19" s="1"/>
  <c r="AA134" i="19" s="1"/>
  <c r="AB134" i="19" s="1"/>
  <c r="AC134" i="19" s="1"/>
  <c r="AD134" i="19" s="1"/>
  <c r="AI117" i="19"/>
  <c r="AI112" i="19"/>
  <c r="AI106" i="19"/>
  <c r="AI101" i="19"/>
  <c r="AI111" i="19"/>
  <c r="AI121" i="19"/>
  <c r="AI122" i="19"/>
  <c r="AI102" i="19"/>
  <c r="AI118" i="19"/>
  <c r="AI99" i="19"/>
  <c r="AI107" i="19"/>
  <c r="AI114" i="19"/>
  <c r="AI124" i="19"/>
  <c r="AI109" i="19"/>
  <c r="AI98" i="19"/>
  <c r="AI100" i="19"/>
  <c r="AI116" i="19"/>
  <c r="AI103" i="19"/>
  <c r="AI120" i="19"/>
  <c r="AI97" i="19"/>
  <c r="AI105" i="19"/>
  <c r="AI113" i="19"/>
  <c r="AI115" i="19"/>
  <c r="AI123" i="19"/>
  <c r="AI108" i="19"/>
  <c r="AI104" i="19"/>
  <c r="AI110" i="19"/>
  <c r="T120" i="17"/>
  <c r="U120" i="17" s="1"/>
  <c r="V120" i="17" s="1"/>
  <c r="W120" i="17" s="1"/>
  <c r="X120" i="17" s="1"/>
  <c r="Y120" i="17" s="1"/>
  <c r="Z120" i="17" s="1"/>
  <c r="AA120" i="17" s="1"/>
  <c r="AB120" i="17" s="1"/>
  <c r="AC120" i="17" s="1"/>
  <c r="AD120" i="17" s="1"/>
  <c r="AE117" i="17"/>
  <c r="AE118" i="17"/>
  <c r="U182" i="2"/>
  <c r="M89" i="8"/>
  <c r="N89" i="8" s="1"/>
  <c r="O89" i="8" s="1"/>
  <c r="P89" i="8" s="1"/>
  <c r="Q89" i="8" s="1"/>
  <c r="R89" i="8" s="1"/>
  <c r="L88" i="8"/>
  <c r="M88" i="8" s="1"/>
  <c r="N88" i="8" s="1"/>
  <c r="O88" i="8" s="1"/>
  <c r="P88" i="8" s="1"/>
  <c r="Q88" i="8" s="1"/>
  <c r="AE105" i="20"/>
  <c r="AE106" i="20"/>
  <c r="S108" i="20"/>
  <c r="AE128" i="18"/>
  <c r="S130" i="18"/>
  <c r="T130" i="18" s="1"/>
  <c r="T132" i="18" s="1"/>
  <c r="S131" i="18"/>
  <c r="AB150" i="24"/>
  <c r="T109" i="20" l="1"/>
  <c r="U109" i="20" s="1"/>
  <c r="V109" i="20" s="1"/>
  <c r="W109" i="20" s="1"/>
  <c r="X109" i="20" s="1"/>
  <c r="Y109" i="20" s="1"/>
  <c r="Z109" i="20" s="1"/>
  <c r="AA109" i="20" s="1"/>
  <c r="AB109" i="20" s="1"/>
  <c r="AC109" i="20" s="1"/>
  <c r="AD109" i="20" s="1"/>
  <c r="T121" i="17"/>
  <c r="U121" i="17" s="1"/>
  <c r="V121" i="17" s="1"/>
  <c r="W121" i="17" s="1"/>
  <c r="X121" i="17" s="1"/>
  <c r="Y121" i="17" s="1"/>
  <c r="Z121" i="17" s="1"/>
  <c r="AA121" i="17" s="1"/>
  <c r="AB121" i="17" s="1"/>
  <c r="AC121" i="17" s="1"/>
  <c r="AD121" i="17" s="1"/>
  <c r="T131" i="18"/>
  <c r="U131" i="18" s="1"/>
  <c r="V131" i="18" s="1"/>
  <c r="W131" i="18" s="1"/>
  <c r="X131" i="18" s="1"/>
  <c r="Y131" i="18" s="1"/>
  <c r="Z131" i="18" s="1"/>
  <c r="AA131" i="18" s="1"/>
  <c r="AB131" i="18" s="1"/>
  <c r="AC131" i="18" s="1"/>
  <c r="AD131" i="18" s="1"/>
  <c r="S132" i="18"/>
  <c r="Q153" i="24"/>
  <c r="Q154" i="24" s="1"/>
  <c r="P154" i="24"/>
  <c r="R88" i="8"/>
  <c r="S88" i="8" s="1"/>
  <c r="T88" i="8" s="1"/>
  <c r="T108" i="20"/>
  <c r="T110" i="20" l="1"/>
  <c r="T122" i="17"/>
  <c r="R153" i="24"/>
  <c r="S153" i="24" s="1"/>
  <c r="U88" i="8"/>
  <c r="U108" i="20"/>
  <c r="R127" i="19"/>
  <c r="T153" i="24" l="1"/>
  <c r="V88" i="8"/>
  <c r="V108" i="20"/>
  <c r="U153" i="24" l="1"/>
  <c r="W88" i="8"/>
  <c r="W108" i="20"/>
  <c r="V153" i="24" l="1"/>
  <c r="X108" i="20"/>
  <c r="W153" i="24" l="1"/>
  <c r="Y108" i="20"/>
  <c r="X153" i="24" l="1"/>
  <c r="Z108" i="20"/>
  <c r="Y153" i="24" l="1"/>
  <c r="AA108" i="20"/>
  <c r="Z153" i="24" l="1"/>
  <c r="AB108" i="20"/>
  <c r="AA153" i="24" l="1"/>
  <c r="AC108" i="20"/>
  <c r="G97" i="24"/>
  <c r="AD108" i="20" l="1"/>
  <c r="I61" i="24"/>
  <c r="I63" i="24"/>
  <c r="I67" i="24"/>
  <c r="I71" i="24"/>
  <c r="AN71" i="24" s="1"/>
  <c r="I73" i="24"/>
  <c r="I75" i="24"/>
  <c r="I77" i="24"/>
  <c r="I79" i="24"/>
  <c r="I81" i="24"/>
  <c r="I83" i="24"/>
  <c r="I85" i="24"/>
  <c r="I87" i="24"/>
  <c r="I89" i="24"/>
  <c r="I91" i="24"/>
  <c r="I93" i="24"/>
  <c r="AN93" i="24" s="1"/>
  <c r="I95" i="24"/>
  <c r="AN95" i="24" s="1"/>
  <c r="I57" i="24"/>
  <c r="I55" i="24"/>
  <c r="I53" i="24"/>
  <c r="I49" i="24"/>
  <c r="I47" i="24"/>
  <c r="I45" i="24"/>
  <c r="I41" i="24"/>
  <c r="AN39" i="24"/>
  <c r="I37" i="24"/>
  <c r="I33" i="24"/>
  <c r="I31" i="24"/>
  <c r="G63" i="24"/>
  <c r="G65" i="24"/>
  <c r="G69" i="24"/>
  <c r="G71" i="24"/>
  <c r="G73" i="24"/>
  <c r="G85" i="24"/>
  <c r="G95" i="24"/>
  <c r="G49" i="24"/>
  <c r="G45" i="24"/>
  <c r="G37" i="24"/>
  <c r="G33" i="24"/>
  <c r="AG45" i="14"/>
  <c r="AJ45" i="14"/>
  <c r="AG47" i="14"/>
  <c r="AJ47" i="14"/>
  <c r="AG49" i="14"/>
  <c r="AJ49" i="14"/>
  <c r="AG51" i="14"/>
  <c r="AJ51" i="14"/>
  <c r="AG53" i="14"/>
  <c r="AJ53" i="14"/>
  <c r="AG55" i="14"/>
  <c r="AJ55" i="14"/>
  <c r="AG57" i="14"/>
  <c r="AJ57" i="14"/>
  <c r="AG59" i="14"/>
  <c r="AJ59" i="14"/>
  <c r="AG61" i="14"/>
  <c r="AJ61" i="14"/>
  <c r="AG63" i="14"/>
  <c r="AJ63" i="14"/>
  <c r="AG65" i="14"/>
  <c r="AJ65" i="14"/>
  <c r="AG67" i="14"/>
  <c r="AJ67" i="14"/>
  <c r="AG43" i="14"/>
  <c r="AJ43" i="14"/>
  <c r="AJ41" i="14"/>
  <c r="AG41" i="14"/>
  <c r="AJ39" i="14"/>
  <c r="AG39" i="14"/>
  <c r="AJ37" i="14"/>
  <c r="AG37" i="14"/>
  <c r="AJ35" i="14"/>
  <c r="AG35" i="14"/>
  <c r="AJ33" i="14"/>
  <c r="AG33" i="14"/>
  <c r="AJ31" i="14"/>
  <c r="AG31" i="14"/>
  <c r="AJ29" i="14"/>
  <c r="AG29" i="14"/>
  <c r="AJ27" i="14"/>
  <c r="AG27" i="14"/>
  <c r="AJ25" i="14"/>
  <c r="AG25" i="14"/>
  <c r="AJ23" i="14"/>
  <c r="AG23" i="14"/>
  <c r="AJ21" i="14"/>
  <c r="AG21" i="14"/>
  <c r="AJ19" i="14"/>
  <c r="AJ17" i="14"/>
  <c r="AI9" i="14"/>
  <c r="AI10" i="14"/>
  <c r="AI11" i="14"/>
  <c r="AI12" i="14"/>
  <c r="AI13" i="14"/>
  <c r="AL59" i="8"/>
  <c r="AL61" i="8"/>
  <c r="AL63" i="8"/>
  <c r="AL65" i="8"/>
  <c r="AL67" i="8"/>
  <c r="AL69" i="8"/>
  <c r="AL71" i="8"/>
  <c r="AL73" i="8"/>
  <c r="AL75" i="8"/>
  <c r="AL77" i="8"/>
  <c r="AL79" i="8"/>
  <c r="AL81" i="8"/>
  <c r="AL57" i="8"/>
  <c r="AL55" i="8"/>
  <c r="AL53" i="8"/>
  <c r="AL51" i="8"/>
  <c r="AL49" i="8"/>
  <c r="AL47" i="8"/>
  <c r="AL45" i="8"/>
  <c r="AL43" i="8"/>
  <c r="AL41" i="8"/>
  <c r="AL39" i="8"/>
  <c r="AL37" i="8"/>
  <c r="AL35" i="8"/>
  <c r="AG35" i="8"/>
  <c r="AH35" i="8"/>
  <c r="AG36" i="8"/>
  <c r="AH36" i="8"/>
  <c r="AG37" i="8"/>
  <c r="AH37" i="8"/>
  <c r="AG38" i="8"/>
  <c r="AH38" i="8"/>
  <c r="AG39" i="8"/>
  <c r="AH39" i="8"/>
  <c r="AG40" i="8"/>
  <c r="AH40" i="8"/>
  <c r="AG41" i="8"/>
  <c r="AH41" i="8"/>
  <c r="AG42" i="8"/>
  <c r="AH42" i="8"/>
  <c r="AG43" i="8"/>
  <c r="AH43" i="8"/>
  <c r="AG44" i="8"/>
  <c r="AH44" i="8"/>
  <c r="AG45" i="8"/>
  <c r="AH45" i="8"/>
  <c r="AG46" i="8"/>
  <c r="AH46" i="8"/>
  <c r="AG47" i="8"/>
  <c r="AH47" i="8"/>
  <c r="AG48" i="8"/>
  <c r="AH48" i="8"/>
  <c r="AG49" i="8"/>
  <c r="AH49" i="8"/>
  <c r="AG50" i="8"/>
  <c r="AH50" i="8"/>
  <c r="AG51" i="8"/>
  <c r="AH51" i="8"/>
  <c r="AG52" i="8"/>
  <c r="AH52" i="8"/>
  <c r="AG53" i="8"/>
  <c r="AH53" i="8"/>
  <c r="AG54" i="8"/>
  <c r="AH54" i="8"/>
  <c r="AG55" i="8"/>
  <c r="AH55" i="8"/>
  <c r="AG56" i="8"/>
  <c r="AH56" i="8"/>
  <c r="AG57" i="8"/>
  <c r="AH57" i="8"/>
  <c r="AG58" i="8"/>
  <c r="AH58" i="8"/>
  <c r="AG59" i="8"/>
  <c r="AH59" i="8"/>
  <c r="AG60" i="8"/>
  <c r="AH60" i="8"/>
  <c r="AG61" i="8"/>
  <c r="AH61" i="8"/>
  <c r="AG62" i="8"/>
  <c r="AH62" i="8"/>
  <c r="AG63" i="8"/>
  <c r="AH63" i="8"/>
  <c r="AG64" i="8"/>
  <c r="AH64" i="8"/>
  <c r="AG65" i="8"/>
  <c r="AH65" i="8"/>
  <c r="AG66" i="8"/>
  <c r="AH66" i="8"/>
  <c r="AG67" i="8"/>
  <c r="AH67" i="8"/>
  <c r="AG68" i="8"/>
  <c r="AH68" i="8"/>
  <c r="AG69" i="8"/>
  <c r="AH69" i="8"/>
  <c r="AG70" i="8"/>
  <c r="AH70" i="8"/>
  <c r="AG71" i="8"/>
  <c r="AH71" i="8"/>
  <c r="AG72" i="8"/>
  <c r="AH72" i="8"/>
  <c r="AG73" i="8"/>
  <c r="AH73" i="8"/>
  <c r="AG74" i="8"/>
  <c r="AH74" i="8"/>
  <c r="AG75" i="8"/>
  <c r="AH75" i="8"/>
  <c r="AG76" i="8"/>
  <c r="AH76" i="8"/>
  <c r="AG77" i="8"/>
  <c r="AH77" i="8"/>
  <c r="AG78" i="8"/>
  <c r="AH78" i="8"/>
  <c r="AG79" i="8"/>
  <c r="AH79" i="8"/>
  <c r="AG80" i="8"/>
  <c r="AH80" i="8"/>
  <c r="AG81" i="8"/>
  <c r="AH81" i="8"/>
  <c r="AG82" i="8"/>
  <c r="AH82" i="8"/>
  <c r="H31" i="20"/>
  <c r="H30" i="20"/>
  <c r="AN109" i="24"/>
  <c r="AN111" i="24"/>
  <c r="AN145" i="24"/>
  <c r="AN105" i="24"/>
  <c r="AN103" i="24"/>
  <c r="AN101" i="24"/>
  <c r="AN99" i="24"/>
  <c r="AN97" i="24"/>
  <c r="AM23" i="24"/>
  <c r="AM24" i="24"/>
  <c r="AM25" i="24"/>
  <c r="AM26" i="24"/>
  <c r="AM27" i="24"/>
  <c r="AI32" i="24"/>
  <c r="AI34" i="24"/>
  <c r="AI36" i="24"/>
  <c r="AI38" i="24"/>
  <c r="AI39" i="24"/>
  <c r="AI40" i="24"/>
  <c r="AI42" i="24"/>
  <c r="AI44" i="24"/>
  <c r="AI46" i="24"/>
  <c r="AI48" i="24"/>
  <c r="AI50" i="24"/>
  <c r="AI52" i="24"/>
  <c r="AI54" i="24"/>
  <c r="AI56" i="24"/>
  <c r="AI58" i="24"/>
  <c r="AI60" i="24"/>
  <c r="AI62" i="24"/>
  <c r="AI64" i="24"/>
  <c r="AI66" i="24"/>
  <c r="AI68" i="24"/>
  <c r="AI70" i="24"/>
  <c r="AI72" i="24"/>
  <c r="AI74" i="24"/>
  <c r="AI76" i="24"/>
  <c r="AI78" i="24"/>
  <c r="AI80" i="24"/>
  <c r="AI82" i="24"/>
  <c r="AI84" i="24"/>
  <c r="AI86" i="24"/>
  <c r="AI88" i="24"/>
  <c r="AI90" i="24"/>
  <c r="AI92" i="24"/>
  <c r="AI94" i="24"/>
  <c r="AI96" i="24"/>
  <c r="AI97" i="24"/>
  <c r="AI98" i="24"/>
  <c r="AI99" i="24"/>
  <c r="AI100" i="24"/>
  <c r="AI102" i="24"/>
  <c r="AI104" i="24"/>
  <c r="AI105" i="24"/>
  <c r="AI106" i="24"/>
  <c r="AI108" i="24"/>
  <c r="AI110" i="24"/>
  <c r="AI112" i="24"/>
  <c r="AE32" i="24"/>
  <c r="AA32" i="24"/>
  <c r="W32" i="24"/>
  <c r="AP34" i="8" l="1" a="1"/>
  <c r="AP36" i="8" a="1"/>
  <c r="E7" i="8"/>
  <c r="E5" i="8"/>
  <c r="AC91" i="24"/>
  <c r="AD91" i="24"/>
  <c r="AG91" i="24"/>
  <c r="Z91" i="24"/>
  <c r="AA91" i="24" s="1"/>
  <c r="AF91" i="24"/>
  <c r="AH91" i="24"/>
  <c r="AB91" i="24"/>
  <c r="Y57" i="24"/>
  <c r="Z57" i="24"/>
  <c r="AF57" i="24"/>
  <c r="AD57" i="24"/>
  <c r="AG57" i="24"/>
  <c r="AH57" i="24"/>
  <c r="U57" i="24"/>
  <c r="AB57" i="24"/>
  <c r="V57" i="24"/>
  <c r="T57" i="24"/>
  <c r="AC57" i="24"/>
  <c r="X57" i="24"/>
  <c r="AF87" i="24"/>
  <c r="AG87" i="24"/>
  <c r="AH87" i="24"/>
  <c r="AD87" i="24"/>
  <c r="AC87" i="24"/>
  <c r="AH85" i="24"/>
  <c r="V85" i="24"/>
  <c r="W85" i="24" s="1"/>
  <c r="AD85" i="24"/>
  <c r="X85" i="24"/>
  <c r="AF85" i="24"/>
  <c r="Y85" i="24"/>
  <c r="AC85" i="24"/>
  <c r="AB85" i="24"/>
  <c r="AG85" i="24"/>
  <c r="Z85" i="24"/>
  <c r="AG61" i="24"/>
  <c r="AH61" i="24"/>
  <c r="S89" i="8"/>
  <c r="AN45" i="24"/>
  <c r="AN85" i="24"/>
  <c r="AN61" i="24"/>
  <c r="AN53" i="24"/>
  <c r="AN31" i="24"/>
  <c r="AN75" i="24"/>
  <c r="AN33" i="24"/>
  <c r="AN57" i="24"/>
  <c r="AN35" i="24"/>
  <c r="AN67" i="24"/>
  <c r="AN41" i="24"/>
  <c r="AN89" i="24"/>
  <c r="AN43" i="24"/>
  <c r="AN63" i="24"/>
  <c r="AN47" i="24"/>
  <c r="AN83" i="24"/>
  <c r="AN79" i="24"/>
  <c r="AN77" i="24"/>
  <c r="AN55" i="24"/>
  <c r="AN73" i="24"/>
  <c r="AN37" i="24"/>
  <c r="AN91" i="24"/>
  <c r="AN87" i="24"/>
  <c r="AN49" i="24"/>
  <c r="AN81" i="24"/>
  <c r="J31" i="2"/>
  <c r="AJ96" i="24"/>
  <c r="L200" i="2"/>
  <c r="L199" i="2"/>
  <c r="AA85" i="24" l="1"/>
  <c r="T89" i="8"/>
  <c r="U89" i="8" s="1"/>
  <c r="V89" i="8" s="1"/>
  <c r="W89" i="8" s="1"/>
  <c r="AE87" i="24"/>
  <c r="AE91" i="24"/>
  <c r="AE45" i="24"/>
  <c r="W57" i="24"/>
  <c r="AE57" i="24"/>
  <c r="AA57" i="24"/>
  <c r="AE85" i="24"/>
  <c r="AI87" i="24"/>
  <c r="AI85" i="24"/>
  <c r="AI57" i="24"/>
  <c r="AI45" i="24"/>
  <c r="AI91" i="24"/>
  <c r="AI77" i="24"/>
  <c r="AI61" i="24"/>
  <c r="AM117" i="18"/>
  <c r="AM125" i="19"/>
  <c r="AM127" i="19"/>
  <c r="AM95" i="19"/>
  <c r="AM93" i="19"/>
  <c r="AM91" i="19"/>
  <c r="AM89" i="19"/>
  <c r="AM87" i="19"/>
  <c r="AM85" i="19"/>
  <c r="AM83" i="19"/>
  <c r="AM81" i="19"/>
  <c r="AM79" i="19"/>
  <c r="AM77" i="19"/>
  <c r="AM75" i="19"/>
  <c r="AM73" i="19"/>
  <c r="AM71" i="19"/>
  <c r="AM69" i="19"/>
  <c r="AM67" i="19"/>
  <c r="AM65" i="19"/>
  <c r="AM63" i="19"/>
  <c r="AM61" i="19"/>
  <c r="AM59" i="19"/>
  <c r="AM57" i="19"/>
  <c r="AM55" i="19"/>
  <c r="AK51" i="19"/>
  <c r="AK50" i="19"/>
  <c r="AK49" i="19"/>
  <c r="AK48" i="19"/>
  <c r="AK47" i="19"/>
  <c r="AM115" i="18"/>
  <c r="AM93" i="18"/>
  <c r="AM91" i="18"/>
  <c r="AM89" i="18"/>
  <c r="AM87" i="18"/>
  <c r="AM83" i="18"/>
  <c r="AM81" i="18"/>
  <c r="AM77" i="18"/>
  <c r="AM75" i="18"/>
  <c r="AM73" i="18"/>
  <c r="AM71" i="18"/>
  <c r="AM69" i="18"/>
  <c r="AM67" i="18"/>
  <c r="AM65" i="18"/>
  <c r="AM63" i="18"/>
  <c r="AM61" i="18"/>
  <c r="AM59" i="18"/>
  <c r="AM57" i="18"/>
  <c r="AM55" i="18"/>
  <c r="AK51" i="18"/>
  <c r="AK50" i="18"/>
  <c r="AK49" i="18"/>
  <c r="AK48" i="18"/>
  <c r="AK47" i="18"/>
  <c r="AM107" i="2"/>
  <c r="AM171" i="2"/>
  <c r="AM173" i="2"/>
  <c r="AM175" i="2"/>
  <c r="AM101" i="20"/>
  <c r="AM99" i="20"/>
  <c r="AM97" i="20"/>
  <c r="AM95" i="20"/>
  <c r="AM93" i="20"/>
  <c r="AM91" i="20"/>
  <c r="AM89" i="20"/>
  <c r="AM87" i="20"/>
  <c r="AM85" i="20"/>
  <c r="AM83" i="20"/>
  <c r="AM81" i="20"/>
  <c r="AM79" i="20"/>
  <c r="AM77" i="20"/>
  <c r="AM75" i="20"/>
  <c r="AM73" i="20"/>
  <c r="AM71" i="20"/>
  <c r="AM69" i="20"/>
  <c r="AM67" i="20"/>
  <c r="AM65" i="20"/>
  <c r="AM63" i="20"/>
  <c r="AM61" i="20"/>
  <c r="AM59" i="20"/>
  <c r="AM57" i="20"/>
  <c r="AM55" i="20"/>
  <c r="AM105" i="2"/>
  <c r="AM103" i="2"/>
  <c r="AM101" i="2"/>
  <c r="AM99" i="2"/>
  <c r="AM97" i="2"/>
  <c r="AM95" i="2"/>
  <c r="AM93" i="2"/>
  <c r="AM91" i="2"/>
  <c r="AM89" i="2"/>
  <c r="AM87" i="2"/>
  <c r="AM85" i="2"/>
  <c r="AM83" i="2"/>
  <c r="AM81" i="2"/>
  <c r="AM79" i="2"/>
  <c r="AM77" i="2"/>
  <c r="AM75" i="2"/>
  <c r="AM73" i="2"/>
  <c r="AM71" i="2"/>
  <c r="AM69" i="2"/>
  <c r="AM67" i="2"/>
  <c r="AM65" i="2"/>
  <c r="AM63" i="2"/>
  <c r="AM61" i="2"/>
  <c r="AM59" i="2"/>
  <c r="AM57" i="2"/>
  <c r="AM55" i="2"/>
  <c r="AH51" i="2"/>
  <c r="AH50" i="2"/>
  <c r="AH49" i="2"/>
  <c r="AH48" i="2"/>
  <c r="AH47" i="2"/>
  <c r="AN107" i="2"/>
  <c r="AN108" i="2"/>
  <c r="AN171" i="2"/>
  <c r="AN172" i="2"/>
  <c r="AN173" i="2"/>
  <c r="AN174" i="2"/>
  <c r="AN175" i="2"/>
  <c r="AN176" i="2"/>
  <c r="AK51" i="17"/>
  <c r="AK50" i="17"/>
  <c r="AK49" i="17"/>
  <c r="AK48" i="17"/>
  <c r="AM113" i="17"/>
  <c r="AM111" i="17"/>
  <c r="AM97" i="17"/>
  <c r="AM95" i="17"/>
  <c r="AM93" i="17"/>
  <c r="AM91" i="17"/>
  <c r="AM89" i="17"/>
  <c r="AM87" i="17"/>
  <c r="AM85" i="17"/>
  <c r="AM83" i="17"/>
  <c r="AM81" i="17"/>
  <c r="AM79" i="17"/>
  <c r="AM77" i="17"/>
  <c r="AM75" i="17"/>
  <c r="AM73" i="17"/>
  <c r="AM71" i="17"/>
  <c r="AM69" i="17"/>
  <c r="AM67" i="17"/>
  <c r="AM65" i="17"/>
  <c r="AM63" i="17"/>
  <c r="AM61" i="17"/>
  <c r="AM59" i="17"/>
  <c r="AM57" i="17"/>
  <c r="AM55" i="17"/>
  <c r="M14" i="36"/>
  <c r="M16" i="36"/>
  <c r="M17" i="36"/>
  <c r="N55" i="36"/>
  <c r="M13" i="36" s="1"/>
  <c r="N63" i="36"/>
  <c r="M15" i="36" s="1"/>
  <c r="I176" i="36"/>
  <c r="B176" i="36"/>
  <c r="I175" i="36"/>
  <c r="D175" i="36"/>
  <c r="C175" i="36"/>
  <c r="B175" i="36"/>
  <c r="I174" i="36"/>
  <c r="D174" i="36"/>
  <c r="C174" i="36"/>
  <c r="B174" i="36"/>
  <c r="B171" i="36"/>
  <c r="E171" i="36" s="1"/>
  <c r="B170" i="36"/>
  <c r="E170" i="36" s="1"/>
  <c r="B169" i="36"/>
  <c r="E169" i="36" s="1"/>
  <c r="B168" i="36"/>
  <c r="E168" i="36" s="1"/>
  <c r="E164" i="36"/>
  <c r="D176" i="36" s="1"/>
  <c r="K140" i="36"/>
  <c r="J140" i="36"/>
  <c r="I140" i="36"/>
  <c r="H140" i="36"/>
  <c r="L137" i="36"/>
  <c r="L136" i="36"/>
  <c r="L135" i="36"/>
  <c r="L134" i="36"/>
  <c r="L133" i="36"/>
  <c r="L132" i="36"/>
  <c r="L131" i="36"/>
  <c r="L130" i="36"/>
  <c r="L129" i="36"/>
  <c r="L128" i="36"/>
  <c r="L127" i="36"/>
  <c r="L126" i="36"/>
  <c r="L125" i="36"/>
  <c r="L124" i="36"/>
  <c r="L123" i="36"/>
  <c r="L122" i="36"/>
  <c r="L121" i="36"/>
  <c r="L120" i="36"/>
  <c r="AD119" i="36" a="1"/>
  <c r="AC119" i="36" a="1"/>
  <c r="AB119" i="36" a="1"/>
  <c r="AA119" i="36" a="1"/>
  <c r="Z119" i="36" a="1"/>
  <c r="Y119" i="36" a="1"/>
  <c r="X119" i="36" a="1"/>
  <c r="W119" i="36" a="1"/>
  <c r="V119" i="36" a="1"/>
  <c r="U119" i="36" a="1"/>
  <c r="T119" i="36" a="1"/>
  <c r="S119" i="36" a="1"/>
  <c r="L119" i="36"/>
  <c r="AD118" i="36" a="1"/>
  <c r="AC118" i="36" a="1"/>
  <c r="AB118" i="36" a="1"/>
  <c r="AA118" i="36" a="1"/>
  <c r="Z118" i="36" a="1"/>
  <c r="Y118" i="36" a="1"/>
  <c r="X118" i="36" a="1"/>
  <c r="W118" i="36" a="1"/>
  <c r="V118" i="36" a="1"/>
  <c r="T118" i="36" a="1"/>
  <c r="L118" i="36"/>
  <c r="AD117" i="36" a="1"/>
  <c r="AC117" i="36" a="1"/>
  <c r="AB117" i="36" a="1"/>
  <c r="AA117" i="36" a="1"/>
  <c r="Z117" i="36" a="1"/>
  <c r="Y117" i="36" a="1"/>
  <c r="X117" i="36" a="1"/>
  <c r="W117" i="36" a="1"/>
  <c r="V117" i="36" a="1"/>
  <c r="T117" i="36" a="1"/>
  <c r="F117" i="36" a="1"/>
  <c r="AK114" i="36"/>
  <c r="AH114" i="36"/>
  <c r="AD114" i="36"/>
  <c r="Z114" i="36"/>
  <c r="V114" i="36"/>
  <c r="AL113" i="36"/>
  <c r="AK113" i="36"/>
  <c r="AH113" i="36"/>
  <c r="AD113" i="36"/>
  <c r="Z113" i="36"/>
  <c r="V113" i="36"/>
  <c r="R113" i="36"/>
  <c r="AK112" i="36"/>
  <c r="AH112" i="36"/>
  <c r="AD112" i="36"/>
  <c r="Z112" i="36"/>
  <c r="V112" i="36"/>
  <c r="AL111" i="36"/>
  <c r="AK111" i="36"/>
  <c r="AH111" i="36"/>
  <c r="AD111" i="36"/>
  <c r="Z111" i="36"/>
  <c r="V111" i="36"/>
  <c r="R111" i="36"/>
  <c r="AK110" i="36"/>
  <c r="AH110" i="36"/>
  <c r="AD110" i="36"/>
  <c r="Z110" i="36"/>
  <c r="V110" i="36"/>
  <c r="AL109" i="36"/>
  <c r="AK109" i="36"/>
  <c r="AH109" i="36"/>
  <c r="AD109" i="36"/>
  <c r="Z109" i="36"/>
  <c r="V109" i="36"/>
  <c r="R109" i="36"/>
  <c r="AK108" i="36"/>
  <c r="AH108" i="36"/>
  <c r="AD108" i="36"/>
  <c r="Z108" i="36"/>
  <c r="V108" i="36"/>
  <c r="AL107" i="36"/>
  <c r="AK107" i="36"/>
  <c r="AH107" i="36"/>
  <c r="AD107" i="36"/>
  <c r="Z107" i="36"/>
  <c r="V107" i="36"/>
  <c r="R107" i="36"/>
  <c r="AK106" i="36"/>
  <c r="AH106" i="36"/>
  <c r="AD106" i="36"/>
  <c r="Z106" i="36"/>
  <c r="V106" i="36"/>
  <c r="AL105" i="36"/>
  <c r="AK105" i="36"/>
  <c r="AH105" i="36"/>
  <c r="AD105" i="36"/>
  <c r="Z105" i="36"/>
  <c r="V105" i="36"/>
  <c r="R105" i="36"/>
  <c r="AK104" i="36"/>
  <c r="AH104" i="36"/>
  <c r="AD104" i="36"/>
  <c r="Z104" i="36"/>
  <c r="V104" i="36"/>
  <c r="AL103" i="36"/>
  <c r="AK103" i="36"/>
  <c r="AH103" i="36"/>
  <c r="AD103" i="36"/>
  <c r="Z103" i="36"/>
  <c r="V103" i="36"/>
  <c r="R103" i="36"/>
  <c r="AK102" i="36"/>
  <c r="AH102" i="36"/>
  <c r="AD102" i="36"/>
  <c r="Z102" i="36"/>
  <c r="V102" i="36"/>
  <c r="AL101" i="36"/>
  <c r="AK101" i="36"/>
  <c r="AH101" i="36"/>
  <c r="AD101" i="36"/>
  <c r="Z101" i="36"/>
  <c r="V101" i="36"/>
  <c r="R101" i="36"/>
  <c r="AK100" i="36"/>
  <c r="AH100" i="36"/>
  <c r="AD100" i="36"/>
  <c r="Z100" i="36"/>
  <c r="V100" i="36"/>
  <c r="AL99" i="36"/>
  <c r="AK99" i="36"/>
  <c r="AH99" i="36"/>
  <c r="AD99" i="36"/>
  <c r="Z99" i="36"/>
  <c r="V99" i="36"/>
  <c r="H99" i="36"/>
  <c r="AK98" i="36"/>
  <c r="AH98" i="36"/>
  <c r="AD98" i="36"/>
  <c r="Z98" i="36"/>
  <c r="V98" i="36"/>
  <c r="AL97" i="36"/>
  <c r="AK97" i="36"/>
  <c r="AH97" i="36"/>
  <c r="AD97" i="36"/>
  <c r="Z97" i="36"/>
  <c r="V97" i="36"/>
  <c r="R97" i="36"/>
  <c r="AK96" i="36"/>
  <c r="AH96" i="36"/>
  <c r="AD96" i="36"/>
  <c r="Z96" i="36"/>
  <c r="V96" i="36"/>
  <c r="AL95" i="36"/>
  <c r="AK95" i="36"/>
  <c r="AH95" i="36"/>
  <c r="AD95" i="36"/>
  <c r="Z95" i="36"/>
  <c r="V95" i="36"/>
  <c r="R95" i="36"/>
  <c r="H95" i="36"/>
  <c r="AK94" i="36"/>
  <c r="AH94" i="36"/>
  <c r="AD94" i="36"/>
  <c r="Z94" i="36"/>
  <c r="S94" i="36"/>
  <c r="V94" i="36" s="1"/>
  <c r="AL93" i="36"/>
  <c r="AK93" i="36"/>
  <c r="AH93" i="36"/>
  <c r="AD93" i="36"/>
  <c r="Z93" i="36"/>
  <c r="V93" i="36"/>
  <c r="R93" i="36"/>
  <c r="AK92" i="36"/>
  <c r="AH92" i="36"/>
  <c r="AD92" i="36"/>
  <c r="Z92" i="36"/>
  <c r="V92" i="36"/>
  <c r="AL91" i="36"/>
  <c r="AK91" i="36"/>
  <c r="AH91" i="36"/>
  <c r="AD91" i="36"/>
  <c r="Z91" i="36"/>
  <c r="V91" i="36"/>
  <c r="R91" i="36"/>
  <c r="AK90" i="36"/>
  <c r="AH90" i="36"/>
  <c r="AD90" i="36"/>
  <c r="Z90" i="36"/>
  <c r="V90" i="36"/>
  <c r="AL89" i="36"/>
  <c r="AK89" i="36"/>
  <c r="AH89" i="36"/>
  <c r="AD89" i="36"/>
  <c r="Z89" i="36"/>
  <c r="V89" i="36"/>
  <c r="R89" i="36"/>
  <c r="AK88" i="36"/>
  <c r="AH88" i="36"/>
  <c r="AD88" i="36"/>
  <c r="Z88" i="36"/>
  <c r="V88" i="36"/>
  <c r="AL87" i="36"/>
  <c r="AK87" i="36"/>
  <c r="AH87" i="36"/>
  <c r="AD87" i="36"/>
  <c r="Z87" i="36"/>
  <c r="V87" i="36"/>
  <c r="R87" i="36"/>
  <c r="H87" i="36"/>
  <c r="AK86" i="36"/>
  <c r="AH86" i="36"/>
  <c r="AD86" i="36"/>
  <c r="Z86" i="36"/>
  <c r="V86" i="36"/>
  <c r="AL85" i="36"/>
  <c r="AK85" i="36"/>
  <c r="AH85" i="36"/>
  <c r="AD85" i="36"/>
  <c r="Z85" i="36"/>
  <c r="V85" i="36"/>
  <c r="R85" i="36"/>
  <c r="AK84" i="36"/>
  <c r="AH84" i="36"/>
  <c r="AD84" i="36"/>
  <c r="Z84" i="36"/>
  <c r="V84" i="36"/>
  <c r="AL83" i="36"/>
  <c r="AK83" i="36"/>
  <c r="AH83" i="36"/>
  <c r="AD83" i="36"/>
  <c r="Z83" i="36"/>
  <c r="V83" i="36"/>
  <c r="R83" i="36"/>
  <c r="AK82" i="36"/>
  <c r="AH82" i="36"/>
  <c r="AD82" i="36"/>
  <c r="Z82" i="36"/>
  <c r="V82" i="36"/>
  <c r="AL81" i="36"/>
  <c r="AK81" i="36"/>
  <c r="AH81" i="36"/>
  <c r="AD81" i="36"/>
  <c r="Z81" i="36"/>
  <c r="V81" i="36"/>
  <c r="R81" i="36"/>
  <c r="AK80" i="36"/>
  <c r="AH80" i="36"/>
  <c r="AD80" i="36"/>
  <c r="Z80" i="36"/>
  <c r="V80" i="36"/>
  <c r="AL79" i="36"/>
  <c r="AK79" i="36"/>
  <c r="AH79" i="36"/>
  <c r="AD79" i="36"/>
  <c r="Z79" i="36"/>
  <c r="V79" i="36"/>
  <c r="R79" i="36"/>
  <c r="AK78" i="36"/>
  <c r="AH78" i="36"/>
  <c r="AD78" i="36"/>
  <c r="Z78" i="36"/>
  <c r="S78" i="36"/>
  <c r="V78" i="36" s="1"/>
  <c r="AL77" i="36"/>
  <c r="AK77" i="36"/>
  <c r="AH77" i="36"/>
  <c r="AD77" i="36"/>
  <c r="Z77" i="36"/>
  <c r="V77" i="36"/>
  <c r="R77" i="36"/>
  <c r="AK76" i="36"/>
  <c r="AH76" i="36"/>
  <c r="AD76" i="36"/>
  <c r="Z76" i="36"/>
  <c r="V76" i="36"/>
  <c r="AL75" i="36"/>
  <c r="AK75" i="36"/>
  <c r="AH75" i="36"/>
  <c r="AD75" i="36"/>
  <c r="Z75" i="36"/>
  <c r="V75" i="36"/>
  <c r="R75" i="36"/>
  <c r="AK74" i="36"/>
  <c r="AH74" i="36"/>
  <c r="AD74" i="36"/>
  <c r="Z74" i="36"/>
  <c r="V74" i="36"/>
  <c r="AL73" i="36"/>
  <c r="AK73" i="36"/>
  <c r="AH73" i="36"/>
  <c r="AD73" i="36"/>
  <c r="Z73" i="36"/>
  <c r="V73" i="36"/>
  <c r="R73" i="36"/>
  <c r="AK72" i="36"/>
  <c r="AH72" i="36"/>
  <c r="AD72" i="36"/>
  <c r="Z72" i="36"/>
  <c r="V72" i="36"/>
  <c r="AK71" i="36"/>
  <c r="AH71" i="36"/>
  <c r="AD71" i="36"/>
  <c r="Z71" i="36"/>
  <c r="U71" i="36"/>
  <c r="U117" i="36" s="1" a="1"/>
  <c r="R71" i="36"/>
  <c r="H71" i="36"/>
  <c r="I11" i="36" s="1"/>
  <c r="AK70" i="36"/>
  <c r="AH70" i="36"/>
  <c r="AD70" i="36"/>
  <c r="Z70" i="36"/>
  <c r="V70" i="36"/>
  <c r="AL69" i="36"/>
  <c r="AK69" i="36"/>
  <c r="AH69" i="36"/>
  <c r="AD69" i="36"/>
  <c r="Z69" i="36"/>
  <c r="V69" i="36"/>
  <c r="R69" i="36"/>
  <c r="AK68" i="36"/>
  <c r="AH68" i="36"/>
  <c r="AD68" i="36"/>
  <c r="Z68" i="36"/>
  <c r="V68" i="36"/>
  <c r="AL67" i="36"/>
  <c r="AK67" i="36"/>
  <c r="AH67" i="36"/>
  <c r="AD67" i="36"/>
  <c r="Z67" i="36"/>
  <c r="V67" i="36"/>
  <c r="R67" i="36"/>
  <c r="H67" i="36"/>
  <c r="AK66" i="36"/>
  <c r="AH66" i="36"/>
  <c r="AD66" i="36"/>
  <c r="Z66" i="36"/>
  <c r="V66" i="36"/>
  <c r="AL65" i="36"/>
  <c r="AK65" i="36"/>
  <c r="AH65" i="36"/>
  <c r="AD65" i="36"/>
  <c r="Z65" i="36"/>
  <c r="V65" i="36"/>
  <c r="R65" i="36"/>
  <c r="AK64" i="36"/>
  <c r="AH64" i="36"/>
  <c r="AD64" i="36"/>
  <c r="Z64" i="36"/>
  <c r="V64" i="36"/>
  <c r="AL63" i="36"/>
  <c r="AK63" i="36"/>
  <c r="AH63" i="36"/>
  <c r="AD63" i="36"/>
  <c r="Z63" i="36"/>
  <c r="V63" i="36"/>
  <c r="R63" i="36"/>
  <c r="H63" i="36"/>
  <c r="AK62" i="36"/>
  <c r="AH62" i="36"/>
  <c r="AD62" i="36"/>
  <c r="Z62" i="36"/>
  <c r="V62" i="36"/>
  <c r="AL61" i="36"/>
  <c r="AK61" i="36"/>
  <c r="AH61" i="36"/>
  <c r="AD61" i="36"/>
  <c r="Z61" i="36"/>
  <c r="V61" i="36"/>
  <c r="R61" i="36"/>
  <c r="AK60" i="36"/>
  <c r="AH60" i="36"/>
  <c r="AD60" i="36"/>
  <c r="Z60" i="36"/>
  <c r="V60" i="36"/>
  <c r="AL59" i="36"/>
  <c r="AK59" i="36"/>
  <c r="AH59" i="36"/>
  <c r="AD59" i="36"/>
  <c r="Z59" i="36"/>
  <c r="V59" i="36"/>
  <c r="R59" i="36"/>
  <c r="AK58" i="36"/>
  <c r="AH58" i="36"/>
  <c r="AD58" i="36"/>
  <c r="Z58" i="36"/>
  <c r="V58" i="36"/>
  <c r="AL57" i="36"/>
  <c r="AK57" i="36"/>
  <c r="AH57" i="36"/>
  <c r="AD57" i="36"/>
  <c r="Z57" i="36"/>
  <c r="V57" i="36"/>
  <c r="R57" i="36"/>
  <c r="AK56" i="36"/>
  <c r="AH56" i="36"/>
  <c r="AD56" i="36"/>
  <c r="Z56" i="36"/>
  <c r="V56" i="36"/>
  <c r="AL55" i="36"/>
  <c r="AK55" i="36"/>
  <c r="AH55" i="36"/>
  <c r="AD55" i="36"/>
  <c r="Z55" i="36"/>
  <c r="V55" i="36"/>
  <c r="R55" i="36"/>
  <c r="H55" i="36"/>
  <c r="J31" i="36"/>
  <c r="AT17" i="36"/>
  <c r="AS17" i="36"/>
  <c r="B12" i="36"/>
  <c r="H11" i="36"/>
  <c r="C11" i="36"/>
  <c r="B11" i="36"/>
  <c r="H10" i="36"/>
  <c r="B10" i="36"/>
  <c r="H9" i="36"/>
  <c r="B9" i="36"/>
  <c r="AY8" i="36"/>
  <c r="AX8" i="36"/>
  <c r="O6" i="36" a="1"/>
  <c r="E5" i="36"/>
  <c r="A5" i="36"/>
  <c r="AK47" i="17" l="1"/>
  <c r="C12" i="36"/>
  <c r="K10" i="36"/>
  <c r="AI64" i="36"/>
  <c r="AI105" i="36"/>
  <c r="AI109" i="36"/>
  <c r="AI111" i="36"/>
  <c r="B177" i="36"/>
  <c r="AI106" i="36"/>
  <c r="AI110" i="36"/>
  <c r="AI112" i="36"/>
  <c r="AI114" i="36"/>
  <c r="AI69" i="36"/>
  <c r="L5" i="36"/>
  <c r="AI99" i="36"/>
  <c r="AI72" i="36"/>
  <c r="AI78" i="36"/>
  <c r="AI80" i="36"/>
  <c r="AI96" i="36"/>
  <c r="AI104" i="36"/>
  <c r="AI59" i="36"/>
  <c r="AI88" i="36"/>
  <c r="AI63" i="36"/>
  <c r="B13" i="36"/>
  <c r="AI73" i="36"/>
  <c r="AI75" i="36"/>
  <c r="AI77" i="36"/>
  <c r="AI79" i="36"/>
  <c r="AI87" i="36"/>
  <c r="AI93" i="36"/>
  <c r="AI56" i="36"/>
  <c r="V71" i="36"/>
  <c r="AI71" i="36" s="1"/>
  <c r="L140" i="36"/>
  <c r="M10" i="36" s="1"/>
  <c r="AI83" i="36"/>
  <c r="H83" i="36" s="1"/>
  <c r="Q8" i="36" s="1"/>
  <c r="I10" i="36"/>
  <c r="U118" i="36" a="1"/>
  <c r="AI60" i="36"/>
  <c r="E174" i="36"/>
  <c r="AI70" i="36"/>
  <c r="AI81" i="36"/>
  <c r="AI91" i="36"/>
  <c r="AI97" i="36"/>
  <c r="AI103" i="36"/>
  <c r="AI108" i="36"/>
  <c r="C10" i="36"/>
  <c r="AI66" i="36"/>
  <c r="AL71" i="36"/>
  <c r="AI101" i="36"/>
  <c r="E175" i="36"/>
  <c r="AI89" i="36"/>
  <c r="AU17" i="36"/>
  <c r="AI65" i="36"/>
  <c r="AI86" i="36"/>
  <c r="AI76" i="36"/>
  <c r="AI61" i="36"/>
  <c r="AI67" i="36"/>
  <c r="AI74" i="36"/>
  <c r="AI92" i="36"/>
  <c r="AI94" i="36"/>
  <c r="AI113" i="36"/>
  <c r="AI84" i="36"/>
  <c r="AI98" i="36"/>
  <c r="AI100" i="36"/>
  <c r="AI102" i="36"/>
  <c r="D171" i="36"/>
  <c r="F171" i="36" s="1"/>
  <c r="D170" i="36"/>
  <c r="F170" i="36" s="1"/>
  <c r="AI58" i="36"/>
  <c r="AI95" i="36"/>
  <c r="S117" i="36" a="1"/>
  <c r="S118" i="36" a="1"/>
  <c r="D169" i="36"/>
  <c r="F169" i="36" s="1"/>
  <c r="AI62" i="36"/>
  <c r="AI90" i="36"/>
  <c r="AI55" i="36"/>
  <c r="AI85" i="36"/>
  <c r="AI57" i="36"/>
  <c r="E176" i="36"/>
  <c r="AI68" i="36"/>
  <c r="AI82" i="36"/>
  <c r="AI107" i="36"/>
  <c r="C176" i="36"/>
  <c r="V57" i="20"/>
  <c r="V55" i="20"/>
  <c r="AN104" i="2"/>
  <c r="AH104" i="2"/>
  <c r="AN103" i="2"/>
  <c r="AH103" i="2"/>
  <c r="AN102" i="2"/>
  <c r="AH102" i="2"/>
  <c r="AN101" i="2"/>
  <c r="AH101" i="2"/>
  <c r="AH108" i="2"/>
  <c r="AB181" i="2" a="1"/>
  <c r="X181" i="2" a="1"/>
  <c r="T181" i="2" a="1"/>
  <c r="AH107" i="2"/>
  <c r="AN106" i="2"/>
  <c r="AH106" i="2"/>
  <c r="AN105" i="2"/>
  <c r="AH105" i="2"/>
  <c r="AI105" i="2" l="1"/>
  <c r="I9" i="36"/>
  <c r="Q13" i="36"/>
  <c r="S13" i="36" s="1"/>
  <c r="Q21" i="36"/>
  <c r="R21" i="36" s="1"/>
  <c r="Q18" i="36"/>
  <c r="S18" i="36" s="1"/>
  <c r="Q17" i="36"/>
  <c r="R17" i="36" s="1"/>
  <c r="Q19" i="36"/>
  <c r="R19" i="36" s="1"/>
  <c r="G5" i="36"/>
  <c r="J5" i="36" s="1"/>
  <c r="Q20" i="36"/>
  <c r="R20" i="36" s="1"/>
  <c r="Q22" i="36"/>
  <c r="S22" i="36" s="1"/>
  <c r="Q23" i="36"/>
  <c r="S23" i="36" s="1"/>
  <c r="Q7" i="36"/>
  <c r="R7" i="36" s="1"/>
  <c r="Q12" i="36"/>
  <c r="R12" i="36" s="1"/>
  <c r="Q24" i="36"/>
  <c r="S24" i="36" s="1"/>
  <c r="Q11" i="36"/>
  <c r="R11" i="36" s="1"/>
  <c r="Q14" i="36"/>
  <c r="S14" i="36" s="1"/>
  <c r="Q9" i="36"/>
  <c r="R9" i="36" s="1"/>
  <c r="Q6" i="36"/>
  <c r="R6" i="36" s="1"/>
  <c r="Q15" i="36"/>
  <c r="C9" i="36"/>
  <c r="C13" i="36" s="1"/>
  <c r="D10" i="36" s="1"/>
  <c r="E10" i="36" s="1"/>
  <c r="Q25" i="36"/>
  <c r="S25" i="36" s="1"/>
  <c r="Q10" i="36"/>
  <c r="R10" i="36" s="1"/>
  <c r="Q16" i="36"/>
  <c r="S16" i="36" s="1"/>
  <c r="S8" i="36"/>
  <c r="R8" i="36"/>
  <c r="AI106" i="2"/>
  <c r="AI108" i="2"/>
  <c r="AI102" i="2"/>
  <c r="AI101" i="2"/>
  <c r="AI104" i="2"/>
  <c r="AI103" i="2"/>
  <c r="L39" i="34" s="1"/>
  <c r="AI107" i="2"/>
  <c r="T180" i="2"/>
  <c r="L38" i="34" l="1"/>
  <c r="T183" i="2"/>
  <c r="U183" i="2" s="1"/>
  <c r="AF180" i="2"/>
  <c r="S11" i="36"/>
  <c r="Z11" i="36" s="1" a="1"/>
  <c r="S9" i="36"/>
  <c r="AD9" i="36" s="1"/>
  <c r="R13" i="36"/>
  <c r="S17" i="36"/>
  <c r="AA17" i="36" s="1" a="1"/>
  <c r="S21" i="36"/>
  <c r="P21" i="36" s="1"/>
  <c r="S12" i="36"/>
  <c r="Z12" i="36" s="1" a="1"/>
  <c r="R14" i="36"/>
  <c r="R24" i="36"/>
  <c r="S7" i="36"/>
  <c r="Z7" i="36" s="1" a="1"/>
  <c r="R16" i="36"/>
  <c r="R23" i="36"/>
  <c r="S10" i="36"/>
  <c r="P10" i="36" s="1"/>
  <c r="R25" i="36"/>
  <c r="S6" i="36"/>
  <c r="AD6" i="36" s="1"/>
  <c r="C5" i="36"/>
  <c r="X11" i="36" s="1"/>
  <c r="R22" i="36"/>
  <c r="Q26" i="36"/>
  <c r="D12" i="36"/>
  <c r="E12" i="36" s="1"/>
  <c r="S19" i="36"/>
  <c r="AA19" i="36" s="1" a="1"/>
  <c r="R18" i="36"/>
  <c r="R15" i="36"/>
  <c r="D9" i="36"/>
  <c r="S20" i="36"/>
  <c r="P20" i="36" s="1"/>
  <c r="S15" i="36"/>
  <c r="Z15" i="36" s="1" a="1"/>
  <c r="D11" i="36"/>
  <c r="E11" i="36" s="1"/>
  <c r="AA8" i="36" a="1"/>
  <c r="AD8" i="36"/>
  <c r="Z8" i="36" a="1"/>
  <c r="P8" i="36"/>
  <c r="AA16" i="36" a="1"/>
  <c r="Z16" i="36" a="1"/>
  <c r="AD16" i="36"/>
  <c r="P16" i="36"/>
  <c r="P22" i="36"/>
  <c r="AD22" i="36"/>
  <c r="AA22" i="36" a="1"/>
  <c r="Z22" i="36" a="1"/>
  <c r="AA13" i="36" a="1"/>
  <c r="Z13" i="36" a="1"/>
  <c r="AD13" i="36"/>
  <c r="P13" i="36"/>
  <c r="P25" i="36"/>
  <c r="AD25" i="36"/>
  <c r="AA25" i="36" a="1"/>
  <c r="Z25" i="36" a="1"/>
  <c r="P18" i="36"/>
  <c r="AD18" i="36"/>
  <c r="AA18" i="36" a="1"/>
  <c r="Z18" i="36" a="1"/>
  <c r="P24" i="36"/>
  <c r="AD24" i="36"/>
  <c r="AA24" i="36" a="1"/>
  <c r="Z24" i="36" a="1"/>
  <c r="AD14" i="36"/>
  <c r="AA14" i="36" a="1"/>
  <c r="Z14" i="36" a="1"/>
  <c r="P14" i="36"/>
  <c r="P23" i="36"/>
  <c r="AD23" i="36"/>
  <c r="Z23" i="36" a="1"/>
  <c r="AA23" i="36" a="1"/>
  <c r="L13" i="14"/>
  <c r="L12" i="14"/>
  <c r="L11" i="14"/>
  <c r="L10" i="14"/>
  <c r="L9" i="14"/>
  <c r="L8" i="14"/>
  <c r="V183" i="2" l="1"/>
  <c r="W183" i="2" s="1"/>
  <c r="X183" i="2" s="1"/>
  <c r="Y183" i="2" s="1"/>
  <c r="Z183" i="2" s="1"/>
  <c r="AA183" i="2" s="1"/>
  <c r="AB183" i="2" s="1"/>
  <c r="AC183" i="2" s="1"/>
  <c r="AD183" i="2" s="1"/>
  <c r="AE183" i="2" s="1"/>
  <c r="U184" i="2"/>
  <c r="T184" i="2"/>
  <c r="Z9" i="36" a="1"/>
  <c r="AA9" i="36" a="1"/>
  <c r="P9" i="36"/>
  <c r="P11" i="36"/>
  <c r="AD11" i="36"/>
  <c r="AA11" i="36" a="1"/>
  <c r="AD7" i="36"/>
  <c r="AA7" i="36" a="1"/>
  <c r="AA10" i="36" a="1"/>
  <c r="AD17" i="36"/>
  <c r="AD21" i="36"/>
  <c r="P17" i="36"/>
  <c r="Z17" i="36" a="1"/>
  <c r="AD10" i="36"/>
  <c r="AA21" i="36" a="1"/>
  <c r="AD12" i="36"/>
  <c r="X26" i="36"/>
  <c r="X18" i="36"/>
  <c r="Z21" i="36" a="1"/>
  <c r="X10" i="36"/>
  <c r="AA12" i="36" a="1"/>
  <c r="X22" i="36"/>
  <c r="P12" i="36"/>
  <c r="X21" i="36"/>
  <c r="R26" i="36"/>
  <c r="Z19" i="36" a="1"/>
  <c r="Z10" i="36" a="1"/>
  <c r="AA6" i="36" a="1"/>
  <c r="Z6" i="36" a="1"/>
  <c r="P7" i="36"/>
  <c r="X16" i="36"/>
  <c r="P6" i="36"/>
  <c r="X19" i="36"/>
  <c r="X20" i="36"/>
  <c r="X6" i="36"/>
  <c r="Y6" i="36" s="1"/>
  <c r="X24" i="36"/>
  <c r="D13" i="36"/>
  <c r="AC6" i="36" a="1"/>
  <c r="AD15" i="36"/>
  <c r="AA15" i="36" a="1"/>
  <c r="AD19" i="36"/>
  <c r="P19" i="36"/>
  <c r="P15" i="36"/>
  <c r="E9" i="36"/>
  <c r="X9" i="36"/>
  <c r="X13" i="36"/>
  <c r="X12" i="36"/>
  <c r="X17" i="36"/>
  <c r="Z20" i="36" a="1"/>
  <c r="AA20" i="36" a="1"/>
  <c r="X25" i="36"/>
  <c r="X7" i="36"/>
  <c r="X23" i="36"/>
  <c r="X14" i="36"/>
  <c r="X8" i="36"/>
  <c r="AD20" i="36"/>
  <c r="X15" i="36"/>
  <c r="Y7" i="36" l="1"/>
  <c r="Y8" i="36" s="1"/>
  <c r="Y9" i="36" s="1"/>
  <c r="Y10" i="36" s="1"/>
  <c r="Y11" i="36" s="1"/>
  <c r="Y12" i="36" s="1"/>
  <c r="Y13" i="36" s="1"/>
  <c r="Y14" i="36" s="1"/>
  <c r="Y15" i="36" s="1"/>
  <c r="Y16" i="36" s="1"/>
  <c r="Y17" i="36" s="1"/>
  <c r="Y18" i="36" s="1"/>
  <c r="Y19" i="36" s="1"/>
  <c r="Y20" i="36" s="1"/>
  <c r="Y21" i="36" s="1"/>
  <c r="Y22" i="36" s="1"/>
  <c r="Y23" i="36" s="1"/>
  <c r="Y24" i="36" s="1"/>
  <c r="Y25" i="36" s="1"/>
  <c r="AJ36" i="24" l="1"/>
  <c r="AJ38" i="24"/>
  <c r="AJ39" i="24"/>
  <c r="AJ40" i="24"/>
  <c r="AJ42" i="24"/>
  <c r="AJ44" i="24"/>
  <c r="AJ46" i="24"/>
  <c r="AJ48" i="24"/>
  <c r="AJ50" i="24"/>
  <c r="AJ52" i="24"/>
  <c r="AJ54" i="24"/>
  <c r="AJ56" i="24"/>
  <c r="AJ57" i="24"/>
  <c r="AJ58" i="24"/>
  <c r="AJ60" i="24"/>
  <c r="AJ61" i="24"/>
  <c r="AJ62" i="24"/>
  <c r="AJ64" i="24"/>
  <c r="AJ66" i="24"/>
  <c r="AJ68" i="24"/>
  <c r="AJ70" i="24"/>
  <c r="AJ72" i="24"/>
  <c r="AJ74" i="24"/>
  <c r="AJ76" i="24"/>
  <c r="AJ77" i="24"/>
  <c r="AJ78" i="24"/>
  <c r="AJ80" i="24"/>
  <c r="AJ82" i="24"/>
  <c r="AJ84" i="24"/>
  <c r="AJ85" i="24"/>
  <c r="AJ86" i="24"/>
  <c r="AJ87" i="24"/>
  <c r="AJ88" i="24"/>
  <c r="AJ90" i="24"/>
  <c r="AJ91" i="24"/>
  <c r="AJ92" i="24"/>
  <c r="AJ94" i="24"/>
  <c r="AJ97" i="24"/>
  <c r="AJ98" i="24"/>
  <c r="AJ99" i="24"/>
  <c r="AJ100" i="24"/>
  <c r="AJ102" i="24"/>
  <c r="AJ104" i="24"/>
  <c r="AJ105" i="24"/>
  <c r="AJ106" i="24"/>
  <c r="AJ108" i="24"/>
  <c r="AJ110" i="24"/>
  <c r="AJ112" i="24"/>
  <c r="AJ32" i="24"/>
  <c r="AJ34" i="24"/>
  <c r="I5" i="24" l="1"/>
  <c r="AH77" i="20" l="1"/>
  <c r="AH78" i="20"/>
  <c r="AH79" i="20"/>
  <c r="AH80" i="20"/>
  <c r="AI78" i="20" l="1"/>
  <c r="AI80" i="20"/>
  <c r="AI79" i="20"/>
  <c r="AI77" i="20"/>
  <c r="L13" i="24" l="1"/>
  <c r="M9" i="24"/>
  <c r="M10" i="24"/>
  <c r="M12" i="24"/>
  <c r="M8" i="24"/>
  <c r="L9" i="24"/>
  <c r="L10" i="24"/>
  <c r="L11" i="24"/>
  <c r="L12" i="24"/>
  <c r="L8" i="24"/>
  <c r="AN116" i="18"/>
  <c r="AN115" i="18"/>
  <c r="AN94" i="18"/>
  <c r="AN93" i="18"/>
  <c r="AN92" i="18"/>
  <c r="AN91" i="18"/>
  <c r="AN90" i="18"/>
  <c r="AN89" i="18"/>
  <c r="AN88" i="18"/>
  <c r="AN87" i="18"/>
  <c r="AN84" i="18"/>
  <c r="AN83" i="18"/>
  <c r="AN82" i="18"/>
  <c r="AN81" i="18"/>
  <c r="AN78" i="18"/>
  <c r="AN77" i="18"/>
  <c r="AN76" i="18"/>
  <c r="AN75" i="18"/>
  <c r="AN74" i="18"/>
  <c r="AN73" i="18"/>
  <c r="AN72" i="18"/>
  <c r="AN71" i="18"/>
  <c r="AN70" i="18"/>
  <c r="AN69" i="18"/>
  <c r="AN68" i="18"/>
  <c r="AN67" i="18"/>
  <c r="AN66" i="18"/>
  <c r="AN65" i="18"/>
  <c r="AN64" i="18"/>
  <c r="AN63" i="18"/>
  <c r="AN62" i="18"/>
  <c r="AN61" i="18"/>
  <c r="AN60" i="18"/>
  <c r="AN59" i="18"/>
  <c r="AN58" i="18"/>
  <c r="AN57" i="18"/>
  <c r="AN56" i="18"/>
  <c r="AN55" i="18"/>
  <c r="O6" i="18" a="1"/>
  <c r="Q7" i="18" s="1"/>
  <c r="AH75" i="20"/>
  <c r="AH76" i="20"/>
  <c r="AH81" i="20"/>
  <c r="AH82" i="20"/>
  <c r="AH83" i="20"/>
  <c r="AH84" i="20"/>
  <c r="AH85" i="20"/>
  <c r="AH86" i="20"/>
  <c r="AH87" i="20"/>
  <c r="AH88" i="20"/>
  <c r="AH89" i="20"/>
  <c r="AH90" i="20"/>
  <c r="AH91" i="20"/>
  <c r="AH92" i="20"/>
  <c r="AH93" i="20"/>
  <c r="AH94" i="20"/>
  <c r="AH95" i="20"/>
  <c r="AH96" i="20"/>
  <c r="AH97" i="20"/>
  <c r="AH98" i="20"/>
  <c r="AH99" i="20"/>
  <c r="AH100" i="20"/>
  <c r="AH101" i="20"/>
  <c r="AH102" i="20"/>
  <c r="O6" i="20" a="1"/>
  <c r="R101" i="20"/>
  <c r="R99" i="20"/>
  <c r="R97" i="20"/>
  <c r="R95" i="20"/>
  <c r="R93" i="20"/>
  <c r="R91" i="20"/>
  <c r="R89" i="20"/>
  <c r="R87" i="20"/>
  <c r="R85" i="20"/>
  <c r="R83" i="20"/>
  <c r="R81" i="20"/>
  <c r="R75" i="20"/>
  <c r="AN102" i="20"/>
  <c r="AP102" i="20" s="1" a="1"/>
  <c r="AP102" i="20" s="1"/>
  <c r="AN101" i="20"/>
  <c r="AP101" i="20" s="1" a="1"/>
  <c r="AP101" i="20" s="1"/>
  <c r="AN100" i="20"/>
  <c r="AP100" i="20" s="1" a="1"/>
  <c r="AP100" i="20" s="1"/>
  <c r="AN99" i="20"/>
  <c r="AP99" i="20" s="1" a="1"/>
  <c r="AP99" i="20" s="1"/>
  <c r="AN98" i="20"/>
  <c r="AP98" i="20" s="1" a="1"/>
  <c r="AP98" i="20" s="1"/>
  <c r="AN97" i="20"/>
  <c r="AP97" i="20" s="1" a="1"/>
  <c r="AP97" i="20" s="1"/>
  <c r="AN96" i="20"/>
  <c r="AP96" i="20" s="1" a="1"/>
  <c r="AP96" i="20" s="1"/>
  <c r="AN95" i="20"/>
  <c r="AP95" i="20" s="1" a="1"/>
  <c r="AP95" i="20" s="1"/>
  <c r="AN94" i="20"/>
  <c r="AP94" i="20" s="1" a="1"/>
  <c r="AP94" i="20" s="1"/>
  <c r="AN93" i="20"/>
  <c r="AP93" i="20" s="1" a="1"/>
  <c r="AP93" i="20" s="1"/>
  <c r="AN92" i="20"/>
  <c r="AP92" i="20" s="1" a="1"/>
  <c r="AP92" i="20" s="1"/>
  <c r="AN91" i="20"/>
  <c r="AP91" i="20" s="1" a="1"/>
  <c r="AP91" i="20" s="1"/>
  <c r="AN90" i="20"/>
  <c r="AP90" i="20" s="1" a="1"/>
  <c r="AP90" i="20" s="1"/>
  <c r="AN89" i="20"/>
  <c r="AP89" i="20" s="1" a="1"/>
  <c r="AP89" i="20" s="1"/>
  <c r="AN88" i="20"/>
  <c r="AP88" i="20" s="1" a="1"/>
  <c r="AP88" i="20" s="1"/>
  <c r="AN87" i="20"/>
  <c r="AP87" i="20" s="1" a="1"/>
  <c r="AP87" i="20" s="1"/>
  <c r="AN86" i="20"/>
  <c r="AP86" i="20" s="1" a="1"/>
  <c r="AP86" i="20" s="1"/>
  <c r="AN85" i="20"/>
  <c r="AP85" i="20" s="1" a="1"/>
  <c r="AP85" i="20" s="1"/>
  <c r="AN84" i="20"/>
  <c r="AP84" i="20" s="1" a="1"/>
  <c r="AP84" i="20" s="1"/>
  <c r="AN83" i="20"/>
  <c r="AP83" i="20" s="1" a="1"/>
  <c r="AP83" i="20" s="1"/>
  <c r="AN82" i="20"/>
  <c r="AP82" i="20" s="1" a="1"/>
  <c r="AP82" i="20" s="1"/>
  <c r="AN81" i="20"/>
  <c r="AP81" i="20" s="1" a="1"/>
  <c r="AP81" i="20" s="1"/>
  <c r="AN80" i="20"/>
  <c r="AN79" i="20"/>
  <c r="AN78" i="20"/>
  <c r="AN77" i="20"/>
  <c r="AN76" i="20"/>
  <c r="AN75" i="20"/>
  <c r="AN74" i="20"/>
  <c r="AN73" i="20"/>
  <c r="AN72" i="20"/>
  <c r="AN71" i="20"/>
  <c r="AN70" i="20"/>
  <c r="AN69" i="20"/>
  <c r="AN68" i="20"/>
  <c r="AN67" i="20"/>
  <c r="AN66" i="20"/>
  <c r="AN65" i="20"/>
  <c r="AN64" i="20"/>
  <c r="AN63" i="20"/>
  <c r="AN62" i="20"/>
  <c r="AN61" i="20"/>
  <c r="AN60" i="20"/>
  <c r="AN59" i="20"/>
  <c r="AN58" i="20"/>
  <c r="AN57" i="20"/>
  <c r="AN56" i="20"/>
  <c r="AN55" i="20"/>
  <c r="B9" i="20"/>
  <c r="B10" i="20"/>
  <c r="B12" i="20"/>
  <c r="D12" i="20" s="1"/>
  <c r="Q9" i="20" l="1"/>
  <c r="U9" i="20" s="1"/>
  <c r="Q7" i="20"/>
  <c r="Q10" i="20"/>
  <c r="Q11" i="20"/>
  <c r="Q12" i="20"/>
  <c r="Q14" i="20"/>
  <c r="Q13" i="20"/>
  <c r="Q8" i="20"/>
  <c r="D13" i="20"/>
  <c r="G16" i="32"/>
  <c r="Z11" i="20" l="1"/>
  <c r="U11" i="20"/>
  <c r="R11" i="20"/>
  <c r="U10" i="20"/>
  <c r="Z10" i="20"/>
  <c r="R10" i="20"/>
  <c r="U14" i="20"/>
  <c r="R14" i="20"/>
  <c r="Z14" i="20"/>
  <c r="R8" i="20"/>
  <c r="Z8" i="20"/>
  <c r="U8" i="20"/>
  <c r="Z13" i="20"/>
  <c r="U13" i="20"/>
  <c r="R13" i="20"/>
  <c r="Z12" i="20"/>
  <c r="U12" i="20"/>
  <c r="R12" i="20"/>
  <c r="Z7" i="20"/>
  <c r="U7" i="20"/>
  <c r="R7" i="20"/>
  <c r="Z9" i="20"/>
  <c r="R9" i="20"/>
  <c r="G18" i="32"/>
  <c r="S9" i="20" l="1"/>
  <c r="P9" i="20"/>
  <c r="S14" i="20"/>
  <c r="P14" i="20"/>
  <c r="P7" i="20"/>
  <c r="AE6" i="20" a="1"/>
  <c r="S7" i="20"/>
  <c r="S10" i="20"/>
  <c r="P10" i="20"/>
  <c r="S13" i="20"/>
  <c r="P13" i="20"/>
  <c r="S8" i="20"/>
  <c r="P8" i="20"/>
  <c r="P12" i="20"/>
  <c r="S12" i="20"/>
  <c r="P11" i="20"/>
  <c r="S11" i="20"/>
  <c r="H15" i="32"/>
  <c r="H17" i="32"/>
  <c r="H13" i="32"/>
  <c r="H14" i="32"/>
  <c r="H16" i="32"/>
  <c r="AD6" i="20"/>
  <c r="AD9" i="20" l="1"/>
  <c r="AD13" i="20"/>
  <c r="AD7" i="20"/>
  <c r="C11" i="20" l="1"/>
  <c r="C12" i="20"/>
  <c r="C9" i="20"/>
  <c r="C183" i="34"/>
  <c r="C182" i="34"/>
  <c r="B182" i="34"/>
  <c r="E5" i="20"/>
  <c r="AH71" i="20"/>
  <c r="AH72" i="20"/>
  <c r="AH69" i="20"/>
  <c r="AH70" i="20"/>
  <c r="AH67" i="20"/>
  <c r="AH68" i="20"/>
  <c r="AH63" i="20"/>
  <c r="AH64" i="20"/>
  <c r="AH61" i="20"/>
  <c r="AH62" i="20"/>
  <c r="Z57" i="20"/>
  <c r="AD57" i="20"/>
  <c r="AH57" i="20"/>
  <c r="V58" i="20"/>
  <c r="Z58" i="20"/>
  <c r="AD58" i="20"/>
  <c r="AH58" i="20"/>
  <c r="Z55" i="20"/>
  <c r="AD55" i="20"/>
  <c r="AH55" i="20"/>
  <c r="V56" i="20"/>
  <c r="Z56" i="20"/>
  <c r="AD56" i="20"/>
  <c r="AH56" i="20"/>
  <c r="C12" i="14"/>
  <c r="C11" i="14"/>
  <c r="C10" i="14"/>
  <c r="C9" i="14"/>
  <c r="C11" i="24"/>
  <c r="C12" i="24"/>
  <c r="C9" i="24"/>
  <c r="C10" i="19"/>
  <c r="C11" i="19"/>
  <c r="C12" i="19"/>
  <c r="C9" i="19"/>
  <c r="C10" i="18"/>
  <c r="C11" i="18"/>
  <c r="C12" i="18"/>
  <c r="C10" i="17"/>
  <c r="C11" i="17"/>
  <c r="C12" i="17"/>
  <c r="C9" i="17"/>
  <c r="C11" i="2"/>
  <c r="Q6" i="17"/>
  <c r="U6" i="17" s="1"/>
  <c r="S6" i="17" s="1"/>
  <c r="O6" i="17" a="1"/>
  <c r="AN59" i="17"/>
  <c r="AN60" i="17"/>
  <c r="AN61" i="17"/>
  <c r="AN62" i="17"/>
  <c r="AN63" i="17"/>
  <c r="AN64" i="17"/>
  <c r="AN65" i="17"/>
  <c r="AN66" i="17"/>
  <c r="AN67" i="17"/>
  <c r="AN68" i="17"/>
  <c r="AN69" i="17"/>
  <c r="AN70" i="17"/>
  <c r="AN71" i="17"/>
  <c r="AN72" i="17"/>
  <c r="AN73" i="17"/>
  <c r="AN74" i="17"/>
  <c r="AN75" i="17"/>
  <c r="AN76" i="17"/>
  <c r="AN77" i="17"/>
  <c r="AN78" i="17"/>
  <c r="AN79" i="17"/>
  <c r="AN80" i="17"/>
  <c r="AN81" i="17"/>
  <c r="AN82" i="17"/>
  <c r="AN83" i="17"/>
  <c r="AN84" i="17"/>
  <c r="AN85" i="17"/>
  <c r="AP85" i="17" s="1" a="1"/>
  <c r="AP85" i="17" s="1"/>
  <c r="AN86" i="17"/>
  <c r="AP86" i="17" s="1" a="1"/>
  <c r="AP86" i="17" s="1"/>
  <c r="AN87" i="17"/>
  <c r="AN88" i="17"/>
  <c r="AN89" i="17"/>
  <c r="AN90" i="17"/>
  <c r="AN91" i="17"/>
  <c r="AP91" i="17" s="1" a="1"/>
  <c r="AP91" i="17" s="1"/>
  <c r="AN92" i="17"/>
  <c r="AP92" i="17" s="1" a="1"/>
  <c r="AP92" i="17" s="1"/>
  <c r="AN93" i="17"/>
  <c r="AN94" i="17"/>
  <c r="AN95" i="17"/>
  <c r="AN96" i="17"/>
  <c r="AN97" i="17"/>
  <c r="AN98" i="17"/>
  <c r="AO35" i="24"/>
  <c r="AO36" i="24"/>
  <c r="AO37" i="24"/>
  <c r="AO38" i="24"/>
  <c r="AO39" i="24"/>
  <c r="AO40" i="24"/>
  <c r="AO41" i="24"/>
  <c r="AO42" i="24"/>
  <c r="AO43" i="24"/>
  <c r="AO44" i="24"/>
  <c r="AO45" i="24"/>
  <c r="AO46" i="24"/>
  <c r="AO47" i="24"/>
  <c r="AO48" i="24"/>
  <c r="AO49" i="24"/>
  <c r="AO50" i="24"/>
  <c r="AO51" i="24"/>
  <c r="AO52" i="24"/>
  <c r="AO53" i="24"/>
  <c r="AO54" i="24"/>
  <c r="AO55" i="24"/>
  <c r="AO56" i="24"/>
  <c r="AO57" i="24"/>
  <c r="AO58" i="24"/>
  <c r="AO59" i="24"/>
  <c r="AO60" i="24"/>
  <c r="AO61" i="24"/>
  <c r="AO62" i="24"/>
  <c r="AO63" i="24"/>
  <c r="AO64" i="24"/>
  <c r="AO65" i="24"/>
  <c r="AO66" i="24"/>
  <c r="AO67" i="24"/>
  <c r="AO68" i="24"/>
  <c r="AO69" i="24"/>
  <c r="AO70" i="24"/>
  <c r="AO71" i="24"/>
  <c r="AO72" i="24"/>
  <c r="AO73" i="24"/>
  <c r="AO74" i="24"/>
  <c r="AO75" i="24"/>
  <c r="AO76" i="24"/>
  <c r="AO77" i="24"/>
  <c r="AO78" i="24"/>
  <c r="AO79" i="24"/>
  <c r="AO80" i="24"/>
  <c r="AO81" i="24"/>
  <c r="AO82" i="24"/>
  <c r="AO83" i="24"/>
  <c r="AO84" i="24"/>
  <c r="AO85" i="24"/>
  <c r="AO86" i="24"/>
  <c r="AO87" i="24"/>
  <c r="AO88" i="24"/>
  <c r="AO89" i="24"/>
  <c r="AO90" i="24"/>
  <c r="AO91" i="24"/>
  <c r="AO92" i="24"/>
  <c r="AO93" i="24"/>
  <c r="AO94" i="24"/>
  <c r="AO95" i="24"/>
  <c r="AO96" i="24"/>
  <c r="AO97" i="24"/>
  <c r="AO98" i="24"/>
  <c r="AO99" i="24"/>
  <c r="AO100" i="24"/>
  <c r="AO101" i="24"/>
  <c r="AO102" i="24"/>
  <c r="AO103" i="24"/>
  <c r="AO104" i="24"/>
  <c r="AO105" i="24"/>
  <c r="AO106" i="24"/>
  <c r="AO107" i="24"/>
  <c r="AO108" i="24"/>
  <c r="AO109" i="24"/>
  <c r="AO110" i="24"/>
  <c r="AO111" i="24"/>
  <c r="AO112" i="24"/>
  <c r="AO145" i="24"/>
  <c r="AQ145" i="24" s="1" a="1"/>
  <c r="AQ145" i="24" s="1"/>
  <c r="AO146" i="24"/>
  <c r="AQ146" i="24" s="1" a="1"/>
  <c r="AQ146" i="24" s="1"/>
  <c r="AO34" i="24"/>
  <c r="AO33" i="24"/>
  <c r="AO32" i="24"/>
  <c r="AO31" i="24"/>
  <c r="R6" i="24" a="1"/>
  <c r="R77" i="19"/>
  <c r="AN128" i="19"/>
  <c r="AN127" i="19"/>
  <c r="AN126" i="19"/>
  <c r="AN125" i="19"/>
  <c r="AN96" i="19"/>
  <c r="AN95" i="19"/>
  <c r="AN94" i="19"/>
  <c r="AN93" i="19"/>
  <c r="AN92" i="19"/>
  <c r="AN91" i="19"/>
  <c r="AN90" i="19"/>
  <c r="AN89" i="19"/>
  <c r="AN88" i="19"/>
  <c r="AN87" i="19"/>
  <c r="AN86" i="19"/>
  <c r="AN85" i="19"/>
  <c r="AN84" i="19"/>
  <c r="AN83" i="19"/>
  <c r="AN82" i="19"/>
  <c r="AN81" i="19"/>
  <c r="AN80" i="19"/>
  <c r="AN79" i="19"/>
  <c r="AN78" i="19"/>
  <c r="AN77" i="19"/>
  <c r="AN76" i="19"/>
  <c r="AN75" i="19"/>
  <c r="AN74" i="19"/>
  <c r="AN73" i="19"/>
  <c r="AN72" i="19"/>
  <c r="AN71" i="19"/>
  <c r="AN70" i="19"/>
  <c r="AN69" i="19"/>
  <c r="AN68" i="19"/>
  <c r="AN67" i="19"/>
  <c r="AN66" i="19"/>
  <c r="AN65" i="19"/>
  <c r="AN64" i="19"/>
  <c r="AN63" i="19"/>
  <c r="AN62" i="19"/>
  <c r="AN61" i="19"/>
  <c r="AN60" i="19"/>
  <c r="AN59" i="19"/>
  <c r="AN58" i="19"/>
  <c r="AN57" i="19"/>
  <c r="AN56" i="19"/>
  <c r="AN55" i="19"/>
  <c r="I183" i="34" l="1"/>
  <c r="L183" i="34"/>
  <c r="I182" i="34"/>
  <c r="L182" i="34"/>
  <c r="AB16" i="19" a="1"/>
  <c r="AC16" i="19" a="1"/>
  <c r="AC24" i="19" a="1"/>
  <c r="AB24" i="19" a="1"/>
  <c r="G182" i="34"/>
  <c r="H182" i="34"/>
  <c r="G183" i="34"/>
  <c r="H183" i="34"/>
  <c r="AC7" i="19" a="1"/>
  <c r="AC20" i="19" a="1"/>
  <c r="AC22" i="19" a="1"/>
  <c r="AC11" i="19" a="1"/>
  <c r="AC9" i="19" a="1"/>
  <c r="AB6" i="19" a="1"/>
  <c r="AC15" i="19" a="1"/>
  <c r="AC13" i="19" a="1"/>
  <c r="AC12" i="19" a="1"/>
  <c r="AC18" i="19" a="1"/>
  <c r="AC25" i="19" a="1"/>
  <c r="AC19" i="19" a="1"/>
  <c r="AC21" i="19" a="1"/>
  <c r="AC23" i="19" a="1"/>
  <c r="AC8" i="19" a="1"/>
  <c r="AC10" i="19" a="1"/>
  <c r="AB14" i="19" a="1"/>
  <c r="AC14" i="19" a="1"/>
  <c r="AB7" i="19" a="1"/>
  <c r="AB13" i="19" a="1"/>
  <c r="AB9" i="19" a="1"/>
  <c r="AB8" i="19" a="1"/>
  <c r="AB18" i="19" a="1"/>
  <c r="AB23" i="19" a="1"/>
  <c r="AB25" i="19" a="1"/>
  <c r="AB15" i="19" a="1"/>
  <c r="AB10" i="19" a="1"/>
  <c r="AB11" i="19" a="1"/>
  <c r="AB12" i="19" a="1"/>
  <c r="AB17" i="19" a="1"/>
  <c r="AB22" i="19" a="1"/>
  <c r="AB21" i="19" a="1"/>
  <c r="AB19" i="19" a="1"/>
  <c r="AB20" i="19" a="1"/>
  <c r="R6" i="17"/>
  <c r="Z16" i="20"/>
  <c r="Z15" i="20"/>
  <c r="AI71" i="20"/>
  <c r="AI55" i="20"/>
  <c r="AI62" i="20"/>
  <c r="AI61" i="20"/>
  <c r="AI64" i="20"/>
  <c r="AI67" i="20"/>
  <c r="AI63" i="20"/>
  <c r="AI69" i="20"/>
  <c r="Q17" i="17"/>
  <c r="R17" i="17" s="1"/>
  <c r="AI72" i="20"/>
  <c r="AI76" i="20"/>
  <c r="AI56" i="20"/>
  <c r="AI68" i="20"/>
  <c r="AI75" i="20"/>
  <c r="AI57" i="20"/>
  <c r="AI58" i="20"/>
  <c r="AI70" i="20"/>
  <c r="Q8" i="17"/>
  <c r="R8" i="17" s="1"/>
  <c r="Q9" i="17"/>
  <c r="R9" i="17" s="1"/>
  <c r="Q12" i="17"/>
  <c r="R12" i="17" s="1"/>
  <c r="Q13" i="17"/>
  <c r="R13" i="17" s="1"/>
  <c r="Q14" i="17"/>
  <c r="R14" i="17" s="1"/>
  <c r="Q16" i="17"/>
  <c r="R16" i="17" s="1"/>
  <c r="Q21" i="17"/>
  <c r="R21" i="17" s="1"/>
  <c r="Q22" i="17"/>
  <c r="Q18" i="17"/>
  <c r="R18" i="17" s="1"/>
  <c r="Q10" i="17"/>
  <c r="R10" i="17" s="1"/>
  <c r="Q25" i="17"/>
  <c r="Q20" i="17"/>
  <c r="Q24" i="17"/>
  <c r="Q7" i="17"/>
  <c r="R7" i="17" s="1"/>
  <c r="Q11" i="17"/>
  <c r="R11" i="17" s="1"/>
  <c r="Q15" i="17"/>
  <c r="R15" i="17" s="1"/>
  <c r="Q19" i="17"/>
  <c r="R19" i="17" s="1"/>
  <c r="Q23" i="17"/>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58" i="2"/>
  <c r="AN57" i="2"/>
  <c r="AN56" i="2"/>
  <c r="AN55" i="2"/>
  <c r="R22" i="17" l="1"/>
  <c r="U22" i="17"/>
  <c r="S22" i="17" s="1"/>
  <c r="R23" i="17"/>
  <c r="U23" i="17"/>
  <c r="S23" i="17" s="1"/>
  <c r="R24" i="17"/>
  <c r="U24" i="17"/>
  <c r="S24" i="17" s="1"/>
  <c r="R25" i="17"/>
  <c r="U25" i="17"/>
  <c r="S25" i="17" s="1"/>
  <c r="R20" i="17"/>
  <c r="U20" i="17"/>
  <c r="S20" i="17" s="1"/>
  <c r="P6" i="17"/>
  <c r="AC6" i="17" a="1"/>
  <c r="U19" i="17"/>
  <c r="S19" i="17" s="1"/>
  <c r="U16" i="17"/>
  <c r="S16" i="17" s="1"/>
  <c r="U15" i="17"/>
  <c r="S15" i="17" s="1"/>
  <c r="U14" i="17"/>
  <c r="S14" i="17" s="1"/>
  <c r="U10" i="17"/>
  <c r="S10" i="17" s="1"/>
  <c r="U11" i="17"/>
  <c r="S11" i="17" s="1"/>
  <c r="U13" i="17"/>
  <c r="S13" i="17" s="1"/>
  <c r="U17" i="17"/>
  <c r="S17" i="17" s="1"/>
  <c r="U12" i="17"/>
  <c r="S12" i="17" s="1"/>
  <c r="U8" i="17"/>
  <c r="S8" i="17" s="1"/>
  <c r="U9" i="17"/>
  <c r="S9" i="17" s="1"/>
  <c r="U18" i="17"/>
  <c r="S18" i="17" s="1"/>
  <c r="U21" i="17"/>
  <c r="S21" i="17" s="1"/>
  <c r="U7" i="17"/>
  <c r="S7" i="17" s="1"/>
  <c r="AE6" i="17" l="1" a="1"/>
  <c r="R26" i="17"/>
  <c r="P9" i="17"/>
  <c r="AC9" i="17" a="1"/>
  <c r="AC14" i="17" a="1"/>
  <c r="P16" i="17"/>
  <c r="AC16" i="17" a="1"/>
  <c r="P22" i="17"/>
  <c r="P14" i="17"/>
  <c r="AC18" i="17" a="1"/>
  <c r="P13" i="17"/>
  <c r="AC13" i="17" a="1"/>
  <c r="P25" i="17"/>
  <c r="AC25" i="17" a="1"/>
  <c r="AC23" i="17" a="1"/>
  <c r="AC21" i="17" a="1"/>
  <c r="AC20" i="17" a="1"/>
  <c r="P23" i="17"/>
  <c r="P17" i="17"/>
  <c r="P8" i="17"/>
  <c r="P18" i="17"/>
  <c r="P11" i="17"/>
  <c r="P19" i="17"/>
  <c r="P10" i="17"/>
  <c r="AC19" i="17" a="1"/>
  <c r="AC11" i="17" a="1"/>
  <c r="AC10" i="17" a="1"/>
  <c r="P15" i="17"/>
  <c r="AC15" i="17" a="1"/>
  <c r="P24" i="17"/>
  <c r="AC24" i="17" a="1"/>
  <c r="P21" i="17"/>
  <c r="AC22" i="17" a="1"/>
  <c r="AC8" i="17" a="1"/>
  <c r="AC17" i="17" a="1"/>
  <c r="P12" i="17"/>
  <c r="AC12" i="17" a="1"/>
  <c r="P7" i="17"/>
  <c r="Q26" i="17" s="1"/>
  <c r="AC7" i="17" a="1"/>
  <c r="F204" i="34" l="1"/>
  <c r="F205" i="34"/>
  <c r="F206" i="34"/>
  <c r="F207" i="34"/>
  <c r="F208" i="34"/>
  <c r="F209" i="34"/>
  <c r="F210" i="34"/>
  <c r="F211" i="34"/>
  <c r="A182" i="34" a="1"/>
  <c r="F171" i="34"/>
  <c r="F172" i="34"/>
  <c r="F173" i="34"/>
  <c r="F174" i="34"/>
  <c r="F175" i="34"/>
  <c r="F176" i="34"/>
  <c r="F177" i="34"/>
  <c r="F178" i="34"/>
  <c r="A149" i="34" a="1"/>
  <c r="F138" i="34"/>
  <c r="F139" i="34"/>
  <c r="F140" i="34"/>
  <c r="F141" i="34"/>
  <c r="F142" i="34"/>
  <c r="F143" i="34"/>
  <c r="F144" i="34"/>
  <c r="F145" i="34"/>
  <c r="A116" i="34" a="1"/>
  <c r="F26" i="34"/>
  <c r="F27" i="34"/>
  <c r="F28" i="34"/>
  <c r="F29" i="34"/>
  <c r="F30" i="34"/>
  <c r="F31" i="34"/>
  <c r="F32" i="34"/>
  <c r="F33" i="34"/>
  <c r="F92" i="34"/>
  <c r="F93" i="34"/>
  <c r="F94" i="34"/>
  <c r="F95" i="34"/>
  <c r="F96" i="34"/>
  <c r="F97" i="34"/>
  <c r="F98" i="34"/>
  <c r="F99" i="34"/>
  <c r="B98" i="34"/>
  <c r="B86" i="34"/>
  <c r="B95" i="34"/>
  <c r="B79" i="34"/>
  <c r="B90" i="34"/>
  <c r="B89" i="34"/>
  <c r="B88" i="34"/>
  <c r="B85" i="34"/>
  <c r="B94" i="34"/>
  <c r="B97" i="34"/>
  <c r="B84" i="34"/>
  <c r="B93" i="34"/>
  <c r="B99" i="34"/>
  <c r="B83" i="34"/>
  <c r="B92" i="34"/>
  <c r="B82" i="34"/>
  <c r="B81" i="34"/>
  <c r="B80" i="34"/>
  <c r="B91" i="34"/>
  <c r="B87" i="34"/>
  <c r="B96" i="34"/>
  <c r="B143" i="34" l="1"/>
  <c r="C143" i="34" s="1"/>
  <c r="B144" i="34"/>
  <c r="C144" i="34" s="1"/>
  <c r="B145" i="34"/>
  <c r="C145" i="34" s="1"/>
  <c r="B142" i="34"/>
  <c r="C142" i="34" s="1"/>
  <c r="B135" i="34"/>
  <c r="B141" i="34"/>
  <c r="C141" i="34" s="1"/>
  <c r="B136" i="34"/>
  <c r="B139" i="34"/>
  <c r="C139" i="34" s="1"/>
  <c r="B137" i="34"/>
  <c r="B138" i="34"/>
  <c r="C138" i="34" s="1"/>
  <c r="B140" i="34"/>
  <c r="C140" i="34" s="1"/>
  <c r="B188" i="34"/>
  <c r="B189" i="34"/>
  <c r="B190" i="34"/>
  <c r="B194" i="34"/>
  <c r="B191" i="34"/>
  <c r="B192" i="34"/>
  <c r="B193" i="34"/>
  <c r="B195" i="34"/>
  <c r="B184" i="34"/>
  <c r="B196" i="34"/>
  <c r="B197" i="34"/>
  <c r="C197" i="34" s="1"/>
  <c r="B198" i="34"/>
  <c r="B206" i="34"/>
  <c r="C206" i="34" s="1"/>
  <c r="B210" i="34"/>
  <c r="C210" i="34" s="1"/>
  <c r="B203" i="34"/>
  <c r="C203" i="34" s="1"/>
  <c r="B202" i="34"/>
  <c r="C202" i="34" s="1"/>
  <c r="B185" i="34"/>
  <c r="B186" i="34"/>
  <c r="B183" i="34"/>
  <c r="B187" i="34"/>
  <c r="B200" i="34"/>
  <c r="B205" i="34"/>
  <c r="C205" i="34" s="1"/>
  <c r="B204" i="34"/>
  <c r="C204" i="34" s="1"/>
  <c r="B199" i="34"/>
  <c r="B201" i="34"/>
  <c r="B211" i="34"/>
  <c r="C211" i="34" s="1"/>
  <c r="B209" i="34"/>
  <c r="C209" i="34" s="1"/>
  <c r="B208" i="34"/>
  <c r="C208" i="34" s="1"/>
  <c r="B207" i="34"/>
  <c r="C207" i="34" s="1"/>
  <c r="C93" i="34"/>
  <c r="C92" i="34"/>
  <c r="C84" i="34"/>
  <c r="C81" i="34"/>
  <c r="C82" i="34"/>
  <c r="C97" i="34"/>
  <c r="C95" i="34"/>
  <c r="C96" i="34"/>
  <c r="C94" i="34"/>
  <c r="C87" i="34"/>
  <c r="C85" i="34"/>
  <c r="C91" i="34"/>
  <c r="C88" i="34"/>
  <c r="C90" i="34"/>
  <c r="C79" i="34"/>
  <c r="C80" i="34"/>
  <c r="C89" i="34"/>
  <c r="C83" i="34"/>
  <c r="C86" i="34"/>
  <c r="C99" i="34"/>
  <c r="C98" i="34"/>
  <c r="I140" i="34" l="1"/>
  <c r="L140" i="34"/>
  <c r="I206" i="34"/>
  <c r="L206" i="34"/>
  <c r="I204" i="34"/>
  <c r="L204" i="34"/>
  <c r="I197" i="34"/>
  <c r="L197" i="34"/>
  <c r="I138" i="34"/>
  <c r="L138" i="34"/>
  <c r="I89" i="34"/>
  <c r="L89" i="34"/>
  <c r="I82" i="34"/>
  <c r="L82" i="34"/>
  <c r="I205" i="34"/>
  <c r="L205" i="34"/>
  <c r="I80" i="34"/>
  <c r="L80" i="34"/>
  <c r="I81" i="34"/>
  <c r="L81" i="34"/>
  <c r="I139" i="34"/>
  <c r="L139" i="34"/>
  <c r="I79" i="34"/>
  <c r="L79" i="34"/>
  <c r="I99" i="34"/>
  <c r="L99" i="34"/>
  <c r="I95" i="34"/>
  <c r="L95" i="34"/>
  <c r="I97" i="34"/>
  <c r="L97" i="34"/>
  <c r="I90" i="34"/>
  <c r="L90" i="34"/>
  <c r="I92" i="34"/>
  <c r="L92" i="34"/>
  <c r="I141" i="34"/>
  <c r="L141" i="34"/>
  <c r="I83" i="34"/>
  <c r="L83" i="34"/>
  <c r="I88" i="34"/>
  <c r="L88" i="34"/>
  <c r="I93" i="34"/>
  <c r="L93" i="34"/>
  <c r="I91" i="34"/>
  <c r="L91" i="34"/>
  <c r="I207" i="34"/>
  <c r="L207" i="34"/>
  <c r="I142" i="34"/>
  <c r="L142" i="34"/>
  <c r="I96" i="34"/>
  <c r="L96" i="34"/>
  <c r="I85" i="34"/>
  <c r="L85" i="34"/>
  <c r="I208" i="34"/>
  <c r="L208" i="34"/>
  <c r="I202" i="34"/>
  <c r="L202" i="34"/>
  <c r="I145" i="34"/>
  <c r="L145" i="34"/>
  <c r="I86" i="34"/>
  <c r="L86" i="34"/>
  <c r="I84" i="34"/>
  <c r="L84" i="34"/>
  <c r="I209" i="34"/>
  <c r="L209" i="34"/>
  <c r="I203" i="34"/>
  <c r="L203" i="34"/>
  <c r="I144" i="34"/>
  <c r="L144" i="34"/>
  <c r="I87" i="34"/>
  <c r="L87" i="34"/>
  <c r="I98" i="34"/>
  <c r="L98" i="34"/>
  <c r="I94" i="34"/>
  <c r="L94" i="34"/>
  <c r="I211" i="34"/>
  <c r="L211" i="34"/>
  <c r="I210" i="34"/>
  <c r="L210" i="34"/>
  <c r="I143" i="34"/>
  <c r="L143" i="34"/>
  <c r="H208" i="34"/>
  <c r="G208" i="34"/>
  <c r="H207" i="34"/>
  <c r="G207" i="34"/>
  <c r="H143" i="34"/>
  <c r="G143" i="34"/>
  <c r="G203" i="34"/>
  <c r="H203" i="34"/>
  <c r="G209" i="34"/>
  <c r="H209" i="34"/>
  <c r="G197" i="34"/>
  <c r="H197" i="34"/>
  <c r="G210" i="34"/>
  <c r="H210" i="34"/>
  <c r="G211" i="34"/>
  <c r="H211" i="34"/>
  <c r="G206" i="34"/>
  <c r="H206" i="34"/>
  <c r="G204" i="34"/>
  <c r="H204" i="34"/>
  <c r="G205" i="34"/>
  <c r="H205" i="34"/>
  <c r="G202" i="34"/>
  <c r="H202" i="34"/>
  <c r="G145" i="34"/>
  <c r="H145" i="34"/>
  <c r="G142" i="34"/>
  <c r="H142" i="34"/>
  <c r="G140" i="34"/>
  <c r="H140" i="34"/>
  <c r="G139" i="34"/>
  <c r="H139" i="34"/>
  <c r="G141" i="34"/>
  <c r="H141" i="34"/>
  <c r="G144" i="34"/>
  <c r="H144" i="34"/>
  <c r="G138" i="34"/>
  <c r="H138" i="34"/>
  <c r="J138" i="34"/>
  <c r="K138" i="34" a="1"/>
  <c r="J145" i="34"/>
  <c r="K145" i="34" a="1"/>
  <c r="J140" i="34"/>
  <c r="K140" i="34" a="1"/>
  <c r="K204" i="34" a="1"/>
  <c r="J204" i="34"/>
  <c r="J211" i="34"/>
  <c r="K211" i="34" a="1"/>
  <c r="J139" i="34"/>
  <c r="K139" i="34" a="1"/>
  <c r="J207" i="34"/>
  <c r="K207" i="34" a="1"/>
  <c r="J205" i="34"/>
  <c r="K205" i="34" a="1"/>
  <c r="J144" i="34"/>
  <c r="K144" i="34" a="1"/>
  <c r="J206" i="34"/>
  <c r="K206" i="34" a="1"/>
  <c r="K202" i="34" a="1"/>
  <c r="J202" i="34"/>
  <c r="J208" i="34"/>
  <c r="K208" i="34" a="1"/>
  <c r="J141" i="34"/>
  <c r="K141" i="34" a="1"/>
  <c r="K203" i="34" a="1"/>
  <c r="J203" i="34"/>
  <c r="K142" i="34" a="1"/>
  <c r="J142" i="34"/>
  <c r="J209" i="34"/>
  <c r="K209" i="34" a="1"/>
  <c r="J197" i="34"/>
  <c r="K197" i="34" a="1"/>
  <c r="J143" i="34"/>
  <c r="K143" i="34" a="1"/>
  <c r="J210" i="34"/>
  <c r="K210" i="34" a="1"/>
  <c r="C196" i="34"/>
  <c r="C201" i="34"/>
  <c r="C198" i="34"/>
  <c r="C195" i="34"/>
  <c r="C199" i="34"/>
  <c r="C200" i="34"/>
  <c r="C194" i="34"/>
  <c r="C137" i="34"/>
  <c r="G87" i="34"/>
  <c r="H87" i="34"/>
  <c r="G94" i="34"/>
  <c r="H94" i="34"/>
  <c r="G96" i="34"/>
  <c r="H96" i="34"/>
  <c r="G83" i="34"/>
  <c r="H83" i="34"/>
  <c r="G85" i="34"/>
  <c r="H85" i="34"/>
  <c r="G98" i="34"/>
  <c r="H98" i="34"/>
  <c r="G95" i="34"/>
  <c r="H95" i="34"/>
  <c r="G86" i="34"/>
  <c r="H86" i="34"/>
  <c r="G99" i="34"/>
  <c r="H99" i="34"/>
  <c r="G97" i="34"/>
  <c r="H97" i="34"/>
  <c r="G92" i="34"/>
  <c r="H92" i="34"/>
  <c r="G89" i="34"/>
  <c r="H89" i="34"/>
  <c r="G93" i="34"/>
  <c r="H93" i="34"/>
  <c r="G80" i="34"/>
  <c r="H80" i="34"/>
  <c r="G79" i="34"/>
  <c r="H79" i="34"/>
  <c r="G90" i="34"/>
  <c r="H90" i="34"/>
  <c r="G81" i="34"/>
  <c r="H81" i="34"/>
  <c r="G88" i="34"/>
  <c r="H88" i="34"/>
  <c r="G82" i="34"/>
  <c r="H82" i="34"/>
  <c r="G84" i="34"/>
  <c r="H84" i="34"/>
  <c r="G91" i="34"/>
  <c r="H91" i="34"/>
  <c r="I196" i="34" l="1"/>
  <c r="L196" i="34"/>
  <c r="I137" i="34"/>
  <c r="L137" i="34"/>
  <c r="I194" i="34"/>
  <c r="L194" i="34"/>
  <c r="I199" i="34"/>
  <c r="L199" i="34"/>
  <c r="I195" i="34"/>
  <c r="L195" i="34"/>
  <c r="I200" i="34"/>
  <c r="L200" i="34"/>
  <c r="I198" i="34"/>
  <c r="L198" i="34"/>
  <c r="I201" i="34"/>
  <c r="L201" i="34"/>
  <c r="G137" i="34"/>
  <c r="H200" i="34"/>
  <c r="H194" i="34"/>
  <c r="G194" i="34"/>
  <c r="G200" i="34"/>
  <c r="K200" i="34" a="1"/>
  <c r="J200" i="34"/>
  <c r="J137" i="34"/>
  <c r="K137" i="34" a="1"/>
  <c r="H137" i="34"/>
  <c r="G199" i="34"/>
  <c r="H199" i="34"/>
  <c r="G195" i="34"/>
  <c r="H195" i="34"/>
  <c r="G198" i="34"/>
  <c r="H198" i="34"/>
  <c r="G201" i="34"/>
  <c r="H201" i="34"/>
  <c r="J199" i="34"/>
  <c r="J195" i="34"/>
  <c r="K195" i="34" a="1"/>
  <c r="J201" i="34"/>
  <c r="J196" i="34"/>
  <c r="G196" i="34"/>
  <c r="H196" i="34"/>
  <c r="J198" i="34"/>
  <c r="K198" i="34" a="1"/>
  <c r="K201" i="34" a="1"/>
  <c r="K199" i="34" a="1"/>
  <c r="K196" i="34" a="1"/>
  <c r="F217" i="34"/>
  <c r="F218" i="34"/>
  <c r="F219" i="34"/>
  <c r="F220" i="34"/>
  <c r="F221" i="34"/>
  <c r="F222" i="34"/>
  <c r="F223" i="34"/>
  <c r="F224" i="34"/>
  <c r="F225" i="34"/>
  <c r="F226" i="34"/>
  <c r="F227" i="34"/>
  <c r="F228" i="34"/>
  <c r="F229" i="34"/>
  <c r="F230" i="34"/>
  <c r="F231" i="34"/>
  <c r="F232" i="34"/>
  <c r="F233" i="34"/>
  <c r="F234" i="34"/>
  <c r="F235" i="34"/>
  <c r="F236" i="34"/>
  <c r="F237" i="34"/>
  <c r="F216" i="34"/>
  <c r="AH75" i="17"/>
  <c r="C12" i="2" l="1"/>
  <c r="I228" i="2"/>
  <c r="L136" i="19"/>
  <c r="L133" i="19"/>
  <c r="F183" i="34" l="1"/>
  <c r="F184" i="34"/>
  <c r="F185" i="34"/>
  <c r="F186" i="34"/>
  <c r="F187" i="34"/>
  <c r="F188" i="34"/>
  <c r="F189" i="34"/>
  <c r="F190" i="34"/>
  <c r="F191" i="34"/>
  <c r="F192" i="34"/>
  <c r="F193" i="34"/>
  <c r="F194" i="34"/>
  <c r="F195" i="34"/>
  <c r="F196" i="34"/>
  <c r="F197" i="34"/>
  <c r="F198" i="34"/>
  <c r="F199" i="34"/>
  <c r="F200" i="34"/>
  <c r="F201" i="34"/>
  <c r="F202" i="34"/>
  <c r="F203" i="34"/>
  <c r="F182" i="34"/>
  <c r="F150" i="34"/>
  <c r="F151" i="34"/>
  <c r="F152" i="34"/>
  <c r="F153" i="34"/>
  <c r="F154" i="34"/>
  <c r="F155" i="34"/>
  <c r="F156" i="34"/>
  <c r="F157" i="34"/>
  <c r="F158" i="34"/>
  <c r="F159" i="34"/>
  <c r="F160" i="34"/>
  <c r="F161" i="34"/>
  <c r="F162" i="34"/>
  <c r="F163" i="34"/>
  <c r="F164" i="34"/>
  <c r="F165" i="34"/>
  <c r="F166" i="34"/>
  <c r="F167" i="34"/>
  <c r="F168" i="34"/>
  <c r="F169" i="34"/>
  <c r="F170" i="34"/>
  <c r="F149" i="34"/>
  <c r="F116" i="34"/>
  <c r="F117" i="34"/>
  <c r="F118" i="34"/>
  <c r="F119" i="34"/>
  <c r="F120" i="34"/>
  <c r="F121" i="34"/>
  <c r="F122" i="34"/>
  <c r="F123" i="34"/>
  <c r="F124" i="34"/>
  <c r="F125" i="34"/>
  <c r="F126" i="34"/>
  <c r="F127" i="34"/>
  <c r="F128" i="34"/>
  <c r="F129" i="34"/>
  <c r="F130" i="34"/>
  <c r="F131" i="34"/>
  <c r="F132" i="34"/>
  <c r="F133" i="34"/>
  <c r="F134" i="34"/>
  <c r="F135" i="34"/>
  <c r="F136" i="34"/>
  <c r="F137" i="34"/>
  <c r="F115" i="34"/>
  <c r="F71" i="34"/>
  <c r="F72" i="34"/>
  <c r="F73" i="34"/>
  <c r="F74" i="34"/>
  <c r="F75" i="34"/>
  <c r="F76" i="34"/>
  <c r="F77" i="34"/>
  <c r="F78" i="34"/>
  <c r="F79" i="34"/>
  <c r="F80" i="34"/>
  <c r="F81" i="34"/>
  <c r="F82" i="34"/>
  <c r="F83" i="34"/>
  <c r="F84" i="34"/>
  <c r="F85" i="34"/>
  <c r="F86" i="34"/>
  <c r="F87" i="34"/>
  <c r="F88" i="34"/>
  <c r="F89" i="34"/>
  <c r="F90" i="34"/>
  <c r="F91" i="34"/>
  <c r="F70" i="34"/>
  <c r="F4" i="34"/>
  <c r="F5" i="34"/>
  <c r="F6" i="34"/>
  <c r="F7" i="34"/>
  <c r="F8" i="34"/>
  <c r="F9" i="34"/>
  <c r="F10" i="34"/>
  <c r="F11" i="34"/>
  <c r="F12" i="34"/>
  <c r="F13" i="34"/>
  <c r="F14" i="34"/>
  <c r="F15" i="34"/>
  <c r="F16" i="34"/>
  <c r="F17" i="34"/>
  <c r="F18" i="34"/>
  <c r="F19" i="34"/>
  <c r="F20" i="34"/>
  <c r="F21" i="34"/>
  <c r="F22" i="34"/>
  <c r="F23" i="34"/>
  <c r="F24" i="34"/>
  <c r="F25" i="34"/>
  <c r="F3" i="34"/>
  <c r="AH55" i="19"/>
  <c r="AD55" i="19"/>
  <c r="Z55" i="19"/>
  <c r="V55" i="19"/>
  <c r="O6" i="2" a="1"/>
  <c r="B70" i="34"/>
  <c r="B74" i="34"/>
  <c r="B116" i="34"/>
  <c r="B129" i="34"/>
  <c r="C35" i="33"/>
  <c r="F35" i="33" s="1"/>
  <c r="B35" i="33" a="1"/>
  <c r="C39" i="33" s="1"/>
  <c r="C27" i="33"/>
  <c r="F27" i="33" s="1"/>
  <c r="B27" i="33" a="1"/>
  <c r="C28" i="33" s="1"/>
  <c r="B19" i="33" a="1"/>
  <c r="C11" i="33"/>
  <c r="F11" i="33" s="1"/>
  <c r="B11" i="33" a="1"/>
  <c r="B3" i="33" a="1"/>
  <c r="AP123" i="19" l="1" a="1"/>
  <c r="AP123" i="19" s="1"/>
  <c r="AP103" i="19" a="1"/>
  <c r="AP103" i="19" s="1"/>
  <c r="AP107" i="19" a="1"/>
  <c r="AP107" i="19" s="1"/>
  <c r="AP113" i="19" a="1"/>
  <c r="AP113" i="19" s="1"/>
  <c r="AP119" i="19" a="1"/>
  <c r="AP119" i="19" s="1"/>
  <c r="AP97" i="19" a="1"/>
  <c r="AP97" i="19" s="1"/>
  <c r="AP111" i="19" a="1"/>
  <c r="AP111" i="19" s="1"/>
  <c r="AP101" i="19" a="1"/>
  <c r="AP101" i="19" s="1"/>
  <c r="AP121" i="19" a="1"/>
  <c r="AP121" i="19" s="1"/>
  <c r="AP105" i="19" a="1"/>
  <c r="AP105" i="19" s="1"/>
  <c r="AP109" i="19" a="1"/>
  <c r="AP109" i="19" s="1"/>
  <c r="AP117" i="19" a="1"/>
  <c r="AP117" i="19" s="1"/>
  <c r="AP115" i="19" a="1"/>
  <c r="AP115" i="19" s="1"/>
  <c r="AP99" i="19" a="1"/>
  <c r="AP99" i="19" s="1"/>
  <c r="AP93" i="19" a="1"/>
  <c r="AP93" i="19" s="1"/>
  <c r="AP57" i="19" a="1"/>
  <c r="AP57" i="19" s="1"/>
  <c r="AP81" i="19" a="1"/>
  <c r="AP81" i="19" s="1"/>
  <c r="AP79" i="19" a="1"/>
  <c r="AP79" i="19" s="1"/>
  <c r="AP75" i="19" a="1"/>
  <c r="AP75" i="19" s="1"/>
  <c r="AP83" i="19" a="1"/>
  <c r="AP83" i="19" s="1"/>
  <c r="AP127" i="19" a="1"/>
  <c r="AP127" i="19" s="1"/>
  <c r="AP63" i="19" a="1"/>
  <c r="AP63" i="19" s="1"/>
  <c r="AP87" i="19" a="1"/>
  <c r="AP87" i="19" s="1"/>
  <c r="AP65" i="19" a="1"/>
  <c r="AP65" i="19" s="1"/>
  <c r="AP67" i="19" a="1"/>
  <c r="AP67" i="19" s="1"/>
  <c r="AP77" i="19" a="1"/>
  <c r="AP77" i="19" s="1"/>
  <c r="AP89" i="19" a="1"/>
  <c r="AP89" i="19" s="1"/>
  <c r="AP59" i="19" a="1"/>
  <c r="AP59" i="19" s="1"/>
  <c r="AP73" i="19" a="1"/>
  <c r="AP73" i="19" s="1"/>
  <c r="AP61" i="19" a="1"/>
  <c r="AP61" i="19" s="1"/>
  <c r="AP85" i="19" a="1"/>
  <c r="AP85" i="19" s="1"/>
  <c r="AP91" i="19" a="1"/>
  <c r="AP91" i="19" s="1"/>
  <c r="AP95" i="19" a="1"/>
  <c r="AP95" i="19" s="1"/>
  <c r="AP125" i="19" a="1"/>
  <c r="AP125" i="19" s="1"/>
  <c r="AP69" i="19" a="1"/>
  <c r="AP69" i="19" s="1"/>
  <c r="AP71" i="19" a="1"/>
  <c r="AP71" i="19" s="1"/>
  <c r="AP55" i="19" a="1"/>
  <c r="C10" i="2"/>
  <c r="C193" i="34"/>
  <c r="C70" i="34"/>
  <c r="C38" i="33"/>
  <c r="D38" i="33" s="1"/>
  <c r="AE132" i="19"/>
  <c r="C31" i="33"/>
  <c r="D31" i="33" s="1"/>
  <c r="C29" i="33"/>
  <c r="D29" i="33" s="1"/>
  <c r="B73" i="34"/>
  <c r="C37" i="33"/>
  <c r="D37" i="33" s="1"/>
  <c r="C30" i="33"/>
  <c r="E30" i="33" s="1"/>
  <c r="B72" i="34"/>
  <c r="AE131" i="19"/>
  <c r="B125" i="34"/>
  <c r="B117" i="34"/>
  <c r="B124" i="34"/>
  <c r="B133" i="34"/>
  <c r="B130" i="34"/>
  <c r="B126" i="34"/>
  <c r="B131" i="34"/>
  <c r="B128" i="34"/>
  <c r="B127" i="34"/>
  <c r="B121" i="34"/>
  <c r="B119" i="34"/>
  <c r="B118" i="34"/>
  <c r="C74" i="34"/>
  <c r="C129" i="34"/>
  <c r="B123" i="34"/>
  <c r="B71" i="34"/>
  <c r="B134" i="34"/>
  <c r="B122" i="34"/>
  <c r="B78" i="34"/>
  <c r="B132" i="34"/>
  <c r="B120" i="34"/>
  <c r="B77" i="34"/>
  <c r="C12" i="33"/>
  <c r="D12" i="33" s="1"/>
  <c r="C15" i="33"/>
  <c r="D15" i="33" s="1"/>
  <c r="B76" i="34"/>
  <c r="B75" i="34"/>
  <c r="E35" i="33"/>
  <c r="C116" i="34"/>
  <c r="E28" i="33"/>
  <c r="F28" i="33"/>
  <c r="D39" i="33"/>
  <c r="F39" i="33"/>
  <c r="E39" i="33"/>
  <c r="C14" i="33"/>
  <c r="D14" i="33" s="1"/>
  <c r="C13" i="33"/>
  <c r="E13" i="33" s="1"/>
  <c r="C36" i="33"/>
  <c r="D35" i="33"/>
  <c r="D27" i="33"/>
  <c r="D28" i="33"/>
  <c r="E27" i="33"/>
  <c r="C23" i="33"/>
  <c r="C22" i="33"/>
  <c r="C21" i="33"/>
  <c r="D11" i="33"/>
  <c r="E11" i="33"/>
  <c r="J5" i="26"/>
  <c r="J5" i="15"/>
  <c r="I129" i="34" l="1"/>
  <c r="I193" i="34"/>
  <c r="L193" i="34"/>
  <c r="I74" i="34"/>
  <c r="L74" i="34"/>
  <c r="I116" i="34"/>
  <c r="L116" i="34"/>
  <c r="I70" i="34"/>
  <c r="L70" i="34"/>
  <c r="J99" i="34"/>
  <c r="J100" i="34"/>
  <c r="D73" i="34"/>
  <c r="D72" i="34"/>
  <c r="D77" i="34"/>
  <c r="D71" i="34"/>
  <c r="D107" i="34"/>
  <c r="D70" i="34"/>
  <c r="D100" i="34"/>
  <c r="D104" i="34"/>
  <c r="D103" i="34"/>
  <c r="D101" i="34"/>
  <c r="D106" i="34"/>
  <c r="D105" i="34"/>
  <c r="D109" i="34"/>
  <c r="D102" i="34"/>
  <c r="D108" i="34"/>
  <c r="D79" i="34"/>
  <c r="D87" i="34"/>
  <c r="D99" i="34"/>
  <c r="D96" i="34"/>
  <c r="D93" i="34"/>
  <c r="D85" i="34"/>
  <c r="D97" i="34"/>
  <c r="D91" i="34"/>
  <c r="D81" i="34"/>
  <c r="D88" i="34"/>
  <c r="D82" i="34"/>
  <c r="D90" i="34"/>
  <c r="D84" i="34"/>
  <c r="D80" i="34"/>
  <c r="D89" i="34"/>
  <c r="D83" i="34"/>
  <c r="D95" i="34"/>
  <c r="D98" i="34"/>
  <c r="D94" i="34"/>
  <c r="D92" i="34"/>
  <c r="D86" i="34"/>
  <c r="D78" i="34"/>
  <c r="D75" i="34"/>
  <c r="D76" i="34"/>
  <c r="D74" i="34"/>
  <c r="G193" i="34"/>
  <c r="H193" i="34"/>
  <c r="G70" i="34"/>
  <c r="H70" i="34"/>
  <c r="G74" i="34"/>
  <c r="H74" i="34"/>
  <c r="G116" i="34"/>
  <c r="H116" i="34"/>
  <c r="G129" i="34"/>
  <c r="H129" i="34"/>
  <c r="J96" i="34"/>
  <c r="J97" i="34"/>
  <c r="J98" i="34"/>
  <c r="D182" i="34"/>
  <c r="D192" i="34"/>
  <c r="D202" i="34"/>
  <c r="D193" i="34"/>
  <c r="D204" i="34"/>
  <c r="D185" i="34"/>
  <c r="D208" i="34"/>
  <c r="D201" i="34"/>
  <c r="D188" i="34"/>
  <c r="D209" i="34"/>
  <c r="D203" i="34"/>
  <c r="D210" i="34"/>
  <c r="D205" i="34"/>
  <c r="D189" i="34"/>
  <c r="D194" i="34"/>
  <c r="D211" i="34"/>
  <c r="D200" i="34"/>
  <c r="D184" i="34"/>
  <c r="D198" i="34"/>
  <c r="D206" i="34"/>
  <c r="D207" i="34"/>
  <c r="D199" i="34"/>
  <c r="D186" i="34"/>
  <c r="D187" i="34"/>
  <c r="D190" i="34"/>
  <c r="D195" i="34"/>
  <c r="D197" i="34"/>
  <c r="D191" i="34"/>
  <c r="D196" i="34"/>
  <c r="F31" i="33"/>
  <c r="D130" i="34"/>
  <c r="D120" i="34"/>
  <c r="D123" i="34"/>
  <c r="D117" i="34"/>
  <c r="D135" i="34"/>
  <c r="D124" i="34"/>
  <c r="D125" i="34"/>
  <c r="D131" i="34"/>
  <c r="D132" i="34"/>
  <c r="D128" i="34"/>
  <c r="D126" i="34"/>
  <c r="D118" i="34"/>
  <c r="D119" i="34"/>
  <c r="D134" i="34"/>
  <c r="D116" i="34"/>
  <c r="D122" i="34"/>
  <c r="D137" i="34"/>
  <c r="D127" i="34"/>
  <c r="D136" i="34"/>
  <c r="D121" i="34"/>
  <c r="D133" i="34"/>
  <c r="D129" i="34"/>
  <c r="D30" i="33"/>
  <c r="E31" i="33"/>
  <c r="E29" i="33"/>
  <c r="F29" i="33"/>
  <c r="F30" i="33"/>
  <c r="D183" i="34"/>
  <c r="E38" i="33"/>
  <c r="F38" i="33"/>
  <c r="C136" i="34"/>
  <c r="J136" i="34" s="1"/>
  <c r="C72" i="34"/>
  <c r="C73" i="34"/>
  <c r="L73" i="34" s="1"/>
  <c r="C188" i="34"/>
  <c r="C187" i="34"/>
  <c r="C192" i="34"/>
  <c r="F37" i="33"/>
  <c r="C185" i="34"/>
  <c r="C189" i="34"/>
  <c r="E37" i="33"/>
  <c r="C190" i="34"/>
  <c r="C184" i="34"/>
  <c r="C186" i="34"/>
  <c r="C191" i="34"/>
  <c r="C127" i="34"/>
  <c r="C124" i="34"/>
  <c r="C117" i="34"/>
  <c r="C119" i="34"/>
  <c r="C121" i="34"/>
  <c r="C130" i="34"/>
  <c r="C128" i="34"/>
  <c r="C118" i="34"/>
  <c r="C131" i="34"/>
  <c r="C125" i="34"/>
  <c r="C133" i="34"/>
  <c r="C126" i="34"/>
  <c r="F12" i="33"/>
  <c r="E12" i="33"/>
  <c r="C134" i="34"/>
  <c r="E15" i="33"/>
  <c r="C78" i="34"/>
  <c r="C77" i="34"/>
  <c r="F15" i="33"/>
  <c r="C75" i="34"/>
  <c r="C135" i="34"/>
  <c r="C76" i="34"/>
  <c r="C120" i="34"/>
  <c r="C71" i="34"/>
  <c r="C123" i="34"/>
  <c r="C122" i="34"/>
  <c r="C132" i="34"/>
  <c r="F14" i="33"/>
  <c r="F13" i="33"/>
  <c r="E14" i="33"/>
  <c r="D36" i="33"/>
  <c r="E36" i="33"/>
  <c r="F36" i="33"/>
  <c r="D13" i="33"/>
  <c r="B12" i="26"/>
  <c r="C12" i="26"/>
  <c r="B12" i="15"/>
  <c r="C12" i="15"/>
  <c r="L23" i="32"/>
  <c r="H11" i="24"/>
  <c r="H10" i="24"/>
  <c r="B12" i="14"/>
  <c r="H11" i="14"/>
  <c r="H10" i="14"/>
  <c r="H9" i="14"/>
  <c r="B12" i="24"/>
  <c r="B12" i="19"/>
  <c r="B12" i="18"/>
  <c r="B12" i="17"/>
  <c r="I121" i="34" l="1"/>
  <c r="I119" i="34"/>
  <c r="I192" i="34"/>
  <c r="L192" i="34"/>
  <c r="I134" i="34"/>
  <c r="I117" i="34"/>
  <c r="I187" i="34"/>
  <c r="L187" i="34"/>
  <c r="I78" i="34"/>
  <c r="L78" i="34"/>
  <c r="I122" i="34"/>
  <c r="I124" i="34"/>
  <c r="I188" i="34"/>
  <c r="I132" i="34"/>
  <c r="I123" i="34"/>
  <c r="I127" i="34"/>
  <c r="I73" i="34"/>
  <c r="I191" i="34"/>
  <c r="L191" i="34"/>
  <c r="I186" i="34"/>
  <c r="I131" i="34"/>
  <c r="I190" i="34"/>
  <c r="L190" i="34"/>
  <c r="I126" i="34"/>
  <c r="I133" i="34"/>
  <c r="I76" i="34"/>
  <c r="L76" i="34"/>
  <c r="I71" i="34"/>
  <c r="L71" i="34"/>
  <c r="I136" i="34"/>
  <c r="L136" i="34"/>
  <c r="I125" i="34"/>
  <c r="I75" i="34"/>
  <c r="L75" i="34"/>
  <c r="I128" i="34"/>
  <c r="I72" i="34"/>
  <c r="L72" i="34"/>
  <c r="I120" i="34"/>
  <c r="I184" i="34"/>
  <c r="I135" i="34"/>
  <c r="I118" i="34"/>
  <c r="I189" i="34"/>
  <c r="L189" i="34"/>
  <c r="I77" i="34"/>
  <c r="L77" i="34"/>
  <c r="I130" i="34"/>
  <c r="I185" i="34"/>
  <c r="L185" i="34"/>
  <c r="H72" i="34"/>
  <c r="H184" i="34"/>
  <c r="H76" i="34"/>
  <c r="H75" i="34"/>
  <c r="H77" i="34"/>
  <c r="H78" i="34"/>
  <c r="H71" i="34"/>
  <c r="H73" i="34"/>
  <c r="G191" i="34"/>
  <c r="H191" i="34"/>
  <c r="G186" i="34"/>
  <c r="H186" i="34"/>
  <c r="G192" i="34"/>
  <c r="H192" i="34"/>
  <c r="G185" i="34"/>
  <c r="H185" i="34"/>
  <c r="G187" i="34"/>
  <c r="H187" i="34"/>
  <c r="G190" i="34"/>
  <c r="H190" i="34"/>
  <c r="G189" i="34"/>
  <c r="H189" i="34"/>
  <c r="G188" i="34"/>
  <c r="H188" i="34"/>
  <c r="G121" i="34"/>
  <c r="H121" i="34"/>
  <c r="G120" i="34"/>
  <c r="H120" i="34"/>
  <c r="G119" i="34"/>
  <c r="H119" i="34"/>
  <c r="G117" i="34"/>
  <c r="H117" i="34"/>
  <c r="G124" i="34"/>
  <c r="H124" i="34"/>
  <c r="G128" i="34"/>
  <c r="H128" i="34"/>
  <c r="G127" i="34"/>
  <c r="H127" i="34"/>
  <c r="G136" i="34"/>
  <c r="H136" i="34"/>
  <c r="G118" i="34"/>
  <c r="H118" i="34"/>
  <c r="G132" i="34"/>
  <c r="H132" i="34"/>
  <c r="G130" i="34"/>
  <c r="H130" i="34"/>
  <c r="G134" i="34"/>
  <c r="H134" i="34"/>
  <c r="G122" i="34"/>
  <c r="H122" i="34"/>
  <c r="G126" i="34"/>
  <c r="H126" i="34"/>
  <c r="G123" i="34"/>
  <c r="H123" i="34"/>
  <c r="G133" i="34"/>
  <c r="H133" i="34"/>
  <c r="G131" i="34"/>
  <c r="H131" i="34"/>
  <c r="G135" i="34"/>
  <c r="H135" i="34"/>
  <c r="G125" i="34"/>
  <c r="H125" i="34"/>
  <c r="G184" i="34"/>
  <c r="G77" i="34"/>
  <c r="G75" i="34"/>
  <c r="G78" i="34"/>
  <c r="G76" i="34"/>
  <c r="G73" i="34"/>
  <c r="G72" i="34"/>
  <c r="G71" i="34"/>
  <c r="M5" i="14"/>
  <c r="J28" i="32" s="1"/>
  <c r="O5" i="24"/>
  <c r="K28" i="32" s="1"/>
  <c r="B12" i="2"/>
  <c r="E16" i="32" s="1"/>
  <c r="F16" i="32"/>
  <c r="E182" i="34" l="1"/>
  <c r="AA6" i="20" s="1"/>
  <c r="E70" i="34"/>
  <c r="AA6" i="19" s="1"/>
  <c r="E116" i="34"/>
  <c r="W72" i="28" a="1"/>
  <c r="V72" i="28" a="1"/>
  <c r="U72" i="28" a="1"/>
  <c r="T72" i="28" a="1"/>
  <c r="S72" i="28" a="1"/>
  <c r="R72" i="28" a="1"/>
  <c r="Q72" i="28" a="1"/>
  <c r="P72" i="28" a="1"/>
  <c r="O72" i="28" a="1"/>
  <c r="N72" i="28" a="1"/>
  <c r="M72" i="28" a="1"/>
  <c r="L72" i="28" a="1"/>
  <c r="W71" i="28" a="1"/>
  <c r="V71" i="28" a="1"/>
  <c r="U71" i="28" a="1"/>
  <c r="T71" i="28" a="1"/>
  <c r="S71" i="28" a="1"/>
  <c r="R71" i="28" a="1"/>
  <c r="Q71" i="28" a="1"/>
  <c r="P71" i="28" a="1"/>
  <c r="O71" i="28" a="1"/>
  <c r="N71" i="28" a="1"/>
  <c r="M71" i="28" a="1"/>
  <c r="L71" i="28" a="1"/>
  <c r="W70" i="28" a="1"/>
  <c r="V70" i="28" a="1"/>
  <c r="U70" i="28" a="1"/>
  <c r="T70" i="28" a="1"/>
  <c r="S70" i="28" a="1"/>
  <c r="R70" i="28" a="1"/>
  <c r="Q70" i="28" a="1"/>
  <c r="P70" i="28" a="1"/>
  <c r="O70" i="28" a="1"/>
  <c r="N70" i="28" a="1"/>
  <c r="M70" i="28" a="1"/>
  <c r="L70" i="28" a="1"/>
  <c r="AD67" i="28"/>
  <c r="AC67" i="28"/>
  <c r="AA67" i="28"/>
  <c r="W67" i="28"/>
  <c r="S67" i="28"/>
  <c r="O67" i="28"/>
  <c r="AE66" i="28"/>
  <c r="AC66" i="28"/>
  <c r="AA66" i="28"/>
  <c r="W66" i="28"/>
  <c r="S66" i="28"/>
  <c r="O66" i="28"/>
  <c r="J66" i="28"/>
  <c r="AD66" i="28" s="1"/>
  <c r="AD65" i="28"/>
  <c r="AC65" i="28"/>
  <c r="AA65" i="28"/>
  <c r="W65" i="28"/>
  <c r="S65" i="28"/>
  <c r="O65" i="28"/>
  <c r="AE64" i="28"/>
  <c r="AC64" i="28"/>
  <c r="AA64" i="28"/>
  <c r="W64" i="28"/>
  <c r="S64" i="28"/>
  <c r="O64" i="28"/>
  <c r="J64" i="28"/>
  <c r="AD64" i="28" s="1"/>
  <c r="AD63" i="28"/>
  <c r="AC63" i="28"/>
  <c r="AA63" i="28"/>
  <c r="W63" i="28"/>
  <c r="S63" i="28"/>
  <c r="O63" i="28"/>
  <c r="AE62" i="28"/>
  <c r="AC62" i="28"/>
  <c r="AA62" i="28"/>
  <c r="W62" i="28"/>
  <c r="S62" i="28"/>
  <c r="O62" i="28"/>
  <c r="J62" i="28"/>
  <c r="AD62" i="28" s="1"/>
  <c r="AD61" i="28"/>
  <c r="AC61" i="28"/>
  <c r="AA61" i="28"/>
  <c r="W61" i="28"/>
  <c r="S61" i="28"/>
  <c r="O61" i="28"/>
  <c r="AE60" i="28"/>
  <c r="AC60" i="28"/>
  <c r="AA60" i="28"/>
  <c r="W60" i="28"/>
  <c r="S60" i="28"/>
  <c r="O60" i="28"/>
  <c r="J60" i="28"/>
  <c r="AD60" i="28" s="1"/>
  <c r="AD59" i="28"/>
  <c r="AC59" i="28"/>
  <c r="AA59" i="28"/>
  <c r="W59" i="28"/>
  <c r="S59" i="28"/>
  <c r="O59" i="28"/>
  <c r="AE58" i="28"/>
  <c r="AC58" i="28"/>
  <c r="AA58" i="28"/>
  <c r="W58" i="28"/>
  <c r="S58" i="28"/>
  <c r="O58" i="28"/>
  <c r="J58" i="28"/>
  <c r="AD58" i="28" s="1"/>
  <c r="AD57" i="28"/>
  <c r="AC57" i="28"/>
  <c r="AA57" i="28"/>
  <c r="W57" i="28"/>
  <c r="S57" i="28"/>
  <c r="O57" i="28"/>
  <c r="AE56" i="28"/>
  <c r="AC56" i="28"/>
  <c r="AA56" i="28"/>
  <c r="W56" i="28"/>
  <c r="S56" i="28"/>
  <c r="O56" i="28"/>
  <c r="J56" i="28"/>
  <c r="AD56" i="28" s="1"/>
  <c r="AD55" i="28"/>
  <c r="AC55" i="28"/>
  <c r="AA55" i="28"/>
  <c r="W55" i="28"/>
  <c r="S55" i="28"/>
  <c r="O55" i="28"/>
  <c r="AE54" i="28"/>
  <c r="AC54" i="28"/>
  <c r="AA54" i="28"/>
  <c r="W54" i="28"/>
  <c r="S54" i="28"/>
  <c r="O54" i="28"/>
  <c r="J54" i="28"/>
  <c r="AD54" i="28" s="1"/>
  <c r="AD53" i="28"/>
  <c r="AC53" i="28"/>
  <c r="AA53" i="28"/>
  <c r="W53" i="28"/>
  <c r="S53" i="28"/>
  <c r="O53" i="28"/>
  <c r="AE52" i="28"/>
  <c r="AC52" i="28"/>
  <c r="AA52" i="28"/>
  <c r="W52" i="28"/>
  <c r="S52" i="28"/>
  <c r="O52" i="28"/>
  <c r="J52" i="28"/>
  <c r="AD52" i="28" s="1"/>
  <c r="AD51" i="28"/>
  <c r="AC51" i="28"/>
  <c r="AA51" i="28"/>
  <c r="W51" i="28"/>
  <c r="S51" i="28"/>
  <c r="O51" i="28"/>
  <c r="AE50" i="28"/>
  <c r="AC50" i="28"/>
  <c r="AA50" i="28"/>
  <c r="W50" i="28"/>
  <c r="S50" i="28"/>
  <c r="O50" i="28"/>
  <c r="J50" i="28"/>
  <c r="AD50" i="28" s="1"/>
  <c r="AD49" i="28"/>
  <c r="AC49" i="28"/>
  <c r="AA49" i="28"/>
  <c r="W49" i="28"/>
  <c r="S49" i="28"/>
  <c r="O49" i="28"/>
  <c r="AE48" i="28"/>
  <c r="AC48" i="28"/>
  <c r="AA48" i="28"/>
  <c r="W48" i="28"/>
  <c r="S48" i="28"/>
  <c r="O48" i="28"/>
  <c r="J48" i="28"/>
  <c r="AD48" i="28" s="1"/>
  <c r="AD47" i="28"/>
  <c r="AC47" i="28"/>
  <c r="AA47" i="28"/>
  <c r="W47" i="28"/>
  <c r="S47" i="28"/>
  <c r="O47" i="28"/>
  <c r="AE46" i="28"/>
  <c r="AC46" i="28"/>
  <c r="AA46" i="28"/>
  <c r="W46" i="28"/>
  <c r="S46" i="28"/>
  <c r="O46" i="28"/>
  <c r="J46" i="28"/>
  <c r="AD46" i="28" s="1"/>
  <c r="AD45" i="28"/>
  <c r="AC45" i="28"/>
  <c r="AA45" i="28"/>
  <c r="W45" i="28"/>
  <c r="S45" i="28"/>
  <c r="O45" i="28"/>
  <c r="AE44" i="28"/>
  <c r="AC44" i="28"/>
  <c r="AA44" i="28"/>
  <c r="W44" i="28"/>
  <c r="S44" i="28"/>
  <c r="O44" i="28"/>
  <c r="J44" i="28"/>
  <c r="AD44" i="28" s="1"/>
  <c r="AD43" i="28"/>
  <c r="AC43" i="28"/>
  <c r="AA43" i="28"/>
  <c r="W43" i="28"/>
  <c r="S43" i="28"/>
  <c r="O43" i="28"/>
  <c r="AE42" i="28"/>
  <c r="AC42" i="28"/>
  <c r="AA42" i="28"/>
  <c r="W42" i="28"/>
  <c r="S42" i="28"/>
  <c r="O42" i="28"/>
  <c r="J42" i="28"/>
  <c r="AD42" i="28" s="1"/>
  <c r="AD41" i="28"/>
  <c r="AC41" i="28"/>
  <c r="AA41" i="28"/>
  <c r="W41" i="28"/>
  <c r="S41" i="28"/>
  <c r="O41" i="28"/>
  <c r="AE40" i="28"/>
  <c r="AC40" i="28"/>
  <c r="AA40" i="28"/>
  <c r="W40" i="28"/>
  <c r="S40" i="28"/>
  <c r="O40" i="28"/>
  <c r="J40" i="28"/>
  <c r="AD40" i="28" s="1"/>
  <c r="AD39" i="28"/>
  <c r="AC39" i="28"/>
  <c r="AA39" i="28"/>
  <c r="W39" i="28"/>
  <c r="S39" i="28"/>
  <c r="O39" i="28"/>
  <c r="AE38" i="28"/>
  <c r="AC38" i="28"/>
  <c r="AA38" i="28"/>
  <c r="W38" i="28"/>
  <c r="S38" i="28"/>
  <c r="O38" i="28"/>
  <c r="J38" i="28"/>
  <c r="AD38" i="28" s="1"/>
  <c r="AD37" i="28"/>
  <c r="AC37" i="28"/>
  <c r="AA37" i="28"/>
  <c r="W37" i="28"/>
  <c r="S37" i="28"/>
  <c r="O37" i="28"/>
  <c r="AE36" i="28"/>
  <c r="AC36" i="28"/>
  <c r="AA36" i="28"/>
  <c r="W36" i="28"/>
  <c r="S36" i="28"/>
  <c r="O36" i="28"/>
  <c r="J36" i="28"/>
  <c r="AD36" i="28" s="1"/>
  <c r="AD35" i="28"/>
  <c r="AC35" i="28"/>
  <c r="AA35" i="28"/>
  <c r="W35" i="28"/>
  <c r="S35" i="28"/>
  <c r="O35" i="28"/>
  <c r="AE34" i="28"/>
  <c r="AC34" i="28"/>
  <c r="AA34" i="28"/>
  <c r="W34" i="28"/>
  <c r="S34" i="28"/>
  <c r="O34" i="28"/>
  <c r="J34" i="28"/>
  <c r="AD34" i="28" s="1"/>
  <c r="AD33" i="28"/>
  <c r="AC33" i="28"/>
  <c r="AA33" i="28"/>
  <c r="W33" i="28"/>
  <c r="S33" i="28"/>
  <c r="O33" i="28"/>
  <c r="AE32" i="28"/>
  <c r="AC32" i="28"/>
  <c r="AA32" i="28"/>
  <c r="W32" i="28"/>
  <c r="S32" i="28"/>
  <c r="O32" i="28"/>
  <c r="J32" i="28"/>
  <c r="AD32" i="28" s="1"/>
  <c r="AD31" i="28"/>
  <c r="AC31" i="28"/>
  <c r="AA31" i="28"/>
  <c r="W31" i="28"/>
  <c r="S31" i="28"/>
  <c r="O31" i="28"/>
  <c r="AE30" i="28"/>
  <c r="AC30" i="28"/>
  <c r="AA30" i="28"/>
  <c r="W30" i="28"/>
  <c r="S30" i="28"/>
  <c r="O30" i="28"/>
  <c r="J30" i="28"/>
  <c r="AD30" i="28" s="1"/>
  <c r="AD29" i="28"/>
  <c r="AC29" i="28"/>
  <c r="AA29" i="28"/>
  <c r="W29" i="28"/>
  <c r="S29" i="28"/>
  <c r="O29" i="28"/>
  <c r="AE28" i="28"/>
  <c r="AC28" i="28"/>
  <c r="AA28" i="28"/>
  <c r="W28" i="28"/>
  <c r="S28" i="28"/>
  <c r="O28" i="28"/>
  <c r="J28" i="28"/>
  <c r="AD28" i="28" s="1"/>
  <c r="AD27" i="28"/>
  <c r="AC27" i="28"/>
  <c r="AA27" i="28"/>
  <c r="W27" i="28"/>
  <c r="S27" i="28"/>
  <c r="O27" i="28"/>
  <c r="AE26" i="28"/>
  <c r="AC26" i="28"/>
  <c r="AA26" i="28"/>
  <c r="W26" i="28"/>
  <c r="S26" i="28"/>
  <c r="O26" i="28"/>
  <c r="J26" i="28"/>
  <c r="AD26" i="28" s="1"/>
  <c r="AD25" i="28"/>
  <c r="AC25" i="28"/>
  <c r="AA25" i="28"/>
  <c r="W25" i="28"/>
  <c r="S25" i="28"/>
  <c r="O25" i="28"/>
  <c r="AE24" i="28"/>
  <c r="AC24" i="28"/>
  <c r="AA24" i="28"/>
  <c r="W24" i="28"/>
  <c r="S24" i="28"/>
  <c r="O24" i="28"/>
  <c r="J24" i="28"/>
  <c r="AD24" i="28" s="1"/>
  <c r="AD23" i="28"/>
  <c r="AC23" i="28"/>
  <c r="AA23" i="28"/>
  <c r="W23" i="28"/>
  <c r="S23" i="28"/>
  <c r="O23" i="28"/>
  <c r="AE22" i="28"/>
  <c r="AC22" i="28"/>
  <c r="AA22" i="28"/>
  <c r="W22" i="28"/>
  <c r="S22" i="28"/>
  <c r="O22" i="28"/>
  <c r="J22" i="28"/>
  <c r="AD22" i="28" s="1"/>
  <c r="AD21" i="28"/>
  <c r="AC21" i="28"/>
  <c r="AA21" i="28"/>
  <c r="W21" i="28"/>
  <c r="S21" i="28"/>
  <c r="O21" i="28"/>
  <c r="AE20" i="28"/>
  <c r="AC20" i="28"/>
  <c r="AA20" i="28"/>
  <c r="W20" i="28"/>
  <c r="S20" i="28"/>
  <c r="O20" i="28"/>
  <c r="J20" i="28"/>
  <c r="AD20" i="28" s="1"/>
  <c r="AD19" i="28"/>
  <c r="AC19" i="28"/>
  <c r="AA19" i="28"/>
  <c r="W19" i="28"/>
  <c r="S19" i="28"/>
  <c r="O19" i="28"/>
  <c r="AE18" i="28"/>
  <c r="AC18" i="28"/>
  <c r="AA18" i="28"/>
  <c r="W18" i="28"/>
  <c r="S18" i="28"/>
  <c r="O18" i="28"/>
  <c r="J18" i="28"/>
  <c r="AD18" i="28" s="1"/>
  <c r="AD17" i="28"/>
  <c r="AC17" i="28"/>
  <c r="AA17" i="28"/>
  <c r="W17" i="28"/>
  <c r="S17" i="28"/>
  <c r="O17" i="28"/>
  <c r="AE16" i="28"/>
  <c r="AC16" i="28"/>
  <c r="AA16" i="28"/>
  <c r="W16" i="28"/>
  <c r="S16" i="28"/>
  <c r="O16" i="28"/>
  <c r="J16" i="28"/>
  <c r="AD16" i="28" s="1"/>
  <c r="I11" i="28"/>
  <c r="H11" i="28"/>
  <c r="C11" i="28"/>
  <c r="B11" i="28"/>
  <c r="I10" i="28"/>
  <c r="C10" i="28"/>
  <c r="B10" i="28"/>
  <c r="I9" i="28"/>
  <c r="C9" i="28"/>
  <c r="B9" i="28"/>
  <c r="M5" i="28"/>
  <c r="E5" i="28"/>
  <c r="C5" i="28"/>
  <c r="A5" i="28"/>
  <c r="I11" i="26"/>
  <c r="I10" i="26"/>
  <c r="I9" i="26"/>
  <c r="I11" i="15"/>
  <c r="I10" i="15"/>
  <c r="I9" i="15"/>
  <c r="I11" i="24"/>
  <c r="I10" i="14"/>
  <c r="I11" i="14"/>
  <c r="I9" i="14"/>
  <c r="J11" i="19"/>
  <c r="J10" i="19"/>
  <c r="J9" i="19"/>
  <c r="J11" i="18"/>
  <c r="J10" i="18"/>
  <c r="J11" i="17"/>
  <c r="J10" i="17"/>
  <c r="J9" i="17"/>
  <c r="J11" i="2"/>
  <c r="W73" i="26" a="1"/>
  <c r="V73" i="26" a="1"/>
  <c r="U73" i="26" a="1"/>
  <c r="T73" i="26" a="1"/>
  <c r="S73" i="26" a="1"/>
  <c r="R73" i="26" a="1"/>
  <c r="Q73" i="26" a="1"/>
  <c r="P73" i="26" a="1"/>
  <c r="O73" i="26" a="1"/>
  <c r="N73" i="26" a="1"/>
  <c r="M73" i="26" a="1"/>
  <c r="L73" i="26" a="1"/>
  <c r="W72" i="26" a="1"/>
  <c r="V72" i="26" a="1"/>
  <c r="U72" i="26" a="1"/>
  <c r="T72" i="26" a="1"/>
  <c r="S72" i="26" a="1"/>
  <c r="R72" i="26" a="1"/>
  <c r="Q72" i="26" a="1"/>
  <c r="P72" i="26" a="1"/>
  <c r="O72" i="26" a="1"/>
  <c r="N72" i="26" a="1"/>
  <c r="M72" i="26" a="1"/>
  <c r="L72" i="26" a="1"/>
  <c r="W71" i="26" a="1"/>
  <c r="V71" i="26" a="1"/>
  <c r="U71" i="26" a="1"/>
  <c r="T71" i="26" a="1"/>
  <c r="S71" i="26" a="1"/>
  <c r="R71" i="26" a="1"/>
  <c r="Q71" i="26" a="1"/>
  <c r="P71" i="26" a="1"/>
  <c r="O71" i="26" a="1"/>
  <c r="N71" i="26" a="1"/>
  <c r="M71" i="26" a="1"/>
  <c r="L71" i="26" a="1"/>
  <c r="AE17" i="26"/>
  <c r="P17" i="26"/>
  <c r="T17" i="26"/>
  <c r="X17" i="26"/>
  <c r="AB17" i="26"/>
  <c r="AD17" i="26"/>
  <c r="AF17" i="26"/>
  <c r="P18" i="26"/>
  <c r="T18" i="26"/>
  <c r="X18" i="26"/>
  <c r="AB18" i="26"/>
  <c r="AD18" i="26"/>
  <c r="AE18" i="26"/>
  <c r="AE19" i="26"/>
  <c r="P19" i="26"/>
  <c r="T19" i="26"/>
  <c r="X19" i="26"/>
  <c r="AB19" i="26"/>
  <c r="AD19" i="26"/>
  <c r="AF19" i="26"/>
  <c r="P20" i="26"/>
  <c r="T20" i="26"/>
  <c r="X20" i="26"/>
  <c r="AB20" i="26"/>
  <c r="AD20" i="26"/>
  <c r="AE20" i="26"/>
  <c r="AE21" i="26"/>
  <c r="P21" i="26"/>
  <c r="T21" i="26"/>
  <c r="X21" i="26"/>
  <c r="AB21" i="26"/>
  <c r="AD21" i="26"/>
  <c r="AF21" i="26"/>
  <c r="P22" i="26"/>
  <c r="T22" i="26"/>
  <c r="X22" i="26"/>
  <c r="AB22" i="26"/>
  <c r="AD22" i="26"/>
  <c r="AE22" i="26"/>
  <c r="AE23" i="26"/>
  <c r="P23" i="26"/>
  <c r="T23" i="26"/>
  <c r="X23" i="26"/>
  <c r="AB23" i="26"/>
  <c r="AD23" i="26"/>
  <c r="AF23" i="26"/>
  <c r="P24" i="26"/>
  <c r="T24" i="26"/>
  <c r="X24" i="26"/>
  <c r="AB24" i="26"/>
  <c r="AD24" i="26"/>
  <c r="AE24" i="26"/>
  <c r="AE25" i="26"/>
  <c r="P25" i="26"/>
  <c r="T25" i="26"/>
  <c r="X25" i="26"/>
  <c r="AB25" i="26"/>
  <c r="AD25" i="26"/>
  <c r="AF25" i="26"/>
  <c r="P26" i="26"/>
  <c r="T26" i="26"/>
  <c r="X26" i="26"/>
  <c r="AB26" i="26"/>
  <c r="AD26" i="26"/>
  <c r="AE26" i="26"/>
  <c r="AE27" i="26"/>
  <c r="P27" i="26"/>
  <c r="T27" i="26"/>
  <c r="X27" i="26"/>
  <c r="AB27" i="26"/>
  <c r="AD27" i="26"/>
  <c r="AF27" i="26"/>
  <c r="P28" i="26"/>
  <c r="T28" i="26"/>
  <c r="X28" i="26"/>
  <c r="AB28" i="26"/>
  <c r="AD28" i="26"/>
  <c r="AE28" i="26"/>
  <c r="AE29" i="26"/>
  <c r="P29" i="26"/>
  <c r="T29" i="26"/>
  <c r="X29" i="26"/>
  <c r="AB29" i="26"/>
  <c r="AD29" i="26"/>
  <c r="AF29" i="26"/>
  <c r="P30" i="26"/>
  <c r="T30" i="26"/>
  <c r="X30" i="26"/>
  <c r="AB30" i="26"/>
  <c r="AD30" i="26"/>
  <c r="AE30" i="26"/>
  <c r="AE31" i="26"/>
  <c r="P31" i="26"/>
  <c r="T31" i="26"/>
  <c r="X31" i="26"/>
  <c r="AB31" i="26"/>
  <c r="AD31" i="26"/>
  <c r="AF31" i="26"/>
  <c r="P32" i="26"/>
  <c r="T32" i="26"/>
  <c r="X32" i="26"/>
  <c r="AB32" i="26"/>
  <c r="AD32" i="26"/>
  <c r="AE32" i="26"/>
  <c r="AE33" i="26"/>
  <c r="P33" i="26"/>
  <c r="T33" i="26"/>
  <c r="X33" i="26"/>
  <c r="AB33" i="26"/>
  <c r="AD33" i="26"/>
  <c r="AF33" i="26"/>
  <c r="P34" i="26"/>
  <c r="T34" i="26"/>
  <c r="X34" i="26"/>
  <c r="AB34" i="26"/>
  <c r="AD34" i="26"/>
  <c r="AE34" i="26"/>
  <c r="AE35" i="26"/>
  <c r="P35" i="26"/>
  <c r="T35" i="26"/>
  <c r="X35" i="26"/>
  <c r="AB35" i="26"/>
  <c r="AD35" i="26"/>
  <c r="AF35" i="26"/>
  <c r="P36" i="26"/>
  <c r="T36" i="26"/>
  <c r="X36" i="26"/>
  <c r="AB36" i="26"/>
  <c r="AD36" i="26"/>
  <c r="AE36" i="26"/>
  <c r="AE37" i="26"/>
  <c r="P37" i="26"/>
  <c r="T37" i="26"/>
  <c r="X37" i="26"/>
  <c r="AB37" i="26"/>
  <c r="AD37" i="26"/>
  <c r="AF37" i="26"/>
  <c r="P38" i="26"/>
  <c r="T38" i="26"/>
  <c r="X38" i="26"/>
  <c r="AB38" i="26"/>
  <c r="AD38" i="26"/>
  <c r="AE38" i="26"/>
  <c r="AE39" i="26"/>
  <c r="P39" i="26"/>
  <c r="T39" i="26"/>
  <c r="X39" i="26"/>
  <c r="AB39" i="26"/>
  <c r="AD39" i="26"/>
  <c r="AF39" i="26"/>
  <c r="P40" i="26"/>
  <c r="T40" i="26"/>
  <c r="X40" i="26"/>
  <c r="AB40" i="26"/>
  <c r="AD40" i="26"/>
  <c r="AE40" i="26"/>
  <c r="AE41" i="26"/>
  <c r="P41" i="26"/>
  <c r="T41" i="26"/>
  <c r="X41" i="26"/>
  <c r="AB41" i="26"/>
  <c r="AD41" i="26"/>
  <c r="AF41" i="26"/>
  <c r="P42" i="26"/>
  <c r="T42" i="26"/>
  <c r="X42" i="26"/>
  <c r="AB42" i="26"/>
  <c r="AD42" i="26"/>
  <c r="AE42" i="26"/>
  <c r="AE43" i="26"/>
  <c r="P43" i="26"/>
  <c r="T43" i="26"/>
  <c r="X43" i="26"/>
  <c r="AB43" i="26"/>
  <c r="AD43" i="26"/>
  <c r="AF43" i="26"/>
  <c r="P44" i="26"/>
  <c r="T44" i="26"/>
  <c r="X44" i="26"/>
  <c r="AB44" i="26"/>
  <c r="AD44" i="26"/>
  <c r="AE44" i="26"/>
  <c r="AE45" i="26"/>
  <c r="P45" i="26"/>
  <c r="T45" i="26"/>
  <c r="X45" i="26"/>
  <c r="AB45" i="26"/>
  <c r="AD45" i="26"/>
  <c r="AF45" i="26"/>
  <c r="P46" i="26"/>
  <c r="T46" i="26"/>
  <c r="X46" i="26"/>
  <c r="AB46" i="26"/>
  <c r="AD46" i="26"/>
  <c r="AE46" i="26"/>
  <c r="AE47" i="26"/>
  <c r="P47" i="26"/>
  <c r="T47" i="26"/>
  <c r="X47" i="26"/>
  <c r="AB47" i="26"/>
  <c r="AD47" i="26"/>
  <c r="AF47" i="26"/>
  <c r="P48" i="26"/>
  <c r="T48" i="26"/>
  <c r="X48" i="26"/>
  <c r="AB48" i="26"/>
  <c r="AD48" i="26"/>
  <c r="AE48" i="26"/>
  <c r="AE49" i="26"/>
  <c r="P49" i="26"/>
  <c r="T49" i="26"/>
  <c r="X49" i="26"/>
  <c r="AB49" i="26"/>
  <c r="AD49" i="26"/>
  <c r="AF49" i="26"/>
  <c r="P50" i="26"/>
  <c r="T50" i="26"/>
  <c r="X50" i="26"/>
  <c r="AB50" i="26"/>
  <c r="AD50" i="26"/>
  <c r="AE50" i="26"/>
  <c r="AE51" i="26"/>
  <c r="P51" i="26"/>
  <c r="T51" i="26"/>
  <c r="X51" i="26"/>
  <c r="AB51" i="26"/>
  <c r="AD51" i="26"/>
  <c r="AF51" i="26"/>
  <c r="P52" i="26"/>
  <c r="T52" i="26"/>
  <c r="X52" i="26"/>
  <c r="AB52" i="26"/>
  <c r="AD52" i="26"/>
  <c r="AE52" i="26"/>
  <c r="AE53" i="26"/>
  <c r="P53" i="26"/>
  <c r="T53" i="26"/>
  <c r="X53" i="26"/>
  <c r="AB53" i="26"/>
  <c r="AD53" i="26"/>
  <c r="AF53" i="26"/>
  <c r="P54" i="26"/>
  <c r="T54" i="26"/>
  <c r="X54" i="26"/>
  <c r="AB54" i="26"/>
  <c r="AD54" i="26"/>
  <c r="AE54" i="26"/>
  <c r="AE55" i="26"/>
  <c r="P55" i="26"/>
  <c r="T55" i="26"/>
  <c r="X55" i="26"/>
  <c r="AB55" i="26"/>
  <c r="AD55" i="26"/>
  <c r="AF55" i="26"/>
  <c r="P56" i="26"/>
  <c r="T56" i="26"/>
  <c r="X56" i="26"/>
  <c r="AB56" i="26"/>
  <c r="AD56" i="26"/>
  <c r="AE56" i="26"/>
  <c r="AE57" i="26"/>
  <c r="P57" i="26"/>
  <c r="T57" i="26"/>
  <c r="X57" i="26"/>
  <c r="AB57" i="26"/>
  <c r="AD57" i="26"/>
  <c r="AF57" i="26"/>
  <c r="P58" i="26"/>
  <c r="T58" i="26"/>
  <c r="X58" i="26"/>
  <c r="AB58" i="26"/>
  <c r="AD58" i="26"/>
  <c r="AE58" i="26"/>
  <c r="AE59" i="26"/>
  <c r="P59" i="26"/>
  <c r="T59" i="26"/>
  <c r="X59" i="26"/>
  <c r="AB59" i="26"/>
  <c r="AD59" i="26"/>
  <c r="AF59" i="26"/>
  <c r="P60" i="26"/>
  <c r="T60" i="26"/>
  <c r="X60" i="26"/>
  <c r="AB60" i="26"/>
  <c r="AD60" i="26"/>
  <c r="AE60" i="26"/>
  <c r="AE61" i="26"/>
  <c r="P61" i="26"/>
  <c r="T61" i="26"/>
  <c r="X61" i="26"/>
  <c r="AB61" i="26"/>
  <c r="AD61" i="26"/>
  <c r="AF61" i="26"/>
  <c r="P62" i="26"/>
  <c r="T62" i="26"/>
  <c r="X62" i="26"/>
  <c r="AB62" i="26"/>
  <c r="AD62" i="26"/>
  <c r="AE62" i="26"/>
  <c r="AE63" i="26"/>
  <c r="P63" i="26"/>
  <c r="T63" i="26"/>
  <c r="X63" i="26"/>
  <c r="AB63" i="26"/>
  <c r="AD63" i="26"/>
  <c r="AF63" i="26"/>
  <c r="P64" i="26"/>
  <c r="T64" i="26"/>
  <c r="X64" i="26"/>
  <c r="AB64" i="26"/>
  <c r="AD64" i="26"/>
  <c r="AE64" i="26"/>
  <c r="AE65" i="26"/>
  <c r="P65" i="26"/>
  <c r="T65" i="26"/>
  <c r="X65" i="26"/>
  <c r="AB65" i="26"/>
  <c r="AD65" i="26"/>
  <c r="AF65" i="26"/>
  <c r="P66" i="26"/>
  <c r="T66" i="26"/>
  <c r="X66" i="26"/>
  <c r="AB66" i="26"/>
  <c r="AD66" i="26"/>
  <c r="AE66" i="26"/>
  <c r="AE67" i="26"/>
  <c r="P67" i="26"/>
  <c r="T67" i="26"/>
  <c r="X67" i="26"/>
  <c r="AB67" i="26"/>
  <c r="AD67" i="26"/>
  <c r="AF67" i="26"/>
  <c r="P68" i="26"/>
  <c r="T68" i="26"/>
  <c r="X68" i="26"/>
  <c r="AB68" i="26"/>
  <c r="AD68" i="26"/>
  <c r="AE68" i="26"/>
  <c r="B9" i="26"/>
  <c r="C9" i="26"/>
  <c r="B10" i="26"/>
  <c r="C10" i="26"/>
  <c r="B11" i="26"/>
  <c r="C11" i="26"/>
  <c r="H11" i="26"/>
  <c r="C5" i="26"/>
  <c r="E5" i="26"/>
  <c r="E183" i="34" l="1"/>
  <c r="AA7" i="20" s="1"/>
  <c r="E117" i="34"/>
  <c r="E71" i="34"/>
  <c r="AA7" i="19" s="1"/>
  <c r="H24" i="32"/>
  <c r="F24" i="32"/>
  <c r="J24" i="32"/>
  <c r="L24" i="32"/>
  <c r="B13" i="26"/>
  <c r="C13" i="26"/>
  <c r="D10" i="26" s="1"/>
  <c r="E10" i="26" s="1"/>
  <c r="C12" i="28"/>
  <c r="D11" i="28" s="1"/>
  <c r="E11" i="28" s="1"/>
  <c r="B12" i="28"/>
  <c r="G5" i="28"/>
  <c r="G5" i="26"/>
  <c r="H9" i="28"/>
  <c r="H10" i="28"/>
  <c r="H9" i="26"/>
  <c r="H10" i="26"/>
  <c r="E184" i="34" l="1"/>
  <c r="AA8" i="20" s="1"/>
  <c r="D11" i="26"/>
  <c r="E11" i="26" s="1"/>
  <c r="D9" i="26"/>
  <c r="E9" i="26" s="1"/>
  <c r="E72" i="34"/>
  <c r="AA8" i="19" s="1"/>
  <c r="E118" i="34"/>
  <c r="E119" i="34" s="1"/>
  <c r="E120" i="34" s="1"/>
  <c r="E121" i="34" s="1"/>
  <c r="E122" i="34" s="1"/>
  <c r="E123" i="34" s="1"/>
  <c r="E124" i="34" s="1"/>
  <c r="E125" i="34" s="1"/>
  <c r="E126" i="34" s="1"/>
  <c r="E127" i="34" s="1"/>
  <c r="E128" i="34" s="1"/>
  <c r="E129" i="34" s="1"/>
  <c r="E130" i="34" s="1"/>
  <c r="E131" i="34" s="1"/>
  <c r="E132" i="34" s="1"/>
  <c r="E133" i="34" s="1"/>
  <c r="E134" i="34" s="1"/>
  <c r="E135" i="34" s="1"/>
  <c r="E136" i="34" s="1"/>
  <c r="E137" i="34" s="1"/>
  <c r="E138" i="34" s="1"/>
  <c r="E139" i="34" s="1"/>
  <c r="E140" i="34" s="1"/>
  <c r="E141" i="34" s="1"/>
  <c r="E142" i="34" s="1"/>
  <c r="E143" i="34" s="1"/>
  <c r="E144" i="34" s="1"/>
  <c r="E145" i="34" s="1"/>
  <c r="D9" i="28"/>
  <c r="E9" i="28" s="1"/>
  <c r="D10" i="28"/>
  <c r="E10" i="28" s="1"/>
  <c r="M5" i="26"/>
  <c r="D12" i="26"/>
  <c r="E12" i="26" s="1"/>
  <c r="J5" i="28"/>
  <c r="E185" i="34" l="1"/>
  <c r="AA9" i="20" s="1"/>
  <c r="E73" i="34"/>
  <c r="AA9" i="19" s="1"/>
  <c r="D12" i="28"/>
  <c r="D13" i="26"/>
  <c r="AZ8" i="2"/>
  <c r="AY8" i="2"/>
  <c r="AT17" i="2"/>
  <c r="AS17" i="2"/>
  <c r="H11" i="15"/>
  <c r="W73" i="15" a="1"/>
  <c r="V73" i="15" a="1"/>
  <c r="U73" i="15" a="1"/>
  <c r="T73" i="15" a="1"/>
  <c r="S73" i="15" a="1"/>
  <c r="R73" i="15" a="1"/>
  <c r="Q73" i="15" a="1"/>
  <c r="P73" i="15" a="1"/>
  <c r="O73" i="15" a="1"/>
  <c r="N73" i="15" a="1"/>
  <c r="M73" i="15" a="1"/>
  <c r="L73" i="15" a="1"/>
  <c r="M73" i="14" a="1"/>
  <c r="N73" i="14" a="1"/>
  <c r="O73" i="14" a="1"/>
  <c r="P73" i="14" a="1"/>
  <c r="Q73" i="14" a="1"/>
  <c r="R73" i="14" a="1"/>
  <c r="S73" i="14" a="1"/>
  <c r="T73" i="14" a="1"/>
  <c r="U73" i="14" a="1"/>
  <c r="V73" i="14" a="1"/>
  <c r="W73" i="14" a="1"/>
  <c r="L73" i="14" a="1"/>
  <c r="AD133" i="19" a="1"/>
  <c r="AC133" i="19" a="1"/>
  <c r="AB133" i="19" a="1"/>
  <c r="AA133" i="19" a="1"/>
  <c r="Z133" i="19" a="1"/>
  <c r="Y133" i="19" a="1"/>
  <c r="X133" i="19" a="1"/>
  <c r="W133" i="19" a="1"/>
  <c r="V133" i="19" a="1"/>
  <c r="U133" i="19" a="1"/>
  <c r="L141" i="19"/>
  <c r="L140" i="19"/>
  <c r="L139" i="19"/>
  <c r="L138" i="19"/>
  <c r="L137" i="19"/>
  <c r="L135" i="19"/>
  <c r="L134" i="19"/>
  <c r="L132" i="19"/>
  <c r="L127" i="17"/>
  <c r="L126" i="17"/>
  <c r="L125" i="17"/>
  <c r="L124" i="17"/>
  <c r="L123" i="17"/>
  <c r="L122" i="17"/>
  <c r="L121" i="17"/>
  <c r="L120" i="17"/>
  <c r="L119" i="17"/>
  <c r="L118" i="17"/>
  <c r="W72" i="15" a="1"/>
  <c r="V72" i="15" a="1"/>
  <c r="U72" i="15" a="1"/>
  <c r="T72" i="15" a="1"/>
  <c r="S72" i="15" a="1"/>
  <c r="R72" i="15" a="1"/>
  <c r="Q72" i="15" a="1"/>
  <c r="P72" i="15" a="1"/>
  <c r="O72" i="15" a="1"/>
  <c r="N72" i="15" a="1"/>
  <c r="M72" i="15" a="1"/>
  <c r="L72" i="15" a="1"/>
  <c r="W71" i="15" a="1"/>
  <c r="V71" i="15" a="1"/>
  <c r="U71" i="15" a="1"/>
  <c r="T71" i="15" a="1"/>
  <c r="S71" i="15" a="1"/>
  <c r="R71" i="15" a="1"/>
  <c r="Q71" i="15" a="1"/>
  <c r="P71" i="15" a="1"/>
  <c r="O71" i="15" a="1"/>
  <c r="N71" i="15" a="1"/>
  <c r="M71" i="15" a="1"/>
  <c r="L71" i="15" a="1"/>
  <c r="M72" i="14" a="1"/>
  <c r="N72" i="14" a="1"/>
  <c r="O72" i="14" a="1"/>
  <c r="P72" i="14" a="1"/>
  <c r="Q72" i="14" a="1"/>
  <c r="R72" i="14" a="1"/>
  <c r="S72" i="14" a="1"/>
  <c r="T72" i="14" a="1"/>
  <c r="U72" i="14" a="1"/>
  <c r="V72" i="14" a="1"/>
  <c r="W72" i="14" a="1"/>
  <c r="L72" i="14" a="1"/>
  <c r="M71" i="14" a="1"/>
  <c r="N71" i="14" a="1"/>
  <c r="O71" i="14" a="1"/>
  <c r="P71" i="14" a="1"/>
  <c r="Q71" i="14" a="1"/>
  <c r="R71" i="14" a="1"/>
  <c r="S71" i="14" a="1"/>
  <c r="T71" i="14" a="1"/>
  <c r="U71" i="14" a="1"/>
  <c r="V71" i="14" a="1"/>
  <c r="W71" i="14" a="1"/>
  <c r="L71" i="14" a="1"/>
  <c r="E186" i="34" l="1"/>
  <c r="AA10" i="20" s="1"/>
  <c r="E74" i="34"/>
  <c r="AA10" i="19" s="1"/>
  <c r="AU17" i="2"/>
  <c r="E187" i="34" l="1"/>
  <c r="AA11" i="20" s="1"/>
  <c r="E75" i="34"/>
  <c r="AA11" i="19" s="1"/>
  <c r="E5" i="17"/>
  <c r="A5" i="17"/>
  <c r="F22" i="32" l="1"/>
  <c r="U122" i="17"/>
  <c r="F25" i="32"/>
  <c r="E188" i="34"/>
  <c r="AA12" i="20" s="1"/>
  <c r="E76" i="34"/>
  <c r="AA12" i="19" s="1"/>
  <c r="I25" i="32"/>
  <c r="AH61" i="2"/>
  <c r="V122" i="17" l="1"/>
  <c r="W122" i="17" s="1"/>
  <c r="X122" i="17" s="1"/>
  <c r="Y122" i="17" s="1"/>
  <c r="Z122" i="17" s="1"/>
  <c r="AA122" i="17" s="1"/>
  <c r="AB122" i="17" s="1"/>
  <c r="AC122" i="17" s="1"/>
  <c r="AD122" i="17" s="1"/>
  <c r="V179" i="2"/>
  <c r="E189" i="34"/>
  <c r="AA13" i="20" s="1"/>
  <c r="E77" i="34"/>
  <c r="AA13" i="19" s="1"/>
  <c r="J10" i="2"/>
  <c r="L137" i="18"/>
  <c r="L136" i="18"/>
  <c r="L135" i="18"/>
  <c r="L134" i="18"/>
  <c r="L133" i="18"/>
  <c r="L132" i="18"/>
  <c r="L131" i="18"/>
  <c r="L130" i="18"/>
  <c r="L129" i="18"/>
  <c r="L128" i="18"/>
  <c r="I29" i="32"/>
  <c r="V182" i="2" l="1"/>
  <c r="W182" i="2" s="1"/>
  <c r="X182" i="2" s="1"/>
  <c r="Y182" i="2" s="1"/>
  <c r="Z182" i="2" s="1"/>
  <c r="AA182" i="2" s="1"/>
  <c r="AB182" i="2" s="1"/>
  <c r="AC182" i="2" s="1"/>
  <c r="AD182" i="2" s="1"/>
  <c r="AE182" i="2" s="1"/>
  <c r="AF179" i="2"/>
  <c r="E190" i="34"/>
  <c r="AA14" i="20" s="1"/>
  <c r="E78" i="34"/>
  <c r="AA14" i="19" s="1"/>
  <c r="F30" i="32"/>
  <c r="E30" i="32"/>
  <c r="H30" i="32"/>
  <c r="G30" i="32"/>
  <c r="H29" i="32"/>
  <c r="G29" i="32"/>
  <c r="F29" i="32"/>
  <c r="M221" i="2"/>
  <c r="R15" i="32" s="1"/>
  <c r="M222" i="2"/>
  <c r="R16" i="32" s="1"/>
  <c r="M220" i="2"/>
  <c r="R14" i="32" s="1"/>
  <c r="M219" i="2"/>
  <c r="R13" i="32" s="1"/>
  <c r="L128" i="20"/>
  <c r="L154" i="19"/>
  <c r="M10" i="19" s="1"/>
  <c r="L148" i="18"/>
  <c r="M10" i="18" s="1"/>
  <c r="L140" i="17"/>
  <c r="M10" i="17" s="1"/>
  <c r="B11" i="24"/>
  <c r="B10" i="24"/>
  <c r="B9" i="24"/>
  <c r="A5" i="24"/>
  <c r="L219" i="2"/>
  <c r="Q13" i="32" s="1"/>
  <c r="E15" i="9"/>
  <c r="AE68" i="15"/>
  <c r="AD68" i="15"/>
  <c r="AB68" i="15"/>
  <c r="X68" i="15"/>
  <c r="T68" i="15"/>
  <c r="P68" i="15"/>
  <c r="AF67" i="15"/>
  <c r="AD67" i="15"/>
  <c r="AB67" i="15"/>
  <c r="X67" i="15"/>
  <c r="T67" i="15"/>
  <c r="P67" i="15"/>
  <c r="AE67" i="15"/>
  <c r="AE66" i="15"/>
  <c r="AD66" i="15"/>
  <c r="AB66" i="15"/>
  <c r="X66" i="15"/>
  <c r="T66" i="15"/>
  <c r="P66" i="15"/>
  <c r="AF65" i="15"/>
  <c r="AD65" i="15"/>
  <c r="AB65" i="15"/>
  <c r="X65" i="15"/>
  <c r="T65" i="15"/>
  <c r="P65" i="15"/>
  <c r="AE65" i="15"/>
  <c r="AE64" i="15"/>
  <c r="AD64" i="15"/>
  <c r="AB64" i="15"/>
  <c r="X64" i="15"/>
  <c r="T64" i="15"/>
  <c r="P64" i="15"/>
  <c r="AF63" i="15"/>
  <c r="AD63" i="15"/>
  <c r="AB63" i="15"/>
  <c r="X63" i="15"/>
  <c r="T63" i="15"/>
  <c r="P63" i="15"/>
  <c r="AE63" i="15"/>
  <c r="AE62" i="15"/>
  <c r="AD62" i="15"/>
  <c r="AB62" i="15"/>
  <c r="X62" i="15"/>
  <c r="T62" i="15"/>
  <c r="P62" i="15"/>
  <c r="AF61" i="15"/>
  <c r="AD61" i="15"/>
  <c r="AB61" i="15"/>
  <c r="X61" i="15"/>
  <c r="T61" i="15"/>
  <c r="P61" i="15"/>
  <c r="AE61" i="15"/>
  <c r="AE60" i="15"/>
  <c r="AD60" i="15"/>
  <c r="AB60" i="15"/>
  <c r="X60" i="15"/>
  <c r="T60" i="15"/>
  <c r="P60" i="15"/>
  <c r="AF59" i="15"/>
  <c r="AD59" i="15"/>
  <c r="AB59" i="15"/>
  <c r="X59" i="15"/>
  <c r="T59" i="15"/>
  <c r="P59" i="15"/>
  <c r="AE59" i="15"/>
  <c r="AE58" i="15"/>
  <c r="AD58" i="15"/>
  <c r="AB58" i="15"/>
  <c r="X58" i="15"/>
  <c r="T58" i="15"/>
  <c r="P58" i="15"/>
  <c r="AF57" i="15"/>
  <c r="AD57" i="15"/>
  <c r="AB57" i="15"/>
  <c r="X57" i="15"/>
  <c r="T57" i="15"/>
  <c r="P57" i="15"/>
  <c r="AE57" i="15"/>
  <c r="AE56" i="15"/>
  <c r="AD56" i="15"/>
  <c r="AB56" i="15"/>
  <c r="X56" i="15"/>
  <c r="T56" i="15"/>
  <c r="P56" i="15"/>
  <c r="AF55" i="15"/>
  <c r="AD55" i="15"/>
  <c r="AB55" i="15"/>
  <c r="X55" i="15"/>
  <c r="T55" i="15"/>
  <c r="P55" i="15"/>
  <c r="AE55" i="15"/>
  <c r="AE54" i="15"/>
  <c r="AD54" i="15"/>
  <c r="AB54" i="15"/>
  <c r="X54" i="15"/>
  <c r="T54" i="15"/>
  <c r="P54" i="15"/>
  <c r="AF53" i="15"/>
  <c r="AD53" i="15"/>
  <c r="AB53" i="15"/>
  <c r="X53" i="15"/>
  <c r="T53" i="15"/>
  <c r="P53" i="15"/>
  <c r="AE53" i="15"/>
  <c r="AE52" i="15"/>
  <c r="AD52" i="15"/>
  <c r="AB52" i="15"/>
  <c r="X52" i="15"/>
  <c r="T52" i="15"/>
  <c r="P52" i="15"/>
  <c r="AF51" i="15"/>
  <c r="AD51" i="15"/>
  <c r="AB51" i="15"/>
  <c r="X51" i="15"/>
  <c r="T51" i="15"/>
  <c r="P51" i="15"/>
  <c r="AE51" i="15"/>
  <c r="AE50" i="15"/>
  <c r="AD50" i="15"/>
  <c r="AB50" i="15"/>
  <c r="X50" i="15"/>
  <c r="T50" i="15"/>
  <c r="P50" i="15"/>
  <c r="AF49" i="15"/>
  <c r="AD49" i="15"/>
  <c r="AB49" i="15"/>
  <c r="X49" i="15"/>
  <c r="T49" i="15"/>
  <c r="P49" i="15"/>
  <c r="AE49" i="15"/>
  <c r="AE48" i="15"/>
  <c r="AD48" i="15"/>
  <c r="AB48" i="15"/>
  <c r="X48" i="15"/>
  <c r="T48" i="15"/>
  <c r="P48" i="15"/>
  <c r="AF47" i="15"/>
  <c r="AD47" i="15"/>
  <c r="AB47" i="15"/>
  <c r="X47" i="15"/>
  <c r="T47" i="15"/>
  <c r="P47" i="15"/>
  <c r="AE47" i="15"/>
  <c r="AE46" i="15"/>
  <c r="AD46" i="15"/>
  <c r="AB46" i="15"/>
  <c r="X46" i="15"/>
  <c r="T46" i="15"/>
  <c r="P46" i="15"/>
  <c r="AF45" i="15"/>
  <c r="AD45" i="15"/>
  <c r="AB45" i="15"/>
  <c r="X45" i="15"/>
  <c r="T45" i="15"/>
  <c r="P45" i="15"/>
  <c r="AE45" i="15"/>
  <c r="AE44" i="15"/>
  <c r="AD44" i="15"/>
  <c r="AB44" i="15"/>
  <c r="X44" i="15"/>
  <c r="T44" i="15"/>
  <c r="P44" i="15"/>
  <c r="AF43" i="15"/>
  <c r="AD43" i="15"/>
  <c r="AB43" i="15"/>
  <c r="X43" i="15"/>
  <c r="T43" i="15"/>
  <c r="P43" i="15"/>
  <c r="AE43" i="15"/>
  <c r="AE42" i="15"/>
  <c r="AD42" i="15"/>
  <c r="AB42" i="15"/>
  <c r="X42" i="15"/>
  <c r="T42" i="15"/>
  <c r="P42" i="15"/>
  <c r="AF41" i="15"/>
  <c r="AD41" i="15"/>
  <c r="AB41" i="15"/>
  <c r="X41" i="15"/>
  <c r="T41" i="15"/>
  <c r="P41" i="15"/>
  <c r="AE41" i="15"/>
  <c r="AE40" i="15"/>
  <c r="AD40" i="15"/>
  <c r="AB40" i="15"/>
  <c r="X40" i="15"/>
  <c r="T40" i="15"/>
  <c r="P40" i="15"/>
  <c r="AF39" i="15"/>
  <c r="AD39" i="15"/>
  <c r="AB39" i="15"/>
  <c r="X39" i="15"/>
  <c r="T39" i="15"/>
  <c r="P39" i="15"/>
  <c r="AE39" i="15"/>
  <c r="AE38" i="15"/>
  <c r="AD38" i="15"/>
  <c r="AB38" i="15"/>
  <c r="X38" i="15"/>
  <c r="T38" i="15"/>
  <c r="P38" i="15"/>
  <c r="AF37" i="15"/>
  <c r="AD37" i="15"/>
  <c r="AB37" i="15"/>
  <c r="X37" i="15"/>
  <c r="T37" i="15"/>
  <c r="P37" i="15"/>
  <c r="AE37" i="15"/>
  <c r="AE36" i="15"/>
  <c r="AD36" i="15"/>
  <c r="AB36" i="15"/>
  <c r="X36" i="15"/>
  <c r="T36" i="15"/>
  <c r="P36" i="15"/>
  <c r="AF35" i="15"/>
  <c r="AD35" i="15"/>
  <c r="AB35" i="15"/>
  <c r="X35" i="15"/>
  <c r="T35" i="15"/>
  <c r="P35" i="15"/>
  <c r="AE35" i="15"/>
  <c r="AE34" i="15"/>
  <c r="AD34" i="15"/>
  <c r="AB34" i="15"/>
  <c r="X34" i="15"/>
  <c r="T34" i="15"/>
  <c r="P34" i="15"/>
  <c r="AF33" i="15"/>
  <c r="AD33" i="15"/>
  <c r="AB33" i="15"/>
  <c r="X33" i="15"/>
  <c r="T33" i="15"/>
  <c r="P33" i="15"/>
  <c r="AE33" i="15"/>
  <c r="AE32" i="15"/>
  <c r="AD32" i="15"/>
  <c r="AB32" i="15"/>
  <c r="X32" i="15"/>
  <c r="T32" i="15"/>
  <c r="P32" i="15"/>
  <c r="AF31" i="15"/>
  <c r="AD31" i="15"/>
  <c r="AB31" i="15"/>
  <c r="X31" i="15"/>
  <c r="T31" i="15"/>
  <c r="P31" i="15"/>
  <c r="AE31" i="15"/>
  <c r="AE30" i="15"/>
  <c r="AD30" i="15"/>
  <c r="AB30" i="15"/>
  <c r="X30" i="15"/>
  <c r="T30" i="15"/>
  <c r="P30" i="15"/>
  <c r="AF29" i="15"/>
  <c r="AD29" i="15"/>
  <c r="AB29" i="15"/>
  <c r="X29" i="15"/>
  <c r="T29" i="15"/>
  <c r="P29" i="15"/>
  <c r="AE29" i="15"/>
  <c r="AE28" i="15"/>
  <c r="AD28" i="15"/>
  <c r="AB28" i="15"/>
  <c r="X28" i="15"/>
  <c r="T28" i="15"/>
  <c r="P28" i="15"/>
  <c r="AF27" i="15"/>
  <c r="AD27" i="15"/>
  <c r="AB27" i="15"/>
  <c r="X27" i="15"/>
  <c r="T27" i="15"/>
  <c r="P27" i="15"/>
  <c r="AE27" i="15"/>
  <c r="AE26" i="15"/>
  <c r="AD26" i="15"/>
  <c r="AB26" i="15"/>
  <c r="X26" i="15"/>
  <c r="T26" i="15"/>
  <c r="P26" i="15"/>
  <c r="AF25" i="15"/>
  <c r="AD25" i="15"/>
  <c r="AB25" i="15"/>
  <c r="X25" i="15"/>
  <c r="T25" i="15"/>
  <c r="P25" i="15"/>
  <c r="AE25" i="15"/>
  <c r="AE24" i="15"/>
  <c r="AD24" i="15"/>
  <c r="AB24" i="15"/>
  <c r="X24" i="15"/>
  <c r="T24" i="15"/>
  <c r="P24" i="15"/>
  <c r="AF23" i="15"/>
  <c r="AD23" i="15"/>
  <c r="AB23" i="15"/>
  <c r="X23" i="15"/>
  <c r="T23" i="15"/>
  <c r="P23" i="15"/>
  <c r="AE23" i="15"/>
  <c r="AE22" i="15"/>
  <c r="AD22" i="15"/>
  <c r="AB22" i="15"/>
  <c r="X22" i="15"/>
  <c r="T22" i="15"/>
  <c r="P22" i="15"/>
  <c r="AF21" i="15"/>
  <c r="AD21" i="15"/>
  <c r="AB21" i="15"/>
  <c r="X21" i="15"/>
  <c r="T21" i="15"/>
  <c r="P21" i="15"/>
  <c r="AE21" i="15"/>
  <c r="AE20" i="15"/>
  <c r="AD20" i="15"/>
  <c r="AB20" i="15"/>
  <c r="X20" i="15"/>
  <c r="T20" i="15"/>
  <c r="P20" i="15"/>
  <c r="AF19" i="15"/>
  <c r="AD19" i="15"/>
  <c r="AB19" i="15"/>
  <c r="X19" i="15"/>
  <c r="T19" i="15"/>
  <c r="P19" i="15"/>
  <c r="AE19" i="15"/>
  <c r="AE18" i="15"/>
  <c r="AD18" i="15"/>
  <c r="AB18" i="15"/>
  <c r="X18" i="15"/>
  <c r="T18" i="15"/>
  <c r="P18" i="15"/>
  <c r="AF17" i="15"/>
  <c r="AD17" i="15"/>
  <c r="AB17" i="15"/>
  <c r="X17" i="15"/>
  <c r="T17" i="15"/>
  <c r="P17" i="15"/>
  <c r="AE17" i="15"/>
  <c r="C11" i="15"/>
  <c r="B11" i="15"/>
  <c r="C10" i="15"/>
  <c r="B10" i="15"/>
  <c r="C9" i="15"/>
  <c r="B9" i="15"/>
  <c r="E5" i="15"/>
  <c r="C5" i="15"/>
  <c r="A5" i="14"/>
  <c r="J22" i="32" s="1"/>
  <c r="AF68" i="14"/>
  <c r="AE68" i="14"/>
  <c r="AC68" i="14"/>
  <c r="Y68" i="14"/>
  <c r="U68" i="14"/>
  <c r="Q68" i="14"/>
  <c r="AE67" i="14"/>
  <c r="AC67" i="14"/>
  <c r="Y67" i="14"/>
  <c r="U67" i="14"/>
  <c r="Q67" i="14"/>
  <c r="AF67" i="14"/>
  <c r="AF66" i="14"/>
  <c r="AE66" i="14"/>
  <c r="AC66" i="14"/>
  <c r="Y66" i="14"/>
  <c r="U66" i="14"/>
  <c r="Q66" i="14"/>
  <c r="AE65" i="14"/>
  <c r="AC65" i="14"/>
  <c r="Y65" i="14"/>
  <c r="U65" i="14"/>
  <c r="Q65" i="14"/>
  <c r="AF65" i="14"/>
  <c r="AF64" i="14"/>
  <c r="AE64" i="14"/>
  <c r="AC64" i="14"/>
  <c r="Y64" i="14"/>
  <c r="U64" i="14"/>
  <c r="Q64" i="14"/>
  <c r="AE63" i="14"/>
  <c r="AC63" i="14"/>
  <c r="Y63" i="14"/>
  <c r="U63" i="14"/>
  <c r="Q63" i="14"/>
  <c r="AF63" i="14"/>
  <c r="AF62" i="14"/>
  <c r="AE62" i="14"/>
  <c r="AC62" i="14"/>
  <c r="Y62" i="14"/>
  <c r="U62" i="14"/>
  <c r="Q62" i="14"/>
  <c r="AE61" i="14"/>
  <c r="AC61" i="14"/>
  <c r="Y61" i="14"/>
  <c r="U61" i="14"/>
  <c r="Q61" i="14"/>
  <c r="AF61" i="14"/>
  <c r="AF60" i="14"/>
  <c r="AE60" i="14"/>
  <c r="AC60" i="14"/>
  <c r="Y60" i="14"/>
  <c r="U60" i="14"/>
  <c r="Q60" i="14"/>
  <c r="AE59" i="14"/>
  <c r="AC59" i="14"/>
  <c r="Y59" i="14"/>
  <c r="U59" i="14"/>
  <c r="Q59" i="14"/>
  <c r="AF59" i="14"/>
  <c r="AF58" i="14"/>
  <c r="AE58" i="14"/>
  <c r="AC58" i="14"/>
  <c r="Y58" i="14"/>
  <c r="U58" i="14"/>
  <c r="Q58" i="14"/>
  <c r="AE57" i="14"/>
  <c r="AC57" i="14"/>
  <c r="Y57" i="14"/>
  <c r="U57" i="14"/>
  <c r="Q57" i="14"/>
  <c r="AF57" i="14"/>
  <c r="AF56" i="14"/>
  <c r="AE56" i="14"/>
  <c r="AC56" i="14"/>
  <c r="Y56" i="14"/>
  <c r="U56" i="14"/>
  <c r="Q56" i="14"/>
  <c r="AE55" i="14"/>
  <c r="AC55" i="14"/>
  <c r="Y55" i="14"/>
  <c r="U55" i="14"/>
  <c r="Q55" i="14"/>
  <c r="AF55" i="14"/>
  <c r="AF54" i="14"/>
  <c r="AE54" i="14"/>
  <c r="AC54" i="14"/>
  <c r="Y54" i="14"/>
  <c r="U54" i="14"/>
  <c r="Q54" i="14"/>
  <c r="AE53" i="14"/>
  <c r="AC53" i="14"/>
  <c r="Y53" i="14"/>
  <c r="U53" i="14"/>
  <c r="Q53" i="14"/>
  <c r="AF53" i="14"/>
  <c r="AF52" i="14"/>
  <c r="AE52" i="14"/>
  <c r="AC52" i="14"/>
  <c r="Y52" i="14"/>
  <c r="U52" i="14"/>
  <c r="Q52" i="14"/>
  <c r="AE51" i="14"/>
  <c r="AC51" i="14"/>
  <c r="Y51" i="14"/>
  <c r="U51" i="14"/>
  <c r="Q51" i="14"/>
  <c r="AF51" i="14"/>
  <c r="AF50" i="14"/>
  <c r="AE50" i="14"/>
  <c r="AC50" i="14"/>
  <c r="Y50" i="14"/>
  <c r="U50" i="14"/>
  <c r="Q50" i="14"/>
  <c r="AE49" i="14"/>
  <c r="AC49" i="14"/>
  <c r="Y49" i="14"/>
  <c r="U49" i="14"/>
  <c r="Q49" i="14"/>
  <c r="AF49" i="14"/>
  <c r="AF48" i="14"/>
  <c r="AE48" i="14"/>
  <c r="AC48" i="14"/>
  <c r="Y48" i="14"/>
  <c r="U48" i="14"/>
  <c r="Q48" i="14"/>
  <c r="AE47" i="14"/>
  <c r="AC47" i="14"/>
  <c r="Y47" i="14"/>
  <c r="U47" i="14"/>
  <c r="Q47" i="14"/>
  <c r="AF47" i="14"/>
  <c r="AF46" i="14"/>
  <c r="AE46" i="14"/>
  <c r="AC46" i="14"/>
  <c r="Y46" i="14"/>
  <c r="U46" i="14"/>
  <c r="Q46" i="14"/>
  <c r="AE45" i="14"/>
  <c r="AC45" i="14"/>
  <c r="Y45" i="14"/>
  <c r="U45" i="14"/>
  <c r="Q45" i="14"/>
  <c r="AF45" i="14"/>
  <c r="AF44" i="14"/>
  <c r="AE44" i="14"/>
  <c r="AC44" i="14"/>
  <c r="Y44" i="14"/>
  <c r="U44" i="14"/>
  <c r="Q44" i="14"/>
  <c r="AE43" i="14"/>
  <c r="AC43" i="14"/>
  <c r="Y43" i="14"/>
  <c r="U43" i="14"/>
  <c r="Q43" i="14"/>
  <c r="AF43" i="14"/>
  <c r="AF42" i="14"/>
  <c r="AE42" i="14"/>
  <c r="AC42" i="14"/>
  <c r="Y42" i="14"/>
  <c r="U42" i="14"/>
  <c r="Q42" i="14"/>
  <c r="AE41" i="14"/>
  <c r="AC41" i="14"/>
  <c r="Y41" i="14"/>
  <c r="U41" i="14"/>
  <c r="Q41" i="14"/>
  <c r="AF41" i="14"/>
  <c r="AF40" i="14"/>
  <c r="AE40" i="14"/>
  <c r="AC40" i="14"/>
  <c r="Y40" i="14"/>
  <c r="U40" i="14"/>
  <c r="Q40" i="14"/>
  <c r="AE39" i="14"/>
  <c r="AC39" i="14"/>
  <c r="Y39" i="14"/>
  <c r="U39" i="14"/>
  <c r="Q39" i="14"/>
  <c r="AF39" i="14"/>
  <c r="AF38" i="14"/>
  <c r="AE38" i="14"/>
  <c r="AC38" i="14"/>
  <c r="Y38" i="14"/>
  <c r="U38" i="14"/>
  <c r="Q38" i="14"/>
  <c r="AE37" i="14"/>
  <c r="AC37" i="14"/>
  <c r="Y37" i="14"/>
  <c r="U37" i="14"/>
  <c r="Q37" i="14"/>
  <c r="AF37" i="14"/>
  <c r="AF36" i="14"/>
  <c r="AE36" i="14"/>
  <c r="AC36" i="14"/>
  <c r="Y36" i="14"/>
  <c r="U36" i="14"/>
  <c r="Q36" i="14"/>
  <c r="AE35" i="14"/>
  <c r="AC35" i="14"/>
  <c r="Y35" i="14"/>
  <c r="U35" i="14"/>
  <c r="Q35" i="14"/>
  <c r="AF35" i="14"/>
  <c r="AF34" i="14"/>
  <c r="AE34" i="14"/>
  <c r="AC34" i="14"/>
  <c r="Y34" i="14"/>
  <c r="U34" i="14"/>
  <c r="Q34" i="14"/>
  <c r="AE33" i="14"/>
  <c r="AC33" i="14"/>
  <c r="Y33" i="14"/>
  <c r="U33" i="14"/>
  <c r="Q33" i="14"/>
  <c r="AF33" i="14"/>
  <c r="AF32" i="14"/>
  <c r="AE32" i="14"/>
  <c r="AC32" i="14"/>
  <c r="Y32" i="14"/>
  <c r="U32" i="14"/>
  <c r="Q32" i="14"/>
  <c r="AE31" i="14"/>
  <c r="AC31" i="14"/>
  <c r="Y31" i="14"/>
  <c r="U31" i="14"/>
  <c r="Q31" i="14"/>
  <c r="AF31" i="14"/>
  <c r="AF30" i="14"/>
  <c r="AE30" i="14"/>
  <c r="AC30" i="14"/>
  <c r="Y30" i="14"/>
  <c r="U30" i="14"/>
  <c r="Q30" i="14"/>
  <c r="AE29" i="14"/>
  <c r="AC29" i="14"/>
  <c r="Y29" i="14"/>
  <c r="U29" i="14"/>
  <c r="Q29" i="14"/>
  <c r="AF29" i="14"/>
  <c r="AF28" i="14"/>
  <c r="AE28" i="14"/>
  <c r="AC28" i="14"/>
  <c r="Y28" i="14"/>
  <c r="U28" i="14"/>
  <c r="Q28" i="14"/>
  <c r="AE27" i="14"/>
  <c r="AC27" i="14"/>
  <c r="Y27" i="14"/>
  <c r="U27" i="14"/>
  <c r="Q27" i="14"/>
  <c r="AF27" i="14"/>
  <c r="AF26" i="14"/>
  <c r="AE26" i="14"/>
  <c r="AC26" i="14"/>
  <c r="Y26" i="14"/>
  <c r="U26" i="14"/>
  <c r="Q26" i="14"/>
  <c r="AE25" i="14"/>
  <c r="AC25" i="14"/>
  <c r="Y25" i="14"/>
  <c r="U25" i="14"/>
  <c r="Q25" i="14"/>
  <c r="AF25" i="14"/>
  <c r="AF24" i="14"/>
  <c r="AE24" i="14"/>
  <c r="AC24" i="14"/>
  <c r="Y24" i="14"/>
  <c r="U24" i="14"/>
  <c r="Q24" i="14"/>
  <c r="AE23" i="14"/>
  <c r="AC23" i="14"/>
  <c r="Y23" i="14"/>
  <c r="U23" i="14"/>
  <c r="Q23" i="14"/>
  <c r="AF23" i="14"/>
  <c r="AF22" i="14"/>
  <c r="AE22" i="14"/>
  <c r="AC22" i="14"/>
  <c r="Y22" i="14"/>
  <c r="U22" i="14"/>
  <c r="Q22" i="14"/>
  <c r="AE21" i="14"/>
  <c r="AC21" i="14"/>
  <c r="Y21" i="14"/>
  <c r="U21" i="14"/>
  <c r="Q21" i="14"/>
  <c r="AF21" i="14"/>
  <c r="AF20" i="14"/>
  <c r="AE20" i="14"/>
  <c r="AC20" i="14"/>
  <c r="Y20" i="14"/>
  <c r="U20" i="14"/>
  <c r="Q20" i="14"/>
  <c r="AG19" i="14"/>
  <c r="AE19" i="14"/>
  <c r="AC19" i="14"/>
  <c r="Y19" i="14"/>
  <c r="U19" i="14"/>
  <c r="Q19" i="14"/>
  <c r="AF19" i="14"/>
  <c r="AF18" i="14"/>
  <c r="AE18" i="14"/>
  <c r="AC18" i="14"/>
  <c r="Y18" i="14"/>
  <c r="U18" i="14"/>
  <c r="Q18" i="14"/>
  <c r="AG17" i="14"/>
  <c r="AE17" i="14"/>
  <c r="AC17" i="14"/>
  <c r="Y17" i="14"/>
  <c r="U17" i="14"/>
  <c r="Q17" i="14"/>
  <c r="AF17" i="14"/>
  <c r="B11" i="14"/>
  <c r="B10" i="14"/>
  <c r="B9" i="14"/>
  <c r="E5" i="14"/>
  <c r="C5" i="14"/>
  <c r="L22" i="32"/>
  <c r="K22" i="32" l="1"/>
  <c r="R154" i="24"/>
  <c r="S154" i="24" s="1"/>
  <c r="T154" i="24" s="1"/>
  <c r="U154" i="24" s="1"/>
  <c r="V154" i="24" s="1"/>
  <c r="W154" i="24" s="1"/>
  <c r="X154" i="24" s="1"/>
  <c r="Y154" i="24" s="1"/>
  <c r="Z154" i="24" s="1"/>
  <c r="AA154" i="24" s="1"/>
  <c r="AL26" i="8"/>
  <c r="AL25" i="8"/>
  <c r="AL27" i="8"/>
  <c r="AL29" i="8"/>
  <c r="AL28" i="8"/>
  <c r="E191" i="34"/>
  <c r="AA15" i="20" s="1"/>
  <c r="C13" i="15"/>
  <c r="D12" i="15" s="1"/>
  <c r="E12" i="15" s="1"/>
  <c r="E79" i="34"/>
  <c r="AA15" i="19" s="1"/>
  <c r="M14" i="32"/>
  <c r="I30" i="32"/>
  <c r="J23" i="32"/>
  <c r="J25" i="32"/>
  <c r="F31" i="32"/>
  <c r="H31" i="32"/>
  <c r="K25" i="32"/>
  <c r="B14" i="24"/>
  <c r="G31" i="32"/>
  <c r="L25" i="32"/>
  <c r="B13" i="15"/>
  <c r="C13" i="14"/>
  <c r="D12" i="14" s="1"/>
  <c r="E12" i="14" s="1"/>
  <c r="B13" i="14"/>
  <c r="M10" i="20"/>
  <c r="G5" i="15"/>
  <c r="G5" i="14"/>
  <c r="L222" i="2"/>
  <c r="Q16" i="32" s="1"/>
  <c r="L221" i="2"/>
  <c r="Q15" i="32" s="1"/>
  <c r="L220" i="2"/>
  <c r="Q14" i="32" s="1"/>
  <c r="H10" i="15"/>
  <c r="H9" i="15"/>
  <c r="AH56" i="2"/>
  <c r="AD56" i="2"/>
  <c r="Z56" i="2"/>
  <c r="V56" i="2"/>
  <c r="AH55" i="2"/>
  <c r="AD55" i="2"/>
  <c r="Z55" i="2"/>
  <c r="V55" i="2"/>
  <c r="E5" i="18"/>
  <c r="O101" i="20"/>
  <c r="O99" i="20"/>
  <c r="O97" i="20"/>
  <c r="O95" i="20"/>
  <c r="O93" i="20"/>
  <c r="O91" i="20"/>
  <c r="O89" i="20"/>
  <c r="O87" i="20"/>
  <c r="O85" i="20"/>
  <c r="O83" i="20"/>
  <c r="O81" i="20"/>
  <c r="A5" i="20"/>
  <c r="B11" i="20"/>
  <c r="I11" i="19"/>
  <c r="I9" i="19"/>
  <c r="R115" i="18"/>
  <c r="I11" i="17"/>
  <c r="I10" i="17"/>
  <c r="I9" i="17"/>
  <c r="R113" i="17"/>
  <c r="R111" i="17"/>
  <c r="R97" i="17"/>
  <c r="R95" i="17"/>
  <c r="R93" i="17"/>
  <c r="R91" i="17"/>
  <c r="R89" i="17"/>
  <c r="R87" i="17"/>
  <c r="R85" i="17"/>
  <c r="R83" i="17"/>
  <c r="R81" i="17"/>
  <c r="AB6" i="17" s="1" a="1"/>
  <c r="R79" i="17"/>
  <c r="R77" i="17"/>
  <c r="R75" i="17"/>
  <c r="R73" i="17"/>
  <c r="R71" i="17"/>
  <c r="R69" i="17"/>
  <c r="R67" i="17"/>
  <c r="R65" i="17"/>
  <c r="R63" i="17"/>
  <c r="R61" i="17"/>
  <c r="R57" i="17"/>
  <c r="B11" i="19"/>
  <c r="B10" i="19"/>
  <c r="B9" i="19"/>
  <c r="E5" i="19"/>
  <c r="B9" i="18"/>
  <c r="B11" i="18"/>
  <c r="B10" i="18"/>
  <c r="I10" i="18"/>
  <c r="I11" i="18"/>
  <c r="I9" i="18"/>
  <c r="A5" i="18"/>
  <c r="B11" i="17"/>
  <c r="B10" i="17"/>
  <c r="B9" i="17"/>
  <c r="F23" i="32"/>
  <c r="I10" i="2"/>
  <c r="I11" i="2"/>
  <c r="I9" i="2"/>
  <c r="L180" i="2"/>
  <c r="L181" i="2"/>
  <c r="L182" i="2"/>
  <c r="L183" i="2"/>
  <c r="L184" i="2"/>
  <c r="L188" i="2"/>
  <c r="L189" i="2"/>
  <c r="L190" i="2"/>
  <c r="L191" i="2"/>
  <c r="L192" i="2"/>
  <c r="L193" i="2"/>
  <c r="L194" i="2"/>
  <c r="L195" i="2"/>
  <c r="L196" i="2"/>
  <c r="L197" i="2"/>
  <c r="L198" i="2"/>
  <c r="B10" i="2"/>
  <c r="B11" i="2"/>
  <c r="B9" i="2"/>
  <c r="A5" i="2"/>
  <c r="V184" i="2" s="1"/>
  <c r="W184" i="2" s="1"/>
  <c r="X184" i="2" s="1"/>
  <c r="Y184" i="2" s="1"/>
  <c r="Z184" i="2" s="1"/>
  <c r="AA184" i="2" s="1"/>
  <c r="AB184" i="2" s="1"/>
  <c r="AC184" i="2" s="1"/>
  <c r="AD184" i="2" s="1"/>
  <c r="AE184" i="2" s="1"/>
  <c r="L5" i="17" l="1"/>
  <c r="L214" i="2"/>
  <c r="AD25" i="18"/>
  <c r="AD22" i="18"/>
  <c r="AD24" i="18"/>
  <c r="AD23" i="18"/>
  <c r="I22" i="32"/>
  <c r="U110" i="20"/>
  <c r="G25" i="32"/>
  <c r="H7" i="32"/>
  <c r="D7" i="32"/>
  <c r="H22" i="32"/>
  <c r="E192" i="34"/>
  <c r="AA16" i="20" s="1"/>
  <c r="J11" i="20"/>
  <c r="J10" i="20"/>
  <c r="I11" i="20"/>
  <c r="J15" i="32" s="1"/>
  <c r="I10" i="20"/>
  <c r="I9" i="20"/>
  <c r="AB23" i="17" a="1"/>
  <c r="AB25" i="17" a="1"/>
  <c r="AB24" i="17" a="1"/>
  <c r="AB12" i="17" a="1"/>
  <c r="AB11" i="17" a="1"/>
  <c r="AB13" i="17" a="1"/>
  <c r="AB9" i="17" a="1"/>
  <c r="AB7" i="17" a="1"/>
  <c r="AB21" i="17" a="1"/>
  <c r="AB10" i="17" a="1"/>
  <c r="AB8" i="17" a="1"/>
  <c r="AB15" i="17" a="1"/>
  <c r="AB18" i="17" a="1"/>
  <c r="AB16" i="17" a="1"/>
  <c r="AB19" i="17" a="1"/>
  <c r="AB14" i="17" a="1"/>
  <c r="AB20" i="17" a="1"/>
  <c r="AB17" i="17" a="1"/>
  <c r="AB22" i="17" a="1"/>
  <c r="D10" i="15"/>
  <c r="E10" i="15" s="1"/>
  <c r="E80" i="34"/>
  <c r="AA16" i="19" s="1"/>
  <c r="L5" i="2"/>
  <c r="E28" i="32" s="1"/>
  <c r="L5" i="19"/>
  <c r="H28" i="32" s="1"/>
  <c r="B13" i="18"/>
  <c r="E22" i="32"/>
  <c r="G22" i="32"/>
  <c r="I23" i="32"/>
  <c r="E13" i="32"/>
  <c r="J26" i="32"/>
  <c r="E14" i="32"/>
  <c r="K26" i="32"/>
  <c r="L5" i="18"/>
  <c r="L26" i="32"/>
  <c r="H25" i="32"/>
  <c r="I31" i="32"/>
  <c r="D11" i="14"/>
  <c r="E11" i="14" s="1"/>
  <c r="E15" i="32"/>
  <c r="F15" i="32"/>
  <c r="E25" i="32"/>
  <c r="M5" i="15"/>
  <c r="B13" i="20"/>
  <c r="C13" i="20"/>
  <c r="E10" i="20" s="1"/>
  <c r="F10" i="20" s="1"/>
  <c r="B13" i="19"/>
  <c r="C13" i="19"/>
  <c r="F10" i="19" s="1"/>
  <c r="B13" i="17"/>
  <c r="C13" i="17"/>
  <c r="B13" i="2"/>
  <c r="D9" i="15"/>
  <c r="D10" i="14"/>
  <c r="E10" i="14" s="1"/>
  <c r="J9" i="20"/>
  <c r="D9" i="14"/>
  <c r="D11" i="15"/>
  <c r="E11" i="15" s="1"/>
  <c r="J5" i="14"/>
  <c r="L5" i="24"/>
  <c r="AI55" i="19"/>
  <c r="AI55" i="17"/>
  <c r="AI56" i="19"/>
  <c r="AI56" i="2"/>
  <c r="AI55" i="2"/>
  <c r="AI56" i="17"/>
  <c r="F28" i="32" l="1"/>
  <c r="V110" i="20"/>
  <c r="W110" i="20" s="1"/>
  <c r="X110" i="20" s="1"/>
  <c r="Y110" i="20" s="1"/>
  <c r="Z110" i="20" s="1"/>
  <c r="AA110" i="20" s="1"/>
  <c r="AB110" i="20" s="1"/>
  <c r="AC110" i="20" s="1"/>
  <c r="L28" i="32"/>
  <c r="E193" i="34"/>
  <c r="AA17" i="20" s="1"/>
  <c r="D13" i="14"/>
  <c r="E81" i="34"/>
  <c r="AA17" i="19" s="1"/>
  <c r="E18" i="32"/>
  <c r="M10" i="2"/>
  <c r="N14" i="32" s="1"/>
  <c r="E31" i="32" s="1"/>
  <c r="L27" i="32"/>
  <c r="K27" i="32"/>
  <c r="J27" i="32"/>
  <c r="G28" i="32"/>
  <c r="L5" i="20"/>
  <c r="I24" i="32"/>
  <c r="K15" i="32"/>
  <c r="E9" i="15"/>
  <c r="D13" i="15"/>
  <c r="E12" i="20"/>
  <c r="F12" i="20" s="1"/>
  <c r="F12" i="19"/>
  <c r="F11" i="17"/>
  <c r="F12" i="17"/>
  <c r="E9" i="14"/>
  <c r="F11" i="19"/>
  <c r="F10" i="17"/>
  <c r="F9" i="17"/>
  <c r="E9" i="20"/>
  <c r="E11" i="20"/>
  <c r="F11" i="20" s="1"/>
  <c r="AD110" i="20" l="1"/>
  <c r="E194" i="34"/>
  <c r="AA18" i="20" s="1"/>
  <c r="E13" i="20"/>
  <c r="F9" i="19"/>
  <c r="E13" i="19"/>
  <c r="E82" i="34"/>
  <c r="AA18" i="19" s="1"/>
  <c r="I28" i="32"/>
  <c r="F9" i="20"/>
  <c r="AH74" i="20"/>
  <c r="AH73" i="20"/>
  <c r="L188" i="34" s="1"/>
  <c r="AH66" i="20"/>
  <c r="AH65" i="20"/>
  <c r="L186" i="34" s="1"/>
  <c r="AH60" i="20"/>
  <c r="AH59" i="20"/>
  <c r="L184" i="34" s="1"/>
  <c r="AH114" i="17"/>
  <c r="AH113" i="17"/>
  <c r="AH112" i="17"/>
  <c r="AH111" i="17"/>
  <c r="AH98" i="17"/>
  <c r="AH97" i="17"/>
  <c r="AH96" i="17"/>
  <c r="AH95" i="17"/>
  <c r="AH94" i="17"/>
  <c r="AH93" i="17"/>
  <c r="L135" i="34" s="1"/>
  <c r="AH92" i="17"/>
  <c r="AH91" i="17"/>
  <c r="AH90" i="17"/>
  <c r="AH89" i="17"/>
  <c r="AH88" i="17"/>
  <c r="AH87" i="17"/>
  <c r="AH86" i="17"/>
  <c r="AH85" i="17"/>
  <c r="AH84" i="17"/>
  <c r="AH83" i="17"/>
  <c r="L123" i="34" s="1"/>
  <c r="AH82" i="17"/>
  <c r="AH81" i="17"/>
  <c r="L117" i="34" s="1"/>
  <c r="AH80" i="17"/>
  <c r="AH79" i="17"/>
  <c r="AH78" i="17"/>
  <c r="AH77" i="17"/>
  <c r="AH76" i="17"/>
  <c r="AH74" i="17"/>
  <c r="AH73" i="17"/>
  <c r="L125" i="34" s="1"/>
  <c r="L127" i="34"/>
  <c r="AH72" i="17"/>
  <c r="AH71" i="17"/>
  <c r="L124" i="34" s="1"/>
  <c r="AH70" i="17"/>
  <c r="AH69" i="17"/>
  <c r="L126" i="34" s="1"/>
  <c r="AH68" i="17"/>
  <c r="AH67" i="17"/>
  <c r="L122" i="34" s="1"/>
  <c r="AH66" i="17"/>
  <c r="AD66" i="17"/>
  <c r="Z66" i="17"/>
  <c r="AH65" i="17"/>
  <c r="L119" i="34" s="1"/>
  <c r="AH64" i="17"/>
  <c r="AD64" i="17"/>
  <c r="Z64" i="17"/>
  <c r="V64" i="17"/>
  <c r="AH63" i="17"/>
  <c r="L118" i="34" s="1"/>
  <c r="AH62" i="17"/>
  <c r="AD62" i="17"/>
  <c r="Z62" i="17"/>
  <c r="V62" i="17"/>
  <c r="AH61" i="17"/>
  <c r="L121" i="34" s="1"/>
  <c r="AH60" i="17"/>
  <c r="AD60" i="17"/>
  <c r="Z60" i="17"/>
  <c r="V60" i="17"/>
  <c r="AH59" i="17"/>
  <c r="L120" i="34" s="1"/>
  <c r="L131" i="34" l="1"/>
  <c r="L134" i="34"/>
  <c r="L132" i="34"/>
  <c r="L133" i="34"/>
  <c r="L129" i="34"/>
  <c r="L128" i="34"/>
  <c r="L130" i="34"/>
  <c r="Y136" i="19"/>
  <c r="AI66" i="17"/>
  <c r="E195" i="34"/>
  <c r="AI82" i="20"/>
  <c r="AI85" i="20"/>
  <c r="AI91" i="20"/>
  <c r="AI65" i="20"/>
  <c r="AI97" i="20"/>
  <c r="AI59" i="20"/>
  <c r="AI88" i="20"/>
  <c r="AI94" i="20"/>
  <c r="AI100" i="20"/>
  <c r="E83" i="34"/>
  <c r="AA19" i="19" s="1"/>
  <c r="AI66" i="20"/>
  <c r="AI73" i="20"/>
  <c r="AI83" i="20"/>
  <c r="AI86" i="20"/>
  <c r="AI89" i="20"/>
  <c r="AI92" i="20"/>
  <c r="AI95" i="20"/>
  <c r="AI98" i="20"/>
  <c r="AI101" i="20"/>
  <c r="AI74" i="20"/>
  <c r="AI81" i="20"/>
  <c r="AI87" i="20"/>
  <c r="AI90" i="20"/>
  <c r="AI93" i="20"/>
  <c r="AI96" i="20"/>
  <c r="AI99" i="20"/>
  <c r="AI102" i="20"/>
  <c r="AI60" i="20"/>
  <c r="AI84" i="20"/>
  <c r="L14" i="32"/>
  <c r="E29" i="32"/>
  <c r="AI59" i="19"/>
  <c r="AI62" i="19"/>
  <c r="AI65" i="19"/>
  <c r="AI68" i="19"/>
  <c r="AI71" i="19"/>
  <c r="AI74" i="19"/>
  <c r="AI77" i="19"/>
  <c r="AI80" i="19"/>
  <c r="AI83" i="19"/>
  <c r="AI86" i="19"/>
  <c r="AI89" i="19"/>
  <c r="AI92" i="19"/>
  <c r="AI95" i="19"/>
  <c r="AI126" i="19"/>
  <c r="AI58" i="17"/>
  <c r="AI61" i="17"/>
  <c r="AI64" i="17"/>
  <c r="AI67" i="17"/>
  <c r="AI71" i="17"/>
  <c r="AI75" i="17"/>
  <c r="AI78" i="17"/>
  <c r="AI81" i="17"/>
  <c r="AI84" i="17"/>
  <c r="AI87" i="17"/>
  <c r="AI90" i="17"/>
  <c r="AI93" i="17"/>
  <c r="AI96" i="17"/>
  <c r="AI111" i="17"/>
  <c r="AI114" i="17"/>
  <c r="AI59" i="17"/>
  <c r="AI68" i="17"/>
  <c r="AI76" i="17"/>
  <c r="AI88" i="17"/>
  <c r="AI97" i="17"/>
  <c r="AI82" i="17"/>
  <c r="AI62" i="17"/>
  <c r="AI65" i="17"/>
  <c r="AI69" i="17"/>
  <c r="AI72" i="17"/>
  <c r="AI73" i="17"/>
  <c r="AI79" i="17"/>
  <c r="AI85" i="17"/>
  <c r="AI91" i="17"/>
  <c r="AI94" i="17"/>
  <c r="AI112" i="17"/>
  <c r="AI57" i="17"/>
  <c r="AI60" i="17"/>
  <c r="AI63" i="17"/>
  <c r="AI70" i="17"/>
  <c r="AI74" i="17"/>
  <c r="AI77" i="17"/>
  <c r="AI80" i="17"/>
  <c r="AI83" i="17"/>
  <c r="AI86" i="17"/>
  <c r="AI89" i="17"/>
  <c r="AI92" i="17"/>
  <c r="AI95" i="17"/>
  <c r="AI98" i="17"/>
  <c r="AI113" i="17"/>
  <c r="AI57" i="19"/>
  <c r="AI60" i="19"/>
  <c r="AI63" i="19"/>
  <c r="AI66" i="19"/>
  <c r="AI69" i="19"/>
  <c r="AI72" i="19"/>
  <c r="AI75" i="19"/>
  <c r="AI78" i="19"/>
  <c r="AI81" i="19"/>
  <c r="AI84" i="19"/>
  <c r="AI87" i="19"/>
  <c r="AI90" i="19"/>
  <c r="AI93" i="19"/>
  <c r="AI96" i="19"/>
  <c r="AI127" i="19"/>
  <c r="AI58" i="19"/>
  <c r="AI64" i="19"/>
  <c r="AI70" i="19"/>
  <c r="AI76" i="19"/>
  <c r="AI125" i="19"/>
  <c r="AI61" i="19"/>
  <c r="AI67" i="19"/>
  <c r="AI73" i="19"/>
  <c r="AI79" i="19"/>
  <c r="AI82" i="19"/>
  <c r="AI85" i="19"/>
  <c r="AI88" i="19"/>
  <c r="AI91" i="19"/>
  <c r="AI94" i="19"/>
  <c r="AI128" i="19"/>
  <c r="AH81" i="2"/>
  <c r="AH176" i="2"/>
  <c r="R175" i="2"/>
  <c r="AH175" i="2"/>
  <c r="AH174" i="2"/>
  <c r="R173" i="2"/>
  <c r="AH173" i="2"/>
  <c r="AH172" i="2"/>
  <c r="R171" i="2"/>
  <c r="AH171" i="2"/>
  <c r="AH100" i="2"/>
  <c r="AH99" i="2"/>
  <c r="AH98" i="2"/>
  <c r="AH97" i="2"/>
  <c r="AH96" i="2"/>
  <c r="AH95" i="2"/>
  <c r="AH94" i="2"/>
  <c r="AD94" i="2"/>
  <c r="Z94" i="2"/>
  <c r="V94" i="2"/>
  <c r="AH93" i="2"/>
  <c r="AH92" i="2"/>
  <c r="AH91" i="2"/>
  <c r="AH90" i="2"/>
  <c r="AH89" i="2"/>
  <c r="AH88" i="2"/>
  <c r="AD88" i="2"/>
  <c r="Z88" i="2"/>
  <c r="V88" i="2"/>
  <c r="AH87" i="2"/>
  <c r="AH86" i="2"/>
  <c r="AD86" i="2"/>
  <c r="Z86" i="2"/>
  <c r="V86" i="2"/>
  <c r="AH85" i="2"/>
  <c r="AH84" i="2"/>
  <c r="AD84" i="2"/>
  <c r="Z84" i="2"/>
  <c r="V84" i="2"/>
  <c r="AH83" i="2"/>
  <c r="AH82" i="2"/>
  <c r="AD82" i="2"/>
  <c r="Z82" i="2"/>
  <c r="V82" i="2"/>
  <c r="AH80" i="2"/>
  <c r="AH79" i="2"/>
  <c r="AH78" i="2"/>
  <c r="AD78" i="2"/>
  <c r="Z78" i="2"/>
  <c r="V78" i="2"/>
  <c r="AH77" i="2"/>
  <c r="AH76" i="2"/>
  <c r="AH75" i="2"/>
  <c r="AH74" i="2"/>
  <c r="AH73" i="2"/>
  <c r="AH72" i="2"/>
  <c r="AH71" i="2"/>
  <c r="AH70" i="2"/>
  <c r="AH69" i="2"/>
  <c r="AH68" i="2"/>
  <c r="AH67" i="2"/>
  <c r="AH66" i="2"/>
  <c r="AH65" i="2"/>
  <c r="AH64" i="2"/>
  <c r="AH63" i="2"/>
  <c r="AH62" i="2"/>
  <c r="AD62" i="2"/>
  <c r="Z62" i="2"/>
  <c r="V62" i="2"/>
  <c r="AH60" i="2"/>
  <c r="AD60" i="2"/>
  <c r="Z60" i="2"/>
  <c r="V60" i="2"/>
  <c r="AH59" i="2"/>
  <c r="AH58" i="2"/>
  <c r="AD58" i="2"/>
  <c r="Z58" i="2"/>
  <c r="V58" i="2"/>
  <c r="AH57" i="2"/>
  <c r="AD57" i="2"/>
  <c r="Z57" i="2"/>
  <c r="V57" i="2"/>
  <c r="Z136" i="19" l="1"/>
  <c r="C5" i="19"/>
  <c r="Z25" i="19" s="1"/>
  <c r="AP159" i="2" a="1"/>
  <c r="AP160" i="2" a="1"/>
  <c r="AP155" i="2" a="1"/>
  <c r="AP148" i="2" a="1"/>
  <c r="AP151" i="2" a="1"/>
  <c r="AP154" i="2" a="1"/>
  <c r="AP152" i="2" a="1"/>
  <c r="AP163" i="2" a="1"/>
  <c r="AP162" i="2" a="1"/>
  <c r="AP147" i="2" a="1"/>
  <c r="AP149" i="2" a="1"/>
  <c r="AP150" i="2" a="1"/>
  <c r="AP167" i="2" a="1"/>
  <c r="AP166" i="2" a="1"/>
  <c r="AP153" i="2" a="1"/>
  <c r="AP164" i="2" a="1"/>
  <c r="AP168" i="2" a="1"/>
  <c r="AP161" i="2" a="1"/>
  <c r="AP156" i="2" a="1"/>
  <c r="AP157" i="2" a="1"/>
  <c r="AP158" i="2" a="1"/>
  <c r="AP165" i="2" a="1"/>
  <c r="AP137" i="2" a="1"/>
  <c r="AP141" i="2" a="1"/>
  <c r="AP143" i="2" a="1"/>
  <c r="AP139" i="2" a="1"/>
  <c r="AP145" i="2" a="1"/>
  <c r="AP144" i="2" a="1"/>
  <c r="AP146" i="2" a="1"/>
  <c r="AP142" i="2" a="1"/>
  <c r="AP140" i="2" a="1"/>
  <c r="AP138" i="2" a="1"/>
  <c r="AP175" i="2" a="1"/>
  <c r="AP171" i="2" a="1"/>
  <c r="AP176" i="2" a="1"/>
  <c r="AP172" i="2" a="1"/>
  <c r="AP174" i="2" a="1"/>
  <c r="AP173" i="2" a="1"/>
  <c r="AP170" i="2" a="1"/>
  <c r="AP169" i="2" a="1"/>
  <c r="AP115" i="2" a="1"/>
  <c r="AP109" i="2" a="1"/>
  <c r="AP95" i="2" a="1"/>
  <c r="AP69" i="2" a="1"/>
  <c r="AP126" i="2" a="1"/>
  <c r="AP70" i="2" a="1"/>
  <c r="AP94" i="2" a="1"/>
  <c r="AP113" i="2" a="1"/>
  <c r="AP133" i="2" a="1"/>
  <c r="AP85" i="2" a="1"/>
  <c r="AP67" i="2" a="1"/>
  <c r="AP120" i="2" a="1"/>
  <c r="AP72" i="2" a="1"/>
  <c r="AP82" i="2" a="1"/>
  <c r="AP111" i="2" a="1"/>
  <c r="AP107" i="2" a="1"/>
  <c r="AP89" i="2" a="1"/>
  <c r="AP83" i="2" a="1"/>
  <c r="AP118" i="2" a="1"/>
  <c r="AP84" i="2" a="1"/>
  <c r="AP56" i="2" a="1"/>
  <c r="AP117" i="2" a="1"/>
  <c r="AP105" i="2" a="1"/>
  <c r="AP99" i="2" a="1"/>
  <c r="AP75" i="2" a="1"/>
  <c r="AP128" i="2" a="1"/>
  <c r="AP119" i="2" a="1"/>
  <c r="AP103" i="2" a="1"/>
  <c r="AP71" i="2" a="1"/>
  <c r="AP59" i="2" a="1"/>
  <c r="AP114" i="2" a="1"/>
  <c r="AP64" i="2" a="1"/>
  <c r="AP98" i="2" a="1"/>
  <c r="AP90" i="2" a="1"/>
  <c r="AP129" i="2" a="1"/>
  <c r="AP101" i="2" a="1"/>
  <c r="AP77" i="2" a="1"/>
  <c r="AP112" i="2" a="1"/>
  <c r="AP132" i="2" a="1"/>
  <c r="AP78" i="2" a="1"/>
  <c r="AP96" i="2" a="1"/>
  <c r="AP86" i="2" a="1"/>
  <c r="AP63" i="2" a="1"/>
  <c r="AP125" i="2" a="1"/>
  <c r="AP87" i="2" a="1"/>
  <c r="AP93" i="2" a="1"/>
  <c r="AP130" i="2" a="1"/>
  <c r="AP122" i="2" a="1"/>
  <c r="AP74" i="2" a="1"/>
  <c r="AP100" i="2" a="1"/>
  <c r="AP92" i="2" a="1"/>
  <c r="AP88" i="2" a="1"/>
  <c r="AP136" i="2" a="1"/>
  <c r="AP135" i="2" a="1"/>
  <c r="AP57" i="2" a="1"/>
  <c r="AP91" i="2" a="1"/>
  <c r="AP116" i="2" a="1"/>
  <c r="AP108" i="2" a="1"/>
  <c r="AP131" i="2" a="1"/>
  <c r="AP123" i="2" a="1"/>
  <c r="AP55" i="2" a="1"/>
  <c r="AP65" i="2" a="1"/>
  <c r="AP124" i="2" a="1"/>
  <c r="AP104" i="2" a="1"/>
  <c r="AP66" i="2" a="1"/>
  <c r="AP58" i="2" a="1"/>
  <c r="AP62" i="2" a="1"/>
  <c r="AP121" i="2" a="1"/>
  <c r="AP61" i="2" a="1"/>
  <c r="AP81" i="2" a="1"/>
  <c r="AP110" i="2" a="1"/>
  <c r="AP102" i="2" a="1"/>
  <c r="AP68" i="2" a="1"/>
  <c r="AP80" i="2" a="1"/>
  <c r="AP106" i="2" a="1"/>
  <c r="AP73" i="2" a="1"/>
  <c r="AP60" i="2" a="1"/>
  <c r="AP127" i="2" a="1"/>
  <c r="AP97" i="2" a="1"/>
  <c r="AP79" i="2" a="1"/>
  <c r="AP134" i="2" a="1"/>
  <c r="AP76" i="2" a="1"/>
  <c r="AK51" i="20"/>
  <c r="AK47" i="20"/>
  <c r="AK50" i="20"/>
  <c r="AK49" i="20"/>
  <c r="AK48" i="20"/>
  <c r="D5" i="20"/>
  <c r="D5" i="17"/>
  <c r="G5" i="19"/>
  <c r="J5" i="19" s="1"/>
  <c r="G5" i="20"/>
  <c r="J5" i="20" s="1"/>
  <c r="E196" i="34"/>
  <c r="E84" i="34"/>
  <c r="AA20" i="19" s="1"/>
  <c r="AI89" i="2"/>
  <c r="AI61" i="2"/>
  <c r="AI69" i="2"/>
  <c r="AI77" i="2"/>
  <c r="AI88" i="2"/>
  <c r="F26" i="32"/>
  <c r="AI83" i="2"/>
  <c r="L49" i="34" s="1"/>
  <c r="AI80" i="2"/>
  <c r="AI64" i="2"/>
  <c r="AI72" i="2"/>
  <c r="AI59" i="2"/>
  <c r="L40" i="34" s="1"/>
  <c r="AI67" i="2"/>
  <c r="L42" i="34" s="1"/>
  <c r="AI75" i="2"/>
  <c r="L58" i="34" s="1"/>
  <c r="AI86" i="2"/>
  <c r="AI94" i="2"/>
  <c r="AI97" i="2"/>
  <c r="AI62" i="2"/>
  <c r="AI70" i="2"/>
  <c r="AI78" i="2"/>
  <c r="AI96" i="2"/>
  <c r="AI174" i="2"/>
  <c r="AI99" i="2"/>
  <c r="AI172" i="2"/>
  <c r="AI173" i="2"/>
  <c r="AI87" i="2"/>
  <c r="AI95" i="2"/>
  <c r="AI175" i="2"/>
  <c r="AI60" i="2"/>
  <c r="AI68" i="2"/>
  <c r="AI76" i="2"/>
  <c r="AI57" i="2"/>
  <c r="AI65" i="2"/>
  <c r="AI73" i="2"/>
  <c r="L51" i="34" s="1"/>
  <c r="AI81" i="2"/>
  <c r="L34" i="34" s="1"/>
  <c r="AI84" i="2"/>
  <c r="AI92" i="2"/>
  <c r="AI100" i="2"/>
  <c r="AI71" i="2"/>
  <c r="L45" i="34" s="1"/>
  <c r="AI82" i="2"/>
  <c r="AI90" i="2"/>
  <c r="AI98" i="2"/>
  <c r="AI176" i="2"/>
  <c r="AI63" i="2"/>
  <c r="AI79" i="2"/>
  <c r="L53" i="34" s="1"/>
  <c r="AI85" i="2"/>
  <c r="AI93" i="2"/>
  <c r="AI171" i="2"/>
  <c r="AI91" i="2"/>
  <c r="AI58" i="2"/>
  <c r="AI66" i="2"/>
  <c r="AI74" i="2"/>
  <c r="AA136" i="19" l="1"/>
  <c r="AB136" i="19" s="1"/>
  <c r="L35" i="34"/>
  <c r="L41" i="34"/>
  <c r="L36" i="34"/>
  <c r="L37" i="34"/>
  <c r="D5" i="2"/>
  <c r="Z6" i="19"/>
  <c r="Z15" i="19"/>
  <c r="Z13" i="19"/>
  <c r="Z14" i="19"/>
  <c r="Z19" i="19"/>
  <c r="Z20" i="19"/>
  <c r="Z23" i="19"/>
  <c r="Z7" i="19"/>
  <c r="Z21" i="19"/>
  <c r="Z11" i="19"/>
  <c r="Z18" i="19"/>
  <c r="Z10" i="19"/>
  <c r="Z8" i="19"/>
  <c r="Z22" i="19"/>
  <c r="Z16" i="19"/>
  <c r="Z24" i="19"/>
  <c r="Z9" i="19"/>
  <c r="Z12" i="19"/>
  <c r="Z17" i="19"/>
  <c r="H26" i="32"/>
  <c r="E197" i="34"/>
  <c r="E85" i="34"/>
  <c r="AA21" i="19" s="1"/>
  <c r="I27" i="32"/>
  <c r="I26" i="32"/>
  <c r="G26" i="32"/>
  <c r="C5" i="2"/>
  <c r="J5" i="17"/>
  <c r="J5" i="18"/>
  <c r="AC136" i="19" l="1"/>
  <c r="J5" i="2"/>
  <c r="Q19" i="2"/>
  <c r="R19" i="2" s="1"/>
  <c r="Q24" i="2"/>
  <c r="R24" i="2" s="1"/>
  <c r="Q13" i="2"/>
  <c r="R13" i="2" s="1"/>
  <c r="Q12" i="2"/>
  <c r="R12" i="2" s="1"/>
  <c r="Q21" i="2"/>
  <c r="R21" i="2" s="1"/>
  <c r="Q18" i="2"/>
  <c r="R18" i="2" s="1"/>
  <c r="Q17" i="2"/>
  <c r="R17" i="2" s="1"/>
  <c r="Q10" i="2"/>
  <c r="R10" i="2" s="1"/>
  <c r="Q14" i="2"/>
  <c r="R14" i="2" s="1"/>
  <c r="Q22" i="2"/>
  <c r="R22" i="2" s="1"/>
  <c r="Q7" i="2"/>
  <c r="Q20" i="2"/>
  <c r="R20" i="2" s="1"/>
  <c r="Q11" i="2"/>
  <c r="R11" i="2" s="1"/>
  <c r="Q23" i="2"/>
  <c r="R23" i="2" s="1"/>
  <c r="Q25" i="2"/>
  <c r="R25" i="2" s="1"/>
  <c r="Q8" i="2"/>
  <c r="R8" i="2" s="1"/>
  <c r="Q15" i="2"/>
  <c r="R15" i="2" s="1"/>
  <c r="Q16" i="2"/>
  <c r="R16" i="2" s="1"/>
  <c r="E198" i="34"/>
  <c r="E86" i="34"/>
  <c r="AA22" i="19" s="1"/>
  <c r="Q6" i="2"/>
  <c r="B5" i="34"/>
  <c r="B32" i="34"/>
  <c r="B26" i="34"/>
  <c r="B6" i="34"/>
  <c r="B23" i="34"/>
  <c r="B14" i="34"/>
  <c r="B20" i="34"/>
  <c r="B15" i="34"/>
  <c r="B9" i="34"/>
  <c r="B8" i="34"/>
  <c r="B10" i="34"/>
  <c r="B12" i="34"/>
  <c r="B29" i="34"/>
  <c r="B16" i="34"/>
  <c r="B33" i="34"/>
  <c r="B18" i="34"/>
  <c r="B17" i="34"/>
  <c r="B30" i="34"/>
  <c r="B28" i="34"/>
  <c r="B21" i="34"/>
  <c r="B11" i="34"/>
  <c r="B22" i="34"/>
  <c r="B7" i="34"/>
  <c r="B13" i="34"/>
  <c r="B24" i="34"/>
  <c r="B31" i="34"/>
  <c r="B27" i="34"/>
  <c r="B25" i="34"/>
  <c r="B19" i="34"/>
  <c r="B4" i="34"/>
  <c r="C6" i="33"/>
  <c r="C7" i="33"/>
  <c r="C3" i="33"/>
  <c r="E3" i="33" s="1"/>
  <c r="C4" i="33"/>
  <c r="D4" i="33" s="1"/>
  <c r="C5" i="33"/>
  <c r="J9" i="2"/>
  <c r="H27" i="32"/>
  <c r="G27" i="32"/>
  <c r="F27" i="32"/>
  <c r="E26" i="32"/>
  <c r="R7" i="2" l="1"/>
  <c r="U7" i="2"/>
  <c r="D15" i="34"/>
  <c r="D9" i="34"/>
  <c r="D30" i="34"/>
  <c r="D17" i="34"/>
  <c r="D33" i="34"/>
  <c r="D16" i="34"/>
  <c r="D32" i="34"/>
  <c r="D11" i="34"/>
  <c r="D20" i="34"/>
  <c r="D25" i="34"/>
  <c r="D6" i="34"/>
  <c r="D24" i="34"/>
  <c r="D29" i="34"/>
  <c r="D5" i="34"/>
  <c r="D13" i="34"/>
  <c r="D12" i="34"/>
  <c r="D4" i="34"/>
  <c r="E4" i="34" s="1"/>
  <c r="D62" i="34"/>
  <c r="D53" i="34"/>
  <c r="D63" i="34"/>
  <c r="D52" i="34"/>
  <c r="D58" i="34"/>
  <c r="D57" i="34"/>
  <c r="D61" i="34"/>
  <c r="D54" i="34"/>
  <c r="D50" i="34"/>
  <c r="D51" i="34"/>
  <c r="D60" i="34"/>
  <c r="D59" i="34"/>
  <c r="D56" i="34"/>
  <c r="D55" i="34"/>
  <c r="D49" i="34"/>
  <c r="D45" i="34"/>
  <c r="D40" i="34"/>
  <c r="D36" i="34"/>
  <c r="D39" i="34"/>
  <c r="D46" i="34"/>
  <c r="D42" i="34"/>
  <c r="D43" i="34"/>
  <c r="D37" i="34"/>
  <c r="D48" i="34"/>
  <c r="D35" i="34"/>
  <c r="D47" i="34"/>
  <c r="D38" i="34"/>
  <c r="D41" i="34"/>
  <c r="D44" i="34"/>
  <c r="D34" i="34"/>
  <c r="D26" i="34"/>
  <c r="D21" i="34"/>
  <c r="D28" i="34"/>
  <c r="D14" i="34"/>
  <c r="D19" i="34"/>
  <c r="D23" i="34"/>
  <c r="D18" i="34"/>
  <c r="D27" i="34"/>
  <c r="D31" i="34"/>
  <c r="D7" i="34"/>
  <c r="D10" i="34"/>
  <c r="D22" i="34"/>
  <c r="Z24" i="17" s="1"/>
  <c r="D8" i="34"/>
  <c r="Z10" i="17" s="1"/>
  <c r="C30" i="34"/>
  <c r="C14" i="34"/>
  <c r="C19" i="34"/>
  <c r="C18" i="34"/>
  <c r="C26" i="34"/>
  <c r="C24" i="34"/>
  <c r="C21" i="34"/>
  <c r="C15" i="34"/>
  <c r="C17" i="34"/>
  <c r="C6" i="34"/>
  <c r="C31" i="34"/>
  <c r="C16" i="34"/>
  <c r="C32" i="34"/>
  <c r="C28" i="34"/>
  <c r="C13" i="34"/>
  <c r="C12" i="34"/>
  <c r="C25" i="34"/>
  <c r="C27" i="34"/>
  <c r="C29" i="34"/>
  <c r="C7" i="34"/>
  <c r="C10" i="34"/>
  <c r="C20" i="34"/>
  <c r="C23" i="34"/>
  <c r="C33" i="34"/>
  <c r="C22" i="34"/>
  <c r="C8" i="34"/>
  <c r="C11" i="34"/>
  <c r="C9" i="34"/>
  <c r="C5" i="34"/>
  <c r="AD136" i="19"/>
  <c r="R6" i="2"/>
  <c r="U6" i="2"/>
  <c r="C4" i="34"/>
  <c r="U19" i="2"/>
  <c r="U22" i="2"/>
  <c r="U15" i="2"/>
  <c r="U24" i="2"/>
  <c r="U8" i="2"/>
  <c r="U25" i="2"/>
  <c r="U17" i="2"/>
  <c r="U23" i="2"/>
  <c r="U18" i="2"/>
  <c r="U21" i="2"/>
  <c r="U20" i="2"/>
  <c r="U12" i="2"/>
  <c r="U11" i="2"/>
  <c r="U13" i="2"/>
  <c r="U14" i="2"/>
  <c r="U10" i="2"/>
  <c r="U16" i="2"/>
  <c r="E199" i="34"/>
  <c r="C13" i="2"/>
  <c r="Z15" i="2" s="1"/>
  <c r="E87" i="34"/>
  <c r="AA23" i="19" s="1"/>
  <c r="D6" i="33"/>
  <c r="E6" i="33"/>
  <c r="F6" i="33"/>
  <c r="F4" i="33"/>
  <c r="E4" i="33"/>
  <c r="E24" i="32"/>
  <c r="F5" i="33"/>
  <c r="D5" i="33"/>
  <c r="E5" i="33"/>
  <c r="D3" i="33"/>
  <c r="F3" i="33"/>
  <c r="F7" i="33"/>
  <c r="D7" i="33"/>
  <c r="E7" i="33"/>
  <c r="E27" i="32"/>
  <c r="H30" i="1"/>
  <c r="H31" i="1"/>
  <c r="H32" i="1"/>
  <c r="H33" i="1"/>
  <c r="H34" i="1"/>
  <c r="H35" i="1"/>
  <c r="H36" i="1"/>
  <c r="I6" i="34" l="1"/>
  <c r="L6" i="34"/>
  <c r="I10" i="34"/>
  <c r="L10" i="34"/>
  <c r="I17" i="34"/>
  <c r="L17" i="34"/>
  <c r="I7" i="34"/>
  <c r="L7" i="34"/>
  <c r="I15" i="34"/>
  <c r="L15" i="34"/>
  <c r="I20" i="34"/>
  <c r="L20" i="34"/>
  <c r="I29" i="34"/>
  <c r="L29" i="34"/>
  <c r="I21" i="34"/>
  <c r="L21" i="34"/>
  <c r="I24" i="34"/>
  <c r="L24" i="34"/>
  <c r="I4" i="34"/>
  <c r="L4" i="34"/>
  <c r="I26" i="34"/>
  <c r="L26" i="34"/>
  <c r="I25" i="34"/>
  <c r="L25" i="34"/>
  <c r="I12" i="34"/>
  <c r="L12" i="34"/>
  <c r="I18" i="34"/>
  <c r="L18" i="34"/>
  <c r="I5" i="34"/>
  <c r="L5" i="34"/>
  <c r="I11" i="34"/>
  <c r="L11" i="34"/>
  <c r="I13" i="34"/>
  <c r="L13" i="34"/>
  <c r="I19" i="34"/>
  <c r="L19" i="34"/>
  <c r="I23" i="34"/>
  <c r="L23" i="34"/>
  <c r="I9" i="34"/>
  <c r="L9" i="34"/>
  <c r="I8" i="34"/>
  <c r="L8" i="34"/>
  <c r="I28" i="34"/>
  <c r="L28" i="34"/>
  <c r="I14" i="34"/>
  <c r="L14" i="34"/>
  <c r="I22" i="34"/>
  <c r="L22" i="34"/>
  <c r="I32" i="34"/>
  <c r="L32" i="34"/>
  <c r="I30" i="34"/>
  <c r="L30" i="34"/>
  <c r="I27" i="34"/>
  <c r="L27" i="34"/>
  <c r="I33" i="34"/>
  <c r="L33" i="34"/>
  <c r="I16" i="34"/>
  <c r="L16" i="34"/>
  <c r="I31" i="34"/>
  <c r="L31" i="34"/>
  <c r="R26" i="2"/>
  <c r="H30" i="34"/>
  <c r="G30" i="34"/>
  <c r="G14" i="34"/>
  <c r="H18" i="34"/>
  <c r="H14" i="34"/>
  <c r="H22" i="34"/>
  <c r="G22" i="34"/>
  <c r="H32" i="34"/>
  <c r="H13" i="34"/>
  <c r="G13" i="34"/>
  <c r="G32" i="34"/>
  <c r="G5" i="34"/>
  <c r="H28" i="34"/>
  <c r="H19" i="34"/>
  <c r="G28" i="34"/>
  <c r="G19" i="34"/>
  <c r="H12" i="34"/>
  <c r="G12" i="34"/>
  <c r="G33" i="34"/>
  <c r="H16" i="34"/>
  <c r="H20" i="34"/>
  <c r="G10" i="34"/>
  <c r="G17" i="34"/>
  <c r="G15" i="34"/>
  <c r="G29" i="34"/>
  <c r="G24" i="34"/>
  <c r="H5" i="34"/>
  <c r="G9" i="34"/>
  <c r="G18" i="34"/>
  <c r="H8" i="34"/>
  <c r="H6" i="34"/>
  <c r="G6" i="34"/>
  <c r="H17" i="34"/>
  <c r="G23" i="34"/>
  <c r="H23" i="34"/>
  <c r="H33" i="34"/>
  <c r="G21" i="34"/>
  <c r="H25" i="34"/>
  <c r="H29" i="34"/>
  <c r="H21" i="34"/>
  <c r="H15" i="34"/>
  <c r="G25" i="34"/>
  <c r="G8" i="34"/>
  <c r="G20" i="34"/>
  <c r="H9" i="34"/>
  <c r="G16" i="34"/>
  <c r="E5" i="34"/>
  <c r="E6" i="34" s="1"/>
  <c r="E7" i="34" s="1"/>
  <c r="E8" i="34" s="1"/>
  <c r="E9" i="34" s="1"/>
  <c r="E10" i="34" s="1"/>
  <c r="E11" i="34" s="1"/>
  <c r="E12" i="34" s="1"/>
  <c r="E13" i="34" s="1"/>
  <c r="E14" i="34" s="1"/>
  <c r="E15" i="34" s="1"/>
  <c r="E16" i="34" s="1"/>
  <c r="E17" i="34" s="1"/>
  <c r="E18" i="34" s="1"/>
  <c r="E19" i="34" s="1"/>
  <c r="E20" i="34" s="1"/>
  <c r="E21" i="34" s="1"/>
  <c r="E22" i="34" s="1"/>
  <c r="E23" i="34" s="1"/>
  <c r="E24" i="34" s="1"/>
  <c r="E25" i="34" s="1"/>
  <c r="E26" i="34" s="1"/>
  <c r="E27" i="34" s="1"/>
  <c r="E28" i="34" s="1"/>
  <c r="E29" i="34" s="1"/>
  <c r="E30" i="34" s="1"/>
  <c r="E31" i="34" s="1"/>
  <c r="E32" i="34" s="1"/>
  <c r="E33" i="34" s="1"/>
  <c r="E34" i="34" s="1"/>
  <c r="E35" i="34" s="1"/>
  <c r="E36" i="34" s="1"/>
  <c r="E37" i="34" s="1"/>
  <c r="E38" i="34" s="1"/>
  <c r="E39" i="34" s="1"/>
  <c r="E40" i="34" s="1"/>
  <c r="E41" i="34" s="1"/>
  <c r="E42" i="34" s="1"/>
  <c r="E43" i="34" s="1"/>
  <c r="E44" i="34" s="1"/>
  <c r="E45" i="34" s="1"/>
  <c r="E46" i="34" s="1"/>
  <c r="E47" i="34" s="1"/>
  <c r="E48" i="34" s="1"/>
  <c r="E49" i="34" s="1"/>
  <c r="E50" i="34" s="1"/>
  <c r="E51" i="34" s="1"/>
  <c r="E52" i="34" s="1"/>
  <c r="E53" i="34" s="1"/>
  <c r="E54" i="34" s="1"/>
  <c r="E55" i="34" s="1"/>
  <c r="E56" i="34" s="1"/>
  <c r="E57" i="34" s="1"/>
  <c r="E58" i="34" s="1"/>
  <c r="E59" i="34" s="1"/>
  <c r="E60" i="34" s="1"/>
  <c r="E61" i="34" s="1"/>
  <c r="E62" i="34" s="1"/>
  <c r="E63" i="34" s="1"/>
  <c r="H10" i="34"/>
  <c r="H7" i="34"/>
  <c r="H26" i="34"/>
  <c r="G27" i="34"/>
  <c r="G7" i="34"/>
  <c r="G26" i="34"/>
  <c r="H11" i="34"/>
  <c r="H24" i="34"/>
  <c r="G11" i="34"/>
  <c r="H27" i="34"/>
  <c r="H31" i="34"/>
  <c r="G31" i="34"/>
  <c r="AC6" i="2" a="1"/>
  <c r="AB6" i="2" a="1"/>
  <c r="G4" i="34"/>
  <c r="H4" i="34"/>
  <c r="S16" i="2"/>
  <c r="T16" i="2" a="1"/>
  <c r="T17" i="2" a="1"/>
  <c r="T23" i="2" a="1"/>
  <c r="S10" i="2"/>
  <c r="T10" i="2" a="1"/>
  <c r="S25" i="2"/>
  <c r="T25" i="2" a="1"/>
  <c r="S7" i="2"/>
  <c r="T7" i="2" a="1"/>
  <c r="S8" i="2"/>
  <c r="T8" i="2" a="1"/>
  <c r="S6" i="2"/>
  <c r="T6" i="2" a="1"/>
  <c r="T14" i="2" a="1"/>
  <c r="S24" i="2"/>
  <c r="T24" i="2" a="1"/>
  <c r="T13" i="2" a="1"/>
  <c r="T15" i="2" a="1"/>
  <c r="S11" i="2"/>
  <c r="T11" i="2" a="1"/>
  <c r="T20" i="2" a="1"/>
  <c r="T19" i="2" a="1"/>
  <c r="T22" i="2" a="1"/>
  <c r="T21" i="2" a="1"/>
  <c r="S12" i="2"/>
  <c r="T12" i="2" a="1"/>
  <c r="T18" i="2" a="1"/>
  <c r="P23" i="2"/>
  <c r="S23" i="2"/>
  <c r="AB15" i="2" a="1"/>
  <c r="S15" i="2"/>
  <c r="P18" i="2"/>
  <c r="S18" i="2"/>
  <c r="AC17" i="2" a="1"/>
  <c r="S17" i="2"/>
  <c r="AB14" i="2" a="1"/>
  <c r="S14" i="2"/>
  <c r="P20" i="2"/>
  <c r="S20" i="2"/>
  <c r="AB22" i="2" a="1"/>
  <c r="S22" i="2"/>
  <c r="P13" i="2"/>
  <c r="S13" i="2"/>
  <c r="P21" i="2"/>
  <c r="S21" i="2"/>
  <c r="AB19" i="2" a="1"/>
  <c r="S19" i="2"/>
  <c r="AC9" i="2" a="1"/>
  <c r="AC22" i="2" a="1"/>
  <c r="AC25" i="2" a="1"/>
  <c r="AB9" i="2" a="1"/>
  <c r="AC19" i="2" a="1"/>
  <c r="P19" i="2"/>
  <c r="AC11" i="2" a="1"/>
  <c r="P22" i="2"/>
  <c r="AC15" i="2" a="1"/>
  <c r="AB12" i="2" a="1"/>
  <c r="AB23" i="2" a="1"/>
  <c r="AC23" i="2" a="1"/>
  <c r="AB18" i="2" a="1"/>
  <c r="AB8" i="2" a="1"/>
  <c r="AC8" i="2" a="1"/>
  <c r="P8" i="2"/>
  <c r="Q26" i="2" s="1"/>
  <c r="AC12" i="2" a="1"/>
  <c r="P12" i="2"/>
  <c r="AB13" i="2" a="1"/>
  <c r="P25" i="2"/>
  <c r="P11" i="2"/>
  <c r="AC21" i="2" a="1"/>
  <c r="AB11" i="2" a="1"/>
  <c r="AC18" i="2" a="1"/>
  <c r="P15" i="2"/>
  <c r="AB25" i="2" a="1"/>
  <c r="AC13" i="2" a="1"/>
  <c r="AB21" i="2" a="1"/>
  <c r="AB20" i="2" a="1"/>
  <c r="P24" i="2"/>
  <c r="AC20" i="2" a="1"/>
  <c r="P17" i="2"/>
  <c r="AB24" i="2" a="1"/>
  <c r="AC24" i="2" a="1"/>
  <c r="AB17" i="2" a="1"/>
  <c r="P16" i="2"/>
  <c r="P10" i="2"/>
  <c r="AC7" i="2" a="1"/>
  <c r="P14" i="2"/>
  <c r="Z22" i="2"/>
  <c r="Z24" i="2"/>
  <c r="Z6" i="2"/>
  <c r="AA6" i="2" s="1"/>
  <c r="Z8" i="2"/>
  <c r="Z23" i="2"/>
  <c r="Z13" i="2"/>
  <c r="Z25" i="2"/>
  <c r="Z12" i="2"/>
  <c r="Z16" i="2"/>
  <c r="Z18" i="2"/>
  <c r="Z17" i="2"/>
  <c r="Z14" i="2"/>
  <c r="AB16" i="2" a="1"/>
  <c r="AC16" i="2" a="1"/>
  <c r="Z11" i="2"/>
  <c r="Z10" i="2"/>
  <c r="Z7" i="2"/>
  <c r="AB10" i="2" a="1"/>
  <c r="AC14" i="2" a="1"/>
  <c r="Z19" i="2"/>
  <c r="P6" i="2"/>
  <c r="Z21" i="2"/>
  <c r="P7" i="2"/>
  <c r="AB7" i="2" a="1"/>
  <c r="AC10" i="2" a="1"/>
  <c r="Z20" i="2"/>
  <c r="Z9" i="2"/>
  <c r="E200" i="34"/>
  <c r="E23" i="32"/>
  <c r="F12" i="2"/>
  <c r="F11" i="2"/>
  <c r="F10" i="2"/>
  <c r="Z25" i="17"/>
  <c r="Z21" i="17"/>
  <c r="Z8" i="17"/>
  <c r="Z16" i="17"/>
  <c r="Z20" i="17"/>
  <c r="Z22" i="17"/>
  <c r="Z13" i="17"/>
  <c r="Z6" i="17"/>
  <c r="Z9" i="17"/>
  <c r="Z14" i="17"/>
  <c r="Z17" i="17"/>
  <c r="Z18" i="17"/>
  <c r="Z15" i="17"/>
  <c r="Z11" i="17"/>
  <c r="Z7" i="17"/>
  <c r="Z12" i="17"/>
  <c r="Z23" i="17"/>
  <c r="Z19" i="17"/>
  <c r="E88" i="34"/>
  <c r="AA24" i="19" s="1"/>
  <c r="H37" i="1"/>
  <c r="H29" i="1"/>
  <c r="H28" i="1"/>
  <c r="H27" i="1"/>
  <c r="H26" i="1"/>
  <c r="H25" i="1"/>
  <c r="H24" i="1"/>
  <c r="H23" i="1"/>
  <c r="H22" i="1"/>
  <c r="C18" i="1"/>
  <c r="B18" i="1"/>
  <c r="E16" i="1"/>
  <c r="D16" i="1"/>
  <c r="E15" i="1"/>
  <c r="D15" i="1"/>
  <c r="E14" i="1"/>
  <c r="D14" i="1"/>
  <c r="E13" i="1"/>
  <c r="D13" i="1"/>
  <c r="E12" i="1"/>
  <c r="D12" i="1"/>
  <c r="E11" i="1"/>
  <c r="D11" i="1"/>
  <c r="E10" i="1"/>
  <c r="D10" i="1"/>
  <c r="AE6" i="19" l="1" a="1"/>
  <c r="AE6" i="2" a="1"/>
  <c r="K98" i="34" a="1"/>
  <c r="K100" i="34" a="1"/>
  <c r="K96" i="34" a="1"/>
  <c r="K97" i="34" a="1"/>
  <c r="K99" i="34" a="1"/>
  <c r="AA7" i="2"/>
  <c r="AA8" i="2" s="1"/>
  <c r="AA9" i="2" s="1"/>
  <c r="AA10" i="2" s="1"/>
  <c r="AA11" i="2" s="1"/>
  <c r="AA12" i="2" s="1"/>
  <c r="AA13" i="2" s="1"/>
  <c r="AA14" i="2" s="1"/>
  <c r="AA15" i="2" s="1"/>
  <c r="AA16" i="2" s="1"/>
  <c r="AA17" i="2" s="1"/>
  <c r="AA18" i="2" s="1"/>
  <c r="AA19" i="2" s="1"/>
  <c r="AA20" i="2" s="1"/>
  <c r="AA21" i="2" s="1"/>
  <c r="AA22" i="2" s="1"/>
  <c r="AA23" i="2" s="1"/>
  <c r="AA24" i="2" s="1"/>
  <c r="AA25" i="2" s="1"/>
  <c r="E201" i="34"/>
  <c r="F9" i="2"/>
  <c r="E89" i="34"/>
  <c r="AA25" i="19" s="1"/>
  <c r="AA6" i="17"/>
  <c r="E18" i="1"/>
  <c r="D18" i="1"/>
  <c r="E202" i="34" l="1"/>
  <c r="E203" i="34" s="1"/>
  <c r="E204" i="34" s="1"/>
  <c r="E205" i="34" s="1"/>
  <c r="E206" i="34" s="1"/>
  <c r="E207" i="34" s="1"/>
  <c r="E208" i="34" s="1"/>
  <c r="E209" i="34" s="1"/>
  <c r="E210" i="34" s="1"/>
  <c r="E211" i="34" s="1"/>
  <c r="E90" i="34"/>
  <c r="E91" i="34" s="1"/>
  <c r="E92" i="34" s="1"/>
  <c r="E93" i="34" s="1"/>
  <c r="E94" i="34" s="1"/>
  <c r="E95" i="34" s="1"/>
  <c r="E96" i="34" s="1"/>
  <c r="E97" i="34" s="1"/>
  <c r="E98" i="34" s="1"/>
  <c r="E99" i="34" s="1"/>
  <c r="E100" i="34" s="1"/>
  <c r="E101" i="34" s="1"/>
  <c r="E102" i="34" s="1"/>
  <c r="E103" i="34" s="1"/>
  <c r="E104" i="34" s="1"/>
  <c r="E105" i="34" s="1"/>
  <c r="E106" i="34" s="1"/>
  <c r="E107" i="34" s="1"/>
  <c r="E108" i="34" s="1"/>
  <c r="E109" i="34" s="1"/>
  <c r="AA7" i="17"/>
  <c r="AA8" i="17" l="1"/>
  <c r="AA9" i="17" l="1"/>
  <c r="AA10" i="17" l="1"/>
  <c r="AA11" i="17" l="1"/>
  <c r="AA12" i="17" l="1"/>
  <c r="AA13" i="17" l="1"/>
  <c r="AA14" i="17" l="1"/>
  <c r="AA15" i="17" l="1"/>
  <c r="AA16" i="17" l="1"/>
  <c r="AA17" i="17" l="1"/>
  <c r="AA18" i="17"/>
  <c r="AA19" i="17" l="1"/>
  <c r="AA20" i="17" l="1"/>
  <c r="AA21" i="17" l="1"/>
  <c r="AA22" i="17" l="1"/>
  <c r="AA23" i="17" l="1"/>
  <c r="AA24" i="17"/>
  <c r="AA25" i="17" l="1"/>
  <c r="B173" i="34" l="1"/>
  <c r="C173" i="34" s="1"/>
  <c r="L173" i="34" s="1"/>
  <c r="W127" i="18"/>
  <c r="F23" i="33"/>
  <c r="AB127" i="18"/>
  <c r="I173" i="34" l="1"/>
  <c r="G173" i="34"/>
  <c r="H173" i="34"/>
  <c r="K173" i="34" a="1"/>
  <c r="J173" i="34"/>
  <c r="Q8" i="18"/>
  <c r="R8" i="18" s="1"/>
  <c r="C19" i="33"/>
  <c r="F19" i="33" s="1"/>
  <c r="B160" i="34"/>
  <c r="C160" i="34" s="1"/>
  <c r="L160" i="34" s="1"/>
  <c r="B178" i="34"/>
  <c r="C178" i="34" s="1"/>
  <c r="L178" i="34" s="1"/>
  <c r="Q13" i="18"/>
  <c r="B158" i="34"/>
  <c r="C158" i="34" s="1"/>
  <c r="L158" i="34" s="1"/>
  <c r="X127" i="18"/>
  <c r="Q9" i="18"/>
  <c r="Q22" i="18"/>
  <c r="Q21" i="18"/>
  <c r="E22" i="33"/>
  <c r="B174" i="34"/>
  <c r="C174" i="34" s="1"/>
  <c r="L174" i="34" s="1"/>
  <c r="Q15" i="18"/>
  <c r="U15" i="18" s="1"/>
  <c r="AC15" i="18" s="1" a="1"/>
  <c r="C20" i="33"/>
  <c r="AA127" i="18"/>
  <c r="Q17" i="18"/>
  <c r="R17" i="18" s="1"/>
  <c r="B166" i="34"/>
  <c r="C166" i="34" s="1"/>
  <c r="L166" i="34" s="1"/>
  <c r="B167" i="34"/>
  <c r="C167" i="34" s="1"/>
  <c r="L167" i="34" s="1"/>
  <c r="B151" i="34"/>
  <c r="C151" i="34" s="1"/>
  <c r="L151" i="34" s="1"/>
  <c r="B155" i="34"/>
  <c r="C155" i="34" s="1"/>
  <c r="L155" i="34" s="1"/>
  <c r="Q25" i="18"/>
  <c r="B159" i="34"/>
  <c r="C159" i="34" s="1"/>
  <c r="L159" i="34" s="1"/>
  <c r="AD127" i="18"/>
  <c r="B169" i="34"/>
  <c r="C169" i="34" s="1"/>
  <c r="L169" i="34" s="1"/>
  <c r="B152" i="34"/>
  <c r="C152" i="34" s="1"/>
  <c r="L152" i="34" s="1"/>
  <c r="AC127" i="18"/>
  <c r="D22" i="33"/>
  <c r="B149" i="34"/>
  <c r="C5" i="18"/>
  <c r="G23" i="32" s="1"/>
  <c r="B157" i="34"/>
  <c r="C157" i="34" s="1"/>
  <c r="L157" i="34" s="1"/>
  <c r="D23" i="33"/>
  <c r="B150" i="34"/>
  <c r="D21" i="33"/>
  <c r="E23" i="33"/>
  <c r="J9" i="18"/>
  <c r="G24" i="32" s="1"/>
  <c r="B177" i="34"/>
  <c r="C177" i="34" s="1"/>
  <c r="L177" i="34" s="1"/>
  <c r="V127" i="18"/>
  <c r="Y127" i="18"/>
  <c r="Q20" i="18"/>
  <c r="B161" i="34"/>
  <c r="B171" i="34"/>
  <c r="Q6" i="18"/>
  <c r="B162" i="34"/>
  <c r="Q10" i="18"/>
  <c r="B154" i="34"/>
  <c r="C165" i="34"/>
  <c r="L165" i="34" s="1"/>
  <c r="B170" i="34"/>
  <c r="B164" i="34"/>
  <c r="C9" i="18"/>
  <c r="F22" i="33"/>
  <c r="Q11" i="18"/>
  <c r="B175" i="34"/>
  <c r="Q19" i="18"/>
  <c r="B172" i="34"/>
  <c r="Q23" i="18"/>
  <c r="E21" i="33"/>
  <c r="Z127" i="18"/>
  <c r="Q12" i="18"/>
  <c r="U12" i="18" s="1"/>
  <c r="Q24" i="18"/>
  <c r="B176" i="34"/>
  <c r="Q14" i="18"/>
  <c r="B156" i="34"/>
  <c r="B153" i="34"/>
  <c r="Q18" i="18"/>
  <c r="R18" i="18" s="1"/>
  <c r="B163" i="34"/>
  <c r="Q16" i="18"/>
  <c r="B168" i="34"/>
  <c r="F21" i="33"/>
  <c r="I158" i="34" l="1"/>
  <c r="I166" i="34"/>
  <c r="I178" i="34"/>
  <c r="I160" i="34"/>
  <c r="I174" i="34"/>
  <c r="I167" i="34"/>
  <c r="I169" i="34"/>
  <c r="I152" i="34"/>
  <c r="I159" i="34"/>
  <c r="I177" i="34"/>
  <c r="I165" i="34"/>
  <c r="I157" i="34"/>
  <c r="I155" i="34"/>
  <c r="I151" i="34"/>
  <c r="U6" i="18"/>
  <c r="S6" i="18" s="1"/>
  <c r="R6" i="18"/>
  <c r="C150" i="34"/>
  <c r="L150" i="34" s="1"/>
  <c r="S15" i="18"/>
  <c r="T15" i="18" a="1"/>
  <c r="Z19" i="18"/>
  <c r="R19" i="18"/>
  <c r="R20" i="18"/>
  <c r="Z20" i="18"/>
  <c r="R9" i="18"/>
  <c r="Z9" i="18"/>
  <c r="G169" i="34"/>
  <c r="H169" i="34"/>
  <c r="G166" i="34"/>
  <c r="H166" i="34"/>
  <c r="G177" i="34"/>
  <c r="H177" i="34"/>
  <c r="G159" i="34"/>
  <c r="H159" i="34"/>
  <c r="G155" i="34"/>
  <c r="H155" i="34"/>
  <c r="G158" i="34"/>
  <c r="H158" i="34"/>
  <c r="G165" i="34"/>
  <c r="H165" i="34"/>
  <c r="G151" i="34"/>
  <c r="H151" i="34"/>
  <c r="G167" i="34"/>
  <c r="H167" i="34"/>
  <c r="G178" i="34"/>
  <c r="H178" i="34"/>
  <c r="G157" i="34"/>
  <c r="H157" i="34"/>
  <c r="G174" i="34"/>
  <c r="H174" i="34"/>
  <c r="G160" i="34"/>
  <c r="H160" i="34"/>
  <c r="G152" i="34"/>
  <c r="H152" i="34"/>
  <c r="J178" i="34"/>
  <c r="K178" i="34" a="1"/>
  <c r="J165" i="34"/>
  <c r="K165" i="34" a="1"/>
  <c r="J177" i="34"/>
  <c r="K177" i="34" a="1"/>
  <c r="J174" i="34"/>
  <c r="K174" i="34" a="1"/>
  <c r="C149" i="34"/>
  <c r="L149" i="34" s="1"/>
  <c r="U17" i="18"/>
  <c r="U8" i="18"/>
  <c r="Z8" i="18"/>
  <c r="Z15" i="18"/>
  <c r="U9" i="18"/>
  <c r="E19" i="33"/>
  <c r="D19" i="33"/>
  <c r="U21" i="18"/>
  <c r="AB21" i="18" s="1" a="1"/>
  <c r="U25" i="18"/>
  <c r="U7" i="18"/>
  <c r="AB7" i="18" s="1" a="1"/>
  <c r="Z7" i="18"/>
  <c r="R7" i="18"/>
  <c r="Z17" i="18"/>
  <c r="U13" i="18"/>
  <c r="R13" i="18"/>
  <c r="Z13" i="18"/>
  <c r="F20" i="33"/>
  <c r="E20" i="33"/>
  <c r="D20" i="33"/>
  <c r="R15" i="18"/>
  <c r="D165" i="34"/>
  <c r="D149" i="34"/>
  <c r="E149" i="34" s="1"/>
  <c r="U23" i="18"/>
  <c r="C13" i="18"/>
  <c r="F13" i="32"/>
  <c r="D158" i="34"/>
  <c r="D169" i="34"/>
  <c r="R14" i="18"/>
  <c r="U14" i="18"/>
  <c r="Z14" i="18"/>
  <c r="U19" i="18"/>
  <c r="C164" i="34"/>
  <c r="L164" i="34" s="1"/>
  <c r="D164" i="34"/>
  <c r="R10" i="18"/>
  <c r="Z10" i="18"/>
  <c r="U10" i="18"/>
  <c r="D152" i="34"/>
  <c r="D177" i="34"/>
  <c r="D159" i="34"/>
  <c r="D167" i="34"/>
  <c r="C156" i="34"/>
  <c r="L156" i="34" s="1"/>
  <c r="D156" i="34"/>
  <c r="C154" i="34"/>
  <c r="L154" i="34" s="1"/>
  <c r="D154" i="34"/>
  <c r="Z16" i="18"/>
  <c r="R16" i="18"/>
  <c r="U16" i="18"/>
  <c r="D176" i="34"/>
  <c r="C176" i="34"/>
  <c r="L176" i="34" s="1"/>
  <c r="C162" i="34"/>
  <c r="L162" i="34" s="1"/>
  <c r="D162" i="34"/>
  <c r="D166" i="34"/>
  <c r="D178" i="34"/>
  <c r="C171" i="34"/>
  <c r="L171" i="34" s="1"/>
  <c r="D171" i="34"/>
  <c r="D160" i="34"/>
  <c r="C168" i="34"/>
  <c r="L168" i="34" s="1"/>
  <c r="D168" i="34"/>
  <c r="C172" i="34"/>
  <c r="L172" i="34" s="1"/>
  <c r="D172" i="34"/>
  <c r="D157" i="34"/>
  <c r="D163" i="34"/>
  <c r="C163" i="34"/>
  <c r="L163" i="34" s="1"/>
  <c r="D175" i="34"/>
  <c r="C175" i="34"/>
  <c r="L175" i="34" s="1"/>
  <c r="U127" i="18"/>
  <c r="U24" i="18"/>
  <c r="C170" i="34"/>
  <c r="L170" i="34" s="1"/>
  <c r="D170" i="34"/>
  <c r="Z6" i="18"/>
  <c r="AA6" i="18" s="1"/>
  <c r="D174" i="34"/>
  <c r="Z12" i="18"/>
  <c r="R12" i="18"/>
  <c r="C153" i="34"/>
  <c r="L153" i="34" s="1"/>
  <c r="D153" i="34"/>
  <c r="Z11" i="18"/>
  <c r="U11" i="18"/>
  <c r="R11" i="18"/>
  <c r="C161" i="34"/>
  <c r="L161" i="34" s="1"/>
  <c r="D161" i="34"/>
  <c r="D155" i="34"/>
  <c r="U20" i="18"/>
  <c r="D151" i="34"/>
  <c r="D150" i="34"/>
  <c r="D173" i="34"/>
  <c r="Z18" i="18"/>
  <c r="U18" i="18"/>
  <c r="I161" i="34" l="1"/>
  <c r="I154" i="34"/>
  <c r="I156" i="34"/>
  <c r="I171" i="34"/>
  <c r="I153" i="34"/>
  <c r="I162" i="34"/>
  <c r="I175" i="34"/>
  <c r="I163" i="34"/>
  <c r="I172" i="34"/>
  <c r="I149" i="34"/>
  <c r="I176" i="34"/>
  <c r="I168" i="34"/>
  <c r="I170" i="34"/>
  <c r="I164" i="34"/>
  <c r="T6" i="18" a="1"/>
  <c r="AC16" i="18" a="1"/>
  <c r="AB16" i="18" a="1"/>
  <c r="AB17" i="18" a="1"/>
  <c r="AC17" i="18" a="1"/>
  <c r="AC19" i="18" a="1"/>
  <c r="AC21" i="18" a="1"/>
  <c r="AC18" i="18" a="1"/>
  <c r="AC20" i="18" a="1"/>
  <c r="I150" i="34"/>
  <c r="G150" i="34"/>
  <c r="H150" i="34"/>
  <c r="T14" i="18" a="1"/>
  <c r="S14" i="18"/>
  <c r="AC9" i="18" a="1"/>
  <c r="S9" i="18"/>
  <c r="T9" i="18" a="1"/>
  <c r="S18" i="18"/>
  <c r="T18" i="18" a="1"/>
  <c r="S13" i="18"/>
  <c r="T13" i="18" a="1"/>
  <c r="AC8" i="18" a="1"/>
  <c r="S8" i="18"/>
  <c r="T8" i="18" a="1"/>
  <c r="S19" i="18"/>
  <c r="T19" i="18" a="1"/>
  <c r="T20" i="18" a="1"/>
  <c r="S20" i="18"/>
  <c r="S10" i="18"/>
  <c r="T10" i="18" a="1"/>
  <c r="S17" i="18"/>
  <c r="T17" i="18" a="1"/>
  <c r="S16" i="18"/>
  <c r="T16" i="18" a="1"/>
  <c r="S12" i="18"/>
  <c r="T12" i="18" a="1"/>
  <c r="S7" i="18"/>
  <c r="T7" i="18" a="1"/>
  <c r="S11" i="18"/>
  <c r="T11" i="18" a="1"/>
  <c r="G163" i="34"/>
  <c r="H163" i="34"/>
  <c r="G170" i="34"/>
  <c r="H170" i="34"/>
  <c r="G176" i="34"/>
  <c r="H176" i="34"/>
  <c r="G149" i="34"/>
  <c r="H149" i="34"/>
  <c r="G172" i="34"/>
  <c r="H172" i="34"/>
  <c r="G168" i="34"/>
  <c r="H168" i="34"/>
  <c r="G162" i="34"/>
  <c r="H162" i="34"/>
  <c r="G161" i="34"/>
  <c r="H161" i="34"/>
  <c r="G154" i="34"/>
  <c r="H154" i="34"/>
  <c r="G153" i="34"/>
  <c r="H153" i="34"/>
  <c r="G156" i="34"/>
  <c r="H156" i="34"/>
  <c r="G175" i="34"/>
  <c r="H175" i="34"/>
  <c r="G171" i="34"/>
  <c r="H171" i="34"/>
  <c r="G164" i="34"/>
  <c r="H164" i="34"/>
  <c r="K172" i="34" a="1"/>
  <c r="J172" i="34"/>
  <c r="K171" i="34" a="1"/>
  <c r="J171" i="34"/>
  <c r="J176" i="34"/>
  <c r="K176" i="34" a="1"/>
  <c r="J175" i="34"/>
  <c r="K175" i="34" a="1"/>
  <c r="P17" i="18"/>
  <c r="P8" i="18"/>
  <c r="P9" i="18"/>
  <c r="E150" i="34"/>
  <c r="E151" i="34" s="1"/>
  <c r="E152" i="34" s="1"/>
  <c r="E153" i="34" s="1"/>
  <c r="E154" i="34" s="1"/>
  <c r="E155" i="34" s="1"/>
  <c r="E156" i="34" s="1"/>
  <c r="E157" i="34" s="1"/>
  <c r="E158" i="34" s="1"/>
  <c r="E159" i="34" s="1"/>
  <c r="E160" i="34" s="1"/>
  <c r="E161" i="34" s="1"/>
  <c r="E162" i="34" s="1"/>
  <c r="E163" i="34" s="1"/>
  <c r="E164" i="34" s="1"/>
  <c r="E165" i="34" s="1"/>
  <c r="E166" i="34" s="1"/>
  <c r="E167" i="34" s="1"/>
  <c r="E168" i="34" s="1"/>
  <c r="E169" i="34" s="1"/>
  <c r="E170" i="34" s="1"/>
  <c r="E171" i="34" s="1"/>
  <c r="E172" i="34" s="1"/>
  <c r="E173" i="34" s="1"/>
  <c r="E174" i="34" s="1"/>
  <c r="E175" i="34" s="1"/>
  <c r="E176" i="34" s="1"/>
  <c r="E177" i="34" s="1"/>
  <c r="E178" i="34" s="1"/>
  <c r="P15" i="18"/>
  <c r="P25" i="18"/>
  <c r="AA7" i="18"/>
  <c r="AA8" i="18" s="1"/>
  <c r="AA9" i="18" s="1"/>
  <c r="P22" i="18"/>
  <c r="P21" i="18"/>
  <c r="P13" i="18"/>
  <c r="AC13" i="18" a="1"/>
  <c r="AC7" i="18" a="1"/>
  <c r="P7" i="18"/>
  <c r="Q26" i="18" s="1"/>
  <c r="R26" i="18"/>
  <c r="F12" i="18"/>
  <c r="F11" i="18"/>
  <c r="F10" i="18"/>
  <c r="AE127" i="18"/>
  <c r="U130" i="18"/>
  <c r="V130" i="18" s="1"/>
  <c r="P19" i="18"/>
  <c r="P23" i="18"/>
  <c r="AB6" i="18" a="1"/>
  <c r="P6" i="18"/>
  <c r="AC6" i="18" a="1"/>
  <c r="AC14" i="18" a="1"/>
  <c r="P14" i="18"/>
  <c r="AC11" i="18" a="1"/>
  <c r="P11" i="18"/>
  <c r="P16" i="18"/>
  <c r="P24" i="18"/>
  <c r="AC12" i="18" a="1"/>
  <c r="P12" i="18"/>
  <c r="P20" i="18"/>
  <c r="P18" i="18"/>
  <c r="P10" i="18"/>
  <c r="AC10" i="18" a="1"/>
  <c r="AE6" i="18" l="1" a="1"/>
  <c r="W130" i="18"/>
  <c r="V132" i="18"/>
  <c r="U132" i="18"/>
  <c r="F9" i="18"/>
  <c r="X130" i="18" l="1"/>
  <c r="W132" i="18"/>
  <c r="Y130" i="18" l="1"/>
  <c r="X132" i="18"/>
  <c r="Z130" i="18" l="1"/>
  <c r="Y132" i="18"/>
  <c r="AA130" i="18" l="1"/>
  <c r="Z132" i="18"/>
  <c r="AB130" i="18" l="1"/>
  <c r="AA132" i="18"/>
  <c r="AC130" i="18" l="1"/>
  <c r="AB132" i="18"/>
  <c r="AB8" i="18" a="1"/>
  <c r="AD130" i="18" l="1"/>
  <c r="AC132" i="18"/>
  <c r="AD132" i="18" l="1"/>
  <c r="AP120" i="18" l="1" a="1"/>
  <c r="AP124" i="18" a="1"/>
  <c r="AP122" i="18" a="1"/>
  <c r="AP121" i="18" a="1"/>
  <c r="AP119" i="18" a="1"/>
  <c r="AP123" i="18" a="1"/>
  <c r="AP116" i="18" a="1"/>
  <c r="AP115" i="18" a="1"/>
  <c r="J169" i="34" l="1"/>
  <c r="J168" i="34"/>
  <c r="K169" i="34" a="1"/>
  <c r="K168" i="34" a="1"/>
  <c r="AA10" i="18" l="1"/>
  <c r="AA11" i="18" s="1"/>
  <c r="AA12" i="18" s="1"/>
  <c r="AA13" i="18" s="1"/>
  <c r="AA14" i="18" s="1"/>
  <c r="AA15" i="18" s="1"/>
  <c r="AA16" i="18" s="1"/>
  <c r="AA17" i="18" s="1"/>
  <c r="AA18" i="18" s="1"/>
  <c r="AA19" i="18" s="1"/>
  <c r="AA20" i="18" s="1"/>
  <c r="AB20" i="18" l="1" a="1"/>
  <c r="AB19" i="18" a="1"/>
  <c r="AB13" i="18" l="1" a="1"/>
  <c r="AB12" i="18" l="1" a="1"/>
  <c r="AB18" i="18" l="1" a="1"/>
  <c r="AB14" i="18" l="1" a="1"/>
  <c r="AB15" i="18" a="1"/>
  <c r="AB10" i="18" l="1" a="1"/>
  <c r="AB9" i="18" a="1"/>
  <c r="AB11" i="18" a="1"/>
  <c r="J166" i="34" l="1"/>
  <c r="K166" i="34" a="1"/>
  <c r="K167" i="34" a="1"/>
  <c r="J167" i="34"/>
  <c r="S74" i="24"/>
  <c r="S73" i="24"/>
  <c r="E279" i="38" l="1"/>
  <c r="E281" i="38"/>
  <c r="H18" i="32"/>
  <c r="J73" i="24" l="1"/>
  <c r="J103" i="24"/>
  <c r="J95" i="24"/>
  <c r="U73" i="24" l="1"/>
  <c r="AD73" i="24"/>
  <c r="Z73" i="24"/>
  <c r="D421" i="38"/>
  <c r="T73" i="24"/>
  <c r="AH73" i="24"/>
  <c r="AC73" i="24"/>
  <c r="AB73" i="24"/>
  <c r="AF73" i="24"/>
  <c r="Y73" i="24"/>
  <c r="V73" i="24"/>
  <c r="X73" i="24"/>
  <c r="AG73" i="24"/>
  <c r="X95" i="24"/>
  <c r="AC95" i="24"/>
  <c r="Y95" i="24"/>
  <c r="Z95" i="24"/>
  <c r="U95" i="24"/>
  <c r="D443" i="38"/>
  <c r="AG95" i="24"/>
  <c r="AH95" i="24"/>
  <c r="AB95" i="24"/>
  <c r="V95" i="24"/>
  <c r="T95" i="24"/>
  <c r="AF95" i="24"/>
  <c r="AD95" i="24"/>
  <c r="U103" i="24"/>
  <c r="D451" i="38"/>
  <c r="AB103" i="24"/>
  <c r="T103" i="24"/>
  <c r="AD103" i="24"/>
  <c r="Z103" i="24"/>
  <c r="AG103" i="24"/>
  <c r="Y103" i="24"/>
  <c r="X103" i="24"/>
  <c r="AF103" i="24"/>
  <c r="V103" i="24"/>
  <c r="AC103" i="24"/>
  <c r="AH103" i="24"/>
  <c r="J35" i="24"/>
  <c r="J49" i="24"/>
  <c r="J37" i="24"/>
  <c r="J51" i="24"/>
  <c r="J33" i="24"/>
  <c r="AE95" i="24" l="1"/>
  <c r="AI73" i="24"/>
  <c r="AE73" i="24"/>
  <c r="AA95" i="24"/>
  <c r="AA73" i="24"/>
  <c r="AI95" i="24"/>
  <c r="AD49" i="24"/>
  <c r="U49" i="24"/>
  <c r="V49" i="24"/>
  <c r="AC49" i="24"/>
  <c r="Y49" i="24"/>
  <c r="X49" i="24"/>
  <c r="D397" i="38"/>
  <c r="AH49" i="24"/>
  <c r="AF49" i="24"/>
  <c r="Z49" i="24"/>
  <c r="AG49" i="24"/>
  <c r="T49" i="24"/>
  <c r="AB49" i="24"/>
  <c r="AJ103" i="24"/>
  <c r="W103" i="24"/>
  <c r="AB35" i="24"/>
  <c r="AG35" i="24"/>
  <c r="D383" i="38"/>
  <c r="AD35" i="24"/>
  <c r="AC35" i="24"/>
  <c r="AH35" i="24"/>
  <c r="Y35" i="24"/>
  <c r="T35" i="24"/>
  <c r="U35" i="24"/>
  <c r="V35" i="24"/>
  <c r="Z35" i="24"/>
  <c r="X35" i="24"/>
  <c r="AF35" i="24"/>
  <c r="AE103" i="24"/>
  <c r="AG33" i="24"/>
  <c r="Y33" i="24"/>
  <c r="AB33" i="24"/>
  <c r="AH33" i="24"/>
  <c r="AF33" i="24"/>
  <c r="V33" i="24"/>
  <c r="U33" i="24"/>
  <c r="D381" i="38"/>
  <c r="Z33" i="24"/>
  <c r="AD33" i="24"/>
  <c r="X33" i="24"/>
  <c r="T33" i="24"/>
  <c r="AC33" i="24"/>
  <c r="U37" i="24"/>
  <c r="X37" i="24"/>
  <c r="AC37" i="24"/>
  <c r="T37" i="24"/>
  <c r="AH37" i="24"/>
  <c r="Y37" i="24"/>
  <c r="Z37" i="24"/>
  <c r="V37" i="24"/>
  <c r="AB37" i="24"/>
  <c r="AD37" i="24"/>
  <c r="D385" i="38"/>
  <c r="AF37" i="24"/>
  <c r="AG37" i="24"/>
  <c r="AI103" i="24"/>
  <c r="W73" i="24"/>
  <c r="AJ73" i="24"/>
  <c r="AA103" i="24"/>
  <c r="W95" i="24"/>
  <c r="AJ95" i="24"/>
  <c r="T51" i="24"/>
  <c r="D399" i="38"/>
  <c r="U51" i="24"/>
  <c r="AA33" i="24" l="1"/>
  <c r="AI35" i="24"/>
  <c r="AA35" i="24"/>
  <c r="AI49" i="24"/>
  <c r="AE49" i="24"/>
  <c r="AI33" i="24"/>
  <c r="AA49" i="24"/>
  <c r="W37" i="24"/>
  <c r="AJ37" i="24"/>
  <c r="W35" i="24"/>
  <c r="AJ35" i="24"/>
  <c r="AE33" i="24"/>
  <c r="AA37" i="24"/>
  <c r="AI37" i="24"/>
  <c r="W33" i="24"/>
  <c r="AJ33" i="24"/>
  <c r="AJ49" i="24"/>
  <c r="W49" i="24"/>
  <c r="AE37" i="24"/>
  <c r="AE35" i="24"/>
  <c r="E277" i="38" l="1"/>
  <c r="S40" i="24" l="1"/>
  <c r="S39" i="24"/>
  <c r="G39" i="24"/>
  <c r="J94" i="34" l="1"/>
  <c r="AD12" i="20"/>
  <c r="AD11" i="20"/>
  <c r="AD8" i="20"/>
  <c r="AD14" i="20"/>
  <c r="AD10" i="20"/>
  <c r="K194" i="34" l="1" a="1"/>
  <c r="K170" i="34" a="1"/>
  <c r="K193" i="34" a="1"/>
  <c r="K192" i="34" s="1" a="1"/>
  <c r="J193" i="34"/>
  <c r="J192" i="34" s="1"/>
  <c r="J170" i="34"/>
  <c r="J194" i="34"/>
  <c r="J191" i="34" s="1"/>
  <c r="K191" i="34" l="1" a="1"/>
  <c r="R26" i="20" l="1"/>
  <c r="Q26" i="20"/>
  <c r="J93" i="34" s="1"/>
  <c r="K94" i="34" l="1" a="1"/>
  <c r="K95" i="34" a="1"/>
  <c r="K93" i="34" s="1" a="1"/>
  <c r="J95" i="34" l="1"/>
  <c r="B500" i="38" l="1"/>
  <c r="A2" i="42"/>
  <c r="A216" i="34"/>
  <c r="K211" i="34"/>
  <c r="K210" i="34"/>
  <c r="K209" i="34"/>
  <c r="K208" i="34"/>
  <c r="K207" i="34"/>
  <c r="K206" i="34"/>
  <c r="K205" i="34"/>
  <c r="K204" i="34"/>
  <c r="K203" i="34"/>
  <c r="K202" i="34"/>
  <c r="K201" i="34"/>
  <c r="K200" i="34"/>
  <c r="K199" i="34"/>
  <c r="K198" i="34"/>
  <c r="K197" i="34"/>
  <c r="K196" i="34"/>
  <c r="K195" i="34"/>
  <c r="K194" i="34"/>
  <c r="K193" i="34"/>
  <c r="K192" i="34"/>
  <c r="K191" i="34"/>
  <c r="A182" i="34"/>
  <c r="K178" i="34"/>
  <c r="K177" i="34"/>
  <c r="K176" i="34"/>
  <c r="K175" i="34"/>
  <c r="K174" i="34"/>
  <c r="K173" i="34"/>
  <c r="K172" i="34"/>
  <c r="K171" i="34"/>
  <c r="K170" i="34"/>
  <c r="K169" i="34"/>
  <c r="K168" i="34"/>
  <c r="K167" i="34"/>
  <c r="K166" i="34"/>
  <c r="K165" i="34"/>
  <c r="A149" i="34"/>
  <c r="K145" i="34"/>
  <c r="K144" i="34"/>
  <c r="K143" i="34"/>
  <c r="K142" i="34"/>
  <c r="K141" i="34"/>
  <c r="K140" i="34"/>
  <c r="K139" i="34"/>
  <c r="K138" i="34"/>
  <c r="K137" i="34"/>
  <c r="A116" i="34"/>
  <c r="K109" i="34"/>
  <c r="K108" i="34"/>
  <c r="K107" i="34"/>
  <c r="K106" i="34"/>
  <c r="K105" i="34"/>
  <c r="K104" i="34"/>
  <c r="K103" i="34"/>
  <c r="K102" i="34"/>
  <c r="K101" i="34"/>
  <c r="K100" i="34"/>
  <c r="K99" i="34"/>
  <c r="K98" i="34"/>
  <c r="K97" i="34"/>
  <c r="K96" i="34"/>
  <c r="K95" i="34"/>
  <c r="K94" i="34"/>
  <c r="K93" i="34"/>
  <c r="A70" i="34"/>
  <c r="Q4" i="34"/>
  <c r="A4" i="34"/>
  <c r="W73" i="14"/>
  <c r="V73" i="14"/>
  <c r="U73" i="14"/>
  <c r="T73" i="14"/>
  <c r="S73" i="14"/>
  <c r="R73" i="14"/>
  <c r="Q73" i="14"/>
  <c r="P73" i="14"/>
  <c r="O73" i="14"/>
  <c r="N73" i="14"/>
  <c r="M73" i="14"/>
  <c r="L73" i="14"/>
  <c r="W72" i="14"/>
  <c r="V72" i="14"/>
  <c r="U72" i="14"/>
  <c r="T72" i="14"/>
  <c r="S72" i="14"/>
  <c r="R72" i="14"/>
  <c r="Q72" i="14"/>
  <c r="P72" i="14"/>
  <c r="O72" i="14"/>
  <c r="N72" i="14"/>
  <c r="M72" i="14"/>
  <c r="L72" i="14"/>
  <c r="W71" i="14"/>
  <c r="V71" i="14"/>
  <c r="U71" i="14"/>
  <c r="T71" i="14"/>
  <c r="S71" i="14"/>
  <c r="R71" i="14"/>
  <c r="Q71" i="14"/>
  <c r="P71" i="14"/>
  <c r="O71" i="14"/>
  <c r="N71" i="14"/>
  <c r="M71" i="14"/>
  <c r="L71" i="14"/>
  <c r="W87" i="8"/>
  <c r="V87" i="8"/>
  <c r="U87" i="8"/>
  <c r="T87" i="8"/>
  <c r="S87" i="8"/>
  <c r="R87" i="8"/>
  <c r="Q87" i="8"/>
  <c r="P87" i="8"/>
  <c r="O87" i="8"/>
  <c r="N87" i="8"/>
  <c r="M87" i="8"/>
  <c r="L87" i="8"/>
  <c r="AP82" i="8"/>
  <c r="AP81" i="8"/>
  <c r="AP80" i="8"/>
  <c r="AP79" i="8"/>
  <c r="AP78" i="8"/>
  <c r="AP77" i="8"/>
  <c r="AP76" i="8"/>
  <c r="AP75" i="8"/>
  <c r="AP74" i="8"/>
  <c r="AP73" i="8"/>
  <c r="AP72" i="8"/>
  <c r="AP71" i="8"/>
  <c r="AP70" i="8"/>
  <c r="AP69" i="8"/>
  <c r="AP68" i="8"/>
  <c r="AP67" i="8"/>
  <c r="AP66" i="8"/>
  <c r="AP65" i="8"/>
  <c r="AP64" i="8"/>
  <c r="AP63" i="8"/>
  <c r="AP62" i="8"/>
  <c r="AP61" i="8"/>
  <c r="AP60" i="8"/>
  <c r="AP59" i="8"/>
  <c r="AP58" i="8"/>
  <c r="AP57" i="8"/>
  <c r="AP56" i="8"/>
  <c r="AP55" i="8"/>
  <c r="AP54" i="8"/>
  <c r="AP53" i="8"/>
  <c r="AP52" i="8"/>
  <c r="AP51" i="8"/>
  <c r="AP50" i="8"/>
  <c r="AP49" i="8"/>
  <c r="AP48" i="8"/>
  <c r="AP47" i="8"/>
  <c r="AP46" i="8"/>
  <c r="AP45" i="8"/>
  <c r="AP44" i="8"/>
  <c r="AP43" i="8"/>
  <c r="AP42" i="8"/>
  <c r="AP41" i="8"/>
  <c r="AP40" i="8"/>
  <c r="AP39" i="8"/>
  <c r="AP38" i="8"/>
  <c r="AP37" i="8"/>
  <c r="AP36" i="8"/>
  <c r="AP35" i="8"/>
  <c r="AP34" i="8"/>
  <c r="AP33" i="8"/>
  <c r="R10" i="8"/>
  <c r="R6" i="24"/>
  <c r="AD119" i="36"/>
  <c r="AC119" i="36"/>
  <c r="AB119" i="36"/>
  <c r="AA119" i="36"/>
  <c r="Z119" i="36"/>
  <c r="Y119" i="36"/>
  <c r="X119" i="36"/>
  <c r="W119" i="36"/>
  <c r="V119" i="36"/>
  <c r="U119" i="36"/>
  <c r="T119" i="36"/>
  <c r="S119" i="36"/>
  <c r="AD118" i="36"/>
  <c r="AC118" i="36"/>
  <c r="AB118" i="36"/>
  <c r="AA118" i="36"/>
  <c r="Z118" i="36"/>
  <c r="Y118" i="36"/>
  <c r="X118" i="36"/>
  <c r="W118" i="36"/>
  <c r="V118" i="36"/>
  <c r="U118" i="36"/>
  <c r="T118" i="36"/>
  <c r="S118" i="36"/>
  <c r="AD117" i="36"/>
  <c r="AC117" i="36"/>
  <c r="AB117" i="36"/>
  <c r="AA117" i="36"/>
  <c r="Z117" i="36"/>
  <c r="Y117" i="36"/>
  <c r="X117" i="36"/>
  <c r="W117" i="36"/>
  <c r="V117" i="36"/>
  <c r="U117" i="36"/>
  <c r="T117" i="36"/>
  <c r="S117" i="36"/>
  <c r="F117" i="36"/>
  <c r="AA25" i="36"/>
  <c r="Z25" i="36"/>
  <c r="AA24" i="36"/>
  <c r="Z24" i="36"/>
  <c r="AA23" i="36"/>
  <c r="Z23" i="36"/>
  <c r="AA22" i="36"/>
  <c r="Z22" i="36"/>
  <c r="AA21" i="36"/>
  <c r="Z21" i="36"/>
  <c r="AA20" i="36"/>
  <c r="Z20" i="36"/>
  <c r="AA19" i="36"/>
  <c r="Z19" i="36"/>
  <c r="AA18" i="36"/>
  <c r="Z18" i="36"/>
  <c r="AA17" i="36"/>
  <c r="Z17" i="36"/>
  <c r="AA16" i="36"/>
  <c r="Z16" i="36"/>
  <c r="AA15" i="36"/>
  <c r="Z15" i="36"/>
  <c r="AA14" i="36"/>
  <c r="Z14" i="36"/>
  <c r="AA13" i="36"/>
  <c r="Z13" i="36"/>
  <c r="AA12" i="36"/>
  <c r="Z12" i="36"/>
  <c r="AA11" i="36"/>
  <c r="Z11" i="36"/>
  <c r="AA10" i="36"/>
  <c r="Z10" i="36"/>
  <c r="AA9" i="36"/>
  <c r="Z9" i="36"/>
  <c r="AA8" i="36"/>
  <c r="Z8" i="36"/>
  <c r="AA7" i="36"/>
  <c r="Z7" i="36"/>
  <c r="AC6" i="36"/>
  <c r="AA6" i="36"/>
  <c r="Z6" i="36"/>
  <c r="O6" i="36"/>
  <c r="W73" i="26"/>
  <c r="V73" i="26"/>
  <c r="U73" i="26"/>
  <c r="T73" i="26"/>
  <c r="S73" i="26"/>
  <c r="R73" i="26"/>
  <c r="Q73" i="26"/>
  <c r="P73" i="26"/>
  <c r="O73" i="26"/>
  <c r="N73" i="26"/>
  <c r="M73" i="26"/>
  <c r="L73" i="26"/>
  <c r="W72" i="26"/>
  <c r="V72" i="26"/>
  <c r="U72" i="26"/>
  <c r="T72" i="26"/>
  <c r="S72" i="26"/>
  <c r="R72" i="26"/>
  <c r="Q72" i="26"/>
  <c r="P72" i="26"/>
  <c r="O72" i="26"/>
  <c r="N72" i="26"/>
  <c r="M72" i="26"/>
  <c r="L72" i="26"/>
  <c r="W71" i="26"/>
  <c r="V71" i="26"/>
  <c r="U71" i="26"/>
  <c r="T71" i="26"/>
  <c r="S71" i="26"/>
  <c r="R71" i="26"/>
  <c r="Q71" i="26"/>
  <c r="P71" i="26"/>
  <c r="O71" i="26"/>
  <c r="N71" i="26"/>
  <c r="M71" i="26"/>
  <c r="L71" i="26"/>
  <c r="W73" i="15"/>
  <c r="V73" i="15"/>
  <c r="U73" i="15"/>
  <c r="T73" i="15"/>
  <c r="S73" i="15"/>
  <c r="R73" i="15"/>
  <c r="Q73" i="15"/>
  <c r="P73" i="15"/>
  <c r="O73" i="15"/>
  <c r="N73" i="15"/>
  <c r="M73" i="15"/>
  <c r="L73" i="15"/>
  <c r="W72" i="15"/>
  <c r="V72" i="15"/>
  <c r="U72" i="15"/>
  <c r="T72" i="15"/>
  <c r="S72" i="15"/>
  <c r="R72" i="15"/>
  <c r="Q72" i="15"/>
  <c r="P72" i="15"/>
  <c r="O72" i="15"/>
  <c r="N72" i="15"/>
  <c r="M72" i="15"/>
  <c r="L72" i="15"/>
  <c r="W71" i="15"/>
  <c r="V71" i="15"/>
  <c r="U71" i="15"/>
  <c r="T71" i="15"/>
  <c r="S71" i="15"/>
  <c r="R71" i="15"/>
  <c r="Q71" i="15"/>
  <c r="P71" i="15"/>
  <c r="O71" i="15"/>
  <c r="N71" i="15"/>
  <c r="M71" i="15"/>
  <c r="L71" i="15"/>
  <c r="B35" i="33"/>
  <c r="B27" i="33"/>
  <c r="B19" i="33"/>
  <c r="B11" i="33"/>
  <c r="B3" i="33"/>
  <c r="W72" i="28"/>
  <c r="V72" i="28"/>
  <c r="U72" i="28"/>
  <c r="T72" i="28"/>
  <c r="S72" i="28"/>
  <c r="R72" i="28"/>
  <c r="Q72" i="28"/>
  <c r="P72" i="28"/>
  <c r="O72" i="28"/>
  <c r="N72" i="28"/>
  <c r="M72" i="28"/>
  <c r="L72" i="28"/>
  <c r="W71" i="28"/>
  <c r="V71" i="28"/>
  <c r="U71" i="28"/>
  <c r="T71" i="28"/>
  <c r="S71" i="28"/>
  <c r="R71" i="28"/>
  <c r="Q71" i="28"/>
  <c r="P71" i="28"/>
  <c r="O71" i="28"/>
  <c r="N71" i="28"/>
  <c r="M71" i="28"/>
  <c r="L71" i="28"/>
  <c r="W70" i="28"/>
  <c r="V70" i="28"/>
  <c r="U70" i="28"/>
  <c r="T70" i="28"/>
  <c r="S70" i="28"/>
  <c r="R70" i="28"/>
  <c r="Q70" i="28"/>
  <c r="P70" i="28"/>
  <c r="O70" i="28"/>
  <c r="N70" i="28"/>
  <c r="M70" i="28"/>
  <c r="L70" i="28"/>
  <c r="AD107" i="20"/>
  <c r="AC107" i="20"/>
  <c r="AB107" i="20"/>
  <c r="AA107" i="20"/>
  <c r="Z107" i="20"/>
  <c r="Y107" i="20"/>
  <c r="X107" i="20"/>
  <c r="W107" i="20"/>
  <c r="V107" i="20"/>
  <c r="U107" i="20"/>
  <c r="T107" i="20"/>
  <c r="S107" i="20"/>
  <c r="AE6" i="20"/>
  <c r="O6" i="20"/>
  <c r="AO164" i="17"/>
  <c r="AO163" i="17"/>
  <c r="AO162" i="17"/>
  <c r="AO161" i="17"/>
  <c r="AO160" i="17"/>
  <c r="AO159" i="17"/>
  <c r="AO158" i="17"/>
  <c r="AO157" i="17"/>
  <c r="AO156" i="17"/>
  <c r="AO155" i="17"/>
  <c r="AO154" i="17"/>
  <c r="AO153" i="17"/>
  <c r="AO152" i="17"/>
  <c r="AO151" i="17"/>
  <c r="AO150" i="17"/>
  <c r="AO149" i="17"/>
  <c r="AO148" i="17"/>
  <c r="AO147" i="17"/>
  <c r="AO146" i="17"/>
  <c r="AO145" i="17"/>
  <c r="AO144" i="17"/>
  <c r="AO143" i="17"/>
  <c r="AO142" i="17"/>
  <c r="AO141" i="17"/>
  <c r="AO140" i="17"/>
  <c r="AO139" i="17"/>
  <c r="AO138" i="17"/>
  <c r="AO137" i="17"/>
  <c r="AO136" i="17"/>
  <c r="AO135" i="17"/>
  <c r="AO134" i="17"/>
  <c r="AO133" i="17"/>
  <c r="AO132" i="17"/>
  <c r="AO131" i="17"/>
  <c r="AO130" i="17"/>
  <c r="AO129" i="17"/>
  <c r="AO128" i="17"/>
  <c r="AO127" i="17"/>
  <c r="AO126" i="17"/>
  <c r="AO125" i="17"/>
  <c r="AO124" i="17"/>
  <c r="AO123" i="17"/>
  <c r="AO122" i="17"/>
  <c r="AO121" i="17"/>
  <c r="AO120" i="17"/>
  <c r="AO119" i="17"/>
  <c r="AD119" i="17"/>
  <c r="AC119" i="17"/>
  <c r="AB119" i="17"/>
  <c r="AA119" i="17"/>
  <c r="Z119" i="17"/>
  <c r="Y119" i="17"/>
  <c r="X119" i="17"/>
  <c r="W119" i="17"/>
  <c r="V119" i="17"/>
  <c r="U119" i="17"/>
  <c r="T119" i="17"/>
  <c r="S119" i="17"/>
  <c r="AO118" i="17"/>
  <c r="AO117" i="17"/>
  <c r="AO116" i="17"/>
  <c r="AO115" i="17"/>
  <c r="AC25" i="17"/>
  <c r="AB25" i="17"/>
  <c r="AC24" i="17"/>
  <c r="AB24" i="17"/>
  <c r="AC23" i="17"/>
  <c r="AB23" i="17"/>
  <c r="AC22" i="17"/>
  <c r="AB22" i="17"/>
  <c r="AC21" i="17"/>
  <c r="AB21" i="17"/>
  <c r="AC20" i="17"/>
  <c r="AB20" i="17"/>
  <c r="AC19" i="17"/>
  <c r="AB19" i="17"/>
  <c r="AC18" i="17"/>
  <c r="AB18" i="17"/>
  <c r="AC17" i="17"/>
  <c r="AB17" i="17"/>
  <c r="AC16" i="17"/>
  <c r="AB16" i="17"/>
  <c r="AC15" i="17"/>
  <c r="AB15" i="17"/>
  <c r="AC14" i="17"/>
  <c r="AB14" i="17"/>
  <c r="AC13" i="17"/>
  <c r="AB13" i="17"/>
  <c r="AC12" i="17"/>
  <c r="AB12" i="17"/>
  <c r="AC11" i="17"/>
  <c r="AB11" i="17"/>
  <c r="AC10" i="17"/>
  <c r="AB10" i="17"/>
  <c r="AC9" i="17"/>
  <c r="AB9" i="17"/>
  <c r="AC8" i="17"/>
  <c r="AB8" i="17"/>
  <c r="AC7" i="17"/>
  <c r="AB7" i="17"/>
  <c r="AE6" i="17"/>
  <c r="AC6" i="17"/>
  <c r="AB6" i="17"/>
  <c r="O6" i="17"/>
  <c r="S136" i="19"/>
  <c r="AD133" i="19"/>
  <c r="AC133" i="19"/>
  <c r="AB133" i="19"/>
  <c r="AA133" i="19"/>
  <c r="Z133" i="19"/>
  <c r="Y133" i="19"/>
  <c r="X133" i="19"/>
  <c r="W133" i="19"/>
  <c r="V133" i="19"/>
  <c r="U133" i="19"/>
  <c r="T133" i="19"/>
  <c r="S133" i="19"/>
  <c r="J73" i="34"/>
  <c r="J91" i="34"/>
  <c r="J76" i="34"/>
  <c r="J92" i="34"/>
  <c r="J75" i="34"/>
  <c r="J74" i="34"/>
  <c r="J72" i="34"/>
  <c r="J70" i="34"/>
  <c r="J71" i="34"/>
  <c r="AP55" i="19"/>
  <c r="AC25" i="19"/>
  <c r="AB25" i="19"/>
  <c r="AC24" i="19"/>
  <c r="AB24" i="19"/>
  <c r="AC23" i="19"/>
  <c r="AB23" i="19"/>
  <c r="AC22" i="19"/>
  <c r="AB22" i="19"/>
  <c r="AC21" i="19"/>
  <c r="AB21" i="19"/>
  <c r="AC20" i="19"/>
  <c r="AB20" i="19"/>
  <c r="AC19" i="19"/>
  <c r="AB19" i="19"/>
  <c r="AC18" i="19"/>
  <c r="AB18" i="19"/>
  <c r="AB17" i="19"/>
  <c r="AD17" i="19" s="1"/>
  <c r="AC16" i="19"/>
  <c r="AB16" i="19"/>
  <c r="AC15" i="19"/>
  <c r="AB15" i="19"/>
  <c r="AC14" i="19"/>
  <c r="AB14" i="19"/>
  <c r="AC13" i="19"/>
  <c r="AB13" i="19"/>
  <c r="AC12" i="19"/>
  <c r="AB12" i="19"/>
  <c r="AC11" i="19"/>
  <c r="AB11" i="19"/>
  <c r="AC10" i="19"/>
  <c r="AB10" i="19"/>
  <c r="AC9" i="19"/>
  <c r="AB9" i="19"/>
  <c r="AC8" i="19"/>
  <c r="AB8" i="19"/>
  <c r="AC7" i="19"/>
  <c r="AB7" i="19"/>
  <c r="AE6" i="19"/>
  <c r="AB6" i="19"/>
  <c r="O6" i="19"/>
  <c r="AE181" i="2"/>
  <c r="AD181" i="2"/>
  <c r="AC181" i="2"/>
  <c r="AB181" i="2"/>
  <c r="AA181" i="2"/>
  <c r="Z181" i="2"/>
  <c r="Y181" i="2"/>
  <c r="X181" i="2"/>
  <c r="W181" i="2"/>
  <c r="V181" i="2"/>
  <c r="U181" i="2"/>
  <c r="T181" i="2"/>
  <c r="AP176" i="2"/>
  <c r="AP175" i="2"/>
  <c r="AP174" i="2"/>
  <c r="AP173" i="2"/>
  <c r="AP172" i="2"/>
  <c r="AP171" i="2"/>
  <c r="AP170" i="2"/>
  <c r="AP169" i="2"/>
  <c r="AP168" i="2"/>
  <c r="AP167" i="2"/>
  <c r="J12" i="34" s="1"/>
  <c r="AP166" i="2"/>
  <c r="K20" i="34" s="1" a="1"/>
  <c r="K20" i="34" s="1"/>
  <c r="AP165" i="2"/>
  <c r="J20" i="34" s="1"/>
  <c r="AP164" i="2"/>
  <c r="AP163" i="2"/>
  <c r="AP162" i="2"/>
  <c r="AP161" i="2"/>
  <c r="AP160" i="2"/>
  <c r="AP159" i="2"/>
  <c r="AP158" i="2"/>
  <c r="K9" i="34" s="1" a="1"/>
  <c r="K9" i="34" s="1"/>
  <c r="AP157" i="2"/>
  <c r="J9" i="34" s="1"/>
  <c r="AP156" i="2"/>
  <c r="K34" i="34" s="1" a="1"/>
  <c r="K34" i="34" s="1"/>
  <c r="AP155" i="2"/>
  <c r="J34" i="34" s="1"/>
  <c r="AP154" i="2"/>
  <c r="K19" i="34" s="1" a="1"/>
  <c r="K19" i="34" s="1"/>
  <c r="AP153" i="2"/>
  <c r="J19" i="34" s="1"/>
  <c r="AP152" i="2"/>
  <c r="K23" i="34" s="1" a="1"/>
  <c r="K23" i="34" s="1"/>
  <c r="AP151" i="2"/>
  <c r="J23" i="34" s="1"/>
  <c r="AP150" i="2"/>
  <c r="K39" i="34" s="1" a="1"/>
  <c r="K39" i="34" s="1"/>
  <c r="AP149" i="2"/>
  <c r="J39" i="34" s="1"/>
  <c r="AP148" i="2"/>
  <c r="K13" i="34" s="1" a="1"/>
  <c r="K13" i="34" s="1"/>
  <c r="AP147" i="2"/>
  <c r="J13" i="34" s="1"/>
  <c r="AP146" i="2"/>
  <c r="K46" i="34" s="1" a="1"/>
  <c r="K46" i="34" s="1"/>
  <c r="AP145" i="2"/>
  <c r="J46" i="34" s="1"/>
  <c r="AP144" i="2"/>
  <c r="K17" i="34" s="1" a="1"/>
  <c r="K17" i="34" s="1"/>
  <c r="AP143" i="2"/>
  <c r="J17" i="34" s="1"/>
  <c r="AP142" i="2"/>
  <c r="K10" i="34" s="1" a="1"/>
  <c r="K10" i="34" s="1"/>
  <c r="AP141" i="2"/>
  <c r="J10" i="34" s="1"/>
  <c r="AP140" i="2"/>
  <c r="K18" i="34" s="1" a="1"/>
  <c r="K18" i="34" s="1"/>
  <c r="AP139" i="2"/>
  <c r="J18" i="34" s="1"/>
  <c r="AP138" i="2"/>
  <c r="K14" i="34" s="1" a="1"/>
  <c r="K14" i="34" s="1"/>
  <c r="AP137" i="2"/>
  <c r="J14" i="34" s="1"/>
  <c r="AP136" i="2"/>
  <c r="K30" i="34" s="1" a="1"/>
  <c r="K30" i="34" s="1"/>
  <c r="AP135" i="2"/>
  <c r="J30" i="34" s="1"/>
  <c r="AP134" i="2"/>
  <c r="AP133" i="2"/>
  <c r="J55" i="34" s="1"/>
  <c r="AP132" i="2"/>
  <c r="AP131" i="2"/>
  <c r="AP130" i="2"/>
  <c r="AP129" i="2"/>
  <c r="AP128" i="2"/>
  <c r="AP127" i="2"/>
  <c r="AP126" i="2"/>
  <c r="AP125" i="2"/>
  <c r="AP124" i="2"/>
  <c r="K43" i="34" s="1" a="1"/>
  <c r="K43" i="34" s="1"/>
  <c r="AP123" i="2"/>
  <c r="J43" i="34" s="1"/>
  <c r="AP122" i="2"/>
  <c r="AP121" i="2"/>
  <c r="J50" i="34" s="1"/>
  <c r="AP120" i="2"/>
  <c r="K44" i="34" s="1" a="1"/>
  <c r="K44" i="34" s="1"/>
  <c r="AP119" i="2"/>
  <c r="J44" i="34" s="1"/>
  <c r="AP118" i="2"/>
  <c r="AP117" i="2"/>
  <c r="AP116" i="2"/>
  <c r="K26" i="34" s="1" a="1"/>
  <c r="K26" i="34" s="1"/>
  <c r="AP115" i="2"/>
  <c r="J26" i="34" s="1"/>
  <c r="AP114" i="2"/>
  <c r="K16" i="34" s="1" a="1"/>
  <c r="K16" i="34" s="1"/>
  <c r="AP113" i="2"/>
  <c r="J16" i="34" s="1"/>
  <c r="AP112" i="2"/>
  <c r="AP111" i="2"/>
  <c r="J4" i="34" s="1"/>
  <c r="AP110" i="2"/>
  <c r="AP109" i="2"/>
  <c r="AP108" i="2"/>
  <c r="K21" i="34" s="1" a="1"/>
  <c r="K21" i="34" s="1"/>
  <c r="AP107" i="2"/>
  <c r="J21" i="34" s="1"/>
  <c r="AP106" i="2"/>
  <c r="AP105" i="2"/>
  <c r="AP104" i="2"/>
  <c r="K40" i="34" s="1" a="1"/>
  <c r="K40" i="34" s="1"/>
  <c r="AP103" i="2"/>
  <c r="J40" i="34" s="1"/>
  <c r="AP102" i="2"/>
  <c r="K38" i="34" s="1" a="1"/>
  <c r="K38" i="34" s="1"/>
  <c r="AP101" i="2"/>
  <c r="J38" i="34" s="1"/>
  <c r="AP100" i="2"/>
  <c r="K8" i="34" s="1" a="1"/>
  <c r="K8" i="34" s="1"/>
  <c r="AP99" i="2"/>
  <c r="J8" i="34" s="1"/>
  <c r="AP98" i="2"/>
  <c r="K37" i="34" s="1" a="1"/>
  <c r="K37" i="34" s="1"/>
  <c r="AP97" i="2"/>
  <c r="J37" i="34" s="1"/>
  <c r="AP96" i="2"/>
  <c r="K27" i="34" s="1" a="1"/>
  <c r="K27" i="34" s="1"/>
  <c r="AP95" i="2"/>
  <c r="J27" i="34" s="1"/>
  <c r="AP94" i="2"/>
  <c r="AP93" i="2"/>
  <c r="AP92" i="2"/>
  <c r="K28" i="34" s="1" a="1"/>
  <c r="K28" i="34" s="1"/>
  <c r="AP91" i="2"/>
  <c r="J28" i="34" s="1"/>
  <c r="AP90" i="2"/>
  <c r="K31" i="34" s="1" a="1"/>
  <c r="K31" i="34" s="1"/>
  <c r="AP89" i="2"/>
  <c r="J31" i="34" s="1"/>
  <c r="AP88" i="2"/>
  <c r="K29" i="34" s="1" a="1"/>
  <c r="K29" i="34" s="1"/>
  <c r="AP87" i="2"/>
  <c r="J29" i="34" s="1"/>
  <c r="AP86" i="2"/>
  <c r="K11" i="34" s="1" a="1"/>
  <c r="K11" i="34" s="1"/>
  <c r="AP85" i="2"/>
  <c r="J11" i="34" s="1"/>
  <c r="AP84" i="2"/>
  <c r="AP83" i="2"/>
  <c r="J49" i="34" s="1"/>
  <c r="AP82" i="2"/>
  <c r="K35" i="34" s="1" a="1"/>
  <c r="K35" i="34" s="1"/>
  <c r="AP81" i="2"/>
  <c r="J35" i="34" s="1"/>
  <c r="AP80" i="2"/>
  <c r="AP79" i="2"/>
  <c r="J53" i="34" s="1"/>
  <c r="AP78" i="2"/>
  <c r="K36" i="34" s="1" a="1"/>
  <c r="K36" i="34" s="1"/>
  <c r="AP77" i="2"/>
  <c r="J36" i="34" s="1"/>
  <c r="AP76" i="2"/>
  <c r="AP75" i="2"/>
  <c r="AP74" i="2"/>
  <c r="AP73" i="2"/>
  <c r="J51" i="34" s="1"/>
  <c r="AP72" i="2"/>
  <c r="AP71" i="2"/>
  <c r="AP70" i="2"/>
  <c r="K32" i="34" s="1" a="1"/>
  <c r="K32" i="34" s="1"/>
  <c r="AP69" i="2"/>
  <c r="J32" i="34" s="1"/>
  <c r="AP68" i="2"/>
  <c r="K42" i="34" s="1" a="1"/>
  <c r="K42" i="34" s="1"/>
  <c r="AP67" i="2"/>
  <c r="J42" i="34" s="1"/>
  <c r="AP66" i="2"/>
  <c r="AP65" i="2"/>
  <c r="AP64" i="2"/>
  <c r="K22" i="34" s="1" a="1"/>
  <c r="K22" i="34" s="1"/>
  <c r="AP63" i="2"/>
  <c r="J22" i="34" s="1"/>
  <c r="AP62" i="2"/>
  <c r="K33" i="34" s="1" a="1"/>
  <c r="K33" i="34" s="1"/>
  <c r="AP61" i="2"/>
  <c r="J33" i="34" s="1"/>
  <c r="AP60" i="2"/>
  <c r="K41" i="34" s="1" a="1"/>
  <c r="K41" i="34" s="1"/>
  <c r="AP59" i="2"/>
  <c r="J41" i="34" s="1"/>
  <c r="AP58" i="2"/>
  <c r="K15" i="34" s="1" a="1"/>
  <c r="K15" i="34" s="1"/>
  <c r="AP57" i="2"/>
  <c r="J15" i="34" s="1"/>
  <c r="AP56" i="2"/>
  <c r="K5" i="34" s="1" a="1"/>
  <c r="K5" i="34" s="1"/>
  <c r="AP55" i="2"/>
  <c r="AC25" i="2"/>
  <c r="AB25" i="2"/>
  <c r="T25" i="2"/>
  <c r="AC24" i="2"/>
  <c r="AB24" i="2"/>
  <c r="T24" i="2"/>
  <c r="AC23" i="2"/>
  <c r="AB23" i="2"/>
  <c r="T23" i="2"/>
  <c r="AC22" i="2"/>
  <c r="AB22" i="2"/>
  <c r="T22" i="2"/>
  <c r="AC21" i="2"/>
  <c r="AB21" i="2"/>
  <c r="T21" i="2"/>
  <c r="AC20" i="2"/>
  <c r="AB20" i="2"/>
  <c r="T20" i="2"/>
  <c r="AC19" i="2"/>
  <c r="AB19" i="2"/>
  <c r="T19" i="2"/>
  <c r="AC18" i="2"/>
  <c r="AB18" i="2"/>
  <c r="T18" i="2"/>
  <c r="AC17" i="2"/>
  <c r="AB17" i="2"/>
  <c r="T17" i="2"/>
  <c r="AC16" i="2"/>
  <c r="AB16" i="2"/>
  <c r="T16" i="2"/>
  <c r="AC15" i="2"/>
  <c r="AB15" i="2"/>
  <c r="T15" i="2"/>
  <c r="AC14" i="2"/>
  <c r="AB14" i="2"/>
  <c r="T14" i="2"/>
  <c r="AC13" i="2"/>
  <c r="AB13" i="2"/>
  <c r="T13" i="2"/>
  <c r="AC12" i="2"/>
  <c r="AB12" i="2"/>
  <c r="T12" i="2"/>
  <c r="AC11" i="2"/>
  <c r="AB11" i="2"/>
  <c r="T11" i="2"/>
  <c r="AC10" i="2"/>
  <c r="AB10" i="2"/>
  <c r="T10" i="2"/>
  <c r="AC9" i="2"/>
  <c r="AB9" i="2"/>
  <c r="AC8" i="2"/>
  <c r="AB8" i="2"/>
  <c r="T8" i="2"/>
  <c r="AC7" i="2"/>
  <c r="AB7" i="2"/>
  <c r="T7" i="2"/>
  <c r="AE6" i="2"/>
  <c r="AC6" i="2"/>
  <c r="AB6" i="2"/>
  <c r="T6" i="2"/>
  <c r="O6" i="2"/>
  <c r="AD129" i="18"/>
  <c r="AC129" i="18"/>
  <c r="AB129" i="18"/>
  <c r="AA129" i="18"/>
  <c r="Z129" i="18"/>
  <c r="Y129" i="18"/>
  <c r="X129" i="18"/>
  <c r="W129" i="18"/>
  <c r="V129" i="18"/>
  <c r="U129" i="18"/>
  <c r="T129" i="18"/>
  <c r="S129" i="18"/>
  <c r="AP124" i="18"/>
  <c r="AP123" i="18"/>
  <c r="AP122" i="18"/>
  <c r="AP121" i="18"/>
  <c r="AP120" i="18"/>
  <c r="AP119" i="18"/>
  <c r="AP118" i="18"/>
  <c r="AP117" i="18"/>
  <c r="AP116" i="18"/>
  <c r="AP115" i="18"/>
  <c r="AC21" i="18"/>
  <c r="AB21" i="18"/>
  <c r="AC20" i="18"/>
  <c r="AB20" i="18"/>
  <c r="T20" i="18"/>
  <c r="AC19" i="18"/>
  <c r="AB19" i="18"/>
  <c r="T19" i="18"/>
  <c r="AC18" i="18"/>
  <c r="AB18" i="18"/>
  <c r="T18" i="18"/>
  <c r="AC17" i="18"/>
  <c r="AB17" i="18"/>
  <c r="T17" i="18"/>
  <c r="AC16" i="18"/>
  <c r="AB16" i="18"/>
  <c r="T16" i="18"/>
  <c r="AC15" i="18"/>
  <c r="AB15" i="18"/>
  <c r="T15" i="18"/>
  <c r="AC14" i="18"/>
  <c r="AB14" i="18"/>
  <c r="T14" i="18"/>
  <c r="AC13" i="18"/>
  <c r="AB13" i="18"/>
  <c r="T13" i="18"/>
  <c r="AC12" i="18"/>
  <c r="AB12" i="18"/>
  <c r="T12" i="18"/>
  <c r="AC11" i="18"/>
  <c r="AB11" i="18"/>
  <c r="T11" i="18"/>
  <c r="AC10" i="18"/>
  <c r="AB10" i="18"/>
  <c r="T10" i="18"/>
  <c r="AC9" i="18"/>
  <c r="AB9" i="18"/>
  <c r="T9" i="18"/>
  <c r="AC8" i="18"/>
  <c r="AB8" i="18"/>
  <c r="T8" i="18"/>
  <c r="AC7" i="18"/>
  <c r="AB7" i="18"/>
  <c r="T7" i="18"/>
  <c r="AE6" i="18"/>
  <c r="AC6" i="18"/>
  <c r="AB6" i="18"/>
  <c r="T6" i="18"/>
  <c r="O6" i="18"/>
  <c r="AP105" i="18" l="1" a="1"/>
  <c r="AP105" i="18" s="1"/>
  <c r="AP106" i="18" a="1"/>
  <c r="AP106" i="18" s="1"/>
  <c r="AP59" i="18" a="1"/>
  <c r="AP59" i="18" s="1"/>
  <c r="J157" i="34" s="1"/>
  <c r="AP82" i="18" a="1"/>
  <c r="AP82" i="18" s="1"/>
  <c r="AP64" i="18" a="1"/>
  <c r="AP64" i="18" s="1"/>
  <c r="AP66" i="18" a="1"/>
  <c r="AP66" i="18" s="1"/>
  <c r="AP93" i="18" a="1"/>
  <c r="AP93" i="18" s="1"/>
  <c r="AP69" i="18" a="1"/>
  <c r="AP69" i="18" s="1"/>
  <c r="AP67" i="18" a="1"/>
  <c r="AP67" i="18" s="1"/>
  <c r="AP88" i="18" a="1"/>
  <c r="AP88" i="18" s="1"/>
  <c r="AP71" i="18" a="1"/>
  <c r="AP71" i="18" s="1"/>
  <c r="AP77" i="18" a="1"/>
  <c r="AP77" i="18" s="1"/>
  <c r="J155" i="34" s="1"/>
  <c r="AP62" i="18" a="1"/>
  <c r="AP62" i="18" s="1"/>
  <c r="AP91" i="18" a="1"/>
  <c r="AP91" i="18" s="1"/>
  <c r="AP75" i="18" a="1"/>
  <c r="AP75" i="18" s="1"/>
  <c r="AP81" i="18" a="1"/>
  <c r="AP81" i="18" s="1"/>
  <c r="J164" i="34" s="1"/>
  <c r="AP65" i="18" a="1"/>
  <c r="AP65" i="18" s="1"/>
  <c r="AP61" i="18" a="1"/>
  <c r="AP61" i="18" s="1"/>
  <c r="AP94" i="18" a="1"/>
  <c r="AP94" i="18" s="1"/>
  <c r="AP78" i="18" a="1"/>
  <c r="AP78" i="18" s="1"/>
  <c r="AP72" i="18" a="1"/>
  <c r="AP72" i="18" s="1"/>
  <c r="AP70" i="18" a="1"/>
  <c r="AP70" i="18" s="1"/>
  <c r="AP58" i="18" a="1"/>
  <c r="AP58" i="18" s="1"/>
  <c r="AP92" i="18" a="1"/>
  <c r="AP92" i="18" s="1"/>
  <c r="AP74" i="18" a="1"/>
  <c r="AP74" i="18" s="1"/>
  <c r="K161" i="34" s="1" a="1"/>
  <c r="K161" i="34" s="1"/>
  <c r="AP55" i="18" a="1"/>
  <c r="AP55" i="18" s="1"/>
  <c r="J150" i="34" s="1"/>
  <c r="AP89" i="18" a="1"/>
  <c r="AP89" i="18" s="1"/>
  <c r="AP73" i="18" a="1"/>
  <c r="AP73" i="18" s="1"/>
  <c r="J161" i="34" s="1"/>
  <c r="AP84" i="18" a="1"/>
  <c r="AP84" i="18" s="1"/>
  <c r="K154" i="34" s="1" a="1"/>
  <c r="K154" i="34" s="1"/>
  <c r="AP56" i="18" a="1"/>
  <c r="AP56" i="18" s="1"/>
  <c r="K150" i="34" s="1" a="1"/>
  <c r="K150" i="34" s="1"/>
  <c r="AP63" i="18" a="1"/>
  <c r="AP63" i="18" s="1"/>
  <c r="AP83" i="18" a="1"/>
  <c r="AP83" i="18" s="1"/>
  <c r="J154" i="34" s="1"/>
  <c r="AP68" i="18" a="1"/>
  <c r="AP68" i="18" s="1"/>
  <c r="AP57" i="18" a="1"/>
  <c r="AP57" i="18" s="1"/>
  <c r="AP90" i="18" a="1"/>
  <c r="AP90" i="18" s="1"/>
  <c r="AP87" i="18" a="1"/>
  <c r="AP87" i="18" s="1"/>
  <c r="AP60" i="18" a="1"/>
  <c r="AP60" i="18" s="1"/>
  <c r="AP103" i="18" a="1"/>
  <c r="AP103" i="18" s="1"/>
  <c r="AP97" i="18" a="1"/>
  <c r="AP97" i="18" s="1"/>
  <c r="J159" i="34" s="1"/>
  <c r="AP104" i="18" a="1"/>
  <c r="AP104" i="18" s="1"/>
  <c r="AP98" i="18" a="1"/>
  <c r="AP98" i="18" s="1"/>
  <c r="K159" i="34" s="1" a="1"/>
  <c r="K159" i="34" s="1"/>
  <c r="AP102" i="18" a="1"/>
  <c r="AP102" i="18" s="1"/>
  <c r="AP86" i="18" a="1"/>
  <c r="AP86" i="18" s="1"/>
  <c r="AP96" i="18" a="1"/>
  <c r="AP96" i="18" s="1"/>
  <c r="AP79" i="18" a="1"/>
  <c r="AP79" i="18" s="1"/>
  <c r="J160" i="34" s="1"/>
  <c r="AP85" i="18" a="1"/>
  <c r="AP85" i="18" s="1"/>
  <c r="J151" i="34" s="1"/>
  <c r="AP80" i="18" a="1"/>
  <c r="AP80" i="18" s="1"/>
  <c r="K160" i="34" s="1" a="1"/>
  <c r="K160" i="34" s="1"/>
  <c r="AP100" i="18" a="1"/>
  <c r="AP100" i="18" s="1"/>
  <c r="AP99" i="18" a="1"/>
  <c r="AP99" i="18" s="1"/>
  <c r="AP95" i="18" a="1"/>
  <c r="AP95" i="18" s="1"/>
  <c r="AP76" i="18" a="1"/>
  <c r="AP76" i="18" s="1"/>
  <c r="AP101" i="18" a="1"/>
  <c r="AP101" i="18" s="1"/>
  <c r="AP76" i="20" a="1"/>
  <c r="AP76" i="20" s="1"/>
  <c r="AP67" i="20" a="1"/>
  <c r="AP67" i="20" s="1"/>
  <c r="AP62" i="20" a="1"/>
  <c r="AP62" i="20" s="1"/>
  <c r="AP59" i="20" a="1"/>
  <c r="AP59" i="20" s="1"/>
  <c r="J184" i="34" s="1"/>
  <c r="AP74" i="20" a="1"/>
  <c r="AP74" i="20" s="1"/>
  <c r="AP71" i="20" a="1"/>
  <c r="AP71" i="20" s="1"/>
  <c r="AP66" i="20" a="1"/>
  <c r="AP66" i="20" s="1"/>
  <c r="AP77" i="20" a="1"/>
  <c r="AP77" i="20" s="1"/>
  <c r="AP58" i="20" a="1"/>
  <c r="AP58" i="20" s="1"/>
  <c r="K183" i="34" s="1" a="1"/>
  <c r="K183" i="34" s="1"/>
  <c r="AP55" i="20" a="1"/>
  <c r="AP55" i="20" s="1"/>
  <c r="AP72" i="20" a="1"/>
  <c r="AP72" i="20" s="1"/>
  <c r="AP70" i="20" a="1"/>
  <c r="AP70" i="20" s="1"/>
  <c r="AP68" i="20" a="1"/>
  <c r="AP68" i="20" s="1"/>
  <c r="AP60" i="20" a="1"/>
  <c r="AP60" i="20" s="1"/>
  <c r="K184" i="34" s="1" a="1"/>
  <c r="K184" i="34" s="1"/>
  <c r="AP80" i="20" a="1"/>
  <c r="AP80" i="20" s="1"/>
  <c r="AP78" i="20" a="1"/>
  <c r="AP78" i="20" s="1"/>
  <c r="AP73" i="20" a="1"/>
  <c r="AP73" i="20" s="1"/>
  <c r="AP65" i="20" a="1"/>
  <c r="AP65" i="20" s="1"/>
  <c r="AP69" i="20" a="1"/>
  <c r="AP69" i="20" s="1"/>
  <c r="AP75" i="20" a="1"/>
  <c r="AP75" i="20" s="1"/>
  <c r="AP56" i="20" a="1"/>
  <c r="AP56" i="20" s="1"/>
  <c r="K182" i="34" s="1" a="1"/>
  <c r="AP61" i="20" a="1"/>
  <c r="AP61" i="20" s="1"/>
  <c r="AP79" i="20" a="1"/>
  <c r="AP79" i="20" s="1"/>
  <c r="AP64" i="20" a="1"/>
  <c r="AP64" i="20" s="1"/>
  <c r="AP57" i="20" a="1"/>
  <c r="AP57" i="20" s="1"/>
  <c r="J183" i="34" s="1"/>
  <c r="AP63" i="20" a="1"/>
  <c r="AP63" i="20" s="1"/>
  <c r="AP57" i="17" a="1"/>
  <c r="AP57" i="17" s="1"/>
  <c r="AP75" i="17" a="1"/>
  <c r="AP75" i="17" s="1"/>
  <c r="AP96" i="17" a="1"/>
  <c r="AP96" i="17" s="1"/>
  <c r="AP79" i="17" a="1"/>
  <c r="AP79" i="17" s="1"/>
  <c r="AP56" i="17" a="1"/>
  <c r="AP56" i="17" s="1"/>
  <c r="K116" i="34" s="1" a="1"/>
  <c r="K116" i="34" s="1"/>
  <c r="AP65" i="17" a="1"/>
  <c r="AP65" i="17" s="1"/>
  <c r="AP83" i="17" a="1"/>
  <c r="AP83" i="17" s="1"/>
  <c r="AP99" i="17" a="1"/>
  <c r="AP99" i="17" s="1"/>
  <c r="AP55" i="17" a="1"/>
  <c r="AP55" i="17" s="1"/>
  <c r="J116" i="34" s="1"/>
  <c r="AP76" i="17" a="1"/>
  <c r="AP76" i="17" s="1"/>
  <c r="AP70" i="17" a="1"/>
  <c r="AP70" i="17" s="1"/>
  <c r="AP58" i="17" a="1"/>
  <c r="AP58" i="17" s="1"/>
  <c r="AP63" i="17" a="1"/>
  <c r="AP63" i="17" s="1"/>
  <c r="AP69" i="17" a="1"/>
  <c r="AP69" i="17" s="1"/>
  <c r="AP66" i="17" a="1"/>
  <c r="AP66" i="17" s="1"/>
  <c r="AP64" i="17" a="1"/>
  <c r="AP64" i="17" s="1"/>
  <c r="AP84" i="17" a="1"/>
  <c r="AP84" i="17" s="1"/>
  <c r="AP100" i="17" a="1"/>
  <c r="AP100" i="17" s="1"/>
  <c r="AP74" i="17" a="1"/>
  <c r="AP74" i="17" s="1"/>
  <c r="AP80" i="17" a="1"/>
  <c r="AP80" i="17" s="1"/>
  <c r="AP71" i="17" a="1"/>
  <c r="AP71" i="17" s="1"/>
  <c r="AP61" i="17" a="1"/>
  <c r="AP61" i="17" s="1"/>
  <c r="AP94" i="17" a="1"/>
  <c r="AP94" i="17" s="1"/>
  <c r="AP67" i="17" a="1"/>
  <c r="AP67" i="17" s="1"/>
  <c r="AP89" i="17" a="1"/>
  <c r="AP89" i="17" s="1"/>
  <c r="AP93" i="17" a="1"/>
  <c r="AP93" i="17" s="1"/>
  <c r="AP72" i="17" a="1"/>
  <c r="AP72" i="17" s="1"/>
  <c r="AP87" i="17" a="1"/>
  <c r="AP87" i="17" s="1"/>
  <c r="AP68" i="17" a="1"/>
  <c r="AP68" i="17" s="1"/>
  <c r="AP59" i="17" a="1"/>
  <c r="AP59" i="17" s="1"/>
  <c r="AP98" i="17" a="1"/>
  <c r="AP98" i="17" s="1"/>
  <c r="AP62" i="17" a="1"/>
  <c r="AP62" i="17" s="1"/>
  <c r="AP95" i="17" a="1"/>
  <c r="AP95" i="17" s="1"/>
  <c r="AP90" i="17" a="1"/>
  <c r="AP90" i="17" s="1"/>
  <c r="AP78" i="17" a="1"/>
  <c r="AP78" i="17" s="1"/>
  <c r="AP77" i="17" a="1"/>
  <c r="AP77" i="17" s="1"/>
  <c r="AP82" i="17" a="1"/>
  <c r="AP82" i="17" s="1"/>
  <c r="AP97" i="17" a="1"/>
  <c r="AP97" i="17" s="1"/>
  <c r="AP88" i="17" a="1"/>
  <c r="AP88" i="17" s="1"/>
  <c r="AP81" i="17" a="1"/>
  <c r="AP81" i="17" s="1"/>
  <c r="AP60" i="17" a="1"/>
  <c r="AP60" i="17" s="1"/>
  <c r="AP73" i="17" a="1"/>
  <c r="AP73" i="17" s="1"/>
  <c r="AP100" i="19" a="1"/>
  <c r="AP100" i="19" s="1"/>
  <c r="AP64" i="19" a="1"/>
  <c r="AP64" i="19" s="1"/>
  <c r="AP68" i="19" a="1"/>
  <c r="AP68" i="19" s="1"/>
  <c r="AP80" i="19" a="1"/>
  <c r="AP80" i="19" s="1"/>
  <c r="AP56" i="19" a="1"/>
  <c r="AP56" i="19" s="1"/>
  <c r="AP74" i="19" a="1"/>
  <c r="AP74" i="19" s="1"/>
  <c r="AP106" i="19" a="1"/>
  <c r="AP106" i="19" s="1"/>
  <c r="AP78" i="19" a="1"/>
  <c r="AP78" i="19" s="1"/>
  <c r="AP76" i="19" a="1"/>
  <c r="AP76" i="19" s="1"/>
  <c r="AP72" i="19" a="1"/>
  <c r="AP72" i="19" s="1"/>
  <c r="AP58" i="19" a="1"/>
  <c r="AP58" i="19" s="1"/>
  <c r="AP92" i="19" a="1"/>
  <c r="AP92" i="19" s="1"/>
  <c r="AP116" i="19" a="1"/>
  <c r="AP116" i="19" s="1"/>
  <c r="AP120" i="19" a="1"/>
  <c r="AP120" i="19" s="1"/>
  <c r="K73" i="34" s="1" a="1"/>
  <c r="K73" i="34" s="1"/>
  <c r="AP86" i="19" a="1"/>
  <c r="AP86" i="19" s="1"/>
  <c r="AP90" i="19" a="1"/>
  <c r="AP90" i="19" s="1"/>
  <c r="AP112" i="19" a="1"/>
  <c r="AP112" i="19" s="1"/>
  <c r="K76" i="34" s="1" a="1"/>
  <c r="K76" i="34" s="1"/>
  <c r="AP66" i="19" a="1"/>
  <c r="AP66" i="19" s="1"/>
  <c r="K70" i="34" s="1" a="1"/>
  <c r="K70" i="34" s="1"/>
  <c r="AP96" i="19" a="1"/>
  <c r="AP96" i="19" s="1"/>
  <c r="AP118" i="19" a="1"/>
  <c r="AP118" i="19" s="1"/>
  <c r="AP98" i="19" a="1"/>
  <c r="AP98" i="19" s="1"/>
  <c r="AP128" i="19" a="1"/>
  <c r="AP128" i="19" s="1"/>
  <c r="AP126" i="19" a="1"/>
  <c r="AP126" i="19" s="1"/>
  <c r="AP84" i="19" a="1"/>
  <c r="AP84" i="19" s="1"/>
  <c r="AP70" i="19" a="1"/>
  <c r="AP70" i="19" s="1"/>
  <c r="AP110" i="19" a="1"/>
  <c r="AP110" i="19" s="1"/>
  <c r="AP124" i="19" a="1"/>
  <c r="AP124" i="19" s="1"/>
  <c r="AP82" i="19" a="1"/>
  <c r="AP82" i="19" s="1"/>
  <c r="AP114" i="19" a="1"/>
  <c r="AP114" i="19" s="1"/>
  <c r="AP122" i="19" a="1"/>
  <c r="AP122" i="19" s="1"/>
  <c r="AP60" i="19" a="1"/>
  <c r="AP60" i="19" s="1"/>
  <c r="K71" i="34" s="1" a="1"/>
  <c r="K71" i="34" s="1"/>
  <c r="AP102" i="19" a="1"/>
  <c r="AP102" i="19" s="1"/>
  <c r="K72" i="34" s="1" a="1"/>
  <c r="K72" i="34" s="1"/>
  <c r="AP94" i="19" a="1"/>
  <c r="AP94" i="19" s="1"/>
  <c r="AP62" i="19" a="1"/>
  <c r="AP62" i="19" s="1"/>
  <c r="AP88" i="19" a="1"/>
  <c r="AP88" i="19" s="1"/>
  <c r="AP104" i="19" a="1"/>
  <c r="AP104" i="19" s="1"/>
  <c r="K74" i="34" s="1" a="1"/>
  <c r="K74" i="34" s="1"/>
  <c r="AP108" i="19" a="1"/>
  <c r="AP108" i="19" s="1"/>
  <c r="K75" i="34" s="1" a="1"/>
  <c r="K75" i="34" s="1"/>
  <c r="J52" i="34"/>
  <c r="J58" i="34"/>
  <c r="J59" i="34"/>
  <c r="J45" i="34"/>
  <c r="J54" i="34"/>
  <c r="K45" i="34" a="1"/>
  <c r="K45" i="34" s="1"/>
  <c r="J5" i="34"/>
  <c r="K4" i="34" a="1"/>
  <c r="K4" i="34" s="1"/>
  <c r="I7" i="8"/>
  <c r="L7" i="8" s="1"/>
  <c r="I5" i="8"/>
  <c r="AD6" i="2"/>
  <c r="AD10" i="2"/>
  <c r="AD18" i="2"/>
  <c r="AD20" i="2"/>
  <c r="AD22" i="2"/>
  <c r="AD16" i="18"/>
  <c r="AD21" i="17"/>
  <c r="J77" i="34"/>
  <c r="J83" i="34"/>
  <c r="J89" i="34"/>
  <c r="J79" i="34"/>
  <c r="J87" i="34"/>
  <c r="J78" i="34"/>
  <c r="J80" i="34"/>
  <c r="J82" i="34"/>
  <c r="J85" i="34"/>
  <c r="J86" i="34"/>
  <c r="J88" i="34"/>
  <c r="J90" i="34"/>
  <c r="J84" i="34"/>
  <c r="AD11" i="19"/>
  <c r="AB9" i="36"/>
  <c r="AB21" i="36"/>
  <c r="AD22" i="19"/>
  <c r="AD24" i="2"/>
  <c r="AB12" i="36"/>
  <c r="AB24" i="36"/>
  <c r="AD21" i="2"/>
  <c r="AD12" i="2"/>
  <c r="AB15" i="36"/>
  <c r="AD14" i="2"/>
  <c r="AD19" i="2"/>
  <c r="AD9" i="17"/>
  <c r="AD16" i="2"/>
  <c r="Q40" i="9"/>
  <c r="AD12" i="17"/>
  <c r="S40" i="9"/>
  <c r="AD15" i="17"/>
  <c r="AB18" i="36"/>
  <c r="AD6" i="19"/>
  <c r="AD6" i="18"/>
  <c r="AD21" i="18"/>
  <c r="AD7" i="2"/>
  <c r="AD7" i="19"/>
  <c r="AD10" i="19"/>
  <c r="AD13" i="19"/>
  <c r="AD18" i="19"/>
  <c r="AD24" i="19"/>
  <c r="AD11" i="17"/>
  <c r="AD17" i="17"/>
  <c r="AD23" i="17"/>
  <c r="AB8" i="36"/>
  <c r="AB11" i="36"/>
  <c r="AB14" i="36"/>
  <c r="AB17" i="36"/>
  <c r="AB20" i="36"/>
  <c r="AB23" i="36"/>
  <c r="AD7" i="18"/>
  <c r="AD9" i="18"/>
  <c r="AD11" i="18"/>
  <c r="AD13" i="18"/>
  <c r="AD14" i="18"/>
  <c r="AD15" i="18"/>
  <c r="AD17" i="18"/>
  <c r="AD19" i="18"/>
  <c r="AD9" i="19"/>
  <c r="AD15" i="19"/>
  <c r="AD20" i="19"/>
  <c r="AD6" i="17"/>
  <c r="AD7" i="17"/>
  <c r="AD13" i="17"/>
  <c r="AD19" i="17"/>
  <c r="AD25" i="17"/>
  <c r="AB7" i="36"/>
  <c r="AB10" i="36"/>
  <c r="AB13" i="36"/>
  <c r="AB16" i="36"/>
  <c r="AB19" i="36"/>
  <c r="AB22" i="36"/>
  <c r="AB25" i="36"/>
  <c r="T40" i="9"/>
  <c r="K25" i="34" a="1"/>
  <c r="K25" i="34" s="1"/>
  <c r="K24" i="34" a="1"/>
  <c r="K24" i="34" s="1"/>
  <c r="AF20" i="8" a="1"/>
  <c r="AF20" i="8" s="1"/>
  <c r="AE25" i="8" a="1"/>
  <c r="AE25" i="8" s="1"/>
  <c r="AF22" i="8" a="1"/>
  <c r="AF22" i="8" s="1"/>
  <c r="AF13" i="8" a="1"/>
  <c r="AF13" i="8" s="1"/>
  <c r="AF29" i="8" a="1"/>
  <c r="AF29" i="8" s="1"/>
  <c r="AE11" i="8" a="1"/>
  <c r="AE11" i="8" s="1"/>
  <c r="AF11" i="8" a="1"/>
  <c r="AF11" i="8" s="1"/>
  <c r="AE24" i="8" a="1"/>
  <c r="AE24" i="8" s="1"/>
  <c r="AE12" i="8" a="1"/>
  <c r="AE12" i="8" s="1"/>
  <c r="AE18" i="8" a="1"/>
  <c r="AE18" i="8" s="1"/>
  <c r="AE28" i="8" a="1"/>
  <c r="AE28" i="8" s="1"/>
  <c r="AE23" i="8" a="1"/>
  <c r="AE23" i="8" s="1"/>
  <c r="AE26" i="8" a="1"/>
  <c r="AE26" i="8" s="1"/>
  <c r="AF17" i="8" a="1"/>
  <c r="AF17" i="8" s="1"/>
  <c r="AF14" i="8" a="1"/>
  <c r="AF14" i="8" s="1"/>
  <c r="AF25" i="8" a="1"/>
  <c r="AF25" i="8" s="1"/>
  <c r="AF15" i="8" a="1"/>
  <c r="AF15" i="8" s="1"/>
  <c r="AF26" i="8" a="1"/>
  <c r="AF26" i="8" s="1"/>
  <c r="AF27" i="8" a="1"/>
  <c r="AF27" i="8" s="1"/>
  <c r="AE20" i="8" a="1"/>
  <c r="AE20" i="8" s="1"/>
  <c r="AF10" i="8" a="1"/>
  <c r="AF10" i="8" s="1"/>
  <c r="AE19" i="8" a="1"/>
  <c r="AE19" i="8" s="1"/>
  <c r="AF21" i="8" a="1"/>
  <c r="AF21" i="8" s="1"/>
  <c r="AF28" i="8" a="1"/>
  <c r="AF28" i="8" s="1"/>
  <c r="AF23" i="8" a="1"/>
  <c r="AF23" i="8" s="1"/>
  <c r="AE22" i="8" a="1"/>
  <c r="AE22" i="8" s="1"/>
  <c r="AE16" i="8" a="1"/>
  <c r="AE16" i="8" s="1"/>
  <c r="AE10" i="8" a="1"/>
  <c r="AE10" i="8" s="1"/>
  <c r="AE13" i="8" a="1"/>
  <c r="AE13" i="8" s="1"/>
  <c r="AF12" i="8" a="1"/>
  <c r="AF12" i="8" s="1"/>
  <c r="AE27" i="8" a="1"/>
  <c r="AE27" i="8" s="1"/>
  <c r="AE21" i="8" a="1"/>
  <c r="AE21" i="8" s="1"/>
  <c r="AF16" i="8" a="1"/>
  <c r="AF16" i="8" s="1"/>
  <c r="AF24" i="8" a="1"/>
  <c r="AF24" i="8" s="1"/>
  <c r="AF18" i="8" a="1"/>
  <c r="AF18" i="8" s="1"/>
  <c r="AF19" i="8" a="1"/>
  <c r="AF19" i="8" s="1"/>
  <c r="AE15" i="8" a="1"/>
  <c r="AE15" i="8" s="1"/>
  <c r="AE29" i="8" a="1"/>
  <c r="AE29" i="8" s="1"/>
  <c r="AE14" i="8" a="1"/>
  <c r="AE14" i="8" s="1"/>
  <c r="AE17" i="8" a="1"/>
  <c r="AE17" i="8" s="1"/>
  <c r="U40" i="9"/>
  <c r="X71" i="15"/>
  <c r="J14" i="8"/>
  <c r="I11" i="8"/>
  <c r="I10" i="8"/>
  <c r="I12" i="8"/>
  <c r="J13" i="8"/>
  <c r="I13" i="8"/>
  <c r="J11" i="8"/>
  <c r="I15" i="8"/>
  <c r="I14" i="8"/>
  <c r="J10" i="8"/>
  <c r="J15" i="8"/>
  <c r="J12" i="8"/>
  <c r="G175" i="36"/>
  <c r="H174" i="36"/>
  <c r="F175" i="36"/>
  <c r="G176" i="36"/>
  <c r="F164" i="36"/>
  <c r="F176" i="36"/>
  <c r="H175" i="36"/>
  <c r="G174" i="36"/>
  <c r="D168" i="36"/>
  <c r="F168" i="36" s="1"/>
  <c r="F174" i="36"/>
  <c r="AD10" i="18"/>
  <c r="AD15" i="2"/>
  <c r="J6" i="34"/>
  <c r="J7" i="34"/>
  <c r="AD25" i="19"/>
  <c r="AD8" i="17"/>
  <c r="AD22" i="17"/>
  <c r="T10" i="20" a="1"/>
  <c r="T10" i="20" s="1"/>
  <c r="T12" i="20" a="1"/>
  <c r="T12" i="20" s="1"/>
  <c r="T11" i="20" a="1"/>
  <c r="T11" i="20" s="1"/>
  <c r="T9" i="20" a="1"/>
  <c r="T9" i="20" s="1"/>
  <c r="T14" i="20" a="1"/>
  <c r="T14" i="20" s="1"/>
  <c r="T6" i="20" a="1"/>
  <c r="T6" i="20" s="1"/>
  <c r="T7" i="20" a="1"/>
  <c r="T7" i="20" s="1"/>
  <c r="T8" i="20" a="1"/>
  <c r="T8" i="20" s="1"/>
  <c r="T13" i="20" a="1"/>
  <c r="T13" i="20" s="1"/>
  <c r="AB6" i="36"/>
  <c r="AE117" i="36"/>
  <c r="V40" i="9"/>
  <c r="J24" i="34"/>
  <c r="J25" i="34"/>
  <c r="J81" i="34"/>
  <c r="X70" i="28"/>
  <c r="AE118" i="36"/>
  <c r="K7" i="34" a="1"/>
  <c r="K7" i="34" s="1"/>
  <c r="K6" i="34" a="1"/>
  <c r="K6" i="34" s="1"/>
  <c r="V10" i="8" a="1"/>
  <c r="V10" i="8" s="1"/>
  <c r="W10" i="8" a="1"/>
  <c r="W10" i="8" s="1"/>
  <c r="W11" i="8" a="1"/>
  <c r="W11" i="8" s="1"/>
  <c r="V11" i="8" a="1"/>
  <c r="V11" i="8" s="1"/>
  <c r="W40" i="9"/>
  <c r="AD20" i="18"/>
  <c r="AD11" i="2"/>
  <c r="AD25" i="2"/>
  <c r="J47" i="34"/>
  <c r="J48" i="34"/>
  <c r="AD16" i="19"/>
  <c r="AD21" i="19"/>
  <c r="AD18" i="17"/>
  <c r="K48" i="34" a="1"/>
  <c r="K48" i="34" s="1"/>
  <c r="K47" i="34" a="1"/>
  <c r="K47" i="34" s="1"/>
  <c r="X72" i="26"/>
  <c r="AD12" i="19"/>
  <c r="AD14" i="17"/>
  <c r="L40" i="9"/>
  <c r="X72" i="14"/>
  <c r="K12" i="34" a="1"/>
  <c r="K12" i="34" s="1"/>
  <c r="X71" i="26"/>
  <c r="M40" i="9"/>
  <c r="AD12" i="18"/>
  <c r="AD17" i="2"/>
  <c r="AD8" i="19"/>
  <c r="T18" i="19" a="1"/>
  <c r="T18" i="19" s="1"/>
  <c r="T13" i="19" a="1"/>
  <c r="T13" i="19" s="1"/>
  <c r="T20" i="19" a="1"/>
  <c r="T20" i="19" s="1"/>
  <c r="T10" i="19" a="1"/>
  <c r="T10" i="19" s="1"/>
  <c r="T7" i="19" a="1"/>
  <c r="T7" i="19" s="1"/>
  <c r="T16" i="19" a="1"/>
  <c r="T16" i="19" s="1"/>
  <c r="T9" i="19" a="1"/>
  <c r="T9" i="19" s="1"/>
  <c r="T12" i="19" a="1"/>
  <c r="T12" i="19" s="1"/>
  <c r="T14" i="19" a="1"/>
  <c r="T14" i="19" s="1"/>
  <c r="T23" i="19" a="1"/>
  <c r="T23" i="19" s="1"/>
  <c r="K91" i="34" a="1"/>
  <c r="K91" i="34" s="1"/>
  <c r="T8" i="19" a="1"/>
  <c r="T8" i="19" s="1"/>
  <c r="T6" i="19" a="1"/>
  <c r="T6" i="19" s="1"/>
  <c r="T25" i="19" a="1"/>
  <c r="T25" i="19" s="1"/>
  <c r="T22" i="19" a="1"/>
  <c r="T22" i="19" s="1"/>
  <c r="T19" i="19" a="1"/>
  <c r="T19" i="19" s="1"/>
  <c r="T17" i="19" a="1"/>
  <c r="T17" i="19" s="1"/>
  <c r="K92" i="34" a="1"/>
  <c r="K92" i="34" s="1"/>
  <c r="T15" i="19" a="1"/>
  <c r="T15" i="19" s="1"/>
  <c r="T21" i="19" a="1"/>
  <c r="T21" i="19" s="1"/>
  <c r="T24" i="19" a="1"/>
  <c r="T24" i="19" s="1"/>
  <c r="T11" i="19" a="1"/>
  <c r="T11" i="19" s="1"/>
  <c r="AD10" i="17"/>
  <c r="AD24" i="17"/>
  <c r="M8" i="14"/>
  <c r="M13" i="14"/>
  <c r="X71" i="14"/>
  <c r="M9" i="14"/>
  <c r="M11" i="14"/>
  <c r="M12" i="14"/>
  <c r="M10" i="14"/>
  <c r="N40" i="9"/>
  <c r="O40" i="9"/>
  <c r="AD8" i="18"/>
  <c r="AD8" i="2"/>
  <c r="AD13" i="2"/>
  <c r="AD23" i="19"/>
  <c r="AD20" i="17"/>
  <c r="P40" i="9"/>
  <c r="T6" i="17" a="1"/>
  <c r="T6" i="17" s="1"/>
  <c r="T20" i="17" a="1"/>
  <c r="T20" i="17" s="1"/>
  <c r="T16" i="17" a="1"/>
  <c r="T16" i="17" s="1"/>
  <c r="T23" i="17" a="1"/>
  <c r="T23" i="17" s="1"/>
  <c r="T22" i="17" a="1"/>
  <c r="T22" i="17" s="1"/>
  <c r="T18" i="17" a="1"/>
  <c r="T18" i="17" s="1"/>
  <c r="T24" i="17" a="1"/>
  <c r="T24" i="17" s="1"/>
  <c r="T17" i="17" a="1"/>
  <c r="T17" i="17" s="1"/>
  <c r="T19" i="17" a="1"/>
  <c r="T19" i="17" s="1"/>
  <c r="T7" i="17" a="1"/>
  <c r="T7" i="17" s="1"/>
  <c r="T15" i="17" a="1"/>
  <c r="T15" i="17" s="1"/>
  <c r="T21" i="17" a="1"/>
  <c r="T21" i="17" s="1"/>
  <c r="T12" i="17" a="1"/>
  <c r="T12" i="17" s="1"/>
  <c r="T9" i="17" a="1"/>
  <c r="T9" i="17" s="1"/>
  <c r="T13" i="17" a="1"/>
  <c r="T13" i="17" s="1"/>
  <c r="T25" i="17" a="1"/>
  <c r="T25" i="17" s="1"/>
  <c r="T14" i="17" a="1"/>
  <c r="T14" i="17" s="1"/>
  <c r="T11" i="17" a="1"/>
  <c r="T11" i="17" s="1"/>
  <c r="T8" i="17" a="1"/>
  <c r="T8" i="17" s="1"/>
  <c r="T10" i="17" a="1"/>
  <c r="T10" i="17" s="1"/>
  <c r="D500" i="38"/>
  <c r="C500" i="38"/>
  <c r="X72" i="15"/>
  <c r="AD18" i="18"/>
  <c r="AD9" i="2"/>
  <c r="AD23" i="2"/>
  <c r="J56" i="34"/>
  <c r="J57" i="34"/>
  <c r="AD14" i="19"/>
  <c r="AD19" i="19"/>
  <c r="AD16" i="17"/>
  <c r="X71" i="28"/>
  <c r="P11" i="8" a="1"/>
  <c r="P11" i="8" s="1"/>
  <c r="M12" i="8" a="1"/>
  <c r="M12" i="8" s="1"/>
  <c r="P12" i="8" a="1"/>
  <c r="P12" i="8" s="1"/>
  <c r="M11" i="8" a="1"/>
  <c r="M11" i="8" s="1"/>
  <c r="R40" i="9"/>
  <c r="J149" i="34" l="1"/>
  <c r="AG21" i="8"/>
  <c r="AG10" i="8"/>
  <c r="K77" i="34" a="1"/>
  <c r="K77" i="34" s="1"/>
  <c r="K89" i="34" a="1"/>
  <c r="K89" i="34" s="1"/>
  <c r="K84" i="34" a="1"/>
  <c r="K84" i="34" s="1"/>
  <c r="K80" i="34" a="1"/>
  <c r="K80" i="34" s="1"/>
  <c r="K81" i="34" a="1"/>
  <c r="K81" i="34" s="1"/>
  <c r="K78" i="34" a="1"/>
  <c r="K78" i="34" s="1"/>
  <c r="K88" i="34" a="1"/>
  <c r="K88" i="34" s="1"/>
  <c r="K79" i="34" a="1"/>
  <c r="K79" i="34" s="1"/>
  <c r="K82" i="34" a="1"/>
  <c r="K82" i="34" s="1"/>
  <c r="K86" i="34" a="1"/>
  <c r="K86" i="34" s="1"/>
  <c r="K90" i="34" a="1"/>
  <c r="K90" i="34" s="1"/>
  <c r="K85" i="34" a="1"/>
  <c r="K85" i="34" s="1"/>
  <c r="K83" i="34" a="1"/>
  <c r="K83" i="34" s="1"/>
  <c r="K87" i="34" a="1"/>
  <c r="K87" i="34" s="1"/>
  <c r="K156" i="34" a="1"/>
  <c r="K156" i="34" s="1"/>
  <c r="AG13" i="8"/>
  <c r="AG29" i="8"/>
  <c r="AG15" i="8"/>
  <c r="AG16" i="8"/>
  <c r="AG17" i="8"/>
  <c r="AG20" i="8"/>
  <c r="AG27" i="8"/>
  <c r="T26" i="17"/>
  <c r="J186" i="34"/>
  <c r="K120" i="34" a="1"/>
  <c r="K120" i="34" s="1"/>
  <c r="J126" i="34"/>
  <c r="K188" i="34" a="1"/>
  <c r="K188" i="34" s="1"/>
  <c r="K151" i="34" a="1"/>
  <c r="K151" i="34" s="1"/>
  <c r="AG25" i="8"/>
  <c r="J14" i="32"/>
  <c r="K125" i="34" a="1"/>
  <c r="K125" i="34" s="1"/>
  <c r="K121" i="34" a="1"/>
  <c r="K121" i="34" s="1"/>
  <c r="J117" i="34"/>
  <c r="K152" i="34" a="1"/>
  <c r="K152" i="34" s="1"/>
  <c r="H7" i="38"/>
  <c r="K7" i="38"/>
  <c r="N7" i="38"/>
  <c r="L5" i="8"/>
  <c r="J7" i="32"/>
  <c r="L7" i="32" s="1"/>
  <c r="J125" i="34"/>
  <c r="K122" i="34" a="1"/>
  <c r="K122" i="34" s="1"/>
  <c r="K187" i="34" a="1"/>
  <c r="K187" i="34" s="1"/>
  <c r="K157" i="34" a="1"/>
  <c r="K157" i="34" s="1"/>
  <c r="J156" i="34"/>
  <c r="AG22" i="8"/>
  <c r="AG26" i="8"/>
  <c r="X40" i="9"/>
  <c r="AB122" i="9" s="1"/>
  <c r="J13" i="32" s="1"/>
  <c r="L43" i="9"/>
  <c r="K119" i="34" a="1"/>
  <c r="K119" i="34" s="1"/>
  <c r="J121" i="34"/>
  <c r="K136" i="34" a="1"/>
  <c r="K136" i="34" s="1"/>
  <c r="K186" i="34" a="1"/>
  <c r="K186" i="34" s="1"/>
  <c r="K153" i="34" a="1"/>
  <c r="K153" i="34" s="1"/>
  <c r="J163" i="34"/>
  <c r="AG14" i="8"/>
  <c r="AG23" i="8"/>
  <c r="J190" i="34"/>
  <c r="J120" i="34"/>
  <c r="J118" i="34"/>
  <c r="J162" i="34"/>
  <c r="K149" i="34" a="1"/>
  <c r="K149" i="34" s="1"/>
  <c r="AG28" i="8"/>
  <c r="K118" i="34" a="1"/>
  <c r="K118" i="34" s="1"/>
  <c r="K123" i="34" a="1"/>
  <c r="K123" i="34" s="1"/>
  <c r="J119" i="34"/>
  <c r="K124" i="34" a="1"/>
  <c r="K124" i="34" s="1"/>
  <c r="AG18" i="8"/>
  <c r="J124" i="34"/>
  <c r="J123" i="34"/>
  <c r="K117" i="34" a="1"/>
  <c r="K117" i="34" s="1"/>
  <c r="J188" i="34"/>
  <c r="J152" i="34"/>
  <c r="AG19" i="8"/>
  <c r="AG12" i="8"/>
  <c r="K126" i="34" a="1"/>
  <c r="K126" i="34" s="1"/>
  <c r="K185" i="34" a="1"/>
  <c r="K185" i="34" s="1"/>
  <c r="K158" i="34" a="1"/>
  <c r="K158" i="34" s="1"/>
  <c r="L10" i="36"/>
  <c r="H176" i="36"/>
  <c r="AG24" i="8"/>
  <c r="J122" i="34"/>
  <c r="K163" i="34" a="1"/>
  <c r="K163" i="34" s="1"/>
  <c r="K189" i="34" a="1"/>
  <c r="K189" i="34" s="1"/>
  <c r="J189" i="34"/>
  <c r="K182" i="34"/>
  <c r="T26" i="20"/>
  <c r="J185" i="34"/>
  <c r="J153" i="34"/>
  <c r="K155" i="34" a="1"/>
  <c r="K155" i="34" s="1"/>
  <c r="AG11" i="8"/>
  <c r="K162" i="34" a="1"/>
  <c r="K162" i="34" s="1"/>
  <c r="K190" i="34" a="1"/>
  <c r="K190" i="34" s="1"/>
  <c r="J187" i="34"/>
  <c r="J158" i="34"/>
  <c r="K164" i="34" l="1" a="1"/>
  <c r="K164" i="34" s="1"/>
  <c r="K127" i="34" a="1"/>
  <c r="K127" i="34" s="1"/>
  <c r="J127" i="34"/>
  <c r="K128" i="34" a="1"/>
  <c r="K128" i="34" s="1"/>
  <c r="K131" i="34" a="1"/>
  <c r="K131" i="34" s="1"/>
  <c r="J133" i="34"/>
  <c r="K135" i="34" a="1"/>
  <c r="K135" i="34" s="1"/>
  <c r="J130" i="34"/>
  <c r="J134" i="34"/>
  <c r="J132" i="34"/>
  <c r="J129" i="34"/>
  <c r="K134" i="34" a="1"/>
  <c r="K134" i="34" s="1"/>
  <c r="K133" i="34" a="1"/>
  <c r="K133" i="34" s="1"/>
  <c r="K129" i="34" a="1"/>
  <c r="K129" i="34" s="1"/>
  <c r="K130" i="34" a="1"/>
  <c r="K130" i="34" s="1"/>
  <c r="J128" i="34"/>
  <c r="J135" i="34"/>
  <c r="J131" i="34"/>
  <c r="K132" i="34" a="1"/>
  <c r="K132" i="34" s="1"/>
  <c r="N7" i="32"/>
  <c r="L44" i="9"/>
  <c r="M43" i="9"/>
  <c r="N43" i="9" l="1"/>
  <c r="M44" i="9"/>
  <c r="O43" i="9" l="1"/>
  <c r="R122" i="9"/>
  <c r="N44" i="9"/>
  <c r="P43" i="9" l="1"/>
  <c r="O44" i="9"/>
  <c r="S122" i="9"/>
  <c r="Q43" i="9" l="1"/>
  <c r="T122" i="9"/>
  <c r="P44" i="9"/>
  <c r="R43" i="9" l="1"/>
  <c r="S43" i="9" s="1"/>
  <c r="T43" i="9" l="1"/>
  <c r="U43" i="9" l="1"/>
  <c r="V43" i="9" s="1"/>
  <c r="W43" i="9" s="1"/>
  <c r="Q44" i="9" l="1"/>
  <c r="V122" i="9" s="1"/>
  <c r="U122" i="9"/>
  <c r="R44" i="9" l="1"/>
  <c r="S44" i="9" l="1"/>
  <c r="W122" i="9"/>
  <c r="T44" i="9" l="1"/>
  <c r="X122" i="9"/>
  <c r="U44" i="9" l="1"/>
  <c r="Y122" i="9"/>
  <c r="V44" i="9" l="1"/>
  <c r="Z122" i="9"/>
  <c r="W44" i="9" l="1"/>
  <c r="AA122" i="9"/>
  <c r="I69" i="24"/>
  <c r="AN69" i="24" s="1"/>
  <c r="I65" i="24"/>
  <c r="S128" i="24"/>
  <c r="S127" i="24"/>
  <c r="H127" i="24"/>
  <c r="G127" i="24" l="1"/>
  <c r="AN65" i="24"/>
  <c r="I10" i="24"/>
  <c r="K14" i="32" s="1"/>
  <c r="J125" i="24"/>
  <c r="S126" i="24"/>
  <c r="H125" i="24"/>
  <c r="T125" i="24" l="1"/>
  <c r="AG125" i="24"/>
  <c r="X125" i="24"/>
  <c r="AD125" i="24"/>
  <c r="AF125" i="24"/>
  <c r="AB125" i="24"/>
  <c r="U125" i="24"/>
  <c r="Z125" i="24"/>
  <c r="Y125" i="24"/>
  <c r="V125" i="24"/>
  <c r="AH125" i="24"/>
  <c r="AC125" i="24"/>
  <c r="G125" i="24"/>
  <c r="S125" i="24"/>
  <c r="AE125" i="24" l="1"/>
  <c r="AI125" i="24"/>
  <c r="AA125" i="24"/>
  <c r="AJ125" i="24"/>
  <c r="W125" i="24"/>
  <c r="H123" i="24" l="1"/>
  <c r="S124" i="24"/>
  <c r="G123" i="24" l="1"/>
  <c r="H115" i="24" l="1"/>
  <c r="G115" i="24"/>
  <c r="S123" i="24" l="1"/>
  <c r="J63" i="24"/>
  <c r="J101" i="24"/>
  <c r="J79" i="24"/>
  <c r="S122" i="24"/>
  <c r="H121" i="24"/>
  <c r="X63" i="24" l="1"/>
  <c r="AC63" i="24"/>
  <c r="Y63" i="24"/>
  <c r="U63" i="24"/>
  <c r="AD63" i="24"/>
  <c r="AH63" i="24"/>
  <c r="T63" i="24"/>
  <c r="AF63" i="24"/>
  <c r="AB63" i="24"/>
  <c r="V63" i="24"/>
  <c r="D411" i="38"/>
  <c r="AG63" i="24"/>
  <c r="Z63" i="24"/>
  <c r="AF79" i="24"/>
  <c r="Z79" i="24"/>
  <c r="U79" i="24"/>
  <c r="AC79" i="24"/>
  <c r="AB79" i="24"/>
  <c r="T79" i="24"/>
  <c r="Y79" i="24"/>
  <c r="AH79" i="24"/>
  <c r="X79" i="24"/>
  <c r="AD79" i="24"/>
  <c r="V79" i="24"/>
  <c r="AG79" i="24"/>
  <c r="D427" i="38"/>
  <c r="X101" i="24"/>
  <c r="AC101" i="24"/>
  <c r="AH101" i="24"/>
  <c r="U101" i="24"/>
  <c r="T101" i="24"/>
  <c r="AG101" i="24"/>
  <c r="AB101" i="24"/>
  <c r="AD101" i="24"/>
  <c r="Z101" i="24"/>
  <c r="D449" i="38"/>
  <c r="V101" i="24"/>
  <c r="AF101" i="24"/>
  <c r="Y101" i="24"/>
  <c r="G121" i="24"/>
  <c r="S121" i="24"/>
  <c r="AE63" i="24" l="1"/>
  <c r="AA79" i="24"/>
  <c r="AE101" i="24"/>
  <c r="W79" i="24"/>
  <c r="AJ79" i="24"/>
  <c r="W63" i="24"/>
  <c r="AJ63" i="24"/>
  <c r="AE79" i="24"/>
  <c r="AJ101" i="24"/>
  <c r="W101" i="24"/>
  <c r="AI63" i="24"/>
  <c r="AA101" i="24"/>
  <c r="AI79" i="24"/>
  <c r="AI101" i="24"/>
  <c r="AA63" i="24"/>
  <c r="H119" i="24" l="1"/>
  <c r="S120" i="24"/>
  <c r="S119" i="24"/>
  <c r="G119" i="24" l="1"/>
  <c r="S31" i="24" l="1"/>
  <c r="S32" i="24"/>
  <c r="S104" i="24" l="1"/>
  <c r="S103" i="24"/>
  <c r="S118" i="24"/>
  <c r="S117" i="24"/>
  <c r="S36" i="24"/>
  <c r="S35" i="24"/>
  <c r="S38" i="24"/>
  <c r="S52" i="24"/>
  <c r="S51" i="24"/>
  <c r="S34" i="24"/>
  <c r="S33" i="24"/>
  <c r="S102" i="24"/>
  <c r="S101" i="24"/>
  <c r="S100" i="24"/>
  <c r="S99" i="24"/>
  <c r="S63" i="24"/>
  <c r="S64" i="24"/>
  <c r="S62" i="24"/>
  <c r="S61" i="24"/>
  <c r="S80" i="24"/>
  <c r="S79" i="24"/>
  <c r="S112" i="24"/>
  <c r="S111" i="24"/>
  <c r="S106" i="24"/>
  <c r="S105" i="24"/>
  <c r="S94" i="24"/>
  <c r="S93" i="24"/>
  <c r="S83" i="24"/>
  <c r="S84" i="24"/>
  <c r="S86" i="24"/>
  <c r="S85" i="24"/>
  <c r="S58" i="24"/>
  <c r="S57" i="24"/>
  <c r="S82" i="24"/>
  <c r="S81" i="24"/>
  <c r="S108" i="24"/>
  <c r="S107" i="24"/>
  <c r="S42" i="24"/>
  <c r="S41" i="24"/>
  <c r="S59" i="24"/>
  <c r="S44" i="24"/>
  <c r="S43" i="24"/>
  <c r="S89" i="24"/>
  <c r="S90" i="24"/>
  <c r="S56" i="24"/>
  <c r="S55" i="24"/>
  <c r="S76" i="24"/>
  <c r="S75" i="24"/>
  <c r="S47" i="24"/>
  <c r="S48" i="24"/>
  <c r="S54" i="24"/>
  <c r="S53" i="24"/>
  <c r="S116" i="24"/>
  <c r="S115" i="24"/>
  <c r="S46" i="24"/>
  <c r="S45" i="24"/>
  <c r="S72" i="24"/>
  <c r="S71" i="24"/>
  <c r="S92" i="24"/>
  <c r="S91" i="24"/>
  <c r="S88" i="24"/>
  <c r="S87" i="24"/>
  <c r="S77" i="24"/>
  <c r="S78" i="24"/>
  <c r="S68" i="24"/>
  <c r="S67" i="24"/>
  <c r="S70" i="24"/>
  <c r="S69" i="24"/>
  <c r="S66" i="24"/>
  <c r="S65" i="24"/>
  <c r="I51" i="24" l="1"/>
  <c r="AN51" i="24" l="1"/>
  <c r="AF51" i="24"/>
  <c r="M11" i="24"/>
  <c r="Z51" i="24"/>
  <c r="AB51" i="24"/>
  <c r="V51" i="24"/>
  <c r="Y51" i="24"/>
  <c r="AC51" i="24"/>
  <c r="X51" i="24"/>
  <c r="AH51" i="24"/>
  <c r="AG51" i="24"/>
  <c r="AD51" i="24"/>
  <c r="AA51" i="24" l="1"/>
  <c r="AI51" i="24"/>
  <c r="W51" i="24"/>
  <c r="AJ51" i="24"/>
  <c r="AE51" i="24"/>
  <c r="J111" i="24" l="1"/>
  <c r="D459" i="38" l="1"/>
  <c r="V111" i="24"/>
  <c r="AC111" i="24"/>
  <c r="AG111" i="24"/>
  <c r="Y111" i="24"/>
  <c r="AH111" i="24"/>
  <c r="Z111" i="24"/>
  <c r="U111" i="24"/>
  <c r="X111" i="24"/>
  <c r="AB111" i="24"/>
  <c r="AD111" i="24"/>
  <c r="AF111" i="24"/>
  <c r="T111" i="24"/>
  <c r="AA111" i="24" l="1"/>
  <c r="AI111" i="24"/>
  <c r="AE111" i="24"/>
  <c r="W111" i="24"/>
  <c r="AJ111" i="24"/>
  <c r="J65" i="24"/>
  <c r="J69" i="24"/>
  <c r="AC69" i="24" l="1"/>
  <c r="Y69" i="24"/>
  <c r="V69" i="24"/>
  <c r="U69" i="24"/>
  <c r="D417" i="38"/>
  <c r="AH69" i="24"/>
  <c r="AD69" i="24"/>
  <c r="X69" i="24"/>
  <c r="T69" i="24"/>
  <c r="AF69" i="24"/>
  <c r="AI69" i="24" s="1"/>
  <c r="Z69" i="24"/>
  <c r="AB69" i="24"/>
  <c r="AG69" i="24"/>
  <c r="AB65" i="24"/>
  <c r="AG65" i="24"/>
  <c r="AD65" i="24"/>
  <c r="D413" i="38"/>
  <c r="AF65" i="24"/>
  <c r="X65" i="24"/>
  <c r="AC65" i="24"/>
  <c r="Z65" i="24"/>
  <c r="AH65" i="24"/>
  <c r="U65" i="24"/>
  <c r="T65" i="24"/>
  <c r="Y65" i="24"/>
  <c r="V65" i="24"/>
  <c r="S110" i="24"/>
  <c r="AE69" i="24" l="1"/>
  <c r="AE65" i="24"/>
  <c r="AA65" i="24"/>
  <c r="W69" i="24"/>
  <c r="AJ69" i="24"/>
  <c r="AA69" i="24"/>
  <c r="AI65" i="24"/>
  <c r="AJ65" i="24"/>
  <c r="W65" i="24"/>
  <c r="H111" i="24"/>
  <c r="J109" i="24" l="1"/>
  <c r="H109" i="24"/>
  <c r="G109" i="24"/>
  <c r="D457" i="38" l="1"/>
  <c r="Y109" i="24"/>
  <c r="AC109" i="24"/>
  <c r="AF109" i="24"/>
  <c r="X109" i="24"/>
  <c r="T109" i="24"/>
  <c r="Z109" i="24"/>
  <c r="AD109" i="24"/>
  <c r="U109" i="24"/>
  <c r="V109" i="24"/>
  <c r="AG109" i="24"/>
  <c r="AH109" i="24"/>
  <c r="AB109" i="24"/>
  <c r="S109" i="24"/>
  <c r="AE109" i="24" l="1"/>
  <c r="AA109" i="24"/>
  <c r="W109" i="24"/>
  <c r="AJ109" i="24"/>
  <c r="AI109" i="24"/>
  <c r="H103" i="24" l="1"/>
  <c r="I59" i="24" l="1"/>
  <c r="AN59" i="24" l="1"/>
  <c r="M13" i="24"/>
  <c r="I107" i="24"/>
  <c r="AN107" i="24" s="1"/>
  <c r="J107" i="24"/>
  <c r="B225" i="34" l="1"/>
  <c r="B216" i="34"/>
  <c r="B243" i="34"/>
  <c r="B256" i="34"/>
  <c r="B258" i="34"/>
  <c r="T7" i="24"/>
  <c r="X7" i="24" s="1"/>
  <c r="B257" i="34"/>
  <c r="T15" i="24"/>
  <c r="X15" i="24" s="1"/>
  <c r="T21" i="24"/>
  <c r="X21" i="24" s="1"/>
  <c r="T22" i="24"/>
  <c r="X22" i="24" s="1"/>
  <c r="T11" i="24"/>
  <c r="X11" i="24" s="1"/>
  <c r="B250" i="34"/>
  <c r="B251" i="34"/>
  <c r="T24" i="24"/>
  <c r="X24" i="24" s="1"/>
  <c r="T9" i="24"/>
  <c r="X9" i="24" s="1"/>
  <c r="B230" i="34"/>
  <c r="B242" i="34"/>
  <c r="B235" i="34"/>
  <c r="B247" i="34"/>
  <c r="B254" i="34"/>
  <c r="T25" i="24"/>
  <c r="X25" i="24" s="1"/>
  <c r="B265" i="34"/>
  <c r="T19" i="24"/>
  <c r="X19" i="24" s="1"/>
  <c r="B228" i="34"/>
  <c r="B246" i="34"/>
  <c r="B238" i="34"/>
  <c r="B234" i="34"/>
  <c r="I9" i="24"/>
  <c r="B260" i="34"/>
  <c r="B263" i="34"/>
  <c r="B236" i="34"/>
  <c r="B240" i="34"/>
  <c r="T23" i="24"/>
  <c r="X23" i="24" s="1"/>
  <c r="B219" i="34"/>
  <c r="B220" i="34"/>
  <c r="B245" i="34"/>
  <c r="B218" i="34"/>
  <c r="B227" i="34"/>
  <c r="C5" i="24"/>
  <c r="K23" i="32" s="1"/>
  <c r="F7" i="32" s="1"/>
  <c r="B229" i="34"/>
  <c r="T8" i="24"/>
  <c r="X8" i="24" s="1"/>
  <c r="T10" i="24"/>
  <c r="X10" i="24" s="1"/>
  <c r="T17" i="24"/>
  <c r="X17" i="24" s="1"/>
  <c r="T6" i="24"/>
  <c r="B255" i="34"/>
  <c r="B248" i="34"/>
  <c r="B233" i="34"/>
  <c r="B217" i="34"/>
  <c r="B241" i="34"/>
  <c r="B223" i="34"/>
  <c r="B222" i="34"/>
  <c r="D455" i="38"/>
  <c r="U107" i="24"/>
  <c r="X107" i="24"/>
  <c r="T107" i="24"/>
  <c r="V107" i="24"/>
  <c r="AF107" i="24"/>
  <c r="AH107" i="24"/>
  <c r="AB107" i="24"/>
  <c r="AG107" i="24"/>
  <c r="Z107" i="24"/>
  <c r="Y107" i="24"/>
  <c r="AC107" i="24"/>
  <c r="AD107" i="24"/>
  <c r="B252" i="34"/>
  <c r="B237" i="34"/>
  <c r="T16" i="24"/>
  <c r="X16" i="24" s="1"/>
  <c r="B261" i="34"/>
  <c r="B249" i="34"/>
  <c r="T18" i="24"/>
  <c r="X18" i="24" s="1"/>
  <c r="B224" i="34"/>
  <c r="B232" i="34"/>
  <c r="B264" i="34"/>
  <c r="T12" i="24"/>
  <c r="X12" i="24" s="1"/>
  <c r="T13" i="24"/>
  <c r="X13" i="24" s="1"/>
  <c r="B221" i="34"/>
  <c r="C10" i="24"/>
  <c r="B239" i="34"/>
  <c r="B262" i="34"/>
  <c r="B259" i="34"/>
  <c r="T20" i="24"/>
  <c r="X20" i="24" s="1"/>
  <c r="B244" i="34"/>
  <c r="B253" i="34"/>
  <c r="T14" i="24"/>
  <c r="X14" i="24" s="1"/>
  <c r="B231" i="34"/>
  <c r="B226" i="34"/>
  <c r="H31" i="24"/>
  <c r="AA107" i="24" l="1"/>
  <c r="AE107" i="24"/>
  <c r="C217" i="34"/>
  <c r="D217" i="34"/>
  <c r="U11" i="24"/>
  <c r="S11" i="24"/>
  <c r="AE11" i="24" a="1"/>
  <c r="AE11" i="24" s="1"/>
  <c r="AH11" i="24"/>
  <c r="AF11" i="24" a="1"/>
  <c r="AF11" i="24" s="1"/>
  <c r="C248" i="34"/>
  <c r="D248" i="34"/>
  <c r="C219" i="34"/>
  <c r="D219" i="34"/>
  <c r="D265" i="34"/>
  <c r="C265" i="34"/>
  <c r="AH22" i="24"/>
  <c r="AE22" i="24" a="1"/>
  <c r="AE22" i="24" s="1"/>
  <c r="U22" i="24"/>
  <c r="S22" i="24"/>
  <c r="AF22" i="24" a="1"/>
  <c r="AF22" i="24" s="1"/>
  <c r="S14" i="24"/>
  <c r="AE14" i="24" a="1"/>
  <c r="AE14" i="24" s="1"/>
  <c r="U14" i="24"/>
  <c r="AH14" i="24"/>
  <c r="AF14" i="24" a="1"/>
  <c r="AF14" i="24" s="1"/>
  <c r="C224" i="34"/>
  <c r="D224" i="34"/>
  <c r="C244" i="34"/>
  <c r="D244" i="34"/>
  <c r="D255" i="34"/>
  <c r="C255" i="34"/>
  <c r="U21" i="24"/>
  <c r="AH21" i="24"/>
  <c r="AE21" i="24" a="1"/>
  <c r="AE21" i="24" s="1"/>
  <c r="S21" i="24"/>
  <c r="AF21" i="24" a="1"/>
  <c r="AF21" i="24" s="1"/>
  <c r="AI21" i="24"/>
  <c r="S19" i="24"/>
  <c r="U19" i="24"/>
  <c r="AI19" i="24"/>
  <c r="AF19" i="24" a="1"/>
  <c r="AF19" i="24" s="1"/>
  <c r="AE19" i="24" a="1"/>
  <c r="AE19" i="24" s="1"/>
  <c r="AH19" i="24"/>
  <c r="AF20" i="24" a="1"/>
  <c r="AF20" i="24" s="1"/>
  <c r="AH20" i="24"/>
  <c r="S20" i="24"/>
  <c r="AE20" i="24" a="1"/>
  <c r="AE20" i="24" s="1"/>
  <c r="U20" i="24"/>
  <c r="AI20" i="24"/>
  <c r="AI107" i="24"/>
  <c r="AH23" i="24"/>
  <c r="AE23" i="24" a="1"/>
  <c r="AE23" i="24" s="1"/>
  <c r="U23" i="24"/>
  <c r="AI23" i="24"/>
  <c r="AF23" i="24" a="1"/>
  <c r="AF23" i="24" s="1"/>
  <c r="S23" i="24"/>
  <c r="D261" i="34"/>
  <c r="C261" i="34"/>
  <c r="X6" i="24"/>
  <c r="T26" i="24"/>
  <c r="D240" i="34"/>
  <c r="C240" i="34"/>
  <c r="C254" i="34"/>
  <c r="D254" i="34"/>
  <c r="S15" i="24"/>
  <c r="AI15" i="24"/>
  <c r="AF15" i="24" a="1"/>
  <c r="AF15" i="24" s="1"/>
  <c r="U15" i="24"/>
  <c r="AE15" i="24" a="1"/>
  <c r="AE15" i="24" s="1"/>
  <c r="AH15" i="24"/>
  <c r="C245" i="34"/>
  <c r="D245" i="34"/>
  <c r="AE18" i="24" a="1"/>
  <c r="AE18" i="24" s="1"/>
  <c r="U18" i="24"/>
  <c r="AH18" i="24"/>
  <c r="S18" i="24"/>
  <c r="AI18" i="24"/>
  <c r="AF18" i="24" a="1"/>
  <c r="AF18" i="24" s="1"/>
  <c r="D249" i="34"/>
  <c r="C249" i="34"/>
  <c r="AF25" i="24" a="1"/>
  <c r="AF25" i="24" s="1"/>
  <c r="U25" i="24"/>
  <c r="S25" i="24"/>
  <c r="AI25" i="24"/>
  <c r="AH25" i="24"/>
  <c r="AE25" i="24" a="1"/>
  <c r="AE25" i="24" s="1"/>
  <c r="D259" i="34"/>
  <c r="C259" i="34"/>
  <c r="C262" i="34"/>
  <c r="D262" i="34"/>
  <c r="AI16" i="24"/>
  <c r="AE16" i="24" a="1"/>
  <c r="AE16" i="24" s="1"/>
  <c r="AF16" i="24" a="1"/>
  <c r="AF16" i="24" s="1"/>
  <c r="AH16" i="24"/>
  <c r="S16" i="24"/>
  <c r="U16" i="24"/>
  <c r="W107" i="24"/>
  <c r="AJ107" i="24"/>
  <c r="AF17" i="24" a="1"/>
  <c r="AF17" i="24" s="1"/>
  <c r="U17" i="24"/>
  <c r="AH17" i="24"/>
  <c r="AE17" i="24" a="1"/>
  <c r="AE17" i="24" s="1"/>
  <c r="S17" i="24"/>
  <c r="C236" i="34"/>
  <c r="D236" i="34"/>
  <c r="D247" i="34"/>
  <c r="C247" i="34"/>
  <c r="D257" i="34"/>
  <c r="C257" i="34"/>
  <c r="D239" i="34"/>
  <c r="C239" i="34"/>
  <c r="D235" i="34"/>
  <c r="C235" i="34"/>
  <c r="U7" i="24"/>
  <c r="AE7" i="24" a="1"/>
  <c r="AE7" i="24" s="1"/>
  <c r="S7" i="24"/>
  <c r="AH7" i="24"/>
  <c r="AF7" i="24" a="1"/>
  <c r="AF7" i="24" s="1"/>
  <c r="U10" i="24"/>
  <c r="S10" i="24"/>
  <c r="AF10" i="24" a="1"/>
  <c r="AF10" i="24" s="1"/>
  <c r="AI10" i="24"/>
  <c r="AE10" i="24" a="1"/>
  <c r="AE10" i="24" s="1"/>
  <c r="AH10" i="24"/>
  <c r="C14" i="24"/>
  <c r="F14" i="32"/>
  <c r="F18" i="32" s="1"/>
  <c r="C252" i="34"/>
  <c r="D252" i="34"/>
  <c r="S8" i="24"/>
  <c r="U8" i="24"/>
  <c r="AI8" i="24"/>
  <c r="AH8" i="24"/>
  <c r="D260" i="34"/>
  <c r="C260" i="34"/>
  <c r="C242" i="34"/>
  <c r="D242" i="34"/>
  <c r="D258" i="34"/>
  <c r="C258" i="34"/>
  <c r="D228" i="34"/>
  <c r="C228" i="34"/>
  <c r="C256" i="34"/>
  <c r="D256" i="34"/>
  <c r="D253" i="34"/>
  <c r="C253" i="34"/>
  <c r="C222" i="34"/>
  <c r="D222" i="34"/>
  <c r="D234" i="34"/>
  <c r="C234" i="34"/>
  <c r="AH9" i="24"/>
  <c r="AI9" i="24"/>
  <c r="AF9" i="24" a="1"/>
  <c r="AF9" i="24" s="1"/>
  <c r="S9" i="24"/>
  <c r="U9" i="24"/>
  <c r="AE9" i="24" a="1"/>
  <c r="AE9" i="24" s="1"/>
  <c r="C243" i="34"/>
  <c r="D243" i="34"/>
  <c r="D233" i="34"/>
  <c r="C233" i="34"/>
  <c r="D263" i="34"/>
  <c r="C263" i="34"/>
  <c r="C229" i="34"/>
  <c r="D229" i="34"/>
  <c r="C230" i="34"/>
  <c r="D230" i="34"/>
  <c r="D227" i="34"/>
  <c r="C227" i="34"/>
  <c r="D232" i="34"/>
  <c r="C232" i="34"/>
  <c r="C250" i="34"/>
  <c r="D250" i="34"/>
  <c r="C220" i="34"/>
  <c r="D220" i="34"/>
  <c r="C237" i="34"/>
  <c r="D237" i="34"/>
  <c r="C221" i="34"/>
  <c r="D221" i="34"/>
  <c r="K13" i="32"/>
  <c r="K24" i="32"/>
  <c r="AF13" i="24" a="1"/>
  <c r="AF13" i="24" s="1"/>
  <c r="S13" i="24"/>
  <c r="U13" i="24"/>
  <c r="AI13" i="24"/>
  <c r="AE13" i="24" a="1"/>
  <c r="AE13" i="24" s="1"/>
  <c r="AH13" i="24"/>
  <c r="C226" i="34"/>
  <c r="D226" i="34"/>
  <c r="AE12" i="24" a="1"/>
  <c r="AE12" i="24" s="1"/>
  <c r="AH12" i="24"/>
  <c r="U12" i="24"/>
  <c r="AF12" i="24" a="1"/>
  <c r="AF12" i="24" s="1"/>
  <c r="S12" i="24"/>
  <c r="D223" i="34"/>
  <c r="C223" i="34"/>
  <c r="C238" i="34"/>
  <c r="D238" i="34"/>
  <c r="AI24" i="24"/>
  <c r="AH24" i="24"/>
  <c r="U24" i="24"/>
  <c r="S24" i="24"/>
  <c r="R33" i="34"/>
  <c r="R41" i="34"/>
  <c r="S41" i="34" s="1"/>
  <c r="S183" i="34"/>
  <c r="V183" i="34" s="1"/>
  <c r="R108" i="34"/>
  <c r="R13" i="34"/>
  <c r="S13" i="34" s="1"/>
  <c r="R18" i="34"/>
  <c r="S18" i="34" s="1"/>
  <c r="R120" i="34"/>
  <c r="R74" i="34"/>
  <c r="R25" i="34"/>
  <c r="S25" i="34" s="1"/>
  <c r="S173" i="34"/>
  <c r="V173" i="34" s="1"/>
  <c r="R145" i="34"/>
  <c r="S145" i="34" s="1"/>
  <c r="R109" i="34"/>
  <c r="S109" i="34" s="1"/>
  <c r="S197" i="34"/>
  <c r="V197" i="34" s="1"/>
  <c r="R90" i="34"/>
  <c r="S90" i="34" s="1"/>
  <c r="R113" i="34"/>
  <c r="S113" i="34" s="1"/>
  <c r="R67" i="34"/>
  <c r="S67" i="34" s="1"/>
  <c r="S179" i="34"/>
  <c r="V179" i="34" s="1"/>
  <c r="R51" i="34"/>
  <c r="S51" i="34" s="1"/>
  <c r="S194" i="34"/>
  <c r="V194" i="34" s="1"/>
  <c r="R171" i="34"/>
  <c r="R138" i="34"/>
  <c r="S138" i="34" s="1"/>
  <c r="R137" i="34"/>
  <c r="S137" i="34" s="1"/>
  <c r="R29" i="34"/>
  <c r="R161" i="34"/>
  <c r="S161" i="34" s="1"/>
  <c r="R119" i="34"/>
  <c r="R121" i="34"/>
  <c r="S121" i="34" s="1"/>
  <c r="S193" i="34"/>
  <c r="V193" i="34" s="1"/>
  <c r="R140" i="34"/>
  <c r="S140" i="34" s="1"/>
  <c r="S182" i="34"/>
  <c r="V182" i="34" s="1"/>
  <c r="R15" i="34"/>
  <c r="S15" i="34" s="1"/>
  <c r="R150" i="34"/>
  <c r="S150" i="34" s="1"/>
  <c r="R7" i="34"/>
  <c r="R79" i="34"/>
  <c r="S79" i="34" s="1"/>
  <c r="R162" i="34"/>
  <c r="S162" i="34" s="1"/>
  <c r="R70" i="34"/>
  <c r="S70" i="34" s="1"/>
  <c r="R116" i="34"/>
  <c r="S116" i="34" s="1"/>
  <c r="R84" i="34"/>
  <c r="R24" i="34"/>
  <c r="S24" i="34" s="1"/>
  <c r="R59" i="34"/>
  <c r="S59" i="34" s="1"/>
  <c r="R92" i="34"/>
  <c r="S92" i="34" s="1"/>
  <c r="R35" i="34"/>
  <c r="S35" i="34" s="1"/>
  <c r="S174" i="34"/>
  <c r="V174" i="34" s="1"/>
  <c r="R125" i="34"/>
  <c r="R73" i="34"/>
  <c r="R122" i="34"/>
  <c r="S122" i="34" s="1"/>
  <c r="R156" i="34"/>
  <c r="S156" i="34" s="1"/>
  <c r="S185" i="34"/>
  <c r="V185" i="34" s="1"/>
  <c r="R82" i="34"/>
  <c r="S82" i="34" s="1"/>
  <c r="R53" i="34"/>
  <c r="S53" i="34" s="1"/>
  <c r="S184" i="34"/>
  <c r="V184" i="34" s="1"/>
  <c r="R102" i="34"/>
  <c r="S102" i="34" s="1"/>
  <c r="R110" i="34"/>
  <c r="R71" i="34"/>
  <c r="R115" i="34"/>
  <c r="S115" i="34" s="1"/>
  <c r="R168" i="34"/>
  <c r="S168" i="34" s="1"/>
  <c r="V168" i="34" s="1"/>
  <c r="R22" i="34"/>
  <c r="S22" i="34" s="1"/>
  <c r="R146" i="34"/>
  <c r="S146" i="34" s="1"/>
  <c r="C216" i="34"/>
  <c r="S191" i="34"/>
  <c r="V191" i="34" s="1"/>
  <c r="R69" i="34"/>
  <c r="S69" i="34" s="1"/>
  <c r="S175" i="34"/>
  <c r="V175" i="34" s="1"/>
  <c r="R96" i="34"/>
  <c r="S96" i="34" s="1"/>
  <c r="R61" i="34"/>
  <c r="R60" i="34"/>
  <c r="S60" i="34" s="1"/>
  <c r="R9" i="34"/>
  <c r="S9" i="34" s="1"/>
  <c r="R167" i="34"/>
  <c r="S167" i="34" s="1"/>
  <c r="R164" i="34"/>
  <c r="S164" i="34" s="1"/>
  <c r="R23" i="34"/>
  <c r="S23" i="34" s="1"/>
  <c r="R87" i="34"/>
  <c r="R163" i="34"/>
  <c r="S163" i="34" s="1"/>
  <c r="R78" i="34"/>
  <c r="S78" i="34" s="1"/>
  <c r="S186" i="34"/>
  <c r="V186" i="34" s="1"/>
  <c r="S192" i="34"/>
  <c r="V192" i="34" s="1"/>
  <c r="R139" i="34"/>
  <c r="S139" i="34" s="1"/>
  <c r="R50" i="34"/>
  <c r="S50" i="34" s="1"/>
  <c r="R124" i="34"/>
  <c r="R93" i="34"/>
  <c r="S93" i="34" s="1"/>
  <c r="R56" i="34"/>
  <c r="S56" i="34" s="1"/>
  <c r="R40" i="34"/>
  <c r="S40" i="34" s="1"/>
  <c r="R48" i="34"/>
  <c r="S48" i="34" s="1"/>
  <c r="S178" i="34"/>
  <c r="V178" i="34" s="1"/>
  <c r="S181" i="34"/>
  <c r="V181" i="34" s="1"/>
  <c r="R8" i="34"/>
  <c r="R28" i="34"/>
  <c r="R63" i="34"/>
  <c r="S63" i="34" s="1"/>
  <c r="R16" i="34"/>
  <c r="S16" i="34" s="1"/>
  <c r="R49" i="34"/>
  <c r="S49" i="34" s="1"/>
  <c r="R54" i="34"/>
  <c r="S54" i="34" s="1"/>
  <c r="R160" i="34"/>
  <c r="S160" i="34" s="1"/>
  <c r="R166" i="34"/>
  <c r="S166" i="34" s="1"/>
  <c r="R14" i="34"/>
  <c r="R58" i="34"/>
  <c r="S58" i="34" s="1"/>
  <c r="R38" i="34"/>
  <c r="S38" i="34" s="1"/>
  <c r="R83" i="34"/>
  <c r="S83" i="34" s="1"/>
  <c r="R103" i="34"/>
  <c r="R36" i="34"/>
  <c r="S36" i="34" s="1"/>
  <c r="R106" i="34"/>
  <c r="S106" i="34" s="1"/>
  <c r="R32" i="34"/>
  <c r="S32" i="34" s="1"/>
  <c r="R80" i="34"/>
  <c r="S80" i="34" s="1"/>
  <c r="R19" i="34"/>
  <c r="S19" i="34" s="1"/>
  <c r="S187" i="34"/>
  <c r="V187" i="34" s="1"/>
  <c r="R100" i="34"/>
  <c r="S100" i="34" s="1"/>
  <c r="R34" i="34"/>
  <c r="S34" i="34" s="1"/>
  <c r="R135" i="34"/>
  <c r="R118" i="34"/>
  <c r="R143" i="34"/>
  <c r="S143" i="34" s="1"/>
  <c r="R31" i="34"/>
  <c r="R149" i="34"/>
  <c r="S149" i="34" s="1"/>
  <c r="R133" i="34"/>
  <c r="S133" i="34" s="1"/>
  <c r="R26" i="34"/>
  <c r="S26" i="34" s="1"/>
  <c r="S188" i="34"/>
  <c r="V188" i="34" s="1"/>
  <c r="R127" i="34"/>
  <c r="S127" i="34" s="1"/>
  <c r="S190" i="34"/>
  <c r="V190" i="34" s="1"/>
  <c r="R128" i="34"/>
  <c r="S128" i="34" s="1"/>
  <c r="R52" i="34"/>
  <c r="S196" i="34"/>
  <c r="V196" i="34" s="1"/>
  <c r="R117" i="34"/>
  <c r="S117" i="34" s="1"/>
  <c r="R111" i="34"/>
  <c r="S111" i="34" s="1"/>
  <c r="R43" i="34"/>
  <c r="S43" i="34" s="1"/>
  <c r="R107" i="34"/>
  <c r="R144" i="34"/>
  <c r="S144" i="34" s="1"/>
  <c r="R11" i="34"/>
  <c r="S11" i="34" s="1"/>
  <c r="R123" i="34"/>
  <c r="S123" i="34" s="1"/>
  <c r="R131" i="34"/>
  <c r="S131" i="34" s="1"/>
  <c r="R27" i="34"/>
  <c r="S27" i="34" s="1"/>
  <c r="R157" i="34"/>
  <c r="S157" i="34" s="1"/>
  <c r="R170" i="34"/>
  <c r="R112" i="34"/>
  <c r="S112" i="34" s="1"/>
  <c r="R95" i="34"/>
  <c r="S95" i="34" s="1"/>
  <c r="R155" i="34"/>
  <c r="S155" i="34" s="1"/>
  <c r="R97" i="34"/>
  <c r="S97" i="34" s="1"/>
  <c r="R77" i="34"/>
  <c r="S77" i="34" s="1"/>
  <c r="R6" i="34"/>
  <c r="S6" i="34" s="1"/>
  <c r="R148" i="34"/>
  <c r="S176" i="34"/>
  <c r="V176" i="34" s="1"/>
  <c r="R76" i="34"/>
  <c r="S76" i="34" s="1"/>
  <c r="S198" i="34"/>
  <c r="V198" i="34" s="1"/>
  <c r="R91" i="34"/>
  <c r="R66" i="34"/>
  <c r="S66" i="34" s="1"/>
  <c r="R94" i="34"/>
  <c r="S94" i="34" s="1"/>
  <c r="D216" i="34"/>
  <c r="R129" i="34"/>
  <c r="S129" i="34" s="1"/>
  <c r="R104" i="34"/>
  <c r="S104" i="34" s="1"/>
  <c r="R17" i="34"/>
  <c r="S17" i="34" s="1"/>
  <c r="R132" i="34"/>
  <c r="S132" i="34" s="1"/>
  <c r="R12" i="34"/>
  <c r="S12" i="34" s="1"/>
  <c r="R105" i="34"/>
  <c r="S105" i="34" s="1"/>
  <c r="R39" i="34"/>
  <c r="S39" i="34" s="1"/>
  <c r="R130" i="34"/>
  <c r="S130" i="34" s="1"/>
  <c r="R126" i="34"/>
  <c r="S126" i="34" s="1"/>
  <c r="R72" i="34"/>
  <c r="S72" i="34" s="1"/>
  <c r="R158" i="34"/>
  <c r="S158" i="34" s="1"/>
  <c r="S189" i="34"/>
  <c r="V189" i="34" s="1"/>
  <c r="R42" i="34"/>
  <c r="S42" i="34" s="1"/>
  <c r="R55" i="34"/>
  <c r="S55" i="34" s="1"/>
  <c r="R136" i="34"/>
  <c r="S136" i="34" s="1"/>
  <c r="R169" i="34"/>
  <c r="R64" i="34"/>
  <c r="S64" i="34" s="1"/>
  <c r="R142" i="34"/>
  <c r="R88" i="34"/>
  <c r="S88" i="34" s="1"/>
  <c r="R46" i="34"/>
  <c r="S46" i="34" s="1"/>
  <c r="R21" i="34"/>
  <c r="S21" i="34" s="1"/>
  <c r="R134" i="34"/>
  <c r="S134" i="34" s="1"/>
  <c r="R75" i="34"/>
  <c r="S75" i="34" s="1"/>
  <c r="R86" i="34"/>
  <c r="S86" i="34" s="1"/>
  <c r="R30" i="34"/>
  <c r="R62" i="34"/>
  <c r="S62" i="34" s="1"/>
  <c r="R114" i="34"/>
  <c r="S114" i="34" s="1"/>
  <c r="R4" i="34"/>
  <c r="S4" i="34" s="1"/>
  <c r="R98" i="34"/>
  <c r="R20" i="34"/>
  <c r="R89" i="34"/>
  <c r="S89" i="34" s="1"/>
  <c r="S180" i="34"/>
  <c r="V180" i="34" s="1"/>
  <c r="R57" i="34"/>
  <c r="S57" i="34" s="1"/>
  <c r="R153" i="34"/>
  <c r="S153" i="34" s="1"/>
  <c r="R85" i="34"/>
  <c r="R44" i="34"/>
  <c r="S44" i="34" s="1"/>
  <c r="R65" i="34"/>
  <c r="S65" i="34" s="1"/>
  <c r="R10" i="34"/>
  <c r="S10" i="34" s="1"/>
  <c r="R5" i="34"/>
  <c r="S5" i="34" s="1"/>
  <c r="R154" i="34"/>
  <c r="S154" i="34" s="1"/>
  <c r="S177" i="34"/>
  <c r="V177" i="34" s="1"/>
  <c r="R147" i="34"/>
  <c r="S147" i="34" s="1"/>
  <c r="R37" i="34"/>
  <c r="S37" i="34" s="1"/>
  <c r="S195" i="34"/>
  <c r="V195" i="34" s="1"/>
  <c r="R99" i="34"/>
  <c r="S99" i="34" s="1"/>
  <c r="R151" i="34"/>
  <c r="S151" i="34" s="1"/>
  <c r="R45" i="34"/>
  <c r="R141" i="34"/>
  <c r="S141" i="34" s="1"/>
  <c r="R81" i="34"/>
  <c r="S81" i="34" s="1"/>
  <c r="R47" i="34"/>
  <c r="R68" i="34"/>
  <c r="S68" i="34" s="1"/>
  <c r="S172" i="34"/>
  <c r="V172" i="34" s="1"/>
  <c r="R159" i="34"/>
  <c r="S159" i="34" s="1"/>
  <c r="R101" i="34"/>
  <c r="S101" i="34" s="1"/>
  <c r="R152" i="34"/>
  <c r="S152" i="34" s="1"/>
  <c r="R165" i="34"/>
  <c r="S165" i="34" s="1"/>
  <c r="C231" i="34"/>
  <c r="D231" i="34"/>
  <c r="C264" i="34"/>
  <c r="D264" i="34"/>
  <c r="D241" i="34"/>
  <c r="C241" i="34"/>
  <c r="C218" i="34"/>
  <c r="D218" i="34"/>
  <c r="D246" i="34"/>
  <c r="C246" i="34"/>
  <c r="C251" i="34"/>
  <c r="D251" i="34"/>
  <c r="C225" i="34"/>
  <c r="D225" i="34"/>
  <c r="H107" i="24"/>
  <c r="G107" i="24"/>
  <c r="S169" i="34" l="1"/>
  <c r="S119" i="34"/>
  <c r="S108" i="34"/>
  <c r="S85" i="34"/>
  <c r="S73" i="34"/>
  <c r="S171" i="34"/>
  <c r="T171" i="34" s="1"/>
  <c r="S170" i="34"/>
  <c r="S125" i="34"/>
  <c r="T125" i="34" s="1"/>
  <c r="S148" i="34"/>
  <c r="T148" i="34" s="1"/>
  <c r="S98" i="34"/>
  <c r="T98" i="34" s="1"/>
  <c r="S91" i="34"/>
  <c r="T91" i="34" s="1"/>
  <c r="AG18" i="24"/>
  <c r="S33" i="34"/>
  <c r="S74" i="34"/>
  <c r="T74" i="34" s="1"/>
  <c r="S30" i="34"/>
  <c r="T30" i="34" s="1"/>
  <c r="S124" i="34"/>
  <c r="T124" i="34" s="1"/>
  <c r="AG20" i="24"/>
  <c r="S20" i="34"/>
  <c r="T20" i="34" s="1"/>
  <c r="S142" i="34"/>
  <c r="T142" i="34" s="1"/>
  <c r="S61" i="34"/>
  <c r="T61" i="34" s="1"/>
  <c r="AG9" i="24"/>
  <c r="AG21" i="24"/>
  <c r="S103" i="34"/>
  <c r="S8" i="34"/>
  <c r="T8" i="34" s="1"/>
  <c r="AG19" i="24"/>
  <c r="AG22" i="24"/>
  <c r="AG16" i="24"/>
  <c r="S47" i="34"/>
  <c r="S118" i="34"/>
  <c r="T118" i="34" s="1"/>
  <c r="AG23" i="24"/>
  <c r="S45" i="34"/>
  <c r="T45" i="34" s="1"/>
  <c r="AG10" i="24"/>
  <c r="S107" i="34"/>
  <c r="AG11" i="24"/>
  <c r="S135" i="34"/>
  <c r="T135" i="34" s="1"/>
  <c r="S52" i="34"/>
  <c r="T52" i="34" s="1"/>
  <c r="S14" i="34"/>
  <c r="T14" i="34" s="1"/>
  <c r="S120" i="34"/>
  <c r="T120" i="34" s="1"/>
  <c r="AG25" i="24"/>
  <c r="X83" i="34"/>
  <c r="Z83" i="34"/>
  <c r="Y83" i="34"/>
  <c r="T83" i="34"/>
  <c r="U83" i="34"/>
  <c r="V83" i="34"/>
  <c r="W83" i="34"/>
  <c r="T181" i="34"/>
  <c r="W181" i="34"/>
  <c r="Y181" i="34"/>
  <c r="X181" i="34"/>
  <c r="Z181" i="34"/>
  <c r="AC9" i="24"/>
  <c r="T141" i="34"/>
  <c r="X141" i="34"/>
  <c r="U141" i="34"/>
  <c r="Y141" i="34"/>
  <c r="Z141" i="34"/>
  <c r="V141" i="34"/>
  <c r="W141" i="34"/>
  <c r="U44" i="34"/>
  <c r="Z44" i="34"/>
  <c r="Y44" i="34"/>
  <c r="T44" i="34"/>
  <c r="X44" i="34"/>
  <c r="V44" i="34"/>
  <c r="W44" i="34"/>
  <c r="Y86" i="34"/>
  <c r="U86" i="34"/>
  <c r="Z86" i="34"/>
  <c r="T86" i="34"/>
  <c r="X86" i="34"/>
  <c r="V86" i="34"/>
  <c r="W86" i="34"/>
  <c r="Y189" i="34"/>
  <c r="T189" i="34"/>
  <c r="Z189" i="34"/>
  <c r="W189" i="34"/>
  <c r="X189" i="34"/>
  <c r="E216" i="34"/>
  <c r="AD6" i="24" s="1"/>
  <c r="AC6" i="24"/>
  <c r="U95" i="34"/>
  <c r="X95" i="34"/>
  <c r="T95" i="34"/>
  <c r="Z95" i="34"/>
  <c r="W95" i="34"/>
  <c r="V95" i="34"/>
  <c r="Y117" i="34"/>
  <c r="T117" i="34"/>
  <c r="X117" i="34"/>
  <c r="W117" i="34"/>
  <c r="V117" i="34"/>
  <c r="U38" i="34"/>
  <c r="Z38" i="34"/>
  <c r="T38" i="34"/>
  <c r="Y38" i="34"/>
  <c r="X38" i="34"/>
  <c r="W38" i="34"/>
  <c r="V38" i="34"/>
  <c r="T178" i="34"/>
  <c r="Y178" i="34"/>
  <c r="Z178" i="34"/>
  <c r="X178" i="34"/>
  <c r="W178" i="34"/>
  <c r="S87" i="34"/>
  <c r="T146" i="34"/>
  <c r="Y146" i="34"/>
  <c r="U146" i="34"/>
  <c r="X146" i="34"/>
  <c r="Z146" i="34"/>
  <c r="V146" i="34"/>
  <c r="W146" i="34"/>
  <c r="T122" i="34"/>
  <c r="U79" i="34"/>
  <c r="X79" i="34"/>
  <c r="T79" i="34"/>
  <c r="Z79" i="34"/>
  <c r="V79" i="34"/>
  <c r="W79" i="34"/>
  <c r="Z138" i="34"/>
  <c r="U138" i="34"/>
  <c r="X138" i="34"/>
  <c r="T138" i="34"/>
  <c r="Y138" i="34"/>
  <c r="V138" i="34"/>
  <c r="W138" i="34"/>
  <c r="T25" i="34"/>
  <c r="Z25" i="34"/>
  <c r="U25" i="34"/>
  <c r="Y25" i="34"/>
  <c r="X25" i="34"/>
  <c r="W25" i="34"/>
  <c r="V25" i="34"/>
  <c r="AG12" i="24"/>
  <c r="G221" i="34"/>
  <c r="X14" i="34" s="1"/>
  <c r="H221" i="34"/>
  <c r="Z14" i="34" s="1"/>
  <c r="G230" i="34"/>
  <c r="I230" i="34"/>
  <c r="L230" i="34"/>
  <c r="H230" i="34"/>
  <c r="AC18" i="24"/>
  <c r="G261" i="34"/>
  <c r="H261" i="34"/>
  <c r="I261" i="34"/>
  <c r="AG14" i="24"/>
  <c r="H219" i="34"/>
  <c r="I219" i="34"/>
  <c r="L219" i="34"/>
  <c r="G219" i="34"/>
  <c r="T111" i="34"/>
  <c r="U111" i="34"/>
  <c r="X111" i="34"/>
  <c r="Y111" i="34"/>
  <c r="U162" i="34"/>
  <c r="X162" i="34"/>
  <c r="T162" i="34"/>
  <c r="Z162" i="34"/>
  <c r="Y162" i="34"/>
  <c r="V162" i="34"/>
  <c r="W162" i="34"/>
  <c r="T112" i="34"/>
  <c r="Y112" i="34"/>
  <c r="U112" i="34"/>
  <c r="X112" i="34"/>
  <c r="Z112" i="34"/>
  <c r="V112" i="34"/>
  <c r="W112" i="34"/>
  <c r="T196" i="34"/>
  <c r="Z196" i="34"/>
  <c r="Y196" i="34"/>
  <c r="W196" i="34"/>
  <c r="X196" i="34"/>
  <c r="T58" i="34"/>
  <c r="U48" i="34"/>
  <c r="X48" i="34"/>
  <c r="Z48" i="34"/>
  <c r="T48" i="34"/>
  <c r="Y48" i="34"/>
  <c r="V48" i="34"/>
  <c r="W48" i="34"/>
  <c r="Y23" i="34"/>
  <c r="T23" i="34"/>
  <c r="U23" i="34"/>
  <c r="X23" i="34"/>
  <c r="Z23" i="34"/>
  <c r="V23" i="34"/>
  <c r="W23" i="34"/>
  <c r="X22" i="34"/>
  <c r="T22" i="34"/>
  <c r="Y22" i="34"/>
  <c r="U22" i="34"/>
  <c r="Z22" i="34"/>
  <c r="V22" i="34"/>
  <c r="W22" i="34"/>
  <c r="T73" i="34"/>
  <c r="S7" i="34"/>
  <c r="AC16" i="24"/>
  <c r="AC19" i="24"/>
  <c r="H258" i="34"/>
  <c r="Z147" i="34" s="1"/>
  <c r="G258" i="34"/>
  <c r="X147" i="34" s="1"/>
  <c r="G236" i="34"/>
  <c r="H236" i="34"/>
  <c r="AG15" i="24"/>
  <c r="Z143" i="34"/>
  <c r="T143" i="34"/>
  <c r="X156" i="34"/>
  <c r="Z156" i="34"/>
  <c r="T156" i="34"/>
  <c r="T85" i="34"/>
  <c r="U158" i="34"/>
  <c r="X158" i="34"/>
  <c r="T158" i="34"/>
  <c r="Z158" i="34"/>
  <c r="Y158" i="34"/>
  <c r="V158" i="34"/>
  <c r="W158" i="34"/>
  <c r="T72" i="34"/>
  <c r="T66" i="34"/>
  <c r="U66" i="34"/>
  <c r="T170" i="34"/>
  <c r="U34" i="34"/>
  <c r="Y34" i="34"/>
  <c r="Z34" i="34"/>
  <c r="X34" i="34"/>
  <c r="T34" i="34"/>
  <c r="V34" i="34"/>
  <c r="W34" i="34"/>
  <c r="Z40" i="34"/>
  <c r="T40" i="34"/>
  <c r="Y40" i="34"/>
  <c r="X40" i="34"/>
  <c r="U40" i="34"/>
  <c r="V40" i="34"/>
  <c r="W40" i="34"/>
  <c r="X164" i="34"/>
  <c r="U164" i="34"/>
  <c r="Y164" i="34"/>
  <c r="T164" i="34"/>
  <c r="Z164" i="34"/>
  <c r="V164" i="34"/>
  <c r="W164" i="34"/>
  <c r="T168" i="34"/>
  <c r="Y150" i="34"/>
  <c r="T150" i="34"/>
  <c r="U150" i="34"/>
  <c r="X150" i="34"/>
  <c r="Z150" i="34"/>
  <c r="W150" i="34"/>
  <c r="V150" i="34"/>
  <c r="W194" i="34"/>
  <c r="T194" i="34"/>
  <c r="Z194" i="34"/>
  <c r="X194" i="34"/>
  <c r="Y194" i="34"/>
  <c r="L226" i="34"/>
  <c r="G226" i="34"/>
  <c r="H226" i="34"/>
  <c r="I226" i="34"/>
  <c r="H237" i="34"/>
  <c r="Z62" i="34" s="1"/>
  <c r="G237" i="34"/>
  <c r="X62" i="34" s="1"/>
  <c r="L229" i="34"/>
  <c r="U33" i="34" s="1"/>
  <c r="H229" i="34"/>
  <c r="Z33" i="34" s="1"/>
  <c r="G229" i="34"/>
  <c r="X33" i="34" s="1"/>
  <c r="I229" i="34"/>
  <c r="Y33" i="34" s="1"/>
  <c r="L252" i="34"/>
  <c r="U117" i="34" s="1"/>
  <c r="G252" i="34"/>
  <c r="H252" i="34"/>
  <c r="Z117" i="34" s="1"/>
  <c r="I252" i="34"/>
  <c r="AG7" i="24"/>
  <c r="H249" i="34"/>
  <c r="Z99" i="34" s="1"/>
  <c r="G249" i="34"/>
  <c r="G248" i="34"/>
  <c r="H248" i="34"/>
  <c r="Z129" i="34"/>
  <c r="X129" i="34"/>
  <c r="T129" i="34"/>
  <c r="Y129" i="34"/>
  <c r="U129" i="34"/>
  <c r="W129" i="34"/>
  <c r="V129" i="34"/>
  <c r="U163" i="34"/>
  <c r="Z163" i="34"/>
  <c r="T163" i="34"/>
  <c r="X163" i="34"/>
  <c r="Y163" i="34"/>
  <c r="V163" i="34"/>
  <c r="W163" i="34"/>
  <c r="G216" i="34"/>
  <c r="X4" i="34" s="1"/>
  <c r="L216" i="34"/>
  <c r="U4" i="34" s="1"/>
  <c r="I216" i="34"/>
  <c r="Y4" i="34" s="1"/>
  <c r="H216" i="34"/>
  <c r="Z4" i="34" s="1"/>
  <c r="T173" i="34"/>
  <c r="Z173" i="34"/>
  <c r="U173" i="34"/>
  <c r="X173" i="34"/>
  <c r="Y173" i="34"/>
  <c r="W173" i="34"/>
  <c r="AC11" i="24"/>
  <c r="AC20" i="24"/>
  <c r="I228" i="34"/>
  <c r="L228" i="34"/>
  <c r="H228" i="34"/>
  <c r="G228" i="34"/>
  <c r="G245" i="34"/>
  <c r="I245" i="34"/>
  <c r="L245" i="34"/>
  <c r="H245" i="34"/>
  <c r="T75" i="34"/>
  <c r="Z151" i="34"/>
  <c r="Y151" i="34"/>
  <c r="U151" i="34"/>
  <c r="T151" i="34"/>
  <c r="X151" i="34"/>
  <c r="W151" i="34"/>
  <c r="V151" i="34"/>
  <c r="U153" i="34"/>
  <c r="Y153" i="34"/>
  <c r="Z153" i="34"/>
  <c r="X153" i="34"/>
  <c r="T153" i="34"/>
  <c r="W153" i="34"/>
  <c r="V153" i="34"/>
  <c r="X99" i="34"/>
  <c r="T99" i="34"/>
  <c r="Y21" i="34"/>
  <c r="U21" i="34"/>
  <c r="T21" i="34"/>
  <c r="Z21" i="34"/>
  <c r="X21" i="34"/>
  <c r="W21" i="34"/>
  <c r="V21" i="34"/>
  <c r="U157" i="34"/>
  <c r="Z157" i="34"/>
  <c r="T157" i="34"/>
  <c r="X157" i="34"/>
  <c r="Y157" i="34"/>
  <c r="W157" i="34"/>
  <c r="V157" i="34"/>
  <c r="T128" i="34"/>
  <c r="X128" i="34"/>
  <c r="U128" i="34"/>
  <c r="Z128" i="34"/>
  <c r="Y128" i="34"/>
  <c r="V128" i="34"/>
  <c r="W128" i="34"/>
  <c r="T100" i="34"/>
  <c r="U100" i="34"/>
  <c r="X100" i="34"/>
  <c r="Z100" i="34"/>
  <c r="W100" i="34"/>
  <c r="V100" i="34"/>
  <c r="U166" i="34"/>
  <c r="Z166" i="34"/>
  <c r="X166" i="34"/>
  <c r="T166" i="34"/>
  <c r="Y166" i="34"/>
  <c r="W166" i="34"/>
  <c r="V166" i="34"/>
  <c r="T56" i="34"/>
  <c r="T167" i="34"/>
  <c r="Z167" i="34"/>
  <c r="V167" i="34"/>
  <c r="W167" i="34"/>
  <c r="Y115" i="34"/>
  <c r="T115" i="34"/>
  <c r="X115" i="34"/>
  <c r="Z115" i="34"/>
  <c r="U115" i="34"/>
  <c r="W115" i="34"/>
  <c r="V115" i="34"/>
  <c r="W174" i="34"/>
  <c r="T174" i="34"/>
  <c r="U174" i="34"/>
  <c r="Y174" i="34"/>
  <c r="X174" i="34"/>
  <c r="Z174" i="34"/>
  <c r="T15" i="34"/>
  <c r="T51" i="34"/>
  <c r="U51" i="34"/>
  <c r="Y51" i="34"/>
  <c r="Z51" i="34"/>
  <c r="X51" i="34"/>
  <c r="W51" i="34"/>
  <c r="V51" i="34"/>
  <c r="Z18" i="34"/>
  <c r="T18" i="34"/>
  <c r="U18" i="34"/>
  <c r="X18" i="34"/>
  <c r="Y18" i="34"/>
  <c r="V18" i="34"/>
  <c r="W18" i="34"/>
  <c r="AC10" i="24"/>
  <c r="H263" i="34"/>
  <c r="I263" i="34"/>
  <c r="G263" i="34"/>
  <c r="H234" i="34"/>
  <c r="Z57" i="34" s="1"/>
  <c r="G234" i="34"/>
  <c r="X57" i="34" s="1"/>
  <c r="I234" i="34"/>
  <c r="Y57" i="34" s="1"/>
  <c r="L234" i="34"/>
  <c r="U57" i="34" s="1"/>
  <c r="AG17" i="24"/>
  <c r="H255" i="34"/>
  <c r="Z123" i="34" s="1"/>
  <c r="I255" i="34"/>
  <c r="Y123" i="34" s="1"/>
  <c r="G255" i="34"/>
  <c r="X123" i="34" s="1"/>
  <c r="L255" i="34"/>
  <c r="T155" i="34"/>
  <c r="X137" i="34"/>
  <c r="T137" i="34"/>
  <c r="Z137" i="34"/>
  <c r="U137" i="34"/>
  <c r="Y137" i="34"/>
  <c r="W137" i="34"/>
  <c r="V137" i="34"/>
  <c r="AE6" i="24" a="1"/>
  <c r="AE6" i="24" s="1"/>
  <c r="AF6" i="24" a="1"/>
  <c r="AF6" i="24" s="1"/>
  <c r="U6" i="24"/>
  <c r="U26" i="24" s="1"/>
  <c r="S6" i="24"/>
  <c r="AI6" i="24"/>
  <c r="AH6" i="24"/>
  <c r="J264" i="34"/>
  <c r="H264" i="34"/>
  <c r="G264" i="34"/>
  <c r="K264" i="34" a="1"/>
  <c r="K264" i="34" s="1"/>
  <c r="I264" i="34"/>
  <c r="Y94" i="34"/>
  <c r="U94" i="34"/>
  <c r="X94" i="34"/>
  <c r="Z94" i="34"/>
  <c r="T94" i="34"/>
  <c r="V94" i="34"/>
  <c r="W94" i="34"/>
  <c r="AC15" i="24"/>
  <c r="AC21" i="24"/>
  <c r="T134" i="34"/>
  <c r="V134" i="34"/>
  <c r="W134" i="34"/>
  <c r="G225" i="34"/>
  <c r="L225" i="34"/>
  <c r="H225" i="34"/>
  <c r="I225" i="34"/>
  <c r="G231" i="34"/>
  <c r="H231" i="34"/>
  <c r="I231" i="34"/>
  <c r="L231" i="34"/>
  <c r="T57" i="34"/>
  <c r="W57" i="34"/>
  <c r="V57" i="34"/>
  <c r="T126" i="34"/>
  <c r="U126" i="34"/>
  <c r="Y126" i="34"/>
  <c r="X126" i="34"/>
  <c r="Z126" i="34"/>
  <c r="V126" i="34"/>
  <c r="W126" i="34"/>
  <c r="Z165" i="34"/>
  <c r="X165" i="34"/>
  <c r="Y165" i="34"/>
  <c r="U165" i="34"/>
  <c r="T165" i="34"/>
  <c r="V165" i="34"/>
  <c r="W165" i="34"/>
  <c r="W195" i="34"/>
  <c r="T195" i="34"/>
  <c r="Z195" i="34"/>
  <c r="X195" i="34"/>
  <c r="Y195" i="34"/>
  <c r="T180" i="34"/>
  <c r="Z180" i="34"/>
  <c r="Y180" i="34"/>
  <c r="W180" i="34"/>
  <c r="X180" i="34"/>
  <c r="Y46" i="34"/>
  <c r="U46" i="34"/>
  <c r="X46" i="34"/>
  <c r="Z46" i="34"/>
  <c r="T46" i="34"/>
  <c r="W46" i="34"/>
  <c r="V46" i="34"/>
  <c r="T130" i="34"/>
  <c r="X130" i="34"/>
  <c r="Y130" i="34"/>
  <c r="U130" i="34"/>
  <c r="Z130" i="34"/>
  <c r="V130" i="34"/>
  <c r="W130" i="34"/>
  <c r="X198" i="34"/>
  <c r="Z198" i="34"/>
  <c r="W198" i="34"/>
  <c r="Y198" i="34"/>
  <c r="T198" i="34"/>
  <c r="Y27" i="34"/>
  <c r="Z27" i="34"/>
  <c r="U27" i="34"/>
  <c r="T27" i="34"/>
  <c r="X27" i="34"/>
  <c r="V27" i="34"/>
  <c r="W27" i="34"/>
  <c r="X190" i="34"/>
  <c r="Y190" i="34"/>
  <c r="W190" i="34"/>
  <c r="T190" i="34"/>
  <c r="Z190" i="34"/>
  <c r="T187" i="34"/>
  <c r="Y187" i="34"/>
  <c r="Z187" i="34"/>
  <c r="W187" i="34"/>
  <c r="X187" i="34"/>
  <c r="T160" i="34"/>
  <c r="X160" i="34"/>
  <c r="Z160" i="34"/>
  <c r="Y160" i="34"/>
  <c r="U160" i="34"/>
  <c r="V160" i="34"/>
  <c r="W160" i="34"/>
  <c r="Z93" i="34"/>
  <c r="T93" i="34"/>
  <c r="X93" i="34"/>
  <c r="Y93" i="34"/>
  <c r="U93" i="34"/>
  <c r="W93" i="34"/>
  <c r="V93" i="34"/>
  <c r="U9" i="34"/>
  <c r="T9" i="34"/>
  <c r="Z9" i="34"/>
  <c r="X9" i="34"/>
  <c r="Y9" i="34"/>
  <c r="W9" i="34"/>
  <c r="V9" i="34"/>
  <c r="S71" i="34"/>
  <c r="U35" i="34"/>
  <c r="Z35" i="34"/>
  <c r="T35" i="34"/>
  <c r="X35" i="34"/>
  <c r="Y35" i="34"/>
  <c r="V35" i="34"/>
  <c r="W35" i="34"/>
  <c r="Z182" i="34"/>
  <c r="Y182" i="34"/>
  <c r="T182" i="34"/>
  <c r="X182" i="34"/>
  <c r="W182" i="34"/>
  <c r="X179" i="34"/>
  <c r="Z179" i="34"/>
  <c r="W179" i="34"/>
  <c r="Y179" i="34"/>
  <c r="T179" i="34"/>
  <c r="T13" i="34"/>
  <c r="H238" i="34"/>
  <c r="Z65" i="34" s="1"/>
  <c r="G238" i="34"/>
  <c r="X65" i="34" s="1"/>
  <c r="AG13" i="24"/>
  <c r="L220" i="34"/>
  <c r="U13" i="34" s="1"/>
  <c r="G220" i="34"/>
  <c r="X13" i="34" s="1"/>
  <c r="H220" i="34"/>
  <c r="Z13" i="34" s="1"/>
  <c r="I220" i="34"/>
  <c r="Y13" i="34" s="1"/>
  <c r="AC24" i="24"/>
  <c r="G242" i="34"/>
  <c r="X72" i="34" s="1"/>
  <c r="H242" i="34"/>
  <c r="Z72" i="34" s="1"/>
  <c r="E13" i="24"/>
  <c r="E10" i="24"/>
  <c r="E9" i="24"/>
  <c r="F9" i="24" s="1"/>
  <c r="E12" i="24"/>
  <c r="F12" i="24" s="1"/>
  <c r="E11" i="24"/>
  <c r="F11" i="24" s="1"/>
  <c r="G235" i="34"/>
  <c r="X58" i="34" s="1"/>
  <c r="L235" i="34"/>
  <c r="U58" i="34" s="1"/>
  <c r="H235" i="34"/>
  <c r="Z58" i="34" s="1"/>
  <c r="I235" i="34"/>
  <c r="Y58" i="34" s="1"/>
  <c r="X42" i="34"/>
  <c r="U42" i="34"/>
  <c r="Z42" i="34"/>
  <c r="T42" i="34"/>
  <c r="Y42" i="34"/>
  <c r="V42" i="34"/>
  <c r="W42" i="34"/>
  <c r="H251" i="34"/>
  <c r="G251" i="34"/>
  <c r="Y152" i="34"/>
  <c r="X152" i="34"/>
  <c r="Z152" i="34"/>
  <c r="T152" i="34"/>
  <c r="U152" i="34"/>
  <c r="W152" i="34"/>
  <c r="V152" i="34"/>
  <c r="Z37" i="34"/>
  <c r="T37" i="34"/>
  <c r="X37" i="34"/>
  <c r="Y37" i="34"/>
  <c r="U37" i="34"/>
  <c r="W37" i="34"/>
  <c r="V37" i="34"/>
  <c r="T89" i="34"/>
  <c r="Y89" i="34"/>
  <c r="U89" i="34"/>
  <c r="Z89" i="34"/>
  <c r="X89" i="34"/>
  <c r="W89" i="34"/>
  <c r="V89" i="34"/>
  <c r="T88" i="34"/>
  <c r="U39" i="34"/>
  <c r="T39" i="34"/>
  <c r="Z39" i="34"/>
  <c r="X39" i="34"/>
  <c r="Y39" i="34"/>
  <c r="V39" i="34"/>
  <c r="W39" i="34"/>
  <c r="U76" i="34"/>
  <c r="T76" i="34"/>
  <c r="X76" i="34"/>
  <c r="Y76" i="34"/>
  <c r="Z76" i="34"/>
  <c r="U131" i="34"/>
  <c r="T131" i="34"/>
  <c r="Y131" i="34"/>
  <c r="W131" i="34"/>
  <c r="V131" i="34"/>
  <c r="Z127" i="34"/>
  <c r="X127" i="34"/>
  <c r="T127" i="34"/>
  <c r="U127" i="34"/>
  <c r="Y127" i="34"/>
  <c r="V127" i="34"/>
  <c r="W127" i="34"/>
  <c r="T19" i="34"/>
  <c r="Y19" i="34"/>
  <c r="U19" i="34"/>
  <c r="X19" i="34"/>
  <c r="Z19" i="34"/>
  <c r="V19" i="34"/>
  <c r="W19" i="34"/>
  <c r="T54" i="34"/>
  <c r="U54" i="34"/>
  <c r="X54" i="34"/>
  <c r="Z54" i="34"/>
  <c r="Y54" i="34"/>
  <c r="W54" i="34"/>
  <c r="V54" i="34"/>
  <c r="T60" i="34"/>
  <c r="U60" i="34"/>
  <c r="X60" i="34"/>
  <c r="Y60" i="34"/>
  <c r="Z60" i="34"/>
  <c r="W60" i="34"/>
  <c r="V60" i="34"/>
  <c r="S110" i="34"/>
  <c r="T92" i="34"/>
  <c r="Z92" i="34"/>
  <c r="X92" i="34"/>
  <c r="X140" i="34"/>
  <c r="U140" i="34"/>
  <c r="Z140" i="34"/>
  <c r="T140" i="34"/>
  <c r="Y140" i="34"/>
  <c r="V140" i="34"/>
  <c r="W140" i="34"/>
  <c r="Z67" i="34"/>
  <c r="Y67" i="34"/>
  <c r="X67" i="34"/>
  <c r="U67" i="34"/>
  <c r="T67" i="34"/>
  <c r="W67" i="34"/>
  <c r="V67" i="34"/>
  <c r="X108" i="34"/>
  <c r="Z108" i="34"/>
  <c r="T108" i="34"/>
  <c r="H223" i="34"/>
  <c r="G223" i="34"/>
  <c r="I223" i="34"/>
  <c r="L223" i="34"/>
  <c r="H233" i="34"/>
  <c r="Z55" i="34" s="1"/>
  <c r="G233" i="34"/>
  <c r="X55" i="34" s="1"/>
  <c r="I233" i="34"/>
  <c r="Y55" i="34" s="1"/>
  <c r="L233" i="34"/>
  <c r="U55" i="34" s="1"/>
  <c r="AC12" i="24"/>
  <c r="H260" i="34"/>
  <c r="Z169" i="34" s="1"/>
  <c r="G260" i="34"/>
  <c r="X167" i="34" s="1"/>
  <c r="L260" i="34"/>
  <c r="U167" i="34" s="1"/>
  <c r="I260" i="34"/>
  <c r="Y167" i="34" s="1"/>
  <c r="AC25" i="24"/>
  <c r="I262" i="34"/>
  <c r="H262" i="34"/>
  <c r="G262" i="34"/>
  <c r="T101" i="34"/>
  <c r="X101" i="34"/>
  <c r="Z101" i="34"/>
  <c r="Y101" i="34"/>
  <c r="U101" i="34"/>
  <c r="W101" i="34"/>
  <c r="V101" i="34"/>
  <c r="T147" i="34"/>
  <c r="V147" i="34"/>
  <c r="W147" i="34"/>
  <c r="U105" i="34"/>
  <c r="Z105" i="34"/>
  <c r="X105" i="34"/>
  <c r="T105" i="34"/>
  <c r="Y105" i="34"/>
  <c r="W105" i="34"/>
  <c r="V105" i="34"/>
  <c r="Z176" i="34"/>
  <c r="Y176" i="34"/>
  <c r="W176" i="34"/>
  <c r="T176" i="34"/>
  <c r="X176" i="34"/>
  <c r="T123" i="34"/>
  <c r="U123" i="34"/>
  <c r="T188" i="34"/>
  <c r="Y188" i="34"/>
  <c r="W188" i="34"/>
  <c r="Z188" i="34"/>
  <c r="X188" i="34"/>
  <c r="Y80" i="34"/>
  <c r="Z80" i="34"/>
  <c r="X80" i="34"/>
  <c r="T80" i="34"/>
  <c r="U80" i="34"/>
  <c r="W80" i="34"/>
  <c r="V80" i="34"/>
  <c r="X49" i="34"/>
  <c r="T49" i="34"/>
  <c r="Y49" i="34"/>
  <c r="U49" i="34"/>
  <c r="Z49" i="34"/>
  <c r="V49" i="34"/>
  <c r="W49" i="34"/>
  <c r="X50" i="34"/>
  <c r="Y50" i="34"/>
  <c r="U50" i="34"/>
  <c r="T50" i="34"/>
  <c r="Z50" i="34"/>
  <c r="V50" i="34"/>
  <c r="W50" i="34"/>
  <c r="X102" i="34"/>
  <c r="T102" i="34"/>
  <c r="Z102" i="34"/>
  <c r="Y102" i="34"/>
  <c r="U102" i="34"/>
  <c r="V102" i="34"/>
  <c r="W102" i="34"/>
  <c r="Z59" i="34"/>
  <c r="Y59" i="34"/>
  <c r="X59" i="34"/>
  <c r="U59" i="34"/>
  <c r="T59" i="34"/>
  <c r="V59" i="34"/>
  <c r="W59" i="34"/>
  <c r="Y193" i="34"/>
  <c r="W193" i="34"/>
  <c r="Z193" i="34"/>
  <c r="T193" i="34"/>
  <c r="X193" i="34"/>
  <c r="Z113" i="34"/>
  <c r="X113" i="34"/>
  <c r="U113" i="34"/>
  <c r="T113" i="34"/>
  <c r="Y113" i="34"/>
  <c r="V113" i="34"/>
  <c r="W113" i="34"/>
  <c r="Y183" i="34"/>
  <c r="Z183" i="34"/>
  <c r="X183" i="34"/>
  <c r="T183" i="34"/>
  <c r="W183" i="34"/>
  <c r="AC13" i="24"/>
  <c r="H250" i="34"/>
  <c r="G250" i="34"/>
  <c r="X106" i="34" s="1"/>
  <c r="AC23" i="24"/>
  <c r="G222" i="34"/>
  <c r="X15" i="34" s="1"/>
  <c r="H222" i="34"/>
  <c r="Z15" i="34" s="1"/>
  <c r="G239" i="34"/>
  <c r="X69" i="34" s="1"/>
  <c r="I239" i="34"/>
  <c r="Y69" i="34" s="1"/>
  <c r="L239" i="34"/>
  <c r="U69" i="34" s="1"/>
  <c r="H239" i="34"/>
  <c r="Z69" i="34" s="1"/>
  <c r="L259" i="34"/>
  <c r="U154" i="34" s="1"/>
  <c r="H259" i="34"/>
  <c r="Z154" i="34" s="1"/>
  <c r="I259" i="34"/>
  <c r="Y154" i="34" s="1"/>
  <c r="G259" i="34"/>
  <c r="X154" i="34" s="1"/>
  <c r="G244" i="34"/>
  <c r="X75" i="34" s="1"/>
  <c r="H244" i="34"/>
  <c r="Z75" i="34" s="1"/>
  <c r="Y64" i="34"/>
  <c r="U64" i="34"/>
  <c r="Z64" i="34"/>
  <c r="X64" i="34"/>
  <c r="T64" i="34"/>
  <c r="V64" i="34"/>
  <c r="W64" i="34"/>
  <c r="Z12" i="34"/>
  <c r="X12" i="34"/>
  <c r="T12" i="34"/>
  <c r="Y12" i="34"/>
  <c r="U12" i="34"/>
  <c r="V12" i="34"/>
  <c r="W12" i="34"/>
  <c r="X11" i="34"/>
  <c r="U11" i="34"/>
  <c r="T11" i="34"/>
  <c r="Y11" i="34"/>
  <c r="Z11" i="34"/>
  <c r="W11" i="34"/>
  <c r="V11" i="34"/>
  <c r="X26" i="34"/>
  <c r="Z26" i="34"/>
  <c r="U26" i="34"/>
  <c r="T26" i="34"/>
  <c r="Y26" i="34"/>
  <c r="V26" i="34"/>
  <c r="W26" i="34"/>
  <c r="T32" i="34"/>
  <c r="X32" i="34"/>
  <c r="U32" i="34"/>
  <c r="Y32" i="34"/>
  <c r="Z32" i="34"/>
  <c r="W32" i="34"/>
  <c r="V32" i="34"/>
  <c r="X16" i="34"/>
  <c r="Y16" i="34"/>
  <c r="Z16" i="34"/>
  <c r="T16" i="34"/>
  <c r="U16" i="34"/>
  <c r="W16" i="34"/>
  <c r="V16" i="34"/>
  <c r="T139" i="34"/>
  <c r="Z139" i="34"/>
  <c r="X139" i="34"/>
  <c r="Y139" i="34"/>
  <c r="U139" i="34"/>
  <c r="V139" i="34"/>
  <c r="W139" i="34"/>
  <c r="X96" i="34"/>
  <c r="T96" i="34"/>
  <c r="U96" i="34"/>
  <c r="Z96" i="34"/>
  <c r="Y96" i="34"/>
  <c r="W96" i="34"/>
  <c r="V96" i="34"/>
  <c r="X184" i="34"/>
  <c r="Y184" i="34"/>
  <c r="T184" i="34"/>
  <c r="W184" i="34"/>
  <c r="Z184" i="34"/>
  <c r="T24" i="34"/>
  <c r="T121" i="34"/>
  <c r="Z121" i="34"/>
  <c r="X121" i="34"/>
  <c r="U121" i="34"/>
  <c r="Z90" i="34"/>
  <c r="X90" i="34"/>
  <c r="Y90" i="34"/>
  <c r="U90" i="34"/>
  <c r="T90" i="34"/>
  <c r="V90" i="34"/>
  <c r="W90" i="34"/>
  <c r="T41" i="34"/>
  <c r="Y41" i="34"/>
  <c r="X41" i="34"/>
  <c r="U41" i="34"/>
  <c r="Z41" i="34"/>
  <c r="W41" i="34"/>
  <c r="V41" i="34"/>
  <c r="H232" i="34"/>
  <c r="G232" i="34"/>
  <c r="H253" i="34"/>
  <c r="Z131" i="34" s="1"/>
  <c r="L253" i="34"/>
  <c r="U119" i="34" s="1"/>
  <c r="G253" i="34"/>
  <c r="X131" i="34" s="1"/>
  <c r="I253" i="34"/>
  <c r="Y119" i="34" s="1"/>
  <c r="L254" i="34"/>
  <c r="U122" i="34" s="1"/>
  <c r="G254" i="34"/>
  <c r="X122" i="34" s="1"/>
  <c r="H254" i="34"/>
  <c r="Z122" i="34" s="1"/>
  <c r="I254" i="34"/>
  <c r="Y122" i="34" s="1"/>
  <c r="AC14" i="24"/>
  <c r="AC8" i="24"/>
  <c r="T4" i="34"/>
  <c r="T132" i="34"/>
  <c r="U132" i="34"/>
  <c r="Y132" i="34"/>
  <c r="X132" i="34"/>
  <c r="Z132" i="34"/>
  <c r="W132" i="34"/>
  <c r="V132" i="34"/>
  <c r="U6" i="34"/>
  <c r="T6" i="34"/>
  <c r="Y6" i="34"/>
  <c r="Z6" i="34"/>
  <c r="X6" i="34"/>
  <c r="V6" i="34"/>
  <c r="W6" i="34"/>
  <c r="X144" i="34"/>
  <c r="Z144" i="34"/>
  <c r="Y144" i="34"/>
  <c r="U144" i="34"/>
  <c r="T144" i="34"/>
  <c r="W144" i="34"/>
  <c r="V144" i="34"/>
  <c r="U133" i="34"/>
  <c r="X133" i="34"/>
  <c r="Y133" i="34"/>
  <c r="T133" i="34"/>
  <c r="Z133" i="34"/>
  <c r="V133" i="34"/>
  <c r="W133" i="34"/>
  <c r="U106" i="34"/>
  <c r="Z106" i="34"/>
  <c r="T106" i="34"/>
  <c r="V106" i="34"/>
  <c r="W106" i="34"/>
  <c r="T63" i="34"/>
  <c r="X63" i="34"/>
  <c r="Z63" i="34"/>
  <c r="Z192" i="34"/>
  <c r="W192" i="34"/>
  <c r="X192" i="34"/>
  <c r="Y192" i="34"/>
  <c r="T192" i="34"/>
  <c r="Z175" i="34"/>
  <c r="U175" i="34"/>
  <c r="X175" i="34"/>
  <c r="Y175" i="34"/>
  <c r="T175" i="34"/>
  <c r="W175" i="34"/>
  <c r="T53" i="34"/>
  <c r="Z53" i="34"/>
  <c r="Y53" i="34"/>
  <c r="U53" i="34"/>
  <c r="X53" i="34"/>
  <c r="W53" i="34"/>
  <c r="V53" i="34"/>
  <c r="S84" i="34"/>
  <c r="T119" i="34"/>
  <c r="Z119" i="34"/>
  <c r="X119" i="34"/>
  <c r="T197" i="34"/>
  <c r="X197" i="34"/>
  <c r="Z197" i="34"/>
  <c r="Y197" i="34"/>
  <c r="W197" i="34"/>
  <c r="T33" i="34"/>
  <c r="AC22" i="24"/>
  <c r="G243" i="34"/>
  <c r="X73" i="34" s="1"/>
  <c r="H243" i="34"/>
  <c r="Z73" i="34" s="1"/>
  <c r="G257" i="34"/>
  <c r="H257" i="34"/>
  <c r="G240" i="34"/>
  <c r="X70" i="34" s="1"/>
  <c r="I240" i="34"/>
  <c r="Y70" i="34" s="1"/>
  <c r="L240" i="34"/>
  <c r="U70" i="34" s="1"/>
  <c r="H240" i="34"/>
  <c r="Z70" i="34" s="1"/>
  <c r="H224" i="34"/>
  <c r="Z24" i="34" s="1"/>
  <c r="G224" i="34"/>
  <c r="X24" i="34" s="1"/>
  <c r="T65" i="34"/>
  <c r="G246" i="34"/>
  <c r="X85" i="34" s="1"/>
  <c r="H246" i="34"/>
  <c r="Z85" i="34" s="1"/>
  <c r="W177" i="34"/>
  <c r="Y177" i="34"/>
  <c r="Z177" i="34"/>
  <c r="X177" i="34"/>
  <c r="T177" i="34"/>
  <c r="T172" i="34"/>
  <c r="Y172" i="34"/>
  <c r="Z172" i="34"/>
  <c r="X172" i="34"/>
  <c r="U172" i="34"/>
  <c r="W172" i="34"/>
  <c r="T169" i="34"/>
  <c r="I218" i="34"/>
  <c r="G218" i="34"/>
  <c r="H218" i="34"/>
  <c r="L218" i="34"/>
  <c r="U114" i="34"/>
  <c r="Z114" i="34"/>
  <c r="T114" i="34"/>
  <c r="X114" i="34"/>
  <c r="Y114" i="34"/>
  <c r="W114" i="34"/>
  <c r="V114" i="34"/>
  <c r="U17" i="34"/>
  <c r="X17" i="34"/>
  <c r="T17" i="34"/>
  <c r="Z17" i="34"/>
  <c r="Y17" i="34"/>
  <c r="W17" i="34"/>
  <c r="T149" i="34"/>
  <c r="U149" i="34"/>
  <c r="X149" i="34"/>
  <c r="X36" i="34"/>
  <c r="T36" i="34"/>
  <c r="Z36" i="34"/>
  <c r="U36" i="34"/>
  <c r="Y36" i="34"/>
  <c r="V36" i="34"/>
  <c r="W36" i="34"/>
  <c r="S28" i="34"/>
  <c r="Z186" i="34"/>
  <c r="Y186" i="34"/>
  <c r="X186" i="34"/>
  <c r="T186" i="34"/>
  <c r="W186" i="34"/>
  <c r="T69" i="34"/>
  <c r="Z82" i="34"/>
  <c r="X82" i="34"/>
  <c r="T82" i="34"/>
  <c r="Y82" i="34"/>
  <c r="U82" i="34"/>
  <c r="V82" i="34"/>
  <c r="W82" i="34"/>
  <c r="U116" i="34"/>
  <c r="T116" i="34"/>
  <c r="Z116" i="34"/>
  <c r="Y116" i="34"/>
  <c r="X116" i="34"/>
  <c r="W116" i="34"/>
  <c r="V116" i="34"/>
  <c r="Y161" i="34"/>
  <c r="T161" i="34"/>
  <c r="Z161" i="34"/>
  <c r="X161" i="34"/>
  <c r="U161" i="34"/>
  <c r="V161" i="34"/>
  <c r="W161" i="34"/>
  <c r="T109" i="34"/>
  <c r="U109" i="34"/>
  <c r="Y109" i="34"/>
  <c r="X109" i="34"/>
  <c r="Z109" i="34"/>
  <c r="V109" i="34"/>
  <c r="W109" i="34"/>
  <c r="H227" i="34"/>
  <c r="G227" i="34"/>
  <c r="X30" i="34" s="1"/>
  <c r="J265" i="34"/>
  <c r="I265" i="34"/>
  <c r="H265" i="34"/>
  <c r="K265" i="34" a="1"/>
  <c r="K265" i="34" s="1"/>
  <c r="G265" i="34"/>
  <c r="AC7" i="24"/>
  <c r="Y81" i="34"/>
  <c r="Z81" i="34"/>
  <c r="U81" i="34"/>
  <c r="X81" i="34"/>
  <c r="T81" i="34"/>
  <c r="V81" i="34"/>
  <c r="W81" i="34"/>
  <c r="T159" i="34"/>
  <c r="U159" i="34"/>
  <c r="Y159" i="34"/>
  <c r="X159" i="34"/>
  <c r="Z159" i="34"/>
  <c r="V159" i="34"/>
  <c r="W159" i="34"/>
  <c r="T154" i="34"/>
  <c r="V154" i="34"/>
  <c r="W154" i="34"/>
  <c r="Y68" i="34"/>
  <c r="U68" i="34"/>
  <c r="Z68" i="34"/>
  <c r="T68" i="34"/>
  <c r="X68" i="34"/>
  <c r="W68" i="34"/>
  <c r="V68" i="34"/>
  <c r="T5" i="34"/>
  <c r="T136" i="34"/>
  <c r="X136" i="34"/>
  <c r="Z136" i="34"/>
  <c r="X77" i="34"/>
  <c r="T77" i="34"/>
  <c r="Z77" i="34"/>
  <c r="Y77" i="34"/>
  <c r="U77" i="34"/>
  <c r="W77" i="34"/>
  <c r="V77" i="34"/>
  <c r="H241" i="34"/>
  <c r="G241" i="34"/>
  <c r="U10" i="34"/>
  <c r="X10" i="34"/>
  <c r="T10" i="34"/>
  <c r="Y10" i="34"/>
  <c r="Z10" i="34"/>
  <c r="V10" i="34"/>
  <c r="W10" i="34"/>
  <c r="T62" i="34"/>
  <c r="T55" i="34"/>
  <c r="Z104" i="34"/>
  <c r="T104" i="34"/>
  <c r="X104" i="34"/>
  <c r="T97" i="34"/>
  <c r="Z97" i="34"/>
  <c r="X97" i="34"/>
  <c r="U97" i="34"/>
  <c r="Y97" i="34"/>
  <c r="W97" i="34"/>
  <c r="V97" i="34"/>
  <c r="X43" i="34"/>
  <c r="Z43" i="34"/>
  <c r="U43" i="34"/>
  <c r="Y43" i="34"/>
  <c r="T43" i="34"/>
  <c r="V43" i="34"/>
  <c r="W43" i="34"/>
  <c r="S31" i="34"/>
  <c r="X78" i="34"/>
  <c r="T78" i="34"/>
  <c r="Y78" i="34"/>
  <c r="U78" i="34"/>
  <c r="Z78" i="34"/>
  <c r="V78" i="34"/>
  <c r="W78" i="34"/>
  <c r="X191" i="34"/>
  <c r="W191" i="34"/>
  <c r="Y191" i="34"/>
  <c r="T191" i="34"/>
  <c r="Z191" i="34"/>
  <c r="Y185" i="34"/>
  <c r="X185" i="34"/>
  <c r="T185" i="34"/>
  <c r="Z185" i="34"/>
  <c r="W185" i="34"/>
  <c r="T70" i="34"/>
  <c r="S29" i="34"/>
  <c r="T145" i="34"/>
  <c r="Y145" i="34"/>
  <c r="U145" i="34"/>
  <c r="Z145" i="34"/>
  <c r="X145" i="34"/>
  <c r="W145" i="34"/>
  <c r="V145" i="34"/>
  <c r="AC17" i="24"/>
  <c r="L256" i="34"/>
  <c r="U134" i="34" s="1"/>
  <c r="G256" i="34"/>
  <c r="X134" i="34" s="1"/>
  <c r="I256" i="34"/>
  <c r="Y134" i="34" s="1"/>
  <c r="H256" i="34"/>
  <c r="Z134" i="34" s="1"/>
  <c r="H247" i="34"/>
  <c r="G247" i="34"/>
  <c r="G217" i="34"/>
  <c r="X5" i="34" s="1"/>
  <c r="H217" i="34"/>
  <c r="Z5" i="34" s="1"/>
  <c r="X45" i="34" l="1"/>
  <c r="J182" i="34"/>
  <c r="V17" i="34" s="1"/>
  <c r="Z20" i="34"/>
  <c r="U20" i="34"/>
  <c r="X20" i="34"/>
  <c r="Y66" i="34"/>
  <c r="U156" i="34"/>
  <c r="Z111" i="34"/>
  <c r="X66" i="34"/>
  <c r="X52" i="34"/>
  <c r="Z66" i="34"/>
  <c r="Z149" i="34"/>
  <c r="Z52" i="34"/>
  <c r="U125" i="34"/>
  <c r="U8" i="34"/>
  <c r="Y149" i="34"/>
  <c r="Z125" i="34"/>
  <c r="X91" i="34"/>
  <c r="Y125" i="34"/>
  <c r="X143" i="34"/>
  <c r="X88" i="34"/>
  <c r="X125" i="34"/>
  <c r="Z91" i="34"/>
  <c r="Z88" i="34"/>
  <c r="Y121" i="34"/>
  <c r="Y156" i="34"/>
  <c r="Z98" i="34"/>
  <c r="X98" i="34"/>
  <c r="Z30" i="34"/>
  <c r="E339" i="38"/>
  <c r="Y124" i="34"/>
  <c r="Z171" i="34"/>
  <c r="Z170" i="34"/>
  <c r="Y170" i="34"/>
  <c r="X171" i="34"/>
  <c r="U171" i="34"/>
  <c r="X170" i="34"/>
  <c r="U170" i="34"/>
  <c r="Y171" i="34"/>
  <c r="U47" i="34"/>
  <c r="Y47" i="34"/>
  <c r="Z47" i="34"/>
  <c r="X124" i="34"/>
  <c r="Z142" i="34"/>
  <c r="Z74" i="34"/>
  <c r="X47" i="34"/>
  <c r="X74" i="34"/>
  <c r="U124" i="34"/>
  <c r="Z124" i="34"/>
  <c r="T47" i="34"/>
  <c r="X142" i="34"/>
  <c r="Z107" i="34"/>
  <c r="Y118" i="34"/>
  <c r="X118" i="34"/>
  <c r="U45" i="34"/>
  <c r="Z8" i="34"/>
  <c r="Y20" i="34"/>
  <c r="Z103" i="34"/>
  <c r="Z148" i="34"/>
  <c r="Y148" i="34"/>
  <c r="U148" i="34"/>
  <c r="X148" i="34"/>
  <c r="E61" i="38"/>
  <c r="X8" i="34"/>
  <c r="U169" i="34"/>
  <c r="X107" i="34"/>
  <c r="Z61" i="34"/>
  <c r="Y45" i="34"/>
  <c r="Y8" i="34"/>
  <c r="T107" i="34"/>
  <c r="X61" i="34"/>
  <c r="Z45" i="34"/>
  <c r="E287" i="38"/>
  <c r="Z118" i="34"/>
  <c r="E45" i="38"/>
  <c r="X155" i="34"/>
  <c r="E41" i="38"/>
  <c r="E191" i="38"/>
  <c r="Y103" i="34"/>
  <c r="X103" i="34"/>
  <c r="X169" i="34"/>
  <c r="T103" i="34"/>
  <c r="E65" i="38"/>
  <c r="Y169" i="34"/>
  <c r="Y56" i="34"/>
  <c r="U103" i="34"/>
  <c r="E75" i="38"/>
  <c r="E217" i="34"/>
  <c r="AD7" i="24" s="1"/>
  <c r="E9" i="38"/>
  <c r="AG6" i="24"/>
  <c r="E17" i="38"/>
  <c r="E79" i="38"/>
  <c r="E47" i="38"/>
  <c r="U155" i="34"/>
  <c r="X56" i="34"/>
  <c r="T31" i="34"/>
  <c r="U31" i="34"/>
  <c r="Y31" i="34"/>
  <c r="Z31" i="34"/>
  <c r="X31" i="34"/>
  <c r="E77" i="38"/>
  <c r="E71" i="38"/>
  <c r="Z71" i="34"/>
  <c r="T71" i="34"/>
  <c r="X71" i="34"/>
  <c r="Y155" i="34"/>
  <c r="T7" i="34"/>
  <c r="U7" i="34"/>
  <c r="Z7" i="34"/>
  <c r="Y7" i="34"/>
  <c r="X7" i="34"/>
  <c r="U118" i="34"/>
  <c r="T29" i="34"/>
  <c r="X29" i="34"/>
  <c r="Y29" i="34"/>
  <c r="Z29" i="34"/>
  <c r="U29" i="34"/>
  <c r="E13" i="38"/>
  <c r="E87" i="38"/>
  <c r="Z155" i="34"/>
  <c r="E81" i="38"/>
  <c r="U120" i="34"/>
  <c r="U168" i="34"/>
  <c r="Z120" i="34"/>
  <c r="X168" i="34"/>
  <c r="T28" i="34"/>
  <c r="U28" i="34"/>
  <c r="X28" i="34"/>
  <c r="Z28" i="34"/>
  <c r="Y28" i="34"/>
  <c r="E85" i="38"/>
  <c r="T110" i="34"/>
  <c r="X110" i="34"/>
  <c r="Z110" i="34"/>
  <c r="U110" i="34"/>
  <c r="Y110" i="34"/>
  <c r="Y120" i="34"/>
  <c r="Z168" i="34"/>
  <c r="T84" i="34"/>
  <c r="X84" i="34"/>
  <c r="Y84" i="34"/>
  <c r="Z84" i="34"/>
  <c r="U84" i="34"/>
  <c r="X120" i="34"/>
  <c r="Y168" i="34"/>
  <c r="U135" i="34"/>
  <c r="E73" i="38"/>
  <c r="E89" i="38"/>
  <c r="E39" i="38"/>
  <c r="E14" i="24"/>
  <c r="F10" i="24"/>
  <c r="X135" i="34"/>
  <c r="E369" i="38"/>
  <c r="E297" i="38"/>
  <c r="U56" i="34"/>
  <c r="Y135" i="34"/>
  <c r="Z87" i="34"/>
  <c r="X87" i="34"/>
  <c r="T87" i="34"/>
  <c r="E63" i="38"/>
  <c r="E37" i="38"/>
  <c r="E289" i="38"/>
  <c r="Z56" i="34"/>
  <c r="Z135" i="34"/>
  <c r="E15" i="38"/>
  <c r="E218" i="34" l="1"/>
  <c r="AD8" i="24" s="1"/>
  <c r="E219" i="34" l="1"/>
  <c r="AD9" i="24" s="1"/>
  <c r="E220" i="34" l="1"/>
  <c r="AD10" i="24" s="1"/>
  <c r="H105" i="24"/>
  <c r="H41" i="24"/>
  <c r="E221" i="34" l="1"/>
  <c r="AD11" i="24"/>
  <c r="E222" i="34"/>
  <c r="H101" i="24"/>
  <c r="AD12" i="24" l="1"/>
  <c r="E223" i="34"/>
  <c r="H99" i="24"/>
  <c r="AD13" i="24" l="1"/>
  <c r="E224" i="34"/>
  <c r="AD14" i="24" l="1"/>
  <c r="E225" i="34"/>
  <c r="AD15" i="24" l="1"/>
  <c r="E226" i="34"/>
  <c r="AD16" i="24" l="1"/>
  <c r="E227" i="34"/>
  <c r="J93" i="24"/>
  <c r="I249" i="34" s="1"/>
  <c r="Y99" i="34" s="1"/>
  <c r="J83" i="24"/>
  <c r="I258" i="34" s="1"/>
  <c r="J81" i="24"/>
  <c r="I251" i="34" s="1"/>
  <c r="Y108" i="34" s="1"/>
  <c r="J89" i="24"/>
  <c r="I238" i="34" s="1"/>
  <c r="J55" i="24"/>
  <c r="J75" i="24"/>
  <c r="J53" i="24"/>
  <c r="J41" i="24"/>
  <c r="I242" i="34" s="1"/>
  <c r="Y72" i="34" s="1"/>
  <c r="J59" i="24"/>
  <c r="I247" i="34" s="1"/>
  <c r="J47" i="24"/>
  <c r="J31" i="24"/>
  <c r="Y65" i="34" l="1"/>
  <c r="Y63" i="34"/>
  <c r="Y91" i="34"/>
  <c r="Y88" i="34"/>
  <c r="Y147" i="34"/>
  <c r="Y143" i="34"/>
  <c r="AC41" i="24"/>
  <c r="AH41" i="24"/>
  <c r="Z41" i="24"/>
  <c r="Y41" i="24"/>
  <c r="AB41" i="24"/>
  <c r="U41" i="24"/>
  <c r="X41" i="24"/>
  <c r="AG41" i="24"/>
  <c r="D389" i="38"/>
  <c r="T41" i="24"/>
  <c r="AF41" i="24"/>
  <c r="AD41" i="24"/>
  <c r="V41" i="24"/>
  <c r="I241" i="34"/>
  <c r="Y71" i="34" s="1"/>
  <c r="V75" i="24"/>
  <c r="AG75" i="24"/>
  <c r="Z75" i="24"/>
  <c r="AC75" i="24"/>
  <c r="AD75" i="24"/>
  <c r="X75" i="24"/>
  <c r="U75" i="24"/>
  <c r="Y75" i="24"/>
  <c r="AB75" i="24"/>
  <c r="AF75" i="24"/>
  <c r="AI75" i="24" s="1"/>
  <c r="AH75" i="24"/>
  <c r="T75" i="24"/>
  <c r="D423" i="38"/>
  <c r="AI22" i="24"/>
  <c r="I232" i="34"/>
  <c r="Y52" i="34" s="1"/>
  <c r="AH53" i="24"/>
  <c r="AG53" i="24"/>
  <c r="V53" i="24"/>
  <c r="AC53" i="24"/>
  <c r="Z53" i="24"/>
  <c r="X53" i="24"/>
  <c r="AD53" i="24"/>
  <c r="T53" i="24"/>
  <c r="U53" i="24"/>
  <c r="AF53" i="24"/>
  <c r="AB53" i="24"/>
  <c r="D401" i="38"/>
  <c r="Y53" i="24"/>
  <c r="AI14" i="24"/>
  <c r="I224" i="34"/>
  <c r="Y24" i="34" s="1"/>
  <c r="Z83" i="24"/>
  <c r="AG83" i="24"/>
  <c r="AB83" i="24"/>
  <c r="X83" i="24"/>
  <c r="AD83" i="24"/>
  <c r="AC83" i="24"/>
  <c r="U83" i="24"/>
  <c r="AH83" i="24"/>
  <c r="Y83" i="24"/>
  <c r="T83" i="24"/>
  <c r="D431" i="38"/>
  <c r="V83" i="24"/>
  <c r="AF83" i="24"/>
  <c r="I257" i="34"/>
  <c r="AG89" i="24"/>
  <c r="AC89" i="24"/>
  <c r="X89" i="24"/>
  <c r="Y89" i="24"/>
  <c r="U89" i="24"/>
  <c r="AF89" i="24"/>
  <c r="AD89" i="24"/>
  <c r="V89" i="24"/>
  <c r="Z89" i="24"/>
  <c r="AH89" i="24"/>
  <c r="T89" i="24"/>
  <c r="AB89" i="24"/>
  <c r="D437" i="38"/>
  <c r="I237" i="34"/>
  <c r="Y62" i="34" s="1"/>
  <c r="AD59" i="24"/>
  <c r="X59" i="24"/>
  <c r="U59" i="24"/>
  <c r="V59" i="24"/>
  <c r="D407" i="38"/>
  <c r="Y59" i="24"/>
  <c r="AF59" i="24"/>
  <c r="AC59" i="24"/>
  <c r="AG59" i="24"/>
  <c r="T59" i="24"/>
  <c r="Z59" i="24"/>
  <c r="AB59" i="24"/>
  <c r="AH59" i="24"/>
  <c r="I246" i="34"/>
  <c r="Y85" i="34" s="1"/>
  <c r="AG55" i="24"/>
  <c r="D403" i="38"/>
  <c r="V55" i="24"/>
  <c r="Z55" i="24"/>
  <c r="T55" i="24"/>
  <c r="Y55" i="24"/>
  <c r="U55" i="24"/>
  <c r="AH55" i="24"/>
  <c r="AC55" i="24"/>
  <c r="AD55" i="24"/>
  <c r="AB55" i="24"/>
  <c r="X55" i="24"/>
  <c r="AF55" i="24"/>
  <c r="I236" i="34"/>
  <c r="Y61" i="34" s="1"/>
  <c r="U81" i="24"/>
  <c r="V81" i="24"/>
  <c r="AG81" i="24"/>
  <c r="D429" i="38"/>
  <c r="AD81" i="24"/>
  <c r="AF81" i="24"/>
  <c r="X81" i="24"/>
  <c r="AH81" i="24"/>
  <c r="AC81" i="24"/>
  <c r="Z81" i="24"/>
  <c r="T81" i="24"/>
  <c r="Y81" i="24"/>
  <c r="AB81" i="24"/>
  <c r="I250" i="34"/>
  <c r="Y104" i="34" s="1"/>
  <c r="Y31" i="24"/>
  <c r="AB31" i="24"/>
  <c r="X31" i="24"/>
  <c r="AD31" i="24"/>
  <c r="T31" i="24"/>
  <c r="AG31" i="24"/>
  <c r="AF31" i="24"/>
  <c r="AC31" i="24"/>
  <c r="AH31" i="24"/>
  <c r="Z31" i="24"/>
  <c r="U31" i="24"/>
  <c r="D379" i="38"/>
  <c r="V31" i="24"/>
  <c r="AI11" i="24"/>
  <c r="I221" i="34"/>
  <c r="Y14" i="34" s="1"/>
  <c r="AH47" i="24"/>
  <c r="AG47" i="24"/>
  <c r="AF47" i="24"/>
  <c r="AI47" i="24" s="1"/>
  <c r="U47" i="24"/>
  <c r="D395" i="38"/>
  <c r="X47" i="24"/>
  <c r="Y47" i="24"/>
  <c r="AC47" i="24"/>
  <c r="T47" i="24"/>
  <c r="AD47" i="24"/>
  <c r="Z47" i="24"/>
  <c r="AB47" i="24"/>
  <c r="V47" i="24"/>
  <c r="AI17" i="24"/>
  <c r="I227" i="34"/>
  <c r="Y30" i="34" s="1"/>
  <c r="AD17" i="24"/>
  <c r="E228" i="34"/>
  <c r="J43" i="24"/>
  <c r="J45" i="24"/>
  <c r="I244" i="34" s="1"/>
  <c r="AF93" i="24"/>
  <c r="AH93" i="24"/>
  <c r="AD93" i="24"/>
  <c r="X93" i="24"/>
  <c r="U93" i="24"/>
  <c r="Z93" i="24"/>
  <c r="AB93" i="24"/>
  <c r="Y93" i="24"/>
  <c r="AC93" i="24"/>
  <c r="T93" i="24"/>
  <c r="AG93" i="24"/>
  <c r="D441" i="38"/>
  <c r="V93" i="24"/>
  <c r="I248" i="34"/>
  <c r="Y92" i="34" s="1"/>
  <c r="J71" i="24"/>
  <c r="Y79" i="34" l="1"/>
  <c r="Y75" i="34"/>
  <c r="Y142" i="34"/>
  <c r="Y136" i="34"/>
  <c r="AE81" i="24"/>
  <c r="AI59" i="24"/>
  <c r="AA41" i="24"/>
  <c r="AE41" i="24"/>
  <c r="AE31" i="24"/>
  <c r="AA59" i="24"/>
  <c r="AE59" i="24"/>
  <c r="AA83" i="24"/>
  <c r="W31" i="24"/>
  <c r="AJ31" i="24"/>
  <c r="L221" i="34" s="1"/>
  <c r="U14" i="34" s="1"/>
  <c r="AA81" i="24"/>
  <c r="AE83" i="24"/>
  <c r="AA53" i="24"/>
  <c r="AE75" i="24"/>
  <c r="AI41" i="24"/>
  <c r="W41" i="24"/>
  <c r="AJ41" i="24"/>
  <c r="AI81" i="24"/>
  <c r="AJ59" i="24"/>
  <c r="W59" i="24"/>
  <c r="AE89" i="24"/>
  <c r="AE47" i="24"/>
  <c r="AA31" i="24"/>
  <c r="W89" i="24"/>
  <c r="AJ89" i="24"/>
  <c r="AI83" i="24"/>
  <c r="AA75" i="24"/>
  <c r="AJ55" i="24"/>
  <c r="L236" i="34" s="1"/>
  <c r="U61" i="34" s="1"/>
  <c r="W55" i="24"/>
  <c r="W47" i="24"/>
  <c r="AJ47" i="24"/>
  <c r="L227" i="34" s="1"/>
  <c r="U30" i="34" s="1"/>
  <c r="Y106" i="34"/>
  <c r="Y107" i="34"/>
  <c r="W83" i="24"/>
  <c r="AJ83" i="24"/>
  <c r="AI89" i="24"/>
  <c r="AE53" i="24"/>
  <c r="U45" i="24"/>
  <c r="T45" i="24"/>
  <c r="X45" i="24"/>
  <c r="Y45" i="24"/>
  <c r="V45" i="24"/>
  <c r="D393" i="38"/>
  <c r="I243" i="34"/>
  <c r="U43" i="24"/>
  <c r="AC43" i="24"/>
  <c r="AB43" i="24"/>
  <c r="V43" i="24"/>
  <c r="D391" i="38"/>
  <c r="X43" i="24"/>
  <c r="AD43" i="24"/>
  <c r="Y43" i="24"/>
  <c r="AH43" i="24"/>
  <c r="AF43" i="24"/>
  <c r="Z43" i="24"/>
  <c r="T43" i="24"/>
  <c r="AG43" i="24"/>
  <c r="AI12" i="24"/>
  <c r="I222" i="34"/>
  <c r="Y15" i="34" s="1"/>
  <c r="AA47" i="24"/>
  <c r="W81" i="24"/>
  <c r="AJ81" i="24"/>
  <c r="AI55" i="24"/>
  <c r="AI53" i="24"/>
  <c r="AA55" i="24"/>
  <c r="Y95" i="34"/>
  <c r="Y87" i="34"/>
  <c r="AJ75" i="24"/>
  <c r="L232" i="34" s="1"/>
  <c r="U52" i="34" s="1"/>
  <c r="W75" i="24"/>
  <c r="AA93" i="24"/>
  <c r="AD18" i="24"/>
  <c r="E229" i="34"/>
  <c r="AI31" i="24"/>
  <c r="AE55" i="24"/>
  <c r="AA89" i="24"/>
  <c r="W53" i="24"/>
  <c r="AJ53" i="24"/>
  <c r="L224" i="34" s="1"/>
  <c r="U24" i="34" s="1"/>
  <c r="AE93" i="24"/>
  <c r="W93" i="24"/>
  <c r="AJ93" i="24"/>
  <c r="AD71" i="24"/>
  <c r="D419" i="38"/>
  <c r="Y71" i="24"/>
  <c r="AC71" i="24"/>
  <c r="AH71" i="24"/>
  <c r="V71" i="24"/>
  <c r="AG71" i="24"/>
  <c r="U71" i="24"/>
  <c r="Z71" i="24"/>
  <c r="X71" i="24"/>
  <c r="AB71" i="24"/>
  <c r="T71" i="24"/>
  <c r="AF71" i="24"/>
  <c r="AI7" i="24"/>
  <c r="I217" i="34"/>
  <c r="Y5" i="34" s="1"/>
  <c r="Y100" i="34"/>
  <c r="Y98" i="34"/>
  <c r="AI93" i="24"/>
  <c r="Y74" i="34" l="1"/>
  <c r="Y73" i="34"/>
  <c r="L246" i="34"/>
  <c r="L247" i="34"/>
  <c r="L241" i="34"/>
  <c r="U71" i="34" s="1"/>
  <c r="L242" i="34"/>
  <c r="U72" i="34" s="1"/>
  <c r="L248" i="34"/>
  <c r="L249" i="34"/>
  <c r="U99" i="34" s="1"/>
  <c r="L250" i="34"/>
  <c r="L251" i="34"/>
  <c r="U108" i="34" s="1"/>
  <c r="L237" i="34"/>
  <c r="U62" i="34" s="1"/>
  <c r="L238" i="34"/>
  <c r="L257" i="34"/>
  <c r="L258" i="34"/>
  <c r="AE43" i="24"/>
  <c r="AI43" i="24"/>
  <c r="AA45" i="24"/>
  <c r="AJ45" i="24"/>
  <c r="W45" i="24"/>
  <c r="AA43" i="24"/>
  <c r="AD19" i="24"/>
  <c r="E230" i="34"/>
  <c r="W43" i="24"/>
  <c r="AJ43" i="24"/>
  <c r="L222" i="34" s="1"/>
  <c r="U15" i="34" s="1"/>
  <c r="W71" i="24"/>
  <c r="AJ71" i="24"/>
  <c r="AI71" i="24"/>
  <c r="AE71" i="24"/>
  <c r="AA71" i="24"/>
  <c r="H33" i="24"/>
  <c r="G51" i="24"/>
  <c r="H51" i="24"/>
  <c r="H37" i="24"/>
  <c r="S37" i="24"/>
  <c r="H49" i="24"/>
  <c r="S49" i="24"/>
  <c r="S50" i="24"/>
  <c r="G35" i="24"/>
  <c r="H35" i="24"/>
  <c r="H117" i="24"/>
  <c r="H95" i="24"/>
  <c r="S95" i="24"/>
  <c r="AE24" i="24" s="1" a="1"/>
  <c r="AE24" i="24" s="1"/>
  <c r="S96" i="24"/>
  <c r="AF24" i="24" s="1" a="1"/>
  <c r="AF24" i="24" s="1"/>
  <c r="G61" i="24"/>
  <c r="H61" i="24"/>
  <c r="H63" i="24"/>
  <c r="G99" i="24"/>
  <c r="U107" i="34" l="1"/>
  <c r="U104" i="34"/>
  <c r="U65" i="34"/>
  <c r="U63" i="34"/>
  <c r="U98" i="34"/>
  <c r="U92" i="34"/>
  <c r="U91" i="34"/>
  <c r="U88" i="34"/>
  <c r="U87" i="34"/>
  <c r="U85" i="34"/>
  <c r="L243" i="34"/>
  <c r="L244" i="34"/>
  <c r="U75" i="34" s="1"/>
  <c r="U147" i="34"/>
  <c r="U143" i="34"/>
  <c r="U142" i="34"/>
  <c r="U136" i="34"/>
  <c r="G117" i="24"/>
  <c r="AD20" i="24"/>
  <c r="E231" i="34"/>
  <c r="AG24" i="24"/>
  <c r="L217" i="34"/>
  <c r="U5" i="34" s="1"/>
  <c r="U74" i="34" l="1"/>
  <c r="U73" i="34"/>
  <c r="AD21" i="24"/>
  <c r="E232" i="34"/>
  <c r="AD22" i="24" l="1"/>
  <c r="E233" i="34"/>
  <c r="AD23" i="24" l="1"/>
  <c r="E234" i="34"/>
  <c r="AD24" i="24" l="1"/>
  <c r="E235" i="34"/>
  <c r="AD25" i="24" l="1"/>
  <c r="E236" i="34"/>
  <c r="E237" i="34" s="1"/>
  <c r="E238" i="34" s="1"/>
  <c r="E239" i="34" s="1"/>
  <c r="E240" i="34" s="1"/>
  <c r="E241" i="34" s="1"/>
  <c r="E242" i="34" s="1"/>
  <c r="E243" i="34" s="1"/>
  <c r="E244" i="34" s="1"/>
  <c r="E245" i="34" s="1"/>
  <c r="E246" i="34" s="1"/>
  <c r="E247" i="34" s="1"/>
  <c r="E248" i="34" s="1"/>
  <c r="E249" i="34" s="1"/>
  <c r="E250" i="34" s="1"/>
  <c r="E251" i="34" s="1"/>
  <c r="E252" i="34" s="1"/>
  <c r="E253" i="34" s="1"/>
  <c r="E254" i="34" s="1"/>
  <c r="E255" i="34" s="1"/>
  <c r="E256" i="34" s="1"/>
  <c r="E257" i="34" s="1"/>
  <c r="E258" i="34" s="1"/>
  <c r="E259" i="34" s="1"/>
  <c r="E260" i="34" s="1"/>
  <c r="E261" i="34" s="1"/>
  <c r="E262" i="34" s="1"/>
  <c r="E263" i="34" s="1"/>
  <c r="E264" i="34" s="1"/>
  <c r="E265" i="34" s="1"/>
  <c r="H67" i="24" l="1"/>
  <c r="G67" i="24"/>
  <c r="J67" i="24" l="1"/>
  <c r="D415" i="38" l="1"/>
  <c r="T67" i="24"/>
  <c r="AD67" i="24"/>
  <c r="X149" i="24" s="1"/>
  <c r="T39" i="9" s="1"/>
  <c r="AG67" i="24"/>
  <c r="Z149" i="24" s="1"/>
  <c r="V39" i="9" s="1"/>
  <c r="AF67" i="24"/>
  <c r="U67" i="24"/>
  <c r="Q149" i="24" s="1"/>
  <c r="M39" i="9" s="1"/>
  <c r="AC67" i="24"/>
  <c r="W149" i="24" s="1"/>
  <c r="S39" i="9" s="1"/>
  <c r="Y67" i="24"/>
  <c r="T149" i="24" s="1"/>
  <c r="P39" i="9" s="1"/>
  <c r="V67" i="24"/>
  <c r="R149" i="24" s="1"/>
  <c r="N39" i="9" s="1"/>
  <c r="AH67" i="24"/>
  <c r="AA149" i="24" s="1"/>
  <c r="W39" i="9" s="1"/>
  <c r="X67" i="24"/>
  <c r="AB67" i="24"/>
  <c r="Z67" i="24"/>
  <c r="U149" i="24" s="1"/>
  <c r="Q39" i="9" s="1"/>
  <c r="AE67" i="24" l="1"/>
  <c r="AQ126" i="24" s="1" a="1"/>
  <c r="AQ126" i="24" s="1"/>
  <c r="K216" i="34" s="1" a="1"/>
  <c r="K216" i="34" s="1"/>
  <c r="W4" i="34" s="1"/>
  <c r="V149" i="24"/>
  <c r="R39" i="9" s="1"/>
  <c r="AA67" i="24"/>
  <c r="S149" i="24"/>
  <c r="O39" i="9" s="1"/>
  <c r="AI67" i="24"/>
  <c r="Y149" i="24"/>
  <c r="U39" i="9" s="1"/>
  <c r="W67" i="24"/>
  <c r="V20" i="24" s="1" a="1"/>
  <c r="V20" i="24" s="1"/>
  <c r="AJ67" i="24"/>
  <c r="E5" i="24" s="1"/>
  <c r="G7" i="32" s="1"/>
  <c r="P149" i="24"/>
  <c r="AQ94" i="24" a="1"/>
  <c r="AQ94" i="24" s="1"/>
  <c r="AQ40" i="24" a="1"/>
  <c r="AQ40" i="24" s="1"/>
  <c r="K233" i="34" s="1" a="1"/>
  <c r="K233" i="34" s="1"/>
  <c r="W55" i="34" s="1"/>
  <c r="AQ105" i="24" a="1"/>
  <c r="AQ105" i="24" s="1"/>
  <c r="J226" i="34" s="1"/>
  <c r="V29" i="34" s="1"/>
  <c r="AQ67" i="24" a="1"/>
  <c r="AQ67" i="24" s="1"/>
  <c r="AQ104" i="24" a="1"/>
  <c r="AQ104" i="24" s="1"/>
  <c r="V7" i="24" a="1"/>
  <c r="V7" i="24" s="1"/>
  <c r="V6" i="24" a="1"/>
  <c r="V6" i="24" s="1"/>
  <c r="V21" i="24" a="1"/>
  <c r="V21" i="24" s="1"/>
  <c r="AQ109" i="24" a="1"/>
  <c r="AQ109" i="24" s="1"/>
  <c r="J219" i="34" s="1"/>
  <c r="V8" i="34" s="1"/>
  <c r="AQ64" i="24" a="1"/>
  <c r="AQ64" i="24" s="1"/>
  <c r="K229" i="34" s="1" a="1"/>
  <c r="K229" i="34" s="1"/>
  <c r="W33" i="34" s="1"/>
  <c r="V13" i="24" a="1"/>
  <c r="V13" i="24" s="1"/>
  <c r="AQ56" i="24" a="1"/>
  <c r="AQ56" i="24" s="1"/>
  <c r="K236" i="34" s="1" a="1"/>
  <c r="K236" i="34" s="1"/>
  <c r="W61" i="34" s="1"/>
  <c r="AQ102" i="24" a="1"/>
  <c r="AQ102" i="24" s="1"/>
  <c r="AQ96" i="24" a="1"/>
  <c r="AQ96" i="24" s="1"/>
  <c r="K234" i="34" s="1" a="1"/>
  <c r="K234" i="34" s="1"/>
  <c r="W56" i="34" s="1"/>
  <c r="V12" i="24" a="1"/>
  <c r="V12" i="24" s="1"/>
  <c r="V24" i="24" a="1"/>
  <c r="V24" i="24" s="1"/>
  <c r="AQ101" i="24" a="1"/>
  <c r="AQ101" i="24" s="1"/>
  <c r="AQ86" i="24" a="1"/>
  <c r="AQ86" i="24" s="1"/>
  <c r="AQ65" i="24" a="1"/>
  <c r="AQ65" i="24" s="1"/>
  <c r="AQ124" i="24" a="1"/>
  <c r="AQ124" i="24" s="1"/>
  <c r="K220" i="34" s="1" a="1"/>
  <c r="K220" i="34" s="1"/>
  <c r="W13" i="34" s="1"/>
  <c r="AQ119" i="24" a="1"/>
  <c r="AQ119" i="24" s="1"/>
  <c r="AQ103" i="24" a="1"/>
  <c r="AQ103" i="24" s="1"/>
  <c r="AQ91" i="24" a="1"/>
  <c r="AQ91" i="24" s="1"/>
  <c r="J228" i="34" s="1"/>
  <c r="V31" i="34" s="1"/>
  <c r="AQ61" i="24" a="1"/>
  <c r="AQ61" i="24" s="1"/>
  <c r="J223" i="34" s="1"/>
  <c r="V20" i="34" s="1"/>
  <c r="J253" i="34" l="1"/>
  <c r="AQ99" i="24" a="1"/>
  <c r="AQ99" i="24" s="1"/>
  <c r="J263" i="34" s="1"/>
  <c r="AQ128" i="24" a="1"/>
  <c r="AQ128" i="24" s="1"/>
  <c r="AQ97" i="24" a="1"/>
  <c r="AQ97" i="24" s="1"/>
  <c r="J218" i="34" s="1"/>
  <c r="V7" i="34" s="1"/>
  <c r="AQ108" i="24" a="1"/>
  <c r="AQ108" i="24" s="1"/>
  <c r="AQ49" i="24" a="1"/>
  <c r="AQ49" i="24" s="1"/>
  <c r="AQ95" i="24" a="1"/>
  <c r="AQ95" i="24" s="1"/>
  <c r="J234" i="34" s="1"/>
  <c r="V56" i="34" s="1"/>
  <c r="AQ79" i="24" a="1"/>
  <c r="AQ79" i="24" s="1"/>
  <c r="J260" i="34" s="1"/>
  <c r="V156" i="34" s="1"/>
  <c r="AQ121" i="24" a="1"/>
  <c r="AQ121" i="24" s="1"/>
  <c r="AQ75" i="24" a="1"/>
  <c r="AQ75" i="24" s="1"/>
  <c r="J232" i="34" s="1"/>
  <c r="V52" i="34" s="1"/>
  <c r="AQ71" i="24" a="1"/>
  <c r="AQ71" i="24" s="1"/>
  <c r="J217" i="34" s="1"/>
  <c r="V5" i="34" s="1"/>
  <c r="AQ118" i="24" a="1"/>
  <c r="AQ118" i="24" s="1"/>
  <c r="K235" i="34" s="1" a="1"/>
  <c r="K235" i="34" s="1"/>
  <c r="W58" i="34" s="1"/>
  <c r="AQ68" i="24" a="1"/>
  <c r="AQ68" i="24" s="1"/>
  <c r="AQ122" i="24" a="1"/>
  <c r="AQ122" i="24" s="1"/>
  <c r="V16" i="24" a="1"/>
  <c r="V16" i="24" s="1"/>
  <c r="AQ88" i="24" a="1"/>
  <c r="AQ88" i="24" s="1"/>
  <c r="AQ110" i="24" a="1"/>
  <c r="AQ110" i="24" s="1"/>
  <c r="K219" i="34" s="1" a="1"/>
  <c r="K219" i="34" s="1"/>
  <c r="W8" i="34" s="1"/>
  <c r="AQ132" i="24" a="1"/>
  <c r="AQ132" i="24" s="1"/>
  <c r="AQ93" i="24" a="1"/>
  <c r="AQ93" i="24" s="1"/>
  <c r="AQ73" i="24" a="1"/>
  <c r="AQ73" i="24" s="1"/>
  <c r="AQ129" i="24" a="1"/>
  <c r="AQ129" i="24" s="1"/>
  <c r="AQ38" i="24" a="1"/>
  <c r="AQ38" i="24" s="1"/>
  <c r="AQ48" i="24" a="1"/>
  <c r="AQ48" i="24" s="1"/>
  <c r="K227" i="34" s="1" a="1"/>
  <c r="K227" i="34" s="1"/>
  <c r="W30" i="34" s="1"/>
  <c r="AQ131" i="24" a="1"/>
  <c r="AQ131" i="24" s="1"/>
  <c r="AQ107" i="24" a="1"/>
  <c r="AQ107" i="24" s="1"/>
  <c r="AQ130" i="24" a="1"/>
  <c r="AQ130" i="24" s="1"/>
  <c r="AQ33" i="24" a="1"/>
  <c r="AQ33" i="24" s="1"/>
  <c r="J225" i="34" s="1"/>
  <c r="V28" i="34" s="1"/>
  <c r="AQ31" i="24" a="1"/>
  <c r="AQ31" i="24" s="1"/>
  <c r="J221" i="34" s="1"/>
  <c r="V14" i="34" s="1"/>
  <c r="V9" i="24" a="1"/>
  <c r="V9" i="24" s="1"/>
  <c r="V19" i="24" a="1"/>
  <c r="V19" i="24" s="1"/>
  <c r="AQ41" i="24" a="1"/>
  <c r="AQ41" i="24" s="1"/>
  <c r="V18" i="24" a="1"/>
  <c r="V18" i="24" s="1"/>
  <c r="AQ77" i="24" a="1"/>
  <c r="AQ77" i="24" s="1"/>
  <c r="AQ114" i="24" a="1"/>
  <c r="AQ114" i="24" s="1"/>
  <c r="K249" i="34" s="1" a="1"/>
  <c r="K249" i="34" s="1"/>
  <c r="AQ87" i="24" a="1"/>
  <c r="AQ87" i="24" s="1"/>
  <c r="J254" i="34" s="1"/>
  <c r="V15" i="24" a="1"/>
  <c r="V15" i="24" s="1"/>
  <c r="AQ100" i="24" a="1"/>
  <c r="AQ100" i="24" s="1"/>
  <c r="AQ50" i="24" a="1"/>
  <c r="AQ50" i="24" s="1"/>
  <c r="V23" i="24" a="1"/>
  <c r="V23" i="24" s="1"/>
  <c r="AQ115" i="24" a="1"/>
  <c r="AQ115" i="24" s="1"/>
  <c r="AQ53" i="24" a="1"/>
  <c r="AQ53" i="24" s="1"/>
  <c r="J224" i="34" s="1"/>
  <c r="V24" i="34" s="1"/>
  <c r="AQ35" i="24" a="1"/>
  <c r="AQ35" i="24" s="1"/>
  <c r="AQ43" i="24" a="1"/>
  <c r="AQ43" i="24" s="1"/>
  <c r="J222" i="34" s="1"/>
  <c r="V15" i="34" s="1"/>
  <c r="V10" i="24" a="1"/>
  <c r="V10" i="24" s="1"/>
  <c r="AQ66" i="24" a="1"/>
  <c r="AQ66" i="24" s="1"/>
  <c r="AQ111" i="24" a="1"/>
  <c r="AQ111" i="24" s="1"/>
  <c r="J231" i="34" s="1"/>
  <c r="V47" i="34" s="1"/>
  <c r="AQ116" i="24" a="1"/>
  <c r="AQ116" i="24" s="1"/>
  <c r="AQ37" i="24" a="1"/>
  <c r="AQ37" i="24" s="1"/>
  <c r="AQ54" i="24" a="1"/>
  <c r="AQ54" i="24" s="1"/>
  <c r="K224" i="34" s="1" a="1"/>
  <c r="K224" i="34" s="1"/>
  <c r="W24" i="34" s="1"/>
  <c r="AQ76" i="24" a="1"/>
  <c r="AQ76" i="24" s="1"/>
  <c r="K232" i="34" s="1" a="1"/>
  <c r="K232" i="34" s="1"/>
  <c r="W52" i="34" s="1"/>
  <c r="AQ57" i="24" a="1"/>
  <c r="AQ57" i="24" s="1"/>
  <c r="AQ46" i="24" a="1"/>
  <c r="AQ46" i="24" s="1"/>
  <c r="AQ36" i="24" a="1"/>
  <c r="AQ36" i="24" s="1"/>
  <c r="AQ90" i="24" a="1"/>
  <c r="AQ90" i="24" s="1"/>
  <c r="AQ44" i="24" a="1"/>
  <c r="AQ44" i="24" s="1"/>
  <c r="K222" i="34" s="1" a="1"/>
  <c r="K222" i="34" s="1"/>
  <c r="W15" i="34" s="1"/>
  <c r="AQ89" i="24" a="1"/>
  <c r="AQ89" i="24" s="1"/>
  <c r="AQ84" i="24" a="1"/>
  <c r="AQ84" i="24" s="1"/>
  <c r="K257" i="34" s="1" a="1"/>
  <c r="K257" i="34" s="1"/>
  <c r="AQ69" i="24" a="1"/>
  <c r="AQ69" i="24" s="1"/>
  <c r="AQ125" i="24" a="1"/>
  <c r="AQ125" i="24" s="1"/>
  <c r="J216" i="34" s="1"/>
  <c r="V4" i="34" s="1"/>
  <c r="AQ85" i="24" a="1"/>
  <c r="AQ85" i="24" s="1"/>
  <c r="AQ82" i="24" a="1"/>
  <c r="AQ82" i="24" s="1"/>
  <c r="AQ70" i="24" a="1"/>
  <c r="AQ70" i="24" s="1"/>
  <c r="K239" i="34" s="1" a="1"/>
  <c r="K239" i="34" s="1"/>
  <c r="V17" i="24" a="1"/>
  <c r="V17" i="24" s="1"/>
  <c r="AQ83" i="24" a="1"/>
  <c r="AQ83" i="24" s="1"/>
  <c r="AQ72" i="24" a="1"/>
  <c r="AQ72" i="24" s="1"/>
  <c r="K217" i="34" s="1" a="1"/>
  <c r="K217" i="34" s="1"/>
  <c r="W5" i="34" s="1"/>
  <c r="AQ52" i="24" a="1"/>
  <c r="AQ52" i="24" s="1"/>
  <c r="K230" i="34" s="1" a="1"/>
  <c r="K230" i="34" s="1"/>
  <c r="W45" i="34" s="1"/>
  <c r="V11" i="24" a="1"/>
  <c r="V11" i="24" s="1"/>
  <c r="AQ78" i="24" a="1"/>
  <c r="AQ78" i="24" s="1"/>
  <c r="AQ45" i="24" a="1"/>
  <c r="AQ45" i="24" s="1"/>
  <c r="AQ62" i="24" a="1"/>
  <c r="AQ62" i="24" s="1"/>
  <c r="K223" i="34" s="1" a="1"/>
  <c r="K223" i="34" s="1"/>
  <c r="W20" i="34" s="1"/>
  <c r="AQ51" i="24" a="1"/>
  <c r="AQ51" i="24" s="1"/>
  <c r="J230" i="34" s="1"/>
  <c r="V45" i="34" s="1"/>
  <c r="V14" i="24" a="1"/>
  <c r="V14" i="24" s="1"/>
  <c r="AQ98" i="24" a="1"/>
  <c r="AQ98" i="24" s="1"/>
  <c r="K218" i="34" s="1" a="1"/>
  <c r="K218" i="34" s="1"/>
  <c r="W7" i="34" s="1"/>
  <c r="AQ92" i="24" a="1"/>
  <c r="AQ92" i="24" s="1"/>
  <c r="K228" i="34" s="1" a="1"/>
  <c r="K228" i="34" s="1"/>
  <c r="W31" i="34" s="1"/>
  <c r="AQ80" i="24" a="1"/>
  <c r="AQ80" i="24" s="1"/>
  <c r="K259" i="34" s="1" a="1"/>
  <c r="K259" i="34" s="1"/>
  <c r="AQ47" i="24" a="1"/>
  <c r="AQ47" i="24" s="1"/>
  <c r="J227" i="34" s="1"/>
  <c r="V30" i="34" s="1"/>
  <c r="AQ81" i="24" a="1"/>
  <c r="AQ81" i="24" s="1"/>
  <c r="AQ112" i="24" a="1"/>
  <c r="AQ112" i="24" s="1"/>
  <c r="K231" i="34" s="1" a="1"/>
  <c r="K231" i="34" s="1"/>
  <c r="W47" i="34" s="1"/>
  <c r="AQ127" i="24" a="1"/>
  <c r="AQ127" i="24" s="1"/>
  <c r="AQ60" i="24" a="1"/>
  <c r="AQ60" i="24" s="1"/>
  <c r="V25" i="24" a="1"/>
  <c r="V25" i="24" s="1"/>
  <c r="AQ63" i="24" a="1"/>
  <c r="AQ63" i="24" s="1"/>
  <c r="J229" i="34" s="1"/>
  <c r="V33" i="34" s="1"/>
  <c r="AQ39" i="24" a="1"/>
  <c r="AQ39" i="24" s="1"/>
  <c r="J233" i="34" s="1"/>
  <c r="V55" i="34" s="1"/>
  <c r="AQ42" i="24" a="1"/>
  <c r="AQ42" i="24" s="1"/>
  <c r="AQ58" i="24" a="1"/>
  <c r="AQ58" i="24" s="1"/>
  <c r="K251" i="34" s="1" a="1"/>
  <c r="K251" i="34" s="1"/>
  <c r="AQ74" i="24" a="1"/>
  <c r="AQ74" i="24" s="1"/>
  <c r="AQ55" i="24" a="1"/>
  <c r="AQ55" i="24" s="1"/>
  <c r="J236" i="34" s="1"/>
  <c r="V61" i="34" s="1"/>
  <c r="AQ117" i="24" a="1"/>
  <c r="AQ117" i="24" s="1"/>
  <c r="J235" i="34" s="1"/>
  <c r="V58" i="34" s="1"/>
  <c r="V8" i="24" a="1"/>
  <c r="V8" i="24" s="1"/>
  <c r="AQ32" i="24" a="1"/>
  <c r="AQ32" i="24" s="1"/>
  <c r="K221" i="34" s="1" a="1"/>
  <c r="K221" i="34" s="1"/>
  <c r="W14" i="34" s="1"/>
  <c r="AQ59" i="24" a="1"/>
  <c r="AQ59" i="24" s="1"/>
  <c r="AQ120" i="24" a="1"/>
  <c r="AQ120" i="24" s="1"/>
  <c r="K253" i="34" s="1" a="1"/>
  <c r="K253" i="34" s="1"/>
  <c r="AQ106" i="24" a="1"/>
  <c r="AQ106" i="24" s="1"/>
  <c r="K226" i="34" s="1" a="1"/>
  <c r="K226" i="34" s="1"/>
  <c r="W29" i="34" s="1"/>
  <c r="AQ34" i="24" a="1"/>
  <c r="AQ34" i="24" s="1"/>
  <c r="K225" i="34" s="1" a="1"/>
  <c r="K225" i="34" s="1"/>
  <c r="W28" i="34" s="1"/>
  <c r="V22" i="24" a="1"/>
  <c r="V22" i="24" s="1"/>
  <c r="AQ123" i="24" a="1"/>
  <c r="AQ123" i="24" s="1"/>
  <c r="J220" i="34" s="1"/>
  <c r="V13" i="34" s="1"/>
  <c r="AQ113" i="24" a="1"/>
  <c r="AQ113" i="24" s="1"/>
  <c r="AB149" i="24"/>
  <c r="P152" i="24"/>
  <c r="Q152" i="24" s="1"/>
  <c r="R152" i="24" s="1"/>
  <c r="S152" i="24" s="1"/>
  <c r="T152" i="24" s="1"/>
  <c r="U152" i="24" s="1"/>
  <c r="V152" i="24" s="1"/>
  <c r="W152" i="24" s="1"/>
  <c r="X152" i="24" s="1"/>
  <c r="Y152" i="24" s="1"/>
  <c r="Z152" i="24" s="1"/>
  <c r="AA152" i="24" s="1"/>
  <c r="L39" i="9"/>
  <c r="G41" i="24"/>
  <c r="J249" i="34" l="1"/>
  <c r="V99" i="34" s="1"/>
  <c r="E387" i="38"/>
  <c r="E11" i="38"/>
  <c r="E445" i="38"/>
  <c r="J261" i="34"/>
  <c r="V169" i="34" s="1"/>
  <c r="J246" i="34"/>
  <c r="V85" i="34" s="1"/>
  <c r="K246" i="34" a="1"/>
  <c r="K246" i="34" s="1"/>
  <c r="W85" i="34" s="1"/>
  <c r="K237" i="34" a="1"/>
  <c r="K237" i="34" s="1"/>
  <c r="W62" i="34" s="1"/>
  <c r="J256" i="34"/>
  <c r="V125" i="34" s="1"/>
  <c r="J237" i="34"/>
  <c r="V62" i="34" s="1"/>
  <c r="K240" i="34" a="1"/>
  <c r="K240" i="34" s="1"/>
  <c r="W70" i="34" s="1"/>
  <c r="J239" i="34"/>
  <c r="V66" i="34" s="1"/>
  <c r="J262" i="34"/>
  <c r="J243" i="34"/>
  <c r="V73" i="34" s="1"/>
  <c r="K255" i="34" a="1"/>
  <c r="K255" i="34" s="1"/>
  <c r="W123" i="34" s="1"/>
  <c r="J255" i="34"/>
  <c r="V123" i="34" s="1"/>
  <c r="E427" i="38"/>
  <c r="J258" i="34"/>
  <c r="V143" i="34" s="1"/>
  <c r="J242" i="34"/>
  <c r="V72" i="34" s="1"/>
  <c r="J248" i="34"/>
  <c r="V92" i="34" s="1"/>
  <c r="K250" i="34" a="1"/>
  <c r="K250" i="34" s="1"/>
  <c r="W104" i="34" s="1"/>
  <c r="K241" i="34" a="1"/>
  <c r="K241" i="34" s="1"/>
  <c r="W71" i="34" s="1"/>
  <c r="K244" i="34" a="1"/>
  <c r="K244" i="34" s="1"/>
  <c r="W75" i="34" s="1"/>
  <c r="J240" i="34"/>
  <c r="V70" i="34" s="1"/>
  <c r="J259" i="34"/>
  <c r="J250" i="34"/>
  <c r="K242" i="34" a="1"/>
  <c r="K242" i="34" s="1"/>
  <c r="W72" i="34" s="1"/>
  <c r="V98" i="34"/>
  <c r="J257" i="34"/>
  <c r="K243" i="34" a="1"/>
  <c r="K243" i="34" s="1"/>
  <c r="J244" i="34"/>
  <c r="V75" i="34" s="1"/>
  <c r="J238" i="34"/>
  <c r="J251" i="34"/>
  <c r="K247" i="34" a="1"/>
  <c r="K247" i="34" s="1"/>
  <c r="W120" i="34"/>
  <c r="W119" i="34"/>
  <c r="W155" i="34"/>
  <c r="W149" i="34"/>
  <c r="W69" i="34"/>
  <c r="W66" i="34"/>
  <c r="K238" i="34" a="1"/>
  <c r="K238" i="34" s="1"/>
  <c r="K254" i="34" a="1"/>
  <c r="K254" i="34" s="1"/>
  <c r="V103" i="34"/>
  <c r="W110" i="34"/>
  <c r="W108" i="34"/>
  <c r="W107" i="34"/>
  <c r="K258" i="34" a="1"/>
  <c r="K258" i="34" s="1"/>
  <c r="V135" i="34"/>
  <c r="V124" i="34"/>
  <c r="K245" i="34" a="1"/>
  <c r="K245" i="34" s="1"/>
  <c r="V122" i="34"/>
  <c r="V121" i="34"/>
  <c r="J247" i="34"/>
  <c r="K252" i="34" a="1"/>
  <c r="K252" i="34" s="1"/>
  <c r="V69" i="34"/>
  <c r="W103" i="34"/>
  <c r="W99" i="34"/>
  <c r="J252" i="34"/>
  <c r="V74" i="34"/>
  <c r="W142" i="34"/>
  <c r="W136" i="34"/>
  <c r="K256" i="34" a="1"/>
  <c r="K256" i="34" s="1"/>
  <c r="W87" i="34"/>
  <c r="W124" i="34"/>
  <c r="V120" i="34"/>
  <c r="V119" i="34"/>
  <c r="V87" i="34"/>
  <c r="V148" i="34"/>
  <c r="J241" i="34"/>
  <c r="V71" i="34" s="1"/>
  <c r="J245" i="34"/>
  <c r="K248" i="34" a="1"/>
  <c r="K248" i="34" s="1"/>
  <c r="E443" i="38"/>
  <c r="K260" i="34" a="1"/>
  <c r="K260" i="34" s="1"/>
  <c r="K263" i="34" a="1"/>
  <c r="K263" i="34" s="1"/>
  <c r="K262" i="34" a="1"/>
  <c r="K262" i="34" s="1"/>
  <c r="K261" i="34" a="1"/>
  <c r="K261" i="34" s="1"/>
  <c r="L42" i="9"/>
  <c r="M42" i="9" s="1"/>
  <c r="N42" i="9" s="1"/>
  <c r="O42" i="9" s="1"/>
  <c r="P42" i="9" s="1"/>
  <c r="Q42" i="9" s="1"/>
  <c r="R42" i="9" s="1"/>
  <c r="S42" i="9" s="1"/>
  <c r="T42" i="9" s="1"/>
  <c r="U42" i="9" s="1"/>
  <c r="V42" i="9" s="1"/>
  <c r="W42" i="9" s="1"/>
  <c r="X39" i="9"/>
  <c r="H43" i="24"/>
  <c r="V171" i="34" l="1"/>
  <c r="V170" i="34"/>
  <c r="V118" i="34"/>
  <c r="V111" i="34"/>
  <c r="W84" i="34"/>
  <c r="W76" i="34"/>
  <c r="V65" i="34"/>
  <c r="V63" i="34"/>
  <c r="W122" i="34"/>
  <c r="W121" i="34"/>
  <c r="W98" i="34"/>
  <c r="W92" i="34"/>
  <c r="W65" i="34"/>
  <c r="W63" i="34"/>
  <c r="W74" i="34"/>
  <c r="W73" i="34"/>
  <c r="V142" i="34"/>
  <c r="V136" i="34"/>
  <c r="V84" i="34"/>
  <c r="V76" i="34"/>
  <c r="W169" i="34"/>
  <c r="W156" i="34"/>
  <c r="W135" i="34"/>
  <c r="W125" i="34"/>
  <c r="E49" i="38"/>
  <c r="W148" i="34"/>
  <c r="W143" i="34"/>
  <c r="W118" i="34"/>
  <c r="W111" i="34"/>
  <c r="V107" i="34"/>
  <c r="V104" i="34"/>
  <c r="V91" i="34"/>
  <c r="V88" i="34"/>
  <c r="V155" i="34"/>
  <c r="V149" i="34"/>
  <c r="E31" i="38"/>
  <c r="W91" i="34"/>
  <c r="W88" i="34"/>
  <c r="V110" i="34"/>
  <c r="V108" i="34"/>
  <c r="W168" i="34"/>
  <c r="W171" i="34"/>
  <c r="W170" i="34"/>
  <c r="H47" i="24"/>
  <c r="G47" i="24"/>
  <c r="K249" i="32" l="1"/>
  <c r="F249" i="32" s="1"/>
  <c r="L249" i="32" s="1"/>
  <c r="M249" i="32" s="1"/>
  <c r="K212" i="32"/>
  <c r="F212" i="32" s="1"/>
  <c r="L212" i="32" s="1"/>
  <c r="M212" i="32" s="1"/>
  <c r="K124" i="32"/>
  <c r="F124" i="32" s="1"/>
  <c r="L124" i="32" s="1"/>
  <c r="M124" i="32" s="1"/>
  <c r="K239" i="32"/>
  <c r="F239" i="32" s="1"/>
  <c r="L239" i="32" s="1"/>
  <c r="M239" i="32" s="1"/>
  <c r="K106" i="32"/>
  <c r="F106" i="32" s="1"/>
  <c r="L106" i="32" s="1"/>
  <c r="M106" i="32" s="1"/>
  <c r="K243" i="32"/>
  <c r="F243" i="32" s="1"/>
  <c r="L243" i="32" s="1"/>
  <c r="M243" i="32" s="1"/>
  <c r="K217" i="32"/>
  <c r="F217" i="32" s="1"/>
  <c r="L217" i="32" s="1"/>
  <c r="M217" i="32" s="1"/>
  <c r="K229" i="32"/>
  <c r="F229" i="32" s="1"/>
  <c r="L229" i="32" s="1"/>
  <c r="M229" i="32" s="1"/>
  <c r="K149" i="32"/>
  <c r="F149" i="32" s="1"/>
  <c r="L149" i="32" s="1"/>
  <c r="M149" i="32" s="1"/>
  <c r="K163" i="32"/>
  <c r="F163" i="32" s="1"/>
  <c r="L163" i="32" s="1"/>
  <c r="M163" i="32" s="1"/>
  <c r="K71" i="32"/>
  <c r="F71" i="32" s="1"/>
  <c r="L71" i="32" s="1"/>
  <c r="M71" i="32" s="1"/>
  <c r="K117" i="32"/>
  <c r="F117" i="32" s="1"/>
  <c r="L117" i="32" s="1"/>
  <c r="M117" i="32" s="1"/>
  <c r="K159" i="32"/>
  <c r="F159" i="32" s="1"/>
  <c r="L159" i="32" s="1"/>
  <c r="M159" i="32" s="1"/>
  <c r="K61" i="32"/>
  <c r="F61" i="32" s="1"/>
  <c r="L61" i="32" s="1"/>
  <c r="M61" i="32" s="1"/>
  <c r="K252" i="32"/>
  <c r="F252" i="32" s="1"/>
  <c r="L252" i="32" s="1"/>
  <c r="M252" i="32" s="1"/>
  <c r="K65" i="32"/>
  <c r="F65" i="32" s="1"/>
  <c r="L65" i="32" s="1"/>
  <c r="M65" i="32" s="1"/>
  <c r="K162" i="32"/>
  <c r="F162" i="32" s="1"/>
  <c r="L162" i="32" s="1"/>
  <c r="M162" i="32" s="1"/>
  <c r="K250" i="32"/>
  <c r="F250" i="32" s="1"/>
  <c r="L250" i="32" s="1"/>
  <c r="M250" i="32" s="1"/>
  <c r="K184" i="32"/>
  <c r="F184" i="32" s="1"/>
  <c r="L184" i="32" s="1"/>
  <c r="M184" i="32" s="1"/>
  <c r="K161" i="32"/>
  <c r="F161" i="32" s="1"/>
  <c r="L161" i="32" s="1"/>
  <c r="M161" i="32" s="1"/>
  <c r="K126" i="32"/>
  <c r="F126" i="32" s="1"/>
  <c r="L126" i="32" s="1"/>
  <c r="M126" i="32" s="1"/>
  <c r="K235" i="32"/>
  <c r="F235" i="32" s="1"/>
  <c r="L235" i="32" s="1"/>
  <c r="M235" i="32" s="1"/>
  <c r="K236" i="32"/>
  <c r="F236" i="32" s="1"/>
  <c r="L236" i="32" s="1"/>
  <c r="M236" i="32" s="1"/>
  <c r="K215" i="32"/>
  <c r="F215" i="32" s="1"/>
  <c r="L215" i="32" s="1"/>
  <c r="M215" i="32" s="1"/>
  <c r="K166" i="32"/>
  <c r="F166" i="32" s="1"/>
  <c r="L166" i="32" s="1"/>
  <c r="M166" i="32" s="1"/>
  <c r="K100" i="32"/>
  <c r="F100" i="32" s="1"/>
  <c r="L100" i="32" s="1"/>
  <c r="M100" i="32" s="1"/>
  <c r="K110" i="32"/>
  <c r="F110" i="32" s="1"/>
  <c r="L110" i="32" s="1"/>
  <c r="M110" i="32" s="1"/>
  <c r="K182" i="32"/>
  <c r="F182" i="32" s="1"/>
  <c r="L182" i="32" s="1"/>
  <c r="M182" i="32" s="1"/>
  <c r="K114" i="32"/>
  <c r="F114" i="32" s="1"/>
  <c r="L114" i="32" s="1"/>
  <c r="M114" i="32" s="1"/>
  <c r="K68" i="32"/>
  <c r="F68" i="32" s="1"/>
  <c r="L68" i="32" s="1"/>
  <c r="M68" i="32" s="1"/>
  <c r="K204" i="32"/>
  <c r="F204" i="32" s="1"/>
  <c r="L204" i="32" s="1"/>
  <c r="M204" i="32" s="1"/>
  <c r="K232" i="32"/>
  <c r="F232" i="32" s="1"/>
  <c r="L232" i="32" s="1"/>
  <c r="M232" i="32" s="1"/>
  <c r="K115" i="32"/>
  <c r="F115" i="32" s="1"/>
  <c r="L115" i="32" s="1"/>
  <c r="M115" i="32" s="1"/>
  <c r="K213" i="32"/>
  <c r="F213" i="32" s="1"/>
  <c r="L213" i="32" s="1"/>
  <c r="M213" i="32" s="1"/>
  <c r="K60" i="32"/>
  <c r="F60" i="32" s="1"/>
  <c r="L60" i="32" s="1"/>
  <c r="M60" i="32" s="1"/>
  <c r="K253" i="32"/>
  <c r="F253" i="32" s="1"/>
  <c r="L253" i="32" s="1"/>
  <c r="M253" i="32" s="1"/>
  <c r="K221" i="32"/>
  <c r="F221" i="32" s="1"/>
  <c r="L221" i="32" s="1"/>
  <c r="M221" i="32" s="1"/>
  <c r="K181" i="32"/>
  <c r="F181" i="32" s="1"/>
  <c r="L181" i="32" s="1"/>
  <c r="M181" i="32" s="1"/>
  <c r="K125" i="32"/>
  <c r="F125" i="32" s="1"/>
  <c r="L125" i="32" s="1"/>
  <c r="M125" i="32" s="1"/>
  <c r="K91" i="32"/>
  <c r="F91" i="32" s="1"/>
  <c r="L91" i="32" s="1"/>
  <c r="M91" i="32" s="1"/>
  <c r="K225" i="32"/>
  <c r="F225" i="32" s="1"/>
  <c r="L225" i="32" s="1"/>
  <c r="M225" i="32" s="1"/>
  <c r="K93" i="32"/>
  <c r="F93" i="32" s="1"/>
  <c r="L93" i="32" s="1"/>
  <c r="M93" i="32" s="1"/>
  <c r="K135" i="32"/>
  <c r="F135" i="32" s="1"/>
  <c r="L135" i="32" s="1"/>
  <c r="M135" i="32" s="1"/>
  <c r="K228" i="32"/>
  <c r="F228" i="32" s="1"/>
  <c r="L228" i="32" s="1"/>
  <c r="M228" i="32" s="1"/>
  <c r="K192" i="32"/>
  <c r="F192" i="32" s="1"/>
  <c r="L192" i="32" s="1"/>
  <c r="M192" i="32" s="1"/>
  <c r="K244" i="32"/>
  <c r="F244" i="32" s="1"/>
  <c r="L244" i="32" s="1"/>
  <c r="M244" i="32" s="1"/>
  <c r="K102" i="32"/>
  <c r="F102" i="32" s="1"/>
  <c r="L102" i="32" s="1"/>
  <c r="M102" i="32" s="1"/>
  <c r="K151" i="32"/>
  <c r="F151" i="32" s="1"/>
  <c r="L151" i="32" s="1"/>
  <c r="M151" i="32" s="1"/>
  <c r="K177" i="32"/>
  <c r="F177" i="32" s="1"/>
  <c r="L177" i="32" s="1"/>
  <c r="M177" i="32" s="1"/>
  <c r="K165" i="32"/>
  <c r="F165" i="32" s="1"/>
  <c r="L165" i="32" s="1"/>
  <c r="M165" i="32" s="1"/>
  <c r="K123" i="32"/>
  <c r="F123" i="32" s="1"/>
  <c r="L123" i="32" s="1"/>
  <c r="M123" i="32" s="1"/>
  <c r="K179" i="32"/>
  <c r="F179" i="32" s="1"/>
  <c r="L179" i="32" s="1"/>
  <c r="M179" i="32" s="1"/>
  <c r="K98" i="32"/>
  <c r="F98" i="32" s="1"/>
  <c r="L98" i="32" s="1"/>
  <c r="M98" i="32" s="1"/>
  <c r="K199" i="32"/>
  <c r="F199" i="32" s="1"/>
  <c r="L199" i="32" s="1"/>
  <c r="M199" i="32" s="1"/>
  <c r="K183" i="32"/>
  <c r="F183" i="32" s="1"/>
  <c r="L183" i="32" s="1"/>
  <c r="M183" i="32" s="1"/>
  <c r="K96" i="32"/>
  <c r="F96" i="32" s="1"/>
  <c r="L96" i="32" s="1"/>
  <c r="M96" i="32" s="1"/>
  <c r="K208" i="32"/>
  <c r="F208" i="32" s="1"/>
  <c r="L208" i="32" s="1"/>
  <c r="M208" i="32" s="1"/>
  <c r="K140" i="32"/>
  <c r="F140" i="32" s="1"/>
  <c r="L140" i="32" s="1"/>
  <c r="M140" i="32" s="1"/>
  <c r="K189" i="32"/>
  <c r="F189" i="32" s="1"/>
  <c r="L189" i="32" s="1"/>
  <c r="M189" i="32" s="1"/>
  <c r="K190" i="32"/>
  <c r="F190" i="32" s="1"/>
  <c r="L190" i="32" s="1"/>
  <c r="M190" i="32" s="1"/>
  <c r="K146" i="32"/>
  <c r="F146" i="32" s="1"/>
  <c r="L146" i="32" s="1"/>
  <c r="M146" i="32" s="1"/>
  <c r="K233" i="32"/>
  <c r="F233" i="32" s="1"/>
  <c r="L233" i="32" s="1"/>
  <c r="M233" i="32" s="1"/>
  <c r="K139" i="32"/>
  <c r="F139" i="32" s="1"/>
  <c r="L139" i="32" s="1"/>
  <c r="M139" i="32" s="1"/>
  <c r="K200" i="32"/>
  <c r="F200" i="32" s="1"/>
  <c r="L200" i="32" s="1"/>
  <c r="M200" i="32" s="1"/>
  <c r="K191" i="32"/>
  <c r="F191" i="32" s="1"/>
  <c r="L191" i="32" s="1"/>
  <c r="M191" i="32" s="1"/>
  <c r="K142" i="32"/>
  <c r="F142" i="32" s="1"/>
  <c r="L142" i="32" s="1"/>
  <c r="M142" i="32" s="1"/>
  <c r="K76" i="32"/>
  <c r="F76" i="32" s="1"/>
  <c r="L76" i="32" s="1"/>
  <c r="M76" i="32" s="1"/>
  <c r="K62" i="32"/>
  <c r="F62" i="32" s="1"/>
  <c r="L62" i="32" s="1"/>
  <c r="M62" i="32" s="1"/>
  <c r="K134" i="32"/>
  <c r="F134" i="32" s="1"/>
  <c r="L134" i="32" s="1"/>
  <c r="M134" i="32" s="1"/>
  <c r="K245" i="32"/>
  <c r="F245" i="32" s="1"/>
  <c r="L245" i="32" s="1"/>
  <c r="M245" i="32" s="1"/>
  <c r="K223" i="32"/>
  <c r="F223" i="32" s="1"/>
  <c r="L223" i="32" s="1"/>
  <c r="M223" i="32" s="1"/>
  <c r="K107" i="32"/>
  <c r="F107" i="32" s="1"/>
  <c r="L107" i="32" s="1"/>
  <c r="M107" i="32" s="1"/>
  <c r="K58" i="32"/>
  <c r="F58" i="32" s="1"/>
  <c r="L58" i="32" s="1"/>
  <c r="M58" i="32" s="1"/>
  <c r="K195" i="32"/>
  <c r="F195" i="32" s="1"/>
  <c r="L195" i="32" s="1"/>
  <c r="M195" i="32" s="1"/>
  <c r="K80" i="32"/>
  <c r="F80" i="32" s="1"/>
  <c r="L80" i="32" s="1"/>
  <c r="M80" i="32" s="1"/>
  <c r="K128" i="32"/>
  <c r="F128" i="32" s="1"/>
  <c r="L128" i="32" s="1"/>
  <c r="M128" i="32" s="1"/>
  <c r="K70" i="32"/>
  <c r="F70" i="32" s="1"/>
  <c r="L70" i="32" s="1"/>
  <c r="M70" i="32" s="1"/>
  <c r="K84" i="32"/>
  <c r="F84" i="32" s="1"/>
  <c r="L84" i="32" s="1"/>
  <c r="M84" i="32" s="1"/>
  <c r="K104" i="32"/>
  <c r="F104" i="32" s="1"/>
  <c r="L104" i="32" s="1"/>
  <c r="M104" i="32" s="1"/>
  <c r="K101" i="32"/>
  <c r="F101" i="32" s="1"/>
  <c r="L101" i="32" s="1"/>
  <c r="M101" i="32" s="1"/>
  <c r="K94" i="32"/>
  <c r="F94" i="32" s="1"/>
  <c r="L94" i="32" s="1"/>
  <c r="M94" i="32" s="1"/>
  <c r="K155" i="32"/>
  <c r="F155" i="32" s="1"/>
  <c r="L155" i="32" s="1"/>
  <c r="M155" i="32" s="1"/>
  <c r="K87" i="32"/>
  <c r="F87" i="32" s="1"/>
  <c r="L87" i="32" s="1"/>
  <c r="M87" i="32" s="1"/>
  <c r="K230" i="32"/>
  <c r="F230" i="32" s="1"/>
  <c r="L230" i="32" s="1"/>
  <c r="M230" i="32" s="1"/>
  <c r="K63" i="32"/>
  <c r="F63" i="32" s="1"/>
  <c r="L63" i="32" s="1"/>
  <c r="M63" i="32" s="1"/>
  <c r="K89" i="32"/>
  <c r="F89" i="32" s="1"/>
  <c r="L89" i="32" s="1"/>
  <c r="M89" i="32" s="1"/>
  <c r="K254" i="32"/>
  <c r="F254" i="32" s="1"/>
  <c r="L254" i="32" s="1"/>
  <c r="M254" i="32" s="1"/>
  <c r="K145" i="32"/>
  <c r="F145" i="32" s="1"/>
  <c r="L145" i="32" s="1"/>
  <c r="M145" i="32" s="1"/>
  <c r="K116" i="32"/>
  <c r="F116" i="32" s="1"/>
  <c r="L116" i="32" s="1"/>
  <c r="M116" i="32" s="1"/>
  <c r="K160" i="32"/>
  <c r="F160" i="32" s="1"/>
  <c r="L160" i="32" s="1"/>
  <c r="M160" i="32" s="1"/>
  <c r="K185" i="32"/>
  <c r="F185" i="32" s="1"/>
  <c r="L185" i="32" s="1"/>
  <c r="M185" i="32" s="1"/>
  <c r="K176" i="32"/>
  <c r="F176" i="32" s="1"/>
  <c r="L176" i="32" s="1"/>
  <c r="M176" i="32" s="1"/>
  <c r="K120" i="32"/>
  <c r="F120" i="32" s="1"/>
  <c r="L120" i="32" s="1"/>
  <c r="M120" i="32" s="1"/>
  <c r="K169" i="32"/>
  <c r="F169" i="32" s="1"/>
  <c r="L169" i="32" s="1"/>
  <c r="M169" i="32" s="1"/>
  <c r="K152" i="32"/>
  <c r="F152" i="32" s="1"/>
  <c r="L152" i="32" s="1"/>
  <c r="M152" i="32" s="1"/>
  <c r="K231" i="32"/>
  <c r="F231" i="32" s="1"/>
  <c r="L231" i="32" s="1"/>
  <c r="M231" i="32" s="1"/>
  <c r="K113" i="32"/>
  <c r="F113" i="32" s="1"/>
  <c r="L113" i="32" s="1"/>
  <c r="M113" i="32" s="1"/>
  <c r="K82" i="32"/>
  <c r="F82" i="32" s="1"/>
  <c r="L82" i="32" s="1"/>
  <c r="M82" i="32" s="1"/>
  <c r="K210" i="32"/>
  <c r="F210" i="32" s="1"/>
  <c r="L210" i="32" s="1"/>
  <c r="M210" i="32" s="1"/>
  <c r="K157" i="32"/>
  <c r="F157" i="32" s="1"/>
  <c r="L157" i="32" s="1"/>
  <c r="M157" i="32" s="1"/>
  <c r="K218" i="32"/>
  <c r="F218" i="32" s="1"/>
  <c r="L218" i="32" s="1"/>
  <c r="M218" i="32" s="1"/>
  <c r="K172" i="32"/>
  <c r="F172" i="32" s="1"/>
  <c r="L172" i="32" s="1"/>
  <c r="M172" i="32" s="1"/>
  <c r="K97" i="32"/>
  <c r="F97" i="32" s="1"/>
  <c r="L97" i="32" s="1"/>
  <c r="M97" i="32" s="1"/>
  <c r="K121" i="32"/>
  <c r="F121" i="32" s="1"/>
  <c r="L121" i="32" s="1"/>
  <c r="M121" i="32" s="1"/>
  <c r="K170" i="32"/>
  <c r="F170" i="32" s="1"/>
  <c r="L170" i="32" s="1"/>
  <c r="M170" i="32" s="1"/>
  <c r="K207" i="32"/>
  <c r="F207" i="32" s="1"/>
  <c r="L207" i="32" s="1"/>
  <c r="M207" i="32" s="1"/>
  <c r="K148" i="32"/>
  <c r="F148" i="32" s="1"/>
  <c r="L148" i="32" s="1"/>
  <c r="M148" i="32" s="1"/>
  <c r="K133" i="32"/>
  <c r="F133" i="32" s="1"/>
  <c r="L133" i="32" s="1"/>
  <c r="M133" i="32" s="1"/>
  <c r="K143" i="32"/>
  <c r="F143" i="32" s="1"/>
  <c r="L143" i="32" s="1"/>
  <c r="M143" i="32" s="1"/>
  <c r="K194" i="32"/>
  <c r="F194" i="32" s="1"/>
  <c r="L194" i="32" s="1"/>
  <c r="M194" i="32" s="1"/>
  <c r="K75" i="32"/>
  <c r="F75" i="32" s="1"/>
  <c r="L75" i="32" s="1"/>
  <c r="M75" i="32" s="1"/>
  <c r="K67" i="32"/>
  <c r="F67" i="32" s="1"/>
  <c r="L67" i="32" s="1"/>
  <c r="M67" i="32" s="1"/>
  <c r="K214" i="32"/>
  <c r="F214" i="32" s="1"/>
  <c r="L214" i="32" s="1"/>
  <c r="M214" i="32" s="1"/>
  <c r="K131" i="32"/>
  <c r="F131" i="32" s="1"/>
  <c r="L131" i="32" s="1"/>
  <c r="M131" i="32" s="1"/>
  <c r="K186" i="32"/>
  <c r="F186" i="32" s="1"/>
  <c r="L186" i="32" s="1"/>
  <c r="M186" i="32" s="1"/>
  <c r="K198" i="32"/>
  <c r="F198" i="32" s="1"/>
  <c r="L198" i="32" s="1"/>
  <c r="M198" i="32" s="1"/>
  <c r="K226" i="32"/>
  <c r="F226" i="32" s="1"/>
  <c r="L226" i="32" s="1"/>
  <c r="M226" i="32" s="1"/>
  <c r="K108" i="32"/>
  <c r="F108" i="32" s="1"/>
  <c r="L108" i="32" s="1"/>
  <c r="M108" i="32" s="1"/>
  <c r="K219" i="32"/>
  <c r="F219" i="32" s="1"/>
  <c r="L219" i="32" s="1"/>
  <c r="M219" i="32" s="1"/>
  <c r="K238" i="32"/>
  <c r="F238" i="32" s="1"/>
  <c r="L238" i="32" s="1"/>
  <c r="M238" i="32" s="1"/>
  <c r="K234" i="32"/>
  <c r="F234" i="32" s="1"/>
  <c r="L234" i="32" s="1"/>
  <c r="M234" i="32" s="1"/>
  <c r="K103" i="32"/>
  <c r="F103" i="32" s="1"/>
  <c r="L103" i="32" s="1"/>
  <c r="M103" i="32" s="1"/>
  <c r="K224" i="32"/>
  <c r="F224" i="32" s="1"/>
  <c r="L224" i="32" s="1"/>
  <c r="M224" i="32" s="1"/>
  <c r="K69" i="32"/>
  <c r="F69" i="32" s="1"/>
  <c r="L69" i="32" s="1"/>
  <c r="M69" i="32" s="1"/>
  <c r="K111" i="32"/>
  <c r="F111" i="32" s="1"/>
  <c r="L111" i="32" s="1"/>
  <c r="M111" i="32" s="1"/>
  <c r="K180" i="32"/>
  <c r="F180" i="32" s="1"/>
  <c r="L180" i="32" s="1"/>
  <c r="M180" i="32" s="1"/>
  <c r="K132" i="32"/>
  <c r="F132" i="32" s="1"/>
  <c r="L132" i="32" s="1"/>
  <c r="M132" i="32" s="1"/>
  <c r="K220" i="32"/>
  <c r="F220" i="32" s="1"/>
  <c r="L220" i="32" s="1"/>
  <c r="M220" i="32" s="1"/>
  <c r="K257" i="32"/>
  <c r="F257" i="32" s="1"/>
  <c r="L257" i="32" s="1"/>
  <c r="M257" i="32" s="1"/>
  <c r="K79" i="32"/>
  <c r="F79" i="32" s="1"/>
  <c r="L79" i="32" s="1"/>
  <c r="M79" i="32" s="1"/>
  <c r="K188" i="32"/>
  <c r="F188" i="32" s="1"/>
  <c r="L188" i="32" s="1"/>
  <c r="M188" i="32" s="1"/>
  <c r="K201" i="32"/>
  <c r="F201" i="32" s="1"/>
  <c r="L201" i="32" s="1"/>
  <c r="M201" i="32" s="1"/>
  <c r="K251" i="32"/>
  <c r="F251" i="32" s="1"/>
  <c r="L251" i="32" s="1"/>
  <c r="M251" i="32" s="1"/>
  <c r="K202" i="32"/>
  <c r="F202" i="32" s="1"/>
  <c r="L202" i="32" s="1"/>
  <c r="M202" i="32" s="1"/>
  <c r="K136" i="32"/>
  <c r="F136" i="32" s="1"/>
  <c r="L136" i="32" s="1"/>
  <c r="M136" i="32" s="1"/>
  <c r="K246" i="32"/>
  <c r="F246" i="32" s="1"/>
  <c r="L246" i="32" s="1"/>
  <c r="M246" i="32" s="1"/>
  <c r="K81" i="32"/>
  <c r="F81" i="32" s="1"/>
  <c r="L81" i="32" s="1"/>
  <c r="M81" i="32" s="1"/>
  <c r="K164" i="32"/>
  <c r="F164" i="32" s="1"/>
  <c r="L164" i="32" s="1"/>
  <c r="M164" i="32" s="1"/>
  <c r="K64" i="32"/>
  <c r="F64" i="32" s="1"/>
  <c r="L64" i="32" s="1"/>
  <c r="M64" i="32" s="1"/>
  <c r="K209" i="32"/>
  <c r="F209" i="32" s="1"/>
  <c r="L209" i="32" s="1"/>
  <c r="M209" i="32" s="1"/>
  <c r="K95" i="32"/>
  <c r="F95" i="32" s="1"/>
  <c r="L95" i="32" s="1"/>
  <c r="M95" i="32" s="1"/>
  <c r="K109" i="32"/>
  <c r="F109" i="32" s="1"/>
  <c r="L109" i="32" s="1"/>
  <c r="M109" i="32" s="1"/>
  <c r="K168" i="32"/>
  <c r="F168" i="32" s="1"/>
  <c r="L168" i="32" s="1"/>
  <c r="M168" i="32" s="1"/>
  <c r="K167" i="32"/>
  <c r="F167" i="32" s="1"/>
  <c r="L167" i="32" s="1"/>
  <c r="M167" i="32" s="1"/>
  <c r="K118" i="32"/>
  <c r="F118" i="32" s="1"/>
  <c r="L118" i="32" s="1"/>
  <c r="M118" i="32" s="1"/>
  <c r="K255" i="32"/>
  <c r="F255" i="32" s="1"/>
  <c r="L255" i="32" s="1"/>
  <c r="M255" i="32" s="1"/>
  <c r="K241" i="32"/>
  <c r="F241" i="32" s="1"/>
  <c r="L241" i="32" s="1"/>
  <c r="M241" i="32" s="1"/>
  <c r="K74" i="32"/>
  <c r="F74" i="32" s="1"/>
  <c r="L74" i="32" s="1"/>
  <c r="M74" i="32" s="1"/>
  <c r="K173" i="32"/>
  <c r="F173" i="32" s="1"/>
  <c r="L173" i="32" s="1"/>
  <c r="M173" i="32" s="1"/>
  <c r="K175" i="32"/>
  <c r="F175" i="32" s="1"/>
  <c r="L175" i="32" s="1"/>
  <c r="M175" i="32" s="1"/>
  <c r="K83" i="32"/>
  <c r="F83" i="32" s="1"/>
  <c r="L83" i="32" s="1"/>
  <c r="M83" i="32" s="1"/>
  <c r="K129" i="32"/>
  <c r="F129" i="32" s="1"/>
  <c r="L129" i="32" s="1"/>
  <c r="M129" i="32" s="1"/>
  <c r="K171" i="32"/>
  <c r="F171" i="32" s="1"/>
  <c r="L171" i="32" s="1"/>
  <c r="M171" i="32" s="1"/>
  <c r="K85" i="32"/>
  <c r="F85" i="32" s="1"/>
  <c r="L85" i="32" s="1"/>
  <c r="M85" i="32" s="1"/>
  <c r="K73" i="32"/>
  <c r="F73" i="32" s="1"/>
  <c r="L73" i="32" s="1"/>
  <c r="M73" i="32" s="1"/>
  <c r="K77" i="32"/>
  <c r="F77" i="32" s="1"/>
  <c r="L77" i="32" s="1"/>
  <c r="M77" i="32" s="1"/>
  <c r="K144" i="32"/>
  <c r="F144" i="32" s="1"/>
  <c r="L144" i="32" s="1"/>
  <c r="M144" i="32" s="1"/>
  <c r="K72" i="32"/>
  <c r="F72" i="32" s="1"/>
  <c r="L72" i="32" s="1"/>
  <c r="M72" i="32" s="1"/>
  <c r="K196" i="32"/>
  <c r="F196" i="32" s="1"/>
  <c r="L196" i="32" s="1"/>
  <c r="M196" i="32" s="1"/>
  <c r="K197" i="32"/>
  <c r="F197" i="32" s="1"/>
  <c r="L197" i="32" s="1"/>
  <c r="M197" i="32" s="1"/>
  <c r="K174" i="32"/>
  <c r="F174" i="32" s="1"/>
  <c r="L174" i="32" s="1"/>
  <c r="M174" i="32" s="1"/>
  <c r="K92" i="32"/>
  <c r="F92" i="32" s="1"/>
  <c r="L92" i="32" s="1"/>
  <c r="M92" i="32" s="1"/>
  <c r="K153" i="32"/>
  <c r="F153" i="32" s="1"/>
  <c r="L153" i="32" s="1"/>
  <c r="M153" i="32" s="1"/>
  <c r="K227" i="32"/>
  <c r="F227" i="32" s="1"/>
  <c r="L227" i="32" s="1"/>
  <c r="M227" i="32" s="1"/>
  <c r="K178" i="32"/>
  <c r="F178" i="32" s="1"/>
  <c r="L178" i="32" s="1"/>
  <c r="M178" i="32" s="1"/>
  <c r="K112" i="32"/>
  <c r="F112" i="32" s="1"/>
  <c r="L112" i="32" s="1"/>
  <c r="M112" i="32" s="1"/>
  <c r="K122" i="32"/>
  <c r="F122" i="32" s="1"/>
  <c r="L122" i="32" s="1"/>
  <c r="M122" i="32" s="1"/>
  <c r="K206" i="32"/>
  <c r="F206" i="32" s="1"/>
  <c r="L206" i="32" s="1"/>
  <c r="M206" i="32" s="1"/>
  <c r="K150" i="32"/>
  <c r="F150" i="32" s="1"/>
  <c r="L150" i="32" s="1"/>
  <c r="M150" i="32" s="1"/>
  <c r="K156" i="32"/>
  <c r="F156" i="32" s="1"/>
  <c r="L156" i="32" s="1"/>
  <c r="M156" i="32" s="1"/>
  <c r="K78" i="32"/>
  <c r="F78" i="32" s="1"/>
  <c r="L78" i="32" s="1"/>
  <c r="M78" i="32" s="1"/>
  <c r="K248" i="32"/>
  <c r="F248" i="32" s="1"/>
  <c r="L248" i="32" s="1"/>
  <c r="M248" i="32" s="1"/>
  <c r="K130" i="32"/>
  <c r="F130" i="32" s="1"/>
  <c r="L130" i="32" s="1"/>
  <c r="M130" i="32" s="1"/>
  <c r="K141" i="32"/>
  <c r="F141" i="32" s="1"/>
  <c r="L141" i="32" s="1"/>
  <c r="M141" i="32" s="1"/>
  <c r="K99" i="32"/>
  <c r="F99" i="32" s="1"/>
  <c r="L99" i="32" s="1"/>
  <c r="M99" i="32" s="1"/>
  <c r="K222" i="32"/>
  <c r="F222" i="32" s="1"/>
  <c r="L222" i="32" s="1"/>
  <c r="M222" i="32" s="1"/>
  <c r="K193" i="32"/>
  <c r="F193" i="32" s="1"/>
  <c r="L193" i="32" s="1"/>
  <c r="M193" i="32" s="1"/>
  <c r="K205" i="32"/>
  <c r="F205" i="32" s="1"/>
  <c r="L205" i="32" s="1"/>
  <c r="M205" i="32" s="1"/>
  <c r="K137" i="32"/>
  <c r="F137" i="32" s="1"/>
  <c r="L137" i="32" s="1"/>
  <c r="M137" i="32" s="1"/>
  <c r="K127" i="32"/>
  <c r="F127" i="32" s="1"/>
  <c r="L127" i="32" s="1"/>
  <c r="M127" i="32" s="1"/>
  <c r="K59" i="32"/>
  <c r="F59" i="32" s="1"/>
  <c r="L59" i="32" s="1"/>
  <c r="M59" i="32" s="1"/>
  <c r="K105" i="32"/>
  <c r="F105" i="32" s="1"/>
  <c r="L105" i="32" s="1"/>
  <c r="M105" i="32" s="1"/>
  <c r="K147" i="32"/>
  <c r="F147" i="32" s="1"/>
  <c r="L147" i="32" s="1"/>
  <c r="M147" i="32" s="1"/>
  <c r="K240" i="32"/>
  <c r="F240" i="32" s="1"/>
  <c r="L240" i="32" s="1"/>
  <c r="M240" i="32" s="1"/>
  <c r="K216" i="32"/>
  <c r="F216" i="32" s="1"/>
  <c r="L216" i="32" s="1"/>
  <c r="M216" i="32" s="1"/>
  <c r="K256" i="32"/>
  <c r="F256" i="32" s="1"/>
  <c r="L256" i="32" s="1"/>
  <c r="M256" i="32" s="1"/>
  <c r="K138" i="32"/>
  <c r="F138" i="32" s="1"/>
  <c r="L138" i="32" s="1"/>
  <c r="M138" i="32" s="1"/>
  <c r="K211" i="32"/>
  <c r="F211" i="32" s="1"/>
  <c r="L211" i="32" s="1"/>
  <c r="M211" i="32" s="1"/>
  <c r="K237" i="32"/>
  <c r="F237" i="32" s="1"/>
  <c r="L237" i="32" s="1"/>
  <c r="M237" i="32" s="1"/>
  <c r="K242" i="32"/>
  <c r="F242" i="32" s="1"/>
  <c r="L242" i="32" s="1"/>
  <c r="M242" i="32" s="1"/>
  <c r="K66" i="32"/>
  <c r="F66" i="32" s="1"/>
  <c r="L66" i="32" s="1"/>
  <c r="M66" i="32" s="1"/>
  <c r="K187" i="32"/>
  <c r="F187" i="32" s="1"/>
  <c r="L187" i="32" s="1"/>
  <c r="M187" i="32" s="1"/>
  <c r="K203" i="32"/>
  <c r="F203" i="32" s="1"/>
  <c r="L203" i="32" s="1"/>
  <c r="M203" i="32" s="1"/>
  <c r="K154" i="32"/>
  <c r="F154" i="32" s="1"/>
  <c r="L154" i="32" s="1"/>
  <c r="M154" i="32" s="1"/>
  <c r="K88" i="32"/>
  <c r="F88" i="32" s="1"/>
  <c r="L88" i="32" s="1"/>
  <c r="M88" i="32" s="1"/>
  <c r="K86" i="32"/>
  <c r="F86" i="32" s="1"/>
  <c r="L86" i="32" s="1"/>
  <c r="M86" i="32" s="1"/>
  <c r="K158" i="32"/>
  <c r="F158" i="32" s="1"/>
  <c r="L158" i="32" s="1"/>
  <c r="M158" i="32" s="1"/>
  <c r="K90" i="32"/>
  <c r="F90" i="32" s="1"/>
  <c r="L90" i="32" s="1"/>
  <c r="M90" i="32" s="1"/>
  <c r="K247" i="32"/>
  <c r="F247" i="32" s="1"/>
  <c r="L247" i="32" s="1"/>
  <c r="M247" i="32" s="1"/>
  <c r="K119" i="32"/>
  <c r="F119" i="32" s="1"/>
  <c r="L119" i="32" s="1"/>
  <c r="M119" i="32" s="1"/>
  <c r="K57" i="32"/>
  <c r="F57" i="32" s="1"/>
  <c r="L57" i="32" s="1"/>
  <c r="M57" i="32" s="1"/>
  <c r="K56" i="32"/>
  <c r="F56" i="32" s="1"/>
  <c r="L56" i="32" s="1"/>
  <c r="M56" i="32" s="1"/>
  <c r="K55" i="32"/>
  <c r="F55" i="32" s="1"/>
  <c r="L55" i="32" s="1"/>
  <c r="M55" i="32" s="1"/>
  <c r="K54" i="32"/>
  <c r="E83" i="38"/>
  <c r="E407" i="38"/>
  <c r="E433" i="38"/>
  <c r="E431" i="38"/>
  <c r="E437" i="38"/>
  <c r="E405" i="38"/>
  <c r="E35" i="38"/>
  <c r="B23" i="42"/>
  <c r="C23" i="42" s="1"/>
  <c r="D23" i="42" s="1"/>
  <c r="B151" i="42"/>
  <c r="C151" i="42" s="1"/>
  <c r="D151" i="42" s="1"/>
  <c r="B155" i="42"/>
  <c r="C155" i="42" s="1"/>
  <c r="D155" i="42" s="1"/>
  <c r="B120" i="42"/>
  <c r="C120" i="42" s="1"/>
  <c r="D120" i="42" s="1"/>
  <c r="B114" i="42"/>
  <c r="C114" i="42" s="1"/>
  <c r="D114" i="42" s="1"/>
  <c r="B19" i="42"/>
  <c r="C19" i="42" s="1"/>
  <c r="D19" i="42" s="1"/>
  <c r="B145" i="42"/>
  <c r="C145" i="42" s="1"/>
  <c r="D145" i="42" s="1"/>
  <c r="B168" i="42"/>
  <c r="C168" i="42" s="1"/>
  <c r="D168" i="42" s="1"/>
  <c r="B136" i="42"/>
  <c r="C136" i="42" s="1"/>
  <c r="D136" i="42" s="1"/>
  <c r="B200" i="42"/>
  <c r="C200" i="42" s="1"/>
  <c r="D200" i="42" s="1"/>
  <c r="B53" i="42"/>
  <c r="C53" i="42" s="1"/>
  <c r="D53" i="42" s="1"/>
  <c r="B49" i="42"/>
  <c r="C49" i="42" s="1"/>
  <c r="D49" i="42" s="1"/>
  <c r="B193" i="42"/>
  <c r="C193" i="42" s="1"/>
  <c r="D193" i="42" s="1"/>
  <c r="B140" i="42"/>
  <c r="C140" i="42" s="1"/>
  <c r="D140" i="42" s="1"/>
  <c r="B89" i="42"/>
  <c r="C89" i="42" s="1"/>
  <c r="D89" i="42" s="1"/>
  <c r="B167" i="42"/>
  <c r="C167" i="42" s="1"/>
  <c r="D167" i="42" s="1"/>
  <c r="B141" i="42"/>
  <c r="C141" i="42" s="1"/>
  <c r="D141" i="42" s="1"/>
  <c r="B186" i="42"/>
  <c r="C186" i="42" s="1"/>
  <c r="D186" i="42" s="1"/>
  <c r="B43" i="42"/>
  <c r="C43" i="42" s="1"/>
  <c r="D43" i="42" s="1"/>
  <c r="B201" i="42"/>
  <c r="C201" i="42" s="1"/>
  <c r="D201" i="42" s="1"/>
  <c r="B64" i="42"/>
  <c r="C64" i="42" s="1"/>
  <c r="D64" i="42" s="1"/>
  <c r="B110" i="42"/>
  <c r="C110" i="42" s="1"/>
  <c r="D110" i="42" s="1"/>
  <c r="B188" i="42"/>
  <c r="C188" i="42" s="1"/>
  <c r="D188" i="42" s="1"/>
  <c r="B178" i="42"/>
  <c r="C178" i="42" s="1"/>
  <c r="D178" i="42" s="1"/>
  <c r="B62" i="42"/>
  <c r="C62" i="42" s="1"/>
  <c r="D62" i="42" s="1"/>
  <c r="B72" i="42"/>
  <c r="C72" i="42" s="1"/>
  <c r="D72" i="42" s="1"/>
  <c r="B144" i="42"/>
  <c r="C144" i="42" s="1"/>
  <c r="D144" i="42" s="1"/>
  <c r="B180" i="42"/>
  <c r="C180" i="42" s="1"/>
  <c r="D180" i="42" s="1"/>
  <c r="B161" i="42"/>
  <c r="C161" i="42" s="1"/>
  <c r="D161" i="42" s="1"/>
  <c r="B11" i="42"/>
  <c r="C11" i="42" s="1"/>
  <c r="D11" i="42" s="1"/>
  <c r="B116" i="42"/>
  <c r="C116" i="42" s="1"/>
  <c r="D116" i="42" s="1"/>
  <c r="B83" i="42"/>
  <c r="C83" i="42" s="1"/>
  <c r="D83" i="42" s="1"/>
  <c r="B142" i="42"/>
  <c r="C142" i="42" s="1"/>
  <c r="D142" i="42" s="1"/>
  <c r="B105" i="42"/>
  <c r="C105" i="42" s="1"/>
  <c r="D105" i="42" s="1"/>
  <c r="B86" i="42"/>
  <c r="C86" i="42" s="1"/>
  <c r="D86" i="42" s="1"/>
  <c r="B58" i="42"/>
  <c r="C58" i="42" s="1"/>
  <c r="D58" i="42" s="1"/>
  <c r="B138" i="42"/>
  <c r="C138" i="42" s="1"/>
  <c r="D138" i="42" s="1"/>
  <c r="B195" i="42"/>
  <c r="C195" i="42" s="1"/>
  <c r="D195" i="42" s="1"/>
  <c r="B164" i="42"/>
  <c r="C164" i="42" s="1"/>
  <c r="D164" i="42" s="1"/>
  <c r="B117" i="42"/>
  <c r="C117" i="42" s="1"/>
  <c r="D117" i="42" s="1"/>
  <c r="B125" i="42"/>
  <c r="C125" i="42" s="1"/>
  <c r="D125" i="42" s="1"/>
  <c r="B25" i="42"/>
  <c r="C25" i="42" s="1"/>
  <c r="D25" i="42" s="1"/>
  <c r="B95" i="42"/>
  <c r="C95" i="42" s="1"/>
  <c r="D95" i="42" s="1"/>
  <c r="B56" i="42"/>
  <c r="C56" i="42" s="1"/>
  <c r="D56" i="42" s="1"/>
  <c r="B139" i="42"/>
  <c r="C139" i="42" s="1"/>
  <c r="D139" i="42" s="1"/>
  <c r="B156" i="42"/>
  <c r="C156" i="42" s="1"/>
  <c r="D156" i="42" s="1"/>
  <c r="B16" i="42"/>
  <c r="C16" i="42" s="1"/>
  <c r="D16" i="42" s="1"/>
  <c r="B3" i="42"/>
  <c r="B162" i="42"/>
  <c r="C162" i="42" s="1"/>
  <c r="D162" i="42" s="1"/>
  <c r="B124" i="42"/>
  <c r="C124" i="42" s="1"/>
  <c r="D124" i="42" s="1"/>
  <c r="B181" i="42"/>
  <c r="C181" i="42" s="1"/>
  <c r="D181" i="42" s="1"/>
  <c r="B109" i="42"/>
  <c r="C109" i="42" s="1"/>
  <c r="D109" i="42" s="1"/>
  <c r="B73" i="42"/>
  <c r="C73" i="42" s="1"/>
  <c r="D73" i="42" s="1"/>
  <c r="B2" i="42"/>
  <c r="B119" i="42"/>
  <c r="C119" i="42" s="1"/>
  <c r="D119" i="42" s="1"/>
  <c r="B101" i="42"/>
  <c r="C101" i="42" s="1"/>
  <c r="D101" i="42" s="1"/>
  <c r="B113" i="42"/>
  <c r="C113" i="42" s="1"/>
  <c r="D113" i="42" s="1"/>
  <c r="B9" i="42"/>
  <c r="C9" i="42" s="1"/>
  <c r="D9" i="42" s="1"/>
  <c r="B45" i="42"/>
  <c r="C45" i="42" s="1"/>
  <c r="D45" i="42" s="1"/>
  <c r="B17" i="42"/>
  <c r="C17" i="42" s="1"/>
  <c r="D17" i="42" s="1"/>
  <c r="B5" i="42"/>
  <c r="C5" i="42" s="1"/>
  <c r="D5" i="42" s="1"/>
  <c r="B173" i="42"/>
  <c r="C173" i="42" s="1"/>
  <c r="D173" i="42" s="1"/>
  <c r="B41" i="42"/>
  <c r="C41" i="42" s="1"/>
  <c r="D41" i="42" s="1"/>
  <c r="B148" i="42"/>
  <c r="C148" i="42" s="1"/>
  <c r="D148" i="42" s="1"/>
  <c r="B131" i="42"/>
  <c r="C131" i="42" s="1"/>
  <c r="D131" i="42" s="1"/>
  <c r="B44" i="42"/>
  <c r="C44" i="42" s="1"/>
  <c r="D44" i="42" s="1"/>
  <c r="B24" i="42"/>
  <c r="C24" i="42" s="1"/>
  <c r="D24" i="42" s="1"/>
  <c r="B121" i="42"/>
  <c r="C121" i="42" s="1"/>
  <c r="D121" i="42" s="1"/>
  <c r="B13" i="42"/>
  <c r="C13" i="42" s="1"/>
  <c r="D13" i="42" s="1"/>
  <c r="B150" i="42"/>
  <c r="C150" i="42" s="1"/>
  <c r="D150" i="42" s="1"/>
  <c r="B67" i="42"/>
  <c r="C67" i="42" s="1"/>
  <c r="D67" i="42" s="1"/>
  <c r="B21" i="42"/>
  <c r="C21" i="42" s="1"/>
  <c r="D21" i="42" s="1"/>
  <c r="B29" i="42"/>
  <c r="C29" i="42" s="1"/>
  <c r="D29" i="42" s="1"/>
  <c r="B171" i="42"/>
  <c r="C171" i="42" s="1"/>
  <c r="D171" i="42" s="1"/>
  <c r="B159" i="42"/>
  <c r="C159" i="42" s="1"/>
  <c r="D159" i="42" s="1"/>
  <c r="B30" i="42"/>
  <c r="C30" i="42" s="1"/>
  <c r="D30" i="42" s="1"/>
  <c r="B196" i="42"/>
  <c r="C196" i="42" s="1"/>
  <c r="D196" i="42" s="1"/>
  <c r="B48" i="42"/>
  <c r="C48" i="42" s="1"/>
  <c r="D48" i="42" s="1"/>
  <c r="B14" i="42"/>
  <c r="C14" i="42" s="1"/>
  <c r="D14" i="42" s="1"/>
  <c r="B78" i="42"/>
  <c r="C78" i="42" s="1"/>
  <c r="D78" i="42" s="1"/>
  <c r="B18" i="42"/>
  <c r="C18" i="42" s="1"/>
  <c r="D18" i="42" s="1"/>
  <c r="B115" i="42"/>
  <c r="C115" i="42" s="1"/>
  <c r="D115" i="42" s="1"/>
  <c r="B99" i="42"/>
  <c r="C99" i="42" s="1"/>
  <c r="D99" i="42" s="1"/>
  <c r="B147" i="42"/>
  <c r="C147" i="42" s="1"/>
  <c r="D147" i="42" s="1"/>
  <c r="B104" i="42"/>
  <c r="C104" i="42" s="1"/>
  <c r="D104" i="42" s="1"/>
  <c r="B107" i="42"/>
  <c r="C107" i="42" s="1"/>
  <c r="D107" i="42" s="1"/>
  <c r="B68" i="42"/>
  <c r="C68" i="42" s="1"/>
  <c r="D68" i="42" s="1"/>
  <c r="B91" i="42"/>
  <c r="C91" i="42" s="1"/>
  <c r="D91" i="42" s="1"/>
  <c r="B47" i="42"/>
  <c r="C47" i="42" s="1"/>
  <c r="D47" i="42" s="1"/>
  <c r="B94" i="42"/>
  <c r="C94" i="42" s="1"/>
  <c r="D94" i="42" s="1"/>
  <c r="B82" i="42"/>
  <c r="C82" i="42" s="1"/>
  <c r="D82" i="42" s="1"/>
  <c r="B27" i="42"/>
  <c r="C27" i="42" s="1"/>
  <c r="D27" i="42" s="1"/>
  <c r="B96" i="42"/>
  <c r="C96" i="42" s="1"/>
  <c r="D96" i="42" s="1"/>
  <c r="B134" i="42"/>
  <c r="C134" i="42" s="1"/>
  <c r="D134" i="42" s="1"/>
  <c r="B92" i="42"/>
  <c r="C92" i="42" s="1"/>
  <c r="D92" i="42" s="1"/>
  <c r="B46" i="42"/>
  <c r="C46" i="42" s="1"/>
  <c r="D46" i="42" s="1"/>
  <c r="B128" i="42"/>
  <c r="C128" i="42" s="1"/>
  <c r="D128" i="42" s="1"/>
  <c r="B187" i="42"/>
  <c r="C187" i="42" s="1"/>
  <c r="D187" i="42" s="1"/>
  <c r="B6" i="42"/>
  <c r="C6" i="42" s="1"/>
  <c r="D6" i="42" s="1"/>
  <c r="B76" i="42"/>
  <c r="C76" i="42" s="1"/>
  <c r="D76" i="42" s="1"/>
  <c r="B28" i="42"/>
  <c r="C28" i="42" s="1"/>
  <c r="D28" i="42" s="1"/>
  <c r="B60" i="42"/>
  <c r="C60" i="42" s="1"/>
  <c r="D60" i="42" s="1"/>
  <c r="B63" i="42"/>
  <c r="C63" i="42" s="1"/>
  <c r="D63" i="42" s="1"/>
  <c r="B22" i="42"/>
  <c r="C22" i="42" s="1"/>
  <c r="D22" i="42" s="1"/>
  <c r="B163" i="42"/>
  <c r="C163" i="42" s="1"/>
  <c r="D163" i="42" s="1"/>
  <c r="B165" i="42"/>
  <c r="C165" i="42" s="1"/>
  <c r="D165" i="42" s="1"/>
  <c r="B51" i="42"/>
  <c r="C51" i="42" s="1"/>
  <c r="D51" i="42" s="1"/>
  <c r="B127" i="42"/>
  <c r="C127" i="42" s="1"/>
  <c r="D127" i="42" s="1"/>
  <c r="B118" i="42"/>
  <c r="C118" i="42" s="1"/>
  <c r="D118" i="42" s="1"/>
  <c r="B126" i="42"/>
  <c r="C126" i="42" s="1"/>
  <c r="D126" i="42" s="1"/>
  <c r="B79" i="42"/>
  <c r="C79" i="42" s="1"/>
  <c r="D79" i="42" s="1"/>
  <c r="B154" i="42"/>
  <c r="C154" i="42" s="1"/>
  <c r="D154" i="42" s="1"/>
  <c r="B57" i="42"/>
  <c r="C57" i="42" s="1"/>
  <c r="D57" i="42" s="1"/>
  <c r="B191" i="42"/>
  <c r="C191" i="42" s="1"/>
  <c r="D191" i="42" s="1"/>
  <c r="B15" i="42"/>
  <c r="C15" i="42" s="1"/>
  <c r="D15" i="42" s="1"/>
  <c r="B69" i="42"/>
  <c r="C69" i="42" s="1"/>
  <c r="D69" i="42" s="1"/>
  <c r="B74" i="42"/>
  <c r="C74" i="42" s="1"/>
  <c r="D74" i="42" s="1"/>
  <c r="B179" i="42"/>
  <c r="C179" i="42" s="1"/>
  <c r="D179" i="42" s="1"/>
  <c r="B143" i="42"/>
  <c r="C143" i="42" s="1"/>
  <c r="D143" i="42" s="1"/>
  <c r="B42" i="42"/>
  <c r="C42" i="42" s="1"/>
  <c r="D42" i="42" s="1"/>
  <c r="B108" i="42"/>
  <c r="C108" i="42" s="1"/>
  <c r="D108" i="42" s="1"/>
  <c r="B20" i="42"/>
  <c r="C20" i="42" s="1"/>
  <c r="D20" i="42" s="1"/>
  <c r="B160" i="42"/>
  <c r="C160" i="42" s="1"/>
  <c r="D160" i="42" s="1"/>
  <c r="B65" i="42"/>
  <c r="C65" i="42" s="1"/>
  <c r="D65" i="42" s="1"/>
  <c r="B192" i="42"/>
  <c r="C192" i="42" s="1"/>
  <c r="D192" i="42" s="1"/>
  <c r="B199" i="42"/>
  <c r="C199" i="42" s="1"/>
  <c r="D199" i="42" s="1"/>
  <c r="B102" i="42"/>
  <c r="C102" i="42" s="1"/>
  <c r="D102" i="42" s="1"/>
  <c r="B198" i="42"/>
  <c r="C198" i="42" s="1"/>
  <c r="D198" i="42" s="1"/>
  <c r="B88" i="42"/>
  <c r="C88" i="42" s="1"/>
  <c r="D88" i="42" s="1"/>
  <c r="B133" i="42"/>
  <c r="C133" i="42" s="1"/>
  <c r="D133" i="42" s="1"/>
  <c r="B71" i="42"/>
  <c r="C71" i="42" s="1"/>
  <c r="D71" i="42" s="1"/>
  <c r="B26" i="42"/>
  <c r="C26" i="42" s="1"/>
  <c r="D26" i="42" s="1"/>
  <c r="B75" i="42"/>
  <c r="C75" i="42" s="1"/>
  <c r="D75" i="42" s="1"/>
  <c r="B157" i="42"/>
  <c r="C157" i="42" s="1"/>
  <c r="D157" i="42" s="1"/>
  <c r="B176" i="42"/>
  <c r="C176" i="42" s="1"/>
  <c r="D176" i="42" s="1"/>
  <c r="B135" i="42"/>
  <c r="C135" i="42" s="1"/>
  <c r="D135" i="42" s="1"/>
  <c r="B37" i="42"/>
  <c r="C37" i="42" s="1"/>
  <c r="D37" i="42" s="1"/>
  <c r="B175" i="42"/>
  <c r="C175" i="42" s="1"/>
  <c r="D175" i="42" s="1"/>
  <c r="B35" i="42"/>
  <c r="C35" i="42" s="1"/>
  <c r="D35" i="42" s="1"/>
  <c r="B153" i="42"/>
  <c r="C153" i="42" s="1"/>
  <c r="D153" i="42" s="1"/>
  <c r="B90" i="42"/>
  <c r="C90" i="42" s="1"/>
  <c r="D90" i="42" s="1"/>
  <c r="B185" i="42"/>
  <c r="C185" i="42" s="1"/>
  <c r="D185" i="42" s="1"/>
  <c r="B123" i="42"/>
  <c r="C123" i="42" s="1"/>
  <c r="D123" i="42" s="1"/>
  <c r="B59" i="42"/>
  <c r="C59" i="42" s="1"/>
  <c r="D59" i="42" s="1"/>
  <c r="B158" i="42"/>
  <c r="C158" i="42" s="1"/>
  <c r="D158" i="42" s="1"/>
  <c r="B172" i="42"/>
  <c r="C172" i="42" s="1"/>
  <c r="D172" i="42" s="1"/>
  <c r="B40" i="42"/>
  <c r="C40" i="42" s="1"/>
  <c r="D40" i="42" s="1"/>
  <c r="B31" i="42"/>
  <c r="C31" i="42" s="1"/>
  <c r="D31" i="42" s="1"/>
  <c r="B70" i="42"/>
  <c r="C70" i="42" s="1"/>
  <c r="D70" i="42" s="1"/>
  <c r="B182" i="42"/>
  <c r="C182" i="42" s="1"/>
  <c r="D182" i="42" s="1"/>
  <c r="B33" i="42"/>
  <c r="C33" i="42" s="1"/>
  <c r="D33" i="42" s="1"/>
  <c r="B106" i="42"/>
  <c r="C106" i="42" s="1"/>
  <c r="D106" i="42" s="1"/>
  <c r="B137" i="42"/>
  <c r="C137" i="42" s="1"/>
  <c r="D137" i="42" s="1"/>
  <c r="B170" i="42"/>
  <c r="C170" i="42" s="1"/>
  <c r="D170" i="42" s="1"/>
  <c r="B149" i="42"/>
  <c r="C149" i="42" s="1"/>
  <c r="D149" i="42" s="1"/>
  <c r="B183" i="42"/>
  <c r="C183" i="42" s="1"/>
  <c r="D183" i="42" s="1"/>
  <c r="B174" i="42"/>
  <c r="C174" i="42" s="1"/>
  <c r="D174" i="42" s="1"/>
  <c r="B146" i="42"/>
  <c r="C146" i="42" s="1"/>
  <c r="D146" i="42" s="1"/>
  <c r="B111" i="42"/>
  <c r="C111" i="42" s="1"/>
  <c r="D111" i="42" s="1"/>
  <c r="B152" i="42"/>
  <c r="C152" i="42" s="1"/>
  <c r="D152" i="42" s="1"/>
  <c r="B100" i="42"/>
  <c r="C100" i="42" s="1"/>
  <c r="D100" i="42" s="1"/>
  <c r="B129" i="42"/>
  <c r="C129" i="42" s="1"/>
  <c r="D129" i="42" s="1"/>
  <c r="B50" i="42"/>
  <c r="C50" i="42" s="1"/>
  <c r="D50" i="42" s="1"/>
  <c r="B194" i="42"/>
  <c r="C194" i="42" s="1"/>
  <c r="D194" i="42" s="1"/>
  <c r="B184" i="42"/>
  <c r="C184" i="42" s="1"/>
  <c r="D184" i="42" s="1"/>
  <c r="B97" i="42"/>
  <c r="C97" i="42" s="1"/>
  <c r="D97" i="42" s="1"/>
  <c r="B34" i="42"/>
  <c r="C34" i="42" s="1"/>
  <c r="D34" i="42" s="1"/>
  <c r="B7" i="42"/>
  <c r="C7" i="42" s="1"/>
  <c r="D7" i="42" s="1"/>
  <c r="B52" i="42"/>
  <c r="C52" i="42" s="1"/>
  <c r="D52" i="42" s="1"/>
  <c r="B55" i="42"/>
  <c r="C55" i="42" s="1"/>
  <c r="D55" i="42" s="1"/>
  <c r="B132" i="42"/>
  <c r="C132" i="42" s="1"/>
  <c r="D132" i="42" s="1"/>
  <c r="B177" i="42"/>
  <c r="C177" i="42" s="1"/>
  <c r="D177" i="42" s="1"/>
  <c r="B197" i="42"/>
  <c r="C197" i="42" s="1"/>
  <c r="D197" i="42" s="1"/>
  <c r="B54" i="42"/>
  <c r="C54" i="42" s="1"/>
  <c r="D54" i="42" s="1"/>
  <c r="B87" i="42"/>
  <c r="C87" i="42" s="1"/>
  <c r="D87" i="42" s="1"/>
  <c r="B66" i="42"/>
  <c r="C66" i="42" s="1"/>
  <c r="D66" i="42" s="1"/>
  <c r="B61" i="42"/>
  <c r="C61" i="42" s="1"/>
  <c r="D61" i="42" s="1"/>
  <c r="B10" i="42"/>
  <c r="C10" i="42" s="1"/>
  <c r="D10" i="42" s="1"/>
  <c r="B8" i="42"/>
  <c r="C8" i="42" s="1"/>
  <c r="D8" i="42" s="1"/>
  <c r="B32" i="42"/>
  <c r="C32" i="42" s="1"/>
  <c r="D32" i="42" s="1"/>
  <c r="B36" i="42"/>
  <c r="C36" i="42" s="1"/>
  <c r="D36" i="42" s="1"/>
  <c r="B166" i="42"/>
  <c r="C166" i="42" s="1"/>
  <c r="D166" i="42" s="1"/>
  <c r="B77" i="42"/>
  <c r="C77" i="42" s="1"/>
  <c r="D77" i="42" s="1"/>
  <c r="B189" i="42"/>
  <c r="C189" i="42" s="1"/>
  <c r="D189" i="42" s="1"/>
  <c r="B169" i="42"/>
  <c r="C169" i="42" s="1"/>
  <c r="D169" i="42" s="1"/>
  <c r="B84" i="42"/>
  <c r="C84" i="42" s="1"/>
  <c r="D84" i="42" s="1"/>
  <c r="B12" i="42"/>
  <c r="C12" i="42" s="1"/>
  <c r="D12" i="42" s="1"/>
  <c r="B130" i="42"/>
  <c r="C130" i="42" s="1"/>
  <c r="D130" i="42" s="1"/>
  <c r="B122" i="42"/>
  <c r="C122" i="42" s="1"/>
  <c r="D122" i="42" s="1"/>
  <c r="B190" i="42"/>
  <c r="C190" i="42" s="1"/>
  <c r="D190" i="42" s="1"/>
  <c r="B85" i="42"/>
  <c r="C85" i="42" s="1"/>
  <c r="D85" i="42" s="1"/>
  <c r="B38" i="42"/>
  <c r="C38" i="42" s="1"/>
  <c r="D38" i="42" s="1"/>
  <c r="B80" i="42"/>
  <c r="C80" i="42" s="1"/>
  <c r="D80" i="42" s="1"/>
  <c r="B4" i="42"/>
  <c r="P9" i="32" s="1"/>
  <c r="B93" i="42"/>
  <c r="C93" i="42" s="1"/>
  <c r="D93" i="42" s="1"/>
  <c r="B112" i="42"/>
  <c r="C112" i="42" s="1"/>
  <c r="D112" i="42" s="1"/>
  <c r="B98" i="42"/>
  <c r="C98" i="42" s="1"/>
  <c r="D98" i="42" s="1"/>
  <c r="B103" i="42"/>
  <c r="C103" i="42" s="1"/>
  <c r="D103" i="42" s="1"/>
  <c r="B81" i="42"/>
  <c r="C81" i="42" s="1"/>
  <c r="D81" i="42" s="1"/>
  <c r="B39" i="42"/>
  <c r="C39" i="42" s="1"/>
  <c r="D39" i="42" s="1"/>
  <c r="C2" i="42"/>
  <c r="P7" i="32"/>
  <c r="C3" i="42"/>
  <c r="P8" i="32"/>
  <c r="H45" i="24"/>
  <c r="F54" i="32" l="1"/>
  <c r="L54" i="32" s="1"/>
  <c r="M54" i="32" s="1"/>
  <c r="I187" i="32"/>
  <c r="J187" i="32"/>
  <c r="I127" i="32"/>
  <c r="J127" i="32"/>
  <c r="I206" i="32"/>
  <c r="J206" i="32"/>
  <c r="I77" i="32"/>
  <c r="J77" i="32"/>
  <c r="I167" i="32"/>
  <c r="J167" i="32"/>
  <c r="I201" i="32"/>
  <c r="J201" i="32"/>
  <c r="I238" i="32"/>
  <c r="J238" i="32"/>
  <c r="I133" i="32"/>
  <c r="J133" i="32"/>
  <c r="I231" i="32"/>
  <c r="J231" i="32"/>
  <c r="I230" i="32"/>
  <c r="J230" i="32"/>
  <c r="I107" i="32"/>
  <c r="J107" i="32"/>
  <c r="I190" i="32"/>
  <c r="J190" i="32"/>
  <c r="I151" i="32"/>
  <c r="J151" i="32"/>
  <c r="I253" i="32"/>
  <c r="J253" i="32"/>
  <c r="I215" i="32"/>
  <c r="J215" i="32"/>
  <c r="I117" i="32"/>
  <c r="J117" i="32"/>
  <c r="I66" i="32"/>
  <c r="J66" i="32"/>
  <c r="I137" i="32"/>
  <c r="J137" i="32"/>
  <c r="I122" i="32"/>
  <c r="J122" i="32"/>
  <c r="I73" i="32"/>
  <c r="J73" i="32"/>
  <c r="I168" i="32"/>
  <c r="J168" i="32"/>
  <c r="I188" i="32"/>
  <c r="J188" i="32"/>
  <c r="I219" i="32"/>
  <c r="J219" i="32"/>
  <c r="I148" i="32"/>
  <c r="J148" i="32"/>
  <c r="I152" i="32"/>
  <c r="J152" i="32"/>
  <c r="I87" i="32"/>
  <c r="J87" i="32"/>
  <c r="I223" i="32"/>
  <c r="J223" i="32"/>
  <c r="I189" i="32"/>
  <c r="J189" i="32"/>
  <c r="I102" i="32"/>
  <c r="J102" i="32"/>
  <c r="I60" i="32"/>
  <c r="J60" i="32"/>
  <c r="I236" i="32"/>
  <c r="J236" i="32"/>
  <c r="I71" i="32"/>
  <c r="J71" i="32"/>
  <c r="I56" i="32"/>
  <c r="J56" i="32"/>
  <c r="I242" i="32"/>
  <c r="J242" i="32"/>
  <c r="I205" i="32"/>
  <c r="J205" i="32"/>
  <c r="I112" i="32"/>
  <c r="J112" i="32"/>
  <c r="I85" i="32"/>
  <c r="J85" i="32"/>
  <c r="I109" i="32"/>
  <c r="J109" i="32"/>
  <c r="I79" i="32"/>
  <c r="J79" i="32"/>
  <c r="I108" i="32"/>
  <c r="J108" i="32"/>
  <c r="I207" i="32"/>
  <c r="J207" i="32"/>
  <c r="I169" i="32"/>
  <c r="J169" i="32"/>
  <c r="I155" i="32"/>
  <c r="J155" i="32"/>
  <c r="I245" i="32"/>
  <c r="J245" i="32"/>
  <c r="I140" i="32"/>
  <c r="J140" i="32"/>
  <c r="I244" i="32"/>
  <c r="J244" i="32"/>
  <c r="I213" i="32"/>
  <c r="J213" i="32"/>
  <c r="I235" i="32"/>
  <c r="J235" i="32"/>
  <c r="I163" i="32"/>
  <c r="J163" i="32"/>
  <c r="I57" i="32"/>
  <c r="J57" i="32"/>
  <c r="I237" i="32"/>
  <c r="J237" i="32"/>
  <c r="I193" i="32"/>
  <c r="J193" i="32"/>
  <c r="I178" i="32"/>
  <c r="J178" i="32"/>
  <c r="I171" i="32"/>
  <c r="J171" i="32"/>
  <c r="I95" i="32"/>
  <c r="J95" i="32"/>
  <c r="I257" i="32"/>
  <c r="J257" i="32"/>
  <c r="I226" i="32"/>
  <c r="J226" i="32"/>
  <c r="I170" i="32"/>
  <c r="J170" i="32"/>
  <c r="I120" i="32"/>
  <c r="J120" i="32"/>
  <c r="I94" i="32"/>
  <c r="J94" i="32"/>
  <c r="I134" i="32"/>
  <c r="J134" i="32"/>
  <c r="I208" i="32"/>
  <c r="J208" i="32"/>
  <c r="I192" i="32"/>
  <c r="J192" i="32"/>
  <c r="I115" i="32"/>
  <c r="J115" i="32"/>
  <c r="I126" i="32"/>
  <c r="J126" i="32"/>
  <c r="I149" i="32"/>
  <c r="J149" i="32"/>
  <c r="I119" i="32"/>
  <c r="J119" i="32"/>
  <c r="I211" i="32"/>
  <c r="J211" i="32"/>
  <c r="I222" i="32"/>
  <c r="J222" i="32"/>
  <c r="I227" i="32"/>
  <c r="J227" i="32"/>
  <c r="I129" i="32"/>
  <c r="J129" i="32"/>
  <c r="I209" i="32"/>
  <c r="J209" i="32"/>
  <c r="I220" i="32"/>
  <c r="J220" i="32"/>
  <c r="I198" i="32"/>
  <c r="J198" i="32"/>
  <c r="I121" i="32"/>
  <c r="J121" i="32"/>
  <c r="I176" i="32"/>
  <c r="J176" i="32"/>
  <c r="I101" i="32"/>
  <c r="J101" i="32"/>
  <c r="I62" i="32"/>
  <c r="J62" i="32"/>
  <c r="I96" i="32"/>
  <c r="J96" i="32"/>
  <c r="I228" i="32"/>
  <c r="J228" i="32"/>
  <c r="I232" i="32"/>
  <c r="J232" i="32"/>
  <c r="I161" i="32"/>
  <c r="J161" i="32"/>
  <c r="I229" i="32"/>
  <c r="J229" i="32"/>
  <c r="I203" i="32"/>
  <c r="J203" i="32"/>
  <c r="I59" i="32"/>
  <c r="J59" i="32"/>
  <c r="I247" i="32"/>
  <c r="J247" i="32"/>
  <c r="I138" i="32"/>
  <c r="J138" i="32"/>
  <c r="I99" i="32"/>
  <c r="J99" i="32"/>
  <c r="I153" i="32"/>
  <c r="J153" i="32"/>
  <c r="I83" i="32"/>
  <c r="J83" i="32"/>
  <c r="I64" i="32"/>
  <c r="J64" i="32"/>
  <c r="I132" i="32"/>
  <c r="J132" i="32"/>
  <c r="I186" i="32"/>
  <c r="J186" i="32"/>
  <c r="I97" i="32"/>
  <c r="J97" i="32"/>
  <c r="I185" i="32"/>
  <c r="J185" i="32"/>
  <c r="I104" i="32"/>
  <c r="J104" i="32"/>
  <c r="I76" i="32"/>
  <c r="J76" i="32"/>
  <c r="I183" i="32"/>
  <c r="J183" i="32"/>
  <c r="I135" i="32"/>
  <c r="J135" i="32"/>
  <c r="I204" i="32"/>
  <c r="J204" i="32"/>
  <c r="I184" i="32"/>
  <c r="J184" i="32"/>
  <c r="I217" i="32"/>
  <c r="J217" i="32"/>
  <c r="I90" i="32"/>
  <c r="J90" i="32"/>
  <c r="I256" i="32"/>
  <c r="J256" i="32"/>
  <c r="I141" i="32"/>
  <c r="J141" i="32"/>
  <c r="I92" i="32"/>
  <c r="J92" i="32"/>
  <c r="I175" i="32"/>
  <c r="J175" i="32"/>
  <c r="I164" i="32"/>
  <c r="J164" i="32"/>
  <c r="I180" i="32"/>
  <c r="J180" i="32"/>
  <c r="I131" i="32"/>
  <c r="J131" i="32"/>
  <c r="I172" i="32"/>
  <c r="J172" i="32"/>
  <c r="I160" i="32"/>
  <c r="J160" i="32"/>
  <c r="I84" i="32"/>
  <c r="J84" i="32"/>
  <c r="I142" i="32"/>
  <c r="J142" i="32"/>
  <c r="I199" i="32"/>
  <c r="J199" i="32"/>
  <c r="I93" i="32"/>
  <c r="J93" i="32"/>
  <c r="I68" i="32"/>
  <c r="J68" i="32"/>
  <c r="I250" i="32"/>
  <c r="J250" i="32"/>
  <c r="I243" i="32"/>
  <c r="J243" i="32"/>
  <c r="I158" i="32"/>
  <c r="J158" i="32"/>
  <c r="I216" i="32"/>
  <c r="J216" i="32"/>
  <c r="I130" i="32"/>
  <c r="J130" i="32"/>
  <c r="I174" i="32"/>
  <c r="J174" i="32"/>
  <c r="I173" i="32"/>
  <c r="J173" i="32"/>
  <c r="I81" i="32"/>
  <c r="J81" i="32"/>
  <c r="I111" i="32"/>
  <c r="J111" i="32"/>
  <c r="I214" i="32"/>
  <c r="J214" i="32"/>
  <c r="I218" i="32"/>
  <c r="J218" i="32"/>
  <c r="I116" i="32"/>
  <c r="J116" i="32"/>
  <c r="I70" i="32"/>
  <c r="J70" i="32"/>
  <c r="I191" i="32"/>
  <c r="J191" i="32"/>
  <c r="I98" i="32"/>
  <c r="J98" i="32"/>
  <c r="I225" i="32"/>
  <c r="J225" i="32"/>
  <c r="I114" i="32"/>
  <c r="J114" i="32"/>
  <c r="I162" i="32"/>
  <c r="J162" i="32"/>
  <c r="I106" i="32"/>
  <c r="J106" i="32"/>
  <c r="I86" i="32"/>
  <c r="J86" i="32"/>
  <c r="I240" i="32"/>
  <c r="J240" i="32"/>
  <c r="I248" i="32"/>
  <c r="J248" i="32"/>
  <c r="I197" i="32"/>
  <c r="J197" i="32"/>
  <c r="I74" i="32"/>
  <c r="J74" i="32"/>
  <c r="I246" i="32"/>
  <c r="J246" i="32"/>
  <c r="I69" i="32"/>
  <c r="J69" i="32"/>
  <c r="I67" i="32"/>
  <c r="J67" i="32"/>
  <c r="I157" i="32"/>
  <c r="J157" i="32"/>
  <c r="I145" i="32"/>
  <c r="J145" i="32"/>
  <c r="I128" i="32"/>
  <c r="J128" i="32"/>
  <c r="I200" i="32"/>
  <c r="J200" i="32"/>
  <c r="I179" i="32"/>
  <c r="J179" i="32"/>
  <c r="I91" i="32"/>
  <c r="J91" i="32"/>
  <c r="I182" i="32"/>
  <c r="J182" i="32"/>
  <c r="I65" i="32"/>
  <c r="J65" i="32"/>
  <c r="I239" i="32"/>
  <c r="J239" i="32"/>
  <c r="I88" i="32"/>
  <c r="J88" i="32"/>
  <c r="I147" i="32"/>
  <c r="J147" i="32"/>
  <c r="I78" i="32"/>
  <c r="J78" i="32"/>
  <c r="I196" i="32"/>
  <c r="J196" i="32"/>
  <c r="I241" i="32"/>
  <c r="J241" i="32"/>
  <c r="I136" i="32"/>
  <c r="J136" i="32"/>
  <c r="I224" i="32"/>
  <c r="J224" i="32"/>
  <c r="I75" i="32"/>
  <c r="J75" i="32"/>
  <c r="I210" i="32"/>
  <c r="J210" i="32"/>
  <c r="I254" i="32"/>
  <c r="J254" i="32"/>
  <c r="I80" i="32"/>
  <c r="J80" i="32"/>
  <c r="I139" i="32"/>
  <c r="J139" i="32"/>
  <c r="I123" i="32"/>
  <c r="J123" i="32"/>
  <c r="I125" i="32"/>
  <c r="J125" i="32"/>
  <c r="I110" i="32"/>
  <c r="J110" i="32"/>
  <c r="I252" i="32"/>
  <c r="J252" i="32"/>
  <c r="I124" i="32"/>
  <c r="J124" i="32"/>
  <c r="I154" i="32"/>
  <c r="J154" i="32"/>
  <c r="I105" i="32"/>
  <c r="J105" i="32"/>
  <c r="I156" i="32"/>
  <c r="J156" i="32"/>
  <c r="I72" i="32"/>
  <c r="J72" i="32"/>
  <c r="I255" i="32"/>
  <c r="J255" i="32"/>
  <c r="I202" i="32"/>
  <c r="J202" i="32"/>
  <c r="I103" i="32"/>
  <c r="J103" i="32"/>
  <c r="I194" i="32"/>
  <c r="J194" i="32"/>
  <c r="I82" i="32"/>
  <c r="J82" i="32"/>
  <c r="I89" i="32"/>
  <c r="J89" i="32"/>
  <c r="I195" i="32"/>
  <c r="J195" i="32"/>
  <c r="I233" i="32"/>
  <c r="J233" i="32"/>
  <c r="I165" i="32"/>
  <c r="J165" i="32"/>
  <c r="I181" i="32"/>
  <c r="J181" i="32"/>
  <c r="I100" i="32"/>
  <c r="J100" i="32"/>
  <c r="I61" i="32"/>
  <c r="J61" i="32"/>
  <c r="I212" i="32"/>
  <c r="J212" i="32"/>
  <c r="I150" i="32"/>
  <c r="J150" i="32"/>
  <c r="I144" i="32"/>
  <c r="J144" i="32"/>
  <c r="I118" i="32"/>
  <c r="J118" i="32"/>
  <c r="I251" i="32"/>
  <c r="J251" i="32"/>
  <c r="I234" i="32"/>
  <c r="J234" i="32"/>
  <c r="I143" i="32"/>
  <c r="J143" i="32"/>
  <c r="I113" i="32"/>
  <c r="J113" i="32"/>
  <c r="I63" i="32"/>
  <c r="J63" i="32"/>
  <c r="I58" i="32"/>
  <c r="J58" i="32"/>
  <c r="I146" i="32"/>
  <c r="J146" i="32"/>
  <c r="I177" i="32"/>
  <c r="J177" i="32"/>
  <c r="I221" i="32"/>
  <c r="J221" i="32"/>
  <c r="I166" i="32"/>
  <c r="J166" i="32"/>
  <c r="I159" i="32"/>
  <c r="J159" i="32"/>
  <c r="I249" i="32"/>
  <c r="J249" i="32"/>
  <c r="I55" i="32"/>
  <c r="J55" i="32"/>
  <c r="E187" i="32"/>
  <c r="H187" i="32"/>
  <c r="E127" i="32"/>
  <c r="H127" i="32"/>
  <c r="E206" i="32"/>
  <c r="H206" i="32"/>
  <c r="E77" i="32"/>
  <c r="H77" i="32"/>
  <c r="E167" i="32"/>
  <c r="H167" i="32"/>
  <c r="E201" i="32"/>
  <c r="H201" i="32"/>
  <c r="E238" i="32"/>
  <c r="H238" i="32"/>
  <c r="E133" i="32"/>
  <c r="H133" i="32"/>
  <c r="E231" i="32"/>
  <c r="H231" i="32"/>
  <c r="E230" i="32"/>
  <c r="H230" i="32"/>
  <c r="E107" i="32"/>
  <c r="H107" i="32"/>
  <c r="E190" i="32"/>
  <c r="H190" i="32"/>
  <c r="E151" i="32"/>
  <c r="H151" i="32"/>
  <c r="E253" i="32"/>
  <c r="H253" i="32"/>
  <c r="E215" i="32"/>
  <c r="H215" i="32"/>
  <c r="E117" i="32"/>
  <c r="H117" i="32"/>
  <c r="E66" i="32"/>
  <c r="H66" i="32"/>
  <c r="E137" i="32"/>
  <c r="H137" i="32"/>
  <c r="E122" i="32"/>
  <c r="H122" i="32"/>
  <c r="E73" i="32"/>
  <c r="H73" i="32"/>
  <c r="E168" i="32"/>
  <c r="H168" i="32"/>
  <c r="E188" i="32"/>
  <c r="H188" i="32"/>
  <c r="E219" i="32"/>
  <c r="H219" i="32"/>
  <c r="E148" i="32"/>
  <c r="H148" i="32"/>
  <c r="E152" i="32"/>
  <c r="H152" i="32"/>
  <c r="E87" i="32"/>
  <c r="H87" i="32"/>
  <c r="E223" i="32"/>
  <c r="H223" i="32"/>
  <c r="E189" i="32"/>
  <c r="H189" i="32"/>
  <c r="E102" i="32"/>
  <c r="H102" i="32"/>
  <c r="E60" i="32"/>
  <c r="H60" i="32"/>
  <c r="E236" i="32"/>
  <c r="H236" i="32"/>
  <c r="E71" i="32"/>
  <c r="H71" i="32"/>
  <c r="E56" i="32"/>
  <c r="H56" i="32"/>
  <c r="E242" i="32"/>
  <c r="H242" i="32"/>
  <c r="E205" i="32"/>
  <c r="H205" i="32"/>
  <c r="E112" i="32"/>
  <c r="H112" i="32"/>
  <c r="E85" i="32"/>
  <c r="H85" i="32"/>
  <c r="E109" i="32"/>
  <c r="H109" i="32"/>
  <c r="E79" i="32"/>
  <c r="H79" i="32"/>
  <c r="E108" i="32"/>
  <c r="H108" i="32"/>
  <c r="E207" i="32"/>
  <c r="H207" i="32"/>
  <c r="E169" i="32"/>
  <c r="H169" i="32"/>
  <c r="E155" i="32"/>
  <c r="H155" i="32"/>
  <c r="E245" i="32"/>
  <c r="H245" i="32"/>
  <c r="E140" i="32"/>
  <c r="H140" i="32"/>
  <c r="E244" i="32"/>
  <c r="H244" i="32"/>
  <c r="E213" i="32"/>
  <c r="H213" i="32"/>
  <c r="E235" i="32"/>
  <c r="H235" i="32"/>
  <c r="E163" i="32"/>
  <c r="H163" i="32"/>
  <c r="E57" i="32"/>
  <c r="H57" i="32"/>
  <c r="E237" i="32"/>
  <c r="H237" i="32"/>
  <c r="E193" i="32"/>
  <c r="H193" i="32"/>
  <c r="E178" i="32"/>
  <c r="H178" i="32"/>
  <c r="E171" i="32"/>
  <c r="H171" i="32"/>
  <c r="E95" i="32"/>
  <c r="H95" i="32"/>
  <c r="E257" i="32"/>
  <c r="H257" i="32"/>
  <c r="E226" i="32"/>
  <c r="H226" i="32"/>
  <c r="E170" i="32"/>
  <c r="H170" i="32"/>
  <c r="E120" i="32"/>
  <c r="H120" i="32"/>
  <c r="E94" i="32"/>
  <c r="H94" i="32"/>
  <c r="E134" i="32"/>
  <c r="H134" i="32"/>
  <c r="E208" i="32"/>
  <c r="H208" i="32"/>
  <c r="E192" i="32"/>
  <c r="H192" i="32"/>
  <c r="E115" i="32"/>
  <c r="H115" i="32"/>
  <c r="E126" i="32"/>
  <c r="H126" i="32"/>
  <c r="E149" i="32"/>
  <c r="H149" i="32"/>
  <c r="E119" i="32"/>
  <c r="H119" i="32"/>
  <c r="E211" i="32"/>
  <c r="H211" i="32"/>
  <c r="E222" i="32"/>
  <c r="H222" i="32"/>
  <c r="E227" i="32"/>
  <c r="H227" i="32"/>
  <c r="E129" i="32"/>
  <c r="H129" i="32"/>
  <c r="E209" i="32"/>
  <c r="H209" i="32"/>
  <c r="E220" i="32"/>
  <c r="H220" i="32"/>
  <c r="E198" i="32"/>
  <c r="H198" i="32"/>
  <c r="E121" i="32"/>
  <c r="H121" i="32"/>
  <c r="E176" i="32"/>
  <c r="H176" i="32"/>
  <c r="E101" i="32"/>
  <c r="H101" i="32"/>
  <c r="E62" i="32"/>
  <c r="H62" i="32"/>
  <c r="E96" i="32"/>
  <c r="H96" i="32"/>
  <c r="E228" i="32"/>
  <c r="H228" i="32"/>
  <c r="E232" i="32"/>
  <c r="H232" i="32"/>
  <c r="E161" i="32"/>
  <c r="H161" i="32"/>
  <c r="E229" i="32"/>
  <c r="H229" i="32"/>
  <c r="E203" i="32"/>
  <c r="H203" i="32"/>
  <c r="E247" i="32"/>
  <c r="H247" i="32"/>
  <c r="E138" i="32"/>
  <c r="H138" i="32"/>
  <c r="E99" i="32"/>
  <c r="H99" i="32"/>
  <c r="E153" i="32"/>
  <c r="H153" i="32"/>
  <c r="E83" i="32"/>
  <c r="H83" i="32"/>
  <c r="E64" i="32"/>
  <c r="H64" i="32"/>
  <c r="E132" i="32"/>
  <c r="H132" i="32"/>
  <c r="E186" i="32"/>
  <c r="H186" i="32"/>
  <c r="E97" i="32"/>
  <c r="H97" i="32"/>
  <c r="E185" i="32"/>
  <c r="H185" i="32"/>
  <c r="E104" i="32"/>
  <c r="H104" i="32"/>
  <c r="E76" i="32"/>
  <c r="H76" i="32"/>
  <c r="E183" i="32"/>
  <c r="H183" i="32"/>
  <c r="E135" i="32"/>
  <c r="H135" i="32"/>
  <c r="E204" i="32"/>
  <c r="H204" i="32"/>
  <c r="E184" i="32"/>
  <c r="H184" i="32"/>
  <c r="E217" i="32"/>
  <c r="H217" i="32"/>
  <c r="E90" i="32"/>
  <c r="H90" i="32"/>
  <c r="E256" i="32"/>
  <c r="H256" i="32"/>
  <c r="E141" i="32"/>
  <c r="H141" i="32"/>
  <c r="E92" i="32"/>
  <c r="H92" i="32"/>
  <c r="E175" i="32"/>
  <c r="H175" i="32"/>
  <c r="E164" i="32"/>
  <c r="H164" i="32"/>
  <c r="E180" i="32"/>
  <c r="H180" i="32"/>
  <c r="E131" i="32"/>
  <c r="H131" i="32"/>
  <c r="E172" i="32"/>
  <c r="H172" i="32"/>
  <c r="E160" i="32"/>
  <c r="H160" i="32"/>
  <c r="E84" i="32"/>
  <c r="H84" i="32"/>
  <c r="E142" i="32"/>
  <c r="H142" i="32"/>
  <c r="E199" i="32"/>
  <c r="H199" i="32"/>
  <c r="E93" i="32"/>
  <c r="H93" i="32"/>
  <c r="E68" i="32"/>
  <c r="H68" i="32"/>
  <c r="E250" i="32"/>
  <c r="H250" i="32"/>
  <c r="E243" i="32"/>
  <c r="H243" i="32"/>
  <c r="E158" i="32"/>
  <c r="H158" i="32"/>
  <c r="E216" i="32"/>
  <c r="H216" i="32"/>
  <c r="E130" i="32"/>
  <c r="H130" i="32"/>
  <c r="E174" i="32"/>
  <c r="H174" i="32"/>
  <c r="E173" i="32"/>
  <c r="H173" i="32"/>
  <c r="E81" i="32"/>
  <c r="H81" i="32"/>
  <c r="E111" i="32"/>
  <c r="H111" i="32"/>
  <c r="E214" i="32"/>
  <c r="H214" i="32"/>
  <c r="E218" i="32"/>
  <c r="H218" i="32"/>
  <c r="E116" i="32"/>
  <c r="H116" i="32"/>
  <c r="E70" i="32"/>
  <c r="H70" i="32"/>
  <c r="E191" i="32"/>
  <c r="H191" i="32"/>
  <c r="E98" i="32"/>
  <c r="H98" i="32"/>
  <c r="E225" i="32"/>
  <c r="H225" i="32"/>
  <c r="E114" i="32"/>
  <c r="H114" i="32"/>
  <c r="E162" i="32"/>
  <c r="H162" i="32"/>
  <c r="E106" i="32"/>
  <c r="H106" i="32"/>
  <c r="E86" i="32"/>
  <c r="H86" i="32"/>
  <c r="E240" i="32"/>
  <c r="H240" i="32"/>
  <c r="E248" i="32"/>
  <c r="H248" i="32"/>
  <c r="E197" i="32"/>
  <c r="H197" i="32"/>
  <c r="E74" i="32"/>
  <c r="H74" i="32"/>
  <c r="E246" i="32"/>
  <c r="H246" i="32"/>
  <c r="E69" i="32"/>
  <c r="H69" i="32"/>
  <c r="E67" i="32"/>
  <c r="H67" i="32"/>
  <c r="E157" i="32"/>
  <c r="H157" i="32"/>
  <c r="E145" i="32"/>
  <c r="H145" i="32"/>
  <c r="E128" i="32"/>
  <c r="H128" i="32"/>
  <c r="E200" i="32"/>
  <c r="H200" i="32"/>
  <c r="E179" i="32"/>
  <c r="H179" i="32"/>
  <c r="E91" i="32"/>
  <c r="H91" i="32"/>
  <c r="E182" i="32"/>
  <c r="H182" i="32"/>
  <c r="E65" i="32"/>
  <c r="H65" i="32"/>
  <c r="E239" i="32"/>
  <c r="H239" i="32"/>
  <c r="E88" i="32"/>
  <c r="H88" i="32"/>
  <c r="E147" i="32"/>
  <c r="H147" i="32"/>
  <c r="E78" i="32"/>
  <c r="H78" i="32"/>
  <c r="E196" i="32"/>
  <c r="H196" i="32"/>
  <c r="E241" i="32"/>
  <c r="H241" i="32"/>
  <c r="E136" i="32"/>
  <c r="H136" i="32"/>
  <c r="E224" i="32"/>
  <c r="H224" i="32"/>
  <c r="E75" i="32"/>
  <c r="H75" i="32"/>
  <c r="E210" i="32"/>
  <c r="H210" i="32"/>
  <c r="E254" i="32"/>
  <c r="H254" i="32"/>
  <c r="E80" i="32"/>
  <c r="H80" i="32"/>
  <c r="E139" i="32"/>
  <c r="H139" i="32"/>
  <c r="E123" i="32"/>
  <c r="H123" i="32"/>
  <c r="E125" i="32"/>
  <c r="H125" i="32"/>
  <c r="E110" i="32"/>
  <c r="H110" i="32"/>
  <c r="E252" i="32"/>
  <c r="H252" i="32"/>
  <c r="E124" i="32"/>
  <c r="H124" i="32"/>
  <c r="E154" i="32"/>
  <c r="H154" i="32"/>
  <c r="E105" i="32"/>
  <c r="H105" i="32"/>
  <c r="E156" i="32"/>
  <c r="H156" i="32"/>
  <c r="E72" i="32"/>
  <c r="H72" i="32"/>
  <c r="E255" i="32"/>
  <c r="H255" i="32"/>
  <c r="E202" i="32"/>
  <c r="H202" i="32"/>
  <c r="E103" i="32"/>
  <c r="H103" i="32"/>
  <c r="E194" i="32"/>
  <c r="H194" i="32"/>
  <c r="E82" i="32"/>
  <c r="H82" i="32"/>
  <c r="E89" i="32"/>
  <c r="H89" i="32"/>
  <c r="E195" i="32"/>
  <c r="H195" i="32"/>
  <c r="E233" i="32"/>
  <c r="H233" i="32"/>
  <c r="E165" i="32"/>
  <c r="H165" i="32"/>
  <c r="E181" i="32"/>
  <c r="H181" i="32"/>
  <c r="E100" i="32"/>
  <c r="H100" i="32"/>
  <c r="E61" i="32"/>
  <c r="H61" i="32"/>
  <c r="E212" i="32"/>
  <c r="H212" i="32"/>
  <c r="E59" i="32"/>
  <c r="H59" i="32"/>
  <c r="E150" i="32"/>
  <c r="H150" i="32"/>
  <c r="E144" i="32"/>
  <c r="H144" i="32"/>
  <c r="E118" i="32"/>
  <c r="H118" i="32"/>
  <c r="E251" i="32"/>
  <c r="H251" i="32"/>
  <c r="E234" i="32"/>
  <c r="H234" i="32"/>
  <c r="E143" i="32"/>
  <c r="H143" i="32"/>
  <c r="E113" i="32"/>
  <c r="H113" i="32"/>
  <c r="E63" i="32"/>
  <c r="H63" i="32"/>
  <c r="E58" i="32"/>
  <c r="H58" i="32"/>
  <c r="E146" i="32"/>
  <c r="H146" i="32"/>
  <c r="E177" i="32"/>
  <c r="H177" i="32"/>
  <c r="E221" i="32"/>
  <c r="H221" i="32"/>
  <c r="E166" i="32"/>
  <c r="H166" i="32"/>
  <c r="E159" i="32"/>
  <c r="H159" i="32"/>
  <c r="E249" i="32"/>
  <c r="H249" i="32"/>
  <c r="E55" i="32"/>
  <c r="H55" i="32"/>
  <c r="C4" i="42"/>
  <c r="Q9" i="32" s="1"/>
  <c r="Q8" i="32"/>
  <c r="D3" i="42"/>
  <c r="S8" i="32" s="1"/>
  <c r="Q7" i="32"/>
  <c r="D2" i="42"/>
  <c r="S7" i="32" s="1"/>
  <c r="H54" i="32" l="1"/>
  <c r="E54" i="32"/>
  <c r="I54" i="32"/>
  <c r="J54" i="32"/>
  <c r="D4" i="42"/>
  <c r="S9" i="32" s="1"/>
  <c r="H39" i="24" l="1"/>
  <c r="H97" i="24" l="1"/>
  <c r="S97" i="24"/>
  <c r="AE8" i="24" s="1" a="1"/>
  <c r="AE8" i="24" s="1"/>
  <c r="S98" i="24"/>
  <c r="AF8" i="24" s="1" a="1"/>
  <c r="AF8" i="24" s="1"/>
  <c r="AG8" i="24" l="1"/>
  <c r="H93" i="24"/>
  <c r="G93" i="24"/>
  <c r="H71" i="24" l="1"/>
  <c r="H79" i="24" l="1"/>
  <c r="G79" i="24"/>
  <c r="H83" i="24"/>
  <c r="G83" i="24"/>
  <c r="H85" i="24"/>
  <c r="H81" i="24"/>
  <c r="G81" i="24"/>
  <c r="H89" i="24"/>
  <c r="G89" i="24"/>
  <c r="H55" i="24"/>
  <c r="G55" i="24"/>
  <c r="H75" i="24"/>
  <c r="G75" i="24"/>
  <c r="H53" i="24"/>
  <c r="G53" i="24"/>
  <c r="G31" i="24"/>
  <c r="H91" i="24"/>
  <c r="G91" i="24"/>
  <c r="H87" i="24"/>
  <c r="G87" i="24"/>
  <c r="H77" i="24"/>
  <c r="G77" i="24"/>
  <c r="H57" i="24" l="1"/>
  <c r="G57" i="24"/>
  <c r="S60" i="24"/>
  <c r="H59" i="24"/>
  <c r="G59" i="24"/>
  <c r="G43" i="24"/>
  <c r="W25" i="24" l="1" a="1"/>
  <c r="W25" i="24" s="1"/>
  <c r="W24" i="24" a="1"/>
  <c r="W24" i="24" s="1"/>
  <c r="W23" i="24" a="1"/>
  <c r="W23" i="24" s="1"/>
  <c r="W21" i="24" a="1"/>
  <c r="W21" i="24" s="1"/>
  <c r="W15" i="24" a="1"/>
  <c r="W15" i="24" s="1"/>
  <c r="W19" i="24" a="1"/>
  <c r="W19" i="24" s="1"/>
  <c r="W13" i="24" a="1"/>
  <c r="W13" i="24" s="1"/>
  <c r="W10" i="24" a="1"/>
  <c r="W10" i="24" s="1"/>
  <c r="W18" i="24" a="1"/>
  <c r="W18" i="24" s="1"/>
  <c r="W16" i="24" a="1"/>
  <c r="W16" i="24" s="1"/>
  <c r="W6" i="24" a="1"/>
  <c r="W6" i="24" s="1"/>
  <c r="W9" i="24" a="1"/>
  <c r="W9" i="24" s="1"/>
  <c r="W20" i="24" a="1"/>
  <c r="W20" i="24" s="1"/>
  <c r="W12" i="24" a="1"/>
  <c r="W12" i="24" s="1"/>
  <c r="W11" i="24" a="1"/>
  <c r="W11" i="24" s="1"/>
  <c r="W22" i="24" a="1"/>
  <c r="W22" i="24" s="1"/>
  <c r="W7" i="24" a="1"/>
  <c r="W7" i="24" s="1"/>
  <c r="W8" i="24" a="1"/>
  <c r="W8" i="24" s="1"/>
  <c r="W17" i="24" a="1"/>
  <c r="W17" i="24" s="1"/>
  <c r="W14" i="24" a="1"/>
  <c r="W14" i="24" s="1"/>
  <c r="H69" i="24"/>
  <c r="H65" i="24"/>
  <c r="X151" i="24" s="1" a="1"/>
  <c r="X151" i="24" s="1"/>
  <c r="T41" i="9" s="1"/>
  <c r="P151" i="24" l="1" a="1"/>
  <c r="P151" i="24" s="1"/>
  <c r="L41" i="9" s="1"/>
  <c r="Q151" i="24" a="1"/>
  <c r="Q151" i="24" s="1"/>
  <c r="M41" i="9" s="1"/>
  <c r="W151" i="24" a="1"/>
  <c r="W151" i="24" s="1"/>
  <c r="S41" i="9" s="1"/>
  <c r="S151" i="24" a="1"/>
  <c r="S151" i="24" s="1"/>
  <c r="O41" i="9" s="1"/>
  <c r="U151" i="24" a="1"/>
  <c r="U151" i="24" s="1"/>
  <c r="Q41" i="9" s="1"/>
  <c r="Z151" i="24" a="1"/>
  <c r="Z151" i="24" s="1"/>
  <c r="V41" i="9" s="1"/>
  <c r="AA151" i="24" a="1"/>
  <c r="AA151" i="24" s="1"/>
  <c r="W41" i="9" s="1"/>
  <c r="T151" i="24" a="1"/>
  <c r="T151" i="24" s="1"/>
  <c r="P41" i="9" s="1"/>
  <c r="V151" i="24" a="1"/>
  <c r="V151" i="24" s="1"/>
  <c r="R41" i="9" s="1"/>
  <c r="Y151" i="24" a="1"/>
  <c r="Y151" i="24" s="1"/>
  <c r="U41" i="9" s="1"/>
  <c r="R151" i="24" a="1"/>
  <c r="R151" i="24" s="1"/>
  <c r="N41" i="9" s="1"/>
  <c r="L258" i="32" a="1"/>
  <c r="L258" i="32" s="1"/>
  <c r="K258" i="32"/>
  <c r="E268" i="32"/>
  <c r="E266" i="32"/>
  <c r="E269" i="32"/>
  <c r="E267" i="32"/>
  <c r="E270" i="32"/>
  <c r="E265" i="32"/>
  <c r="F265" i="32"/>
  <c r="F266" i="32"/>
  <c r="F269" i="32"/>
  <c r="F268" i="32"/>
  <c r="F270" i="32"/>
  <c r="F267" i="32"/>
  <c r="J258" i="32"/>
  <c r="M258"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tc={28759D42-4F8A-4AC4-B849-79496CC87E09}</author>
    <author>tc={4DF03FE9-7CA2-468A-9517-04DEC2B8E99D}</author>
    <author>Janderson Bezerra de Oliveira</author>
    <author>tc={BB7C98AD-2251-4C44-ACEB-B2DA8D7167B2}</author>
    <author>tc={676CD507-2FE5-4E54-8EFB-77C0B9BCDEA3}</author>
    <author>tc={E9DC6DE0-6D4F-4D55-8A98-DC1B2389B2DA}</author>
    <author>tc={AB0D28BA-B3BC-454D-A3F5-89DCE350A700}</author>
    <author>tc={B90ED909-B286-44F7-8740-283945A902CC}</author>
    <author>tc={A1B78FEA-2677-4BF5-BB7F-6C9ABA46D0C7}</author>
    <author>tc={9C283E7A-D43D-46F7-B1FD-B2EBC09E60A7}</author>
    <author>tc={D83B51F4-8645-4F56-98F1-531ED4C00E90}</author>
    <author>tc={7E8C0128-7755-48B3-91AB-C09B3489A577}</author>
    <author>tc={9FC3433F-7D84-40E0-B700-7E8537B51233}</author>
    <author>tc={5A43565F-B0BF-4D35-94B7-73AE73DFC2AB}</author>
    <author>tc={2DB277DB-B588-445F-828F-5F6F541C64F1}</author>
    <author>tc={3C057EED-A86A-4CA6-ACFC-77AC795147FD}</author>
    <author>tc={10D38F70-6A31-4741-82BC-070C48D97B29}</author>
    <author>tc={8E8634D2-F205-40BD-9096-E99A464D2CC8}</author>
    <author>tc={71865C6C-167A-4E96-A15A-729816200225}</author>
    <author>tc={9AD07D01-7A28-4159-A9C7-0BAA2AB5CE21}</author>
    <author>tc={D96BD6C1-A00E-456E-B5B2-1D72D0329129}</author>
    <author>tc={55FE89BC-2213-44FE-A124-56344DA4DBC7}</author>
    <author>tc={3688039B-B610-4CD3-B2D3-44B6577C54EA}</author>
    <author>tc={BBC5978B-3F4E-4AEB-85F5-A7EA1C414133}</author>
    <author>tc={02E07E83-1B8B-4A6C-97F0-20E0649452F3}</author>
    <author>tc={0D74F7D7-93F7-4476-AA1A-3DCB67E0A57C}</author>
    <author>tc={D90BA3A0-8033-4827-AC8F-956FBBE4FD65}</author>
    <author>tc={F8F3DFD2-F49E-4D24-BD03-5CAD63688474}</author>
    <author>tc={8AD98D8B-ED85-456D-B62C-7276F5911BAA}</author>
    <author>tc={0B6C7B7A-9CCB-4476-ACC8-7673B822528E}</author>
    <author>tc={260B6D02-4416-45F3-8E82-6812914771FD}</author>
    <author>tc={4BF225A5-F752-4589-B1ED-02C5EEFEBC47}</author>
    <author>tc={817153C8-6DC8-4DF2-B184-1B97EE56D69E}</author>
    <author>tc={298E6972-510E-4102-B577-CEA45B4F4B91}</author>
    <author>tc={6DDA57E5-3655-4953-9569-CE5945E4F70F}</author>
    <author>tc={AD46BC94-777C-48CC-9292-805537A3EF33}</author>
    <author>tc={5897A164-4E0C-4EE3-8FA8-CA10A652B9CC}</author>
    <author>tc={7CEEFAAD-1CD5-405D-A68D-4C602F4F79CA}</author>
    <author>tc={33242355-8A05-4206-830A-C59703272FBA}</author>
    <author>tc={809B165B-6796-4DA9-A728-3035529DB397}</author>
    <author>Carolina Reis Machado Rodrigues</author>
    <author>tc={B8C6082A-1CA3-4C02-8F8C-D1C222F2224C}</author>
    <author>tc={7498A677-8EF2-4F38-8764-AEDC2252145E}</author>
    <author>tc={2E265D4F-8EAE-49CC-B73A-C3FBFA173303}</author>
    <author>tc={9CE49821-AD90-46C7-B1A0-02794ACF4E10}</author>
    <author>tc={E37ACD5E-DE92-4E10-AC14-E7DA259C61E9}</author>
    <author>tc={CEB78264-27F6-4317-9E14-AA87CEB25979}</author>
    <author>tc={1C15A06B-72CF-48D2-ADBD-69452259D7E6}</author>
    <author>tc={4C844F29-B281-4629-83D1-E7AD1576E12D}</author>
  </authors>
  <commentList>
    <comment ref="O4" authorId="0" shapeId="0" xr:uid="{28759D42-4F8A-4AC4-B849-79496CC87E0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U18" authorId="1" shapeId="0" xr:uid="{4DF03FE9-7CA2-468A-9517-04DEC2B8E9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 Prima ainda não acabou</t>
      </text>
    </comment>
    <comment ref="AD18" authorId="2" shapeId="0" xr:uid="{D1CA5E46-7572-47C2-9C15-AA903EF77850}">
      <text>
        <r>
          <rPr>
            <b/>
            <sz val="9"/>
            <color indexed="81"/>
            <rFont val="Segoe UI"/>
            <family val="2"/>
          </rPr>
          <t>Janderson Bezerra de Oliveira</t>
        </r>
        <r>
          <rPr>
            <sz val="9"/>
            <color indexed="81"/>
            <rFont val="Segoe UI"/>
            <family val="2"/>
          </rPr>
          <t xml:space="preserve">
</t>
        </r>
        <r>
          <rPr>
            <b/>
            <sz val="9"/>
            <color indexed="81"/>
            <rFont val="Segoe UI"/>
            <family val="2"/>
          </rPr>
          <t xml:space="preserve">05/05/2026: </t>
        </r>
        <r>
          <rPr>
            <sz val="9"/>
            <color indexed="81"/>
            <rFont val="Segoe UI"/>
            <family val="2"/>
          </rPr>
          <t xml:space="preserve">Aguardando concumo de MP com dimensões atuais, para então, virar a chave no sistema SAP. </t>
        </r>
      </text>
    </comment>
    <comment ref="B29" authorId="3" shapeId="0" xr:uid="{BB7C98AD-2251-4C44-ACEB-B2DA8D7167B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4" shapeId="0" xr:uid="{676CD507-2FE5-4E54-8EFB-77C0B9BCDEA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5" shapeId="0" xr:uid="{E9DC6DE0-6D4F-4D55-8A98-DC1B2389B2D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6" shapeId="0" xr:uid="{AB0D28BA-B3BC-454D-A3F5-89DCE350A7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4" authorId="2" shapeId="0" xr:uid="{0356147A-C73C-4B3E-A405-BA3FD6EA34A3}">
      <text>
        <r>
          <rPr>
            <b/>
            <sz val="9"/>
            <color indexed="81"/>
            <rFont val="Segoe UI"/>
            <family val="2"/>
          </rPr>
          <t>Janderson Bezerra de Oliveira:</t>
        </r>
        <r>
          <rPr>
            <sz val="9"/>
            <color indexed="81"/>
            <rFont val="Segoe UI"/>
            <family val="2"/>
          </rPr>
          <t xml:space="preserve">
2 acidentes com afastamento
1 - 13/01/2026 - 5 dias (corte no dedo)
2 - 31/01/2026 - 21 dias (fratura de ponta de dedo)</t>
        </r>
      </text>
    </comment>
    <comment ref="J44" authorId="2" shapeId="0" xr:uid="{B13D8073-019E-4278-A04A-CA659F892850}">
      <text>
        <r>
          <rPr>
            <b/>
            <sz val="9"/>
            <color indexed="81"/>
            <rFont val="Segoe UI"/>
            <family val="2"/>
          </rPr>
          <t xml:space="preserve">Janderson Bezerra de Oliveira:
</t>
        </r>
        <r>
          <rPr>
            <sz val="9"/>
            <color indexed="81"/>
            <rFont val="Segoe UI"/>
            <family val="2"/>
          </rPr>
          <t xml:space="preserve">2 acidentes com afastamento
1 - 11/02/2026 - 3 dias (corte no dorso da mão)
2 - 26/02/2026 - 7 dias (contusão no dedo)
</t>
        </r>
      </text>
    </comment>
    <comment ref="L44" authorId="2" shapeId="0" xr:uid="{911D124C-062D-4358-8D7D-46D4FFDCF6E3}">
      <text>
        <r>
          <rPr>
            <b/>
            <sz val="9"/>
            <color indexed="81"/>
            <rFont val="Segoe UI"/>
            <family val="2"/>
          </rPr>
          <t>Janderson Bezerra de Oliveira:</t>
        </r>
        <r>
          <rPr>
            <sz val="9"/>
            <color indexed="81"/>
            <rFont val="Segoe UI"/>
            <family val="2"/>
          </rPr>
          <t xml:space="preserve">
1 acidente; Dedo. 5 dias</t>
        </r>
      </text>
    </comment>
    <comment ref="G47" authorId="2" shapeId="0" xr:uid="{73EE0D96-02E7-423B-8A00-0048804473C6}">
      <text>
        <r>
          <rPr>
            <b/>
            <sz val="9"/>
            <color indexed="81"/>
            <rFont val="Segoe UI"/>
            <family val="2"/>
          </rPr>
          <t>Janderson Bezerra de Oliveira:</t>
        </r>
        <r>
          <rPr>
            <sz val="9"/>
            <color indexed="81"/>
            <rFont val="Segoe UI"/>
            <family val="2"/>
          </rPr>
          <t xml:space="preserve">
A meta foi definida considerando 2T para 2026
Em 2025 eram 3T</t>
        </r>
      </text>
    </comment>
    <comment ref="J49" authorId="7" shapeId="0" xr:uid="{B90ED909-B286-44F7-8740-283945A902C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melhor em Janeiro R$170000 MOD e MOI controle e Redução de HE nas áreas suportes EBITDA R$360000 Melhor no bimestre contra Budget </t>
      </text>
    </comment>
    <comment ref="L49" authorId="8" shapeId="0" xr:uid="{A1B78FEA-2677-4BF5-BB7F-6C9ABA46D0C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R$ 16.000,00 Positivo , Faturamento no mês foi maior, melhora na margem VA e GGF conseguiu absorver o aumento de faturamento , proporcionando  margem bruta positivo.  </t>
      </text>
    </comment>
    <comment ref="U56" authorId="9" shapeId="0" xr:uid="{9C283E7A-D43D-46F7-B1FD-B2EBC09E60A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 material novo passou a ser cortado e utilizado a partir de 12/03 - desconsiderada as qtds faturadas anteriores a essa data.
Se fosse no mês todo, o ganho real seria cerca de 19k.</t>
      </text>
    </comment>
    <comment ref="N57" authorId="10" shapeId="0" xr:uid="{D83B51F4-8645-4F56-98F1-531ED4C00E9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aguardando definição da Diretoria se seguiremos com Kaizens de energia
Resposta:
    DEFINIDO que esse tipo de Kaizen deve sair do controle - deve ser considerado nas questões de performance.
</t>
      </text>
    </comment>
    <comment ref="N63" authorId="11" shapeId="0" xr:uid="{7E8C0128-7755-48B3-91AB-C09B3489A57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Calculo validado, considerando a previsao de ganho inicial que foi de Fev a Dez. 
- ganho real considerado a partir de Março, com a mudança efetica do contrato e dos pagamentos.</t>
      </text>
    </comment>
    <comment ref="X66" authorId="12" shapeId="0" xr:uid="{9FC3433F-7D84-40E0-B700-7E8537B5123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 mês ainda sem ganho, pois tivemos o pagamento das rescisões.</t>
      </text>
    </comment>
    <comment ref="N67" authorId="13" shapeId="0" xr:uid="{5A43565F-B0BF-4D35-94B7-73AE73DFC2A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aguardando definição da Diretoria se seguiremos com Kaizens de Consumo de agua.
Resposta:
    DEFINIDO que esse tipo de Kaizen deve sair do controle - deve ser considerado nas questões de performance.</t>
      </text>
    </comment>
    <comment ref="X70" authorId="14" shapeId="0" xr:uid="{2DB277DB-B588-445F-828F-5F6F541C64F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atualizada com pesos menores do que o proposto e também não foi atualizada a chapa proposta (permaneceu a mesma) - CONFIRMAR DADOS.</t>
      </text>
    </comment>
    <comment ref="N71" authorId="15" shapeId="0" xr:uid="{3C057EED-A86A-4CA6-ACFC-77AC795147F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DEFINIDO que esse tipo de Kaizen deve sair do controle - deve ser considerado nas questões de performance.</t>
      </text>
    </comment>
    <comment ref="N73" authorId="16" shapeId="0" xr:uid="{10D38F70-6A31-4741-82BC-070C48D97B2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do Izaias - sobre memoria de calculo.
De onde foram retirados os valores e quantidades do arame.
Necessario tb o codigo dos arames.</t>
      </text>
    </comment>
    <comment ref="N79" authorId="17" shapeId="0" xr:uid="{8E8634D2-F205-40BD-9096-E99A464D2CC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Custo da porca = 0,155750 (9 meses de economia) 
última entrada em Diadema - NFs (11/25) 
Resposta:
    Por favor, enviar em qual codigo Delga realizamos essa reduçao - no A3 tem apenas A9792901919 .</t>
      </text>
    </comment>
    <comment ref="W80" authorId="18" shapeId="0" xr:uid="{71865C6C-167A-4E96-A15A-72981620022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Por favor, enviar em qual codigo Delga realizamos essa reduçao - no A3 tem apenas A9792901919 .</t>
      </text>
    </comment>
    <comment ref="X80" authorId="19" shapeId="0" xr:uid="{9AD07D01-7A28-4159-A9C7-0BAA2AB5CE2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Por favor, enviar em qual codigo Delga realizamos essa reduçao - no A3 tem apenas A9792901919 .</t>
      </text>
    </comment>
    <comment ref="T82" authorId="20" shapeId="0" xr:uid="{D96BD6C1-A00E-456E-B5B2-1D72D032912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Valor associado ao volume de 1259 pcs  faturadas ( contra 1050 projetada em Budget, utilizada no calculo previsto)</t>
      </text>
    </comment>
    <comment ref="I89" authorId="21" shapeId="0" xr:uid="{55FE89BC-2213-44FE-A124-56344DA4DBC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20k referente a venda de lavadora NF589224 01/06/2026
Resposta:
    26k referente a venda de sucata NF 589563
10/06/2026</t>
      </text>
    </comment>
    <comment ref="S94" authorId="22" shapeId="0" xr:uid="{3688039B-B610-4CD3-B2D3-44B6577C54E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possui um Budget de 20k mensal e esse mês gastou 28k - representando -0,05% de "redução real" sobre o faturamento total do mês. Resultando em 6k a mais do que o planejado.
</t>
      </text>
    </comment>
    <comment ref="T94" authorId="23" shapeId="0" xr:uid="{BBC5978B-3F4E-4AEB-85F5-A7EA1C41413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possui um Budget de 40k mensal e esse mês gastou 110k - representando -0,43% de "redução" sobre o faturamento total do mês. Resultando em 67k a mais do que o planejado.
</t>
      </text>
    </comment>
    <comment ref="N97" authorId="24" shapeId="0" xr:uid="{02E07E83-1B8B-4A6C-97F0-20E0649452F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Conversado com Bruno na semana passada, ele irá revisitar o projeto, pois tivemos algumas duvidas e precisamos entender como será feito a validação mensal desse kaizen
Resposta:
    Em revisao com Bruno, confirmar se iremos retirar esse projeto devido a forma de medição incompativel com o sistema</t>
      </text>
    </comment>
    <comment ref="N103" authorId="25" shapeId="0" xr:uid="{0D74F7D7-93F7-4476-AA1A-3DCB67E0A5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Revisado em Abril - novo calculo de peso.</t>
      </text>
    </comment>
    <comment ref="U108" authorId="26" shapeId="0" xr:uid="{D90BA3A0-8033-4827-AC8F-956FBBE4FD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alinhametno com Bruno (22/04) no momento = Sem retorno calculado, LT no sistema ainda consta com o peso antigo do material (8,403 e não 8,242kgs como proposto)</t>
      </text>
    </comment>
    <comment ref="N109" authorId="27" shapeId="0" xr:uid="{F8F3DFD2-F49E-4D24-BD03-5CAD6368847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Diferenças de cadastro - validar em reuniao.
Volume considerando apenas o  SV205Z - pois o 206Z não foi considerado no Budget.
Resposta:
    Em revisao com Bruno - veirificar historico da LT cadastrada e processo atual (A premissa de validaçao é o Budget e na lista de 11/2025 não constavam esses materiais no cadastro..</t>
      </text>
    </comment>
    <comment ref="N111" authorId="28" shapeId="0" xr:uid="{8AD98D8B-ED85-456D-B62C-7276F5911B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Ganho previsto considerando as duas peças - o valor de entrada das ultimas MPs está bem inferior ao projetado - compramos mais barato.
De cada blank saem 2pçs.</t>
      </text>
    </comment>
    <comment ref="N115" authorId="29" shapeId="0" xr:uid="{0B6C7B7A-9CCB-4476-ACC8-7673B822528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Bruno para validação das informações cadastradas.
Resposta:
    Finalizado - volumes atualizados.
Resposta:
    Primeira validação = 102.560,41 
Material revisado, aplicado software AlmaCAM, trazendo um melhor aproveitamento da chapa, aumentando o ganho.</t>
      </text>
    </comment>
    <comment ref="N117" authorId="30" shapeId="0" xr:uid="{260B6D02-4416-45F3-8E82-6812914771F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 Ganho sinalizado por Diadema no A3 é de 624 reais e não 5.625 como esta no previsto! Checar !!</t>
      </text>
    </comment>
    <comment ref="U118" authorId="31" shapeId="0" xr:uid="{4BF225A5-F752-4589-B1ED-02C5EEFEBC4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Material ainda não teve a LT alterada (Mar/Abr) - continua com o mesmo peso.</t>
      </text>
    </comment>
    <comment ref="U120" authorId="32" shapeId="0" xr:uid="{817153C8-6DC8-4DF2-B184-1B97EE56D69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0,554</t>
      </text>
    </comment>
    <comment ref="U122" authorId="33" shapeId="0" xr:uid="{298E6972-510E-4102-B577-CEA45B4F4B9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0,261 e não 0,226 como proposta
</t>
      </text>
    </comment>
    <comment ref="U124" authorId="34" shapeId="0" xr:uid="{6DDA57E5-3655-4953-9569-CE5945E4F70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2,117 </t>
      </text>
    </comment>
    <comment ref="C125" authorId="35" shapeId="0" xr:uid="{AD46BC94-777C-48CC-9292-805537A3EF3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Código = MB003673AL ?</t>
      </text>
    </comment>
    <comment ref="U126" authorId="36" shapeId="0" xr:uid="{5897A164-4E0C-4EE3-8FA8-CA10A652B9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alterada em Mar/Abr.</t>
      </text>
    </comment>
    <comment ref="W126" authorId="37" shapeId="0" xr:uid="{7CEEFAAD-1CD5-405D-A68D-4C602F4F79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alterada para 0,572 e não 0,571 como no A3 previsto (ganho total reduzido de $635 para $611)</t>
      </text>
    </comment>
    <comment ref="M127" authorId="38" shapeId="0" xr:uid="{33242355-8A05-4206-830A-C59703272FB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Estrutura não contem MP e a chapa sinalizada esta como subcontratação - ao valor de 100,27 reais. - planta = validar cadastros.
Resposta:
    Cadastro validado, MP atualizada.
Budget considerado quantidade necessaria em Kgs maior que o utilizado, favorecendo o ganho nesse comparativo.</t>
      </text>
    </comment>
    <comment ref="W130" authorId="39" shapeId="0" xr:uid="{809B165B-6796-4DA9-A728-3035529DB39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Validado sobre o peso informado no A3 - 3,217kgs (na lista atualizada esta com 3,205kgs - solicitado confirmaçao da planta.</t>
      </text>
    </comment>
    <comment ref="M133" authorId="40" shapeId="0" xr:uid="{1575BD1C-89E5-41AF-8D2A-6F63F55471D0}">
      <text>
        <r>
          <rPr>
            <b/>
            <sz val="9"/>
            <color indexed="81"/>
            <rFont val="Segoe UI"/>
            <family val="2"/>
          </rPr>
          <t>Carolina Reis Machado Rodrigues:</t>
        </r>
        <r>
          <rPr>
            <sz val="9"/>
            <color indexed="81"/>
            <rFont val="Segoe UI"/>
            <family val="2"/>
          </rPr>
          <t xml:space="preserve">
Chapa entra como compra direta em Diadema - ultima NF em 07/2025
MP - não existe saldo em Ferraz e nunca foi cadastrada em Diadema
- planta = validar estrutura!
</t>
        </r>
      </text>
    </comment>
    <comment ref="U136" authorId="41" shapeId="0" xr:uid="{B8C6082A-1CA3-4C02-8F8C-D1C222F2224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sem atualizaçao (Mar/Abr) - material com 5,211 e não com 4,750 como proposto.
</t>
      </text>
    </comment>
    <comment ref="N139" authorId="42" shapeId="0" xr:uid="{7498A677-8EF2-4F38-8764-AEDC2252145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não tem memoria de calculo - A MO reduzida foir realocada, desligada ?
Resposta:
    @Carolina Reis Machado Rodrigues A MOD será desligada após a implementação do kaizen. A gente sempre usa como base o de custo de 10K/mês para a MOD. Quando ocorrer o desligamento, te enviarei a evidência.</t>
      </text>
    </comment>
    <comment ref="N145" authorId="43" shapeId="0" xr:uid="{2E265D4F-8EAE-49CC-B73A-C3FBFA17330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Enviar evidencia do levantamento dos dados - R$650 gasolina utilizada / R$9mil da compra da água.
Para o Deionizador, gastaremos so o investimento ?
Mensalmente quais são os gastos dele ? 
Sera necessario um operador para isso ?</t>
      </text>
    </comment>
    <comment ref="N147" authorId="44" shapeId="0" xr:uid="{9CE49821-AD90-46C7-B1A0-02794ACF4E1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Considerado apenas o volume dos itens VW940Z_941Z - os demais não foram encontrados historicos</t>
      </text>
    </comment>
    <comment ref="N149" authorId="45" shapeId="0" xr:uid="{E37ACD5E-DE92-4E10-AC14-E7DA259C61E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Volume maior Budget maior que o da proposta - considerando todos os itens GMxxxZ de Ago a Dez.
Necessario ainda passar o item vendavel que consome o DJxxxx</t>
      </text>
    </comment>
    <comment ref="N151" authorId="46" shapeId="0" xr:uid="{CEB78264-27F6-4317-9E14-AA87CEB2597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Necessario verificar LT cadastrada atualmente, pois já tivemos um Kaizen validado desse mesmo material</t>
      </text>
    </comment>
    <comment ref="N161" authorId="47" shapeId="0" xr:uid="{1C15A06B-72CF-48D2-ADBD-69452259D7E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chapa proposta - não encontrada no sistema. Necessário orçamento, para calcular os valores .</t>
      </text>
    </comment>
    <comment ref="P224" authorId="48" shapeId="0" xr:uid="{4C844F29-B281-4629-83D1-E7AD1576E1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tc={6C5D3DFA-3171-4014-A768-5936E9F1A5DC}</author>
    <author>tc={05296EBE-5199-457C-BB20-6637F2574CB3}</author>
    <author>tc={701FAD2B-41AC-4D18-972F-9E580F4EBF4A}</author>
    <author>tc={3754B9AF-2423-4845-955C-144BA4799462}</author>
    <author>tc={6780A1B4-3784-42DE-964D-65576B57665B}</author>
    <author>tc={4C52FC0D-D44C-4E1A-B0B2-472E2A409943}</author>
    <author>tc={903C14F0-73A2-424A-A80B-FAFB62E493CC}</author>
    <author>tc={AFDD9F63-1752-48FE-8DCC-EB088355A160}</author>
    <author>tc={6B9801FA-247A-406C-A2F2-83F94F8BBA09}</author>
    <author>tc={7A5CB152-6C47-4CC7-BA82-79C27187D6FF}</author>
    <author>tc={B72163E5-17FB-420F-9BD8-A7F295B88023}</author>
    <author>tc={07400FC9-6285-4863-9894-0527D1EFE75F}</author>
    <author>tc={66F9DF06-A4E7-45D9-AC2A-CBE266FE0DBB}</author>
    <author>tc={ECE3338E-1AA7-445A-8EDD-A25F7DB0FA73}</author>
    <author>tc={9A77F069-39DE-4879-A602-314E17DD9562}</author>
    <author>tc={0531DA1A-FCB5-46D1-B52E-F0D28782D7B3}</author>
    <author>tc={9764FC8C-7194-4517-9143-695FC3CBB196}</author>
    <author>tc={44AE43D6-8A57-479C-B974-34022DDE0888}</author>
    <author>tc={6A086458-C5FC-44FA-A10A-1138F44AB92B}</author>
    <author>tc={DE666EB3-089E-4E57-966F-BF9D7647287E}</author>
    <author>tc={259014A4-F410-4907-B0C3-378CBE17AD68}</author>
    <author>tc={70407FA3-5E8E-47B1-A2BD-CFC5BA48DFA1}</author>
    <author>tc={49ADE79C-0C1C-4AA7-B55B-03DBB53F727F}</author>
    <author>tc={9815DC04-D558-4F0A-BE96-30EE24BA0F2F}</author>
    <author>tc={DD81C8B2-1D10-4424-B2F5-852E89B5B727}</author>
    <author>tc={1EBDDAE5-0CEB-4795-A49A-31937CB11171}</author>
    <author>tc={AB851EF9-8729-47FC-BE49-1F675A6ED8DB}</author>
    <author>tc={621E6978-943B-4A0D-8A8C-E80AB318078B}</author>
    <author>tc={1CE1AE6D-6159-45B5-BBE7-123B5B3A7C3E}</author>
    <author>tc={CDCF625B-19E9-47A4-9E05-24A7F26BAD4D}</author>
    <author>tc={0693862C-7E65-42C2-BCF0-B931BF946D1C}</author>
    <author>tc={F2DD8365-8DDE-42B0-9CEB-03690EA342DC}</author>
    <author>tc={5F19A1DA-1E40-4ACE-B0D3-DCF9DBA7FB7C}</author>
    <author>tc={ED06F117-19B0-4A8A-ABB3-E35C1A30CD3C}</author>
    <author>tc={9FA81C51-ECE8-48B8-8E27-AFF118DE533C}</author>
    <author>tc={4BB0E2D4-F20A-48B3-89FD-804D57BB5427}</author>
    <author>tc={CCA0F6B9-5AEE-4306-A478-DF9D4560BEC9}</author>
    <author>tc={B4DC188F-9E1E-4E0E-9979-8617D9A5C069}</author>
    <author>tc={C63BF4A8-873A-40EE-AD07-202C1CD30716}</author>
    <author>tc={9F02E5C6-DA97-4C79-B2F8-AC5042B4F8AF}</author>
    <author>tc={41E4FF92-F2E4-41A4-9B1A-DD84FA4750DA}</author>
    <author>tc={C427A4D3-B288-4D8B-97DB-4BBDA3C415C6}</author>
    <author>tc={D8B64661-99DB-48BD-B6C0-344BC1B41EF6}</author>
    <author>tc={27F3DDB3-8C28-4B0D-B732-ADE3939E1368}</author>
    <author>tc={D2DF877D-E8B2-4271-B287-1811995F7C41}</author>
    <author>tc={B8F54696-81D6-49EF-80CF-D8F1CD636EC4}</author>
    <author>tc={EBC93353-4B0C-4B3F-930F-FA60C97CD8B2}</author>
    <author>tc={FEBDDCD5-3EA9-443B-8C33-2CBFB1A682C5}</author>
    <author>tc={63D0E797-D039-4C54-9332-2E9871DB99B3}</author>
    <author>tc={80BDD79D-ED9E-406F-8132-4FD5FF6A99AA}</author>
    <author>tc={E0B3E015-4959-4FB6-B1D1-875BC4F0F0B4}</author>
    <author>tc={15116070-67E9-4519-BD81-5EDBF2A0FB07}</author>
    <author>tc={3F4E69B5-C0FB-4718-AFE7-F2908AC5B96D}</author>
    <author>tc={27354356-AED7-483D-89DC-AE28169F207D}</author>
    <author>tc={7113F327-422A-48C6-8632-97ACC260AF42}</author>
    <author>tc={F8D18132-89D2-4774-8CEE-81B22DC1EA1E}</author>
    <author>tc={841E5A5B-4A15-4C2D-9A2C-331DE4D2F1E7}</author>
  </authors>
  <commentList>
    <comment ref="O4" authorId="0" shapeId="0" xr:uid="{6C5D3DFA-3171-4014-A768-5936E9F1A5D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B5" authorId="1" shapeId="0" xr:uid="{05296EBE-5199-457C-BB20-6637F2574C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desconsiderado projetos de MOD valor de 1.25M</t>
      </text>
    </comment>
    <comment ref="N8" authorId="2" shapeId="0" xr:uid="{701FAD2B-41AC-4D18-972F-9E580F4EBF4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AD10" authorId="3" shapeId="0" xr:uid="{3754B9AF-2423-4845-955C-144BA479946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1" authorId="4" shapeId="0" xr:uid="{6780A1B4-3784-42DE-964D-65576B57665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2" authorId="5" shapeId="0" xr:uid="{4C52FC0D-D44C-4E1A-B0B2-472E2A40994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3" authorId="6" shapeId="0" xr:uid="{903C14F0-73A2-424A-A80B-FAFB62E493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8" authorId="7" shapeId="0" xr:uid="{AFDD9F63-1752-48FE-8DCC-EB088355A16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Compras</t>
      </text>
    </comment>
    <comment ref="AD24" authorId="8" shapeId="0" xr:uid="{6B9801FA-247A-406C-A2F2-83F94F8BBA0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Pendente compras</t>
      </text>
    </comment>
    <comment ref="AD25" authorId="9" shapeId="0" xr:uid="{7A5CB152-6C47-4CC7-BA82-79C27187D6F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Pendente Compras</t>
      </text>
    </comment>
    <comment ref="G28" authorId="10" shapeId="0" xr:uid="{B72163E5-17FB-420F-9BD8-A7F295B880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Sergio 
</t>
      </text>
    </comment>
    <comment ref="B29" authorId="11" shapeId="0" xr:uid="{07400FC9-6285-4863-9894-0527D1EFE75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12" shapeId="0" xr:uid="{66F9DF06-A4E7-45D9-AC2A-CBE266FE0D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13" shapeId="0" xr:uid="{ECE3338E-1AA7-445A-8EDD-A25F7DB0FA7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14" shapeId="0" xr:uid="{9A77F069-39DE-4879-A602-314E17DD956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I55" authorId="15" shapeId="0" xr:uid="{0531DA1A-FCB5-46D1-B52E-F0D28782D7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Era previsto R$ 560.00</t>
      </text>
    </comment>
    <comment ref="C57" authorId="16" shapeId="0" xr:uid="{9764FC8C-7194-4517-9143-695FC3CBB19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Até dia 26/06 Felipe entrega validaçao</t>
      </text>
    </comment>
    <comment ref="C59" authorId="17" shapeId="0" xr:uid="{44AE43D6-8A57-479C-B974-34022DDE088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09/06 LISTA COM OS BLANKS</t>
      </text>
    </comment>
    <comment ref="C61" authorId="18" shapeId="0" xr:uid="{6A086458-C5FC-44FA-A10A-1138F44AB92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de compras</t>
      </text>
    </comment>
    <comment ref="N63" authorId="19" shapeId="0" xr:uid="{DE666EB3-089E-4E57-966F-BF9D764728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arquivo final da planta - conversado com Felipe em 19/03..</t>
      </text>
    </comment>
    <comment ref="C67" authorId="20" shapeId="0" xr:uid="{259014A4-F410-4907-B0C3-378CBE17AD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946AD não da altura para entrar a ferramenta, 325 rasgo da base superior 06/05</t>
      </text>
    </comment>
    <comment ref="I67" authorId="21" shapeId="0" xr:uid="{70407FA3-5E8E-47B1-A2BD-CFC5BA48DFA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foi validado por custos: R$ 1.459,30</t>
      </text>
    </comment>
    <comment ref="C79" authorId="22" shapeId="0" xr:uid="{49ADE79C-0C1C-4AA7-B55B-03DBB53F727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Novo projeto 08/05</t>
      </text>
    </comment>
    <comment ref="U80" authorId="23" shapeId="0" xr:uid="{9815DC04-D558-4F0A-BE96-30EE24BA0F2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W80" authorId="24" shapeId="0" xr:uid="{DD81C8B2-1D10-4424-B2F5-852E89B5B7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C81" authorId="25" shapeId="0" xr:uid="{1EBDDAE5-0CEB-4795-A49A-31937CB1117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a Carol 04/05</t>
      </text>
    </comment>
    <comment ref="M81" authorId="26" shapeId="0" xr:uid="{AB851EF9-8729-47FC-BE49-1F675A6ED8D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Realizar novo calculo -3,0mm</t>
      </text>
    </comment>
    <comment ref="N81" authorId="27" shapeId="0" xr:uid="{621E6978-943B-4A0D-8A8C-E80AB318078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Cadastro no SAP já é menor que o proposto.
REVISÃO dos cadastros e nova analise realizada em Abril/26 - cenarios OK.</t>
      </text>
    </comment>
    <comment ref="W82" authorId="28" shapeId="0" xr:uid="{1CE1AE6D-6159-45B5-BBE7-123B5B3A7C3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X82" authorId="29" shapeId="0" xr:uid="{CDCF625B-19E9-47A4-9E05-24A7F26BAD4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(Abr/Mai).</t>
      </text>
    </comment>
    <comment ref="M83" authorId="30" shapeId="0" xr:uid="{0693862C-7E65-42C2-BCF0-B931BF946D1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Realizar novo calculo -3,0mm</t>
      </text>
    </comment>
    <comment ref="U84" authorId="31" shapeId="0" xr:uid="{F2DD8365-8DDE-42B0-9CEB-03690EA342D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atualizada com o peso proposto (Mar/Abr)</t>
      </text>
    </comment>
    <comment ref="W84" authorId="32" shapeId="0" xr:uid="{5F19A1DA-1E40-4ACE-B0D3-DCF9DBA7FB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M85" authorId="33" shapeId="0" xr:uid="{ED06F117-19B0-4A8A-ABB3-E35C1A30CD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Invalidado por compras
Resposta:
    Bucar refilo</t>
      </text>
    </comment>
    <comment ref="N85" authorId="34" shapeId="0" xr:uid="{9FA81C51-ECE8-48B8-8E27-AFF118DE53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Material com PESO cadastrado (3,202 p/peça) já menor do que o proposto (3,36 p/peça)
Aguardando reenvio das informações pela planta</t>
      </text>
    </comment>
    <comment ref="N87" authorId="35" shapeId="0" xr:uid="{4BB0E2D4-F20A-48B3-89FD-804D57BB54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Enviar confirmação do valor sinalizado por compras - referente ao preço dos discos.
Resposta:
    Inviabilizado pela qualidade - Retorno em 27/05 com Joao Cardoso</t>
      </text>
    </comment>
    <comment ref="W88" authorId="36" shapeId="0" xr:uid="{CCA0F6B9-5AEE-4306-A478-DF9D4560BEC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confirmaçaõ das informações  para as consultas de entrada de NFs.</t>
      </text>
    </comment>
    <comment ref="C93" authorId="37" shapeId="0" xr:uid="{B4DC188F-9E1E-4E0E-9979-8617D9A5C06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a Carol retorno financeiro</t>
      </text>
    </comment>
    <comment ref="U94" authorId="38" shapeId="0" xr:uid="{C63BF4A8-873A-40EE-AD07-202C1CD3071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atualizada com o peso proposto (Mr/Abr)</t>
      </text>
    </comment>
    <comment ref="I99" authorId="39" shapeId="0" xr:uid="{9F02E5C6-DA97-4C79-B2F8-AC5042B4F8A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Valor foi desconsiderado de 359.000</t>
      </text>
    </comment>
    <comment ref="M99" authorId="40" shapeId="0" xr:uid="{41E4FF92-F2E4-41A4-9B1A-DD84FA4750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Checar memoria de calculo - informações de RT.</t>
      </text>
    </comment>
    <comment ref="C105" authorId="41" shapeId="0" xr:uid="{C427A4D3-B288-4D8B-97DB-4BBDA3C415C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t>
      </text>
    </comment>
    <comment ref="W106" authorId="42" shapeId="0" xr:uid="{D8B64661-99DB-48BD-B6C0-344BC1B41EF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atualizada Abril/26</t>
      </text>
    </comment>
    <comment ref="X106" authorId="43" shapeId="0" xr:uid="{27F3DDB3-8C28-4B0D-B732-ADE3939E13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atualizada fechamento Maio/26</t>
      </text>
    </comment>
    <comment ref="C107" authorId="44" shapeId="0" xr:uid="{D2DF877D-E8B2-4271-B287-1811995F7C4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16/06 Revisão de documentos Engenharia.</t>
      </text>
    </comment>
    <comment ref="N107" authorId="45" shapeId="0" xr:uid="{B8F54696-81D6-49EF-80CF-D8F1CD636EC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Memoria de calculo para validação real, deve conter as mesmas informações. Itens - qtds de ensaios - vlrs 
Resposta:
    Alinhado que teremos mais um mês de ensaios nessa frequencia para validar o retorno real (Andreia)</t>
      </text>
    </comment>
    <comment ref="N109" authorId="46" shapeId="0" xr:uid="{EBC93353-4B0C-4B3F-930F-FA60C97CD8B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Para que seja possivel validaçao real, importante enviar evidencia do fornecedor com a cobrança de uma impressora a menos na planta.</t>
      </text>
    </comment>
    <comment ref="C111" authorId="47" shapeId="0" xr:uid="{FEBDDCD5-3EA9-443B-8C33-2CBFB1A682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05/05 VAI SER ENTREGUE A3</t>
      </text>
    </comment>
    <comment ref="N111" authorId="48" shapeId="0" xr:uid="{63D0E797-D039-4C54-9332-2E9871DB99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Alinhado, necessidade de retorno de algumas informaçoes.</t>
      </text>
    </comment>
    <comment ref="N115" authorId="49" shapeId="0" xr:uid="{80BDD79D-ED9E-406F-8132-4FD5FF6A99A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 aguardando definição da Diretoria se seguiremos com projetos de energia.
Resposta:
    DEFINIDO que esse tipo de Kaizen deve sair do controle - deve ser considerado nas questões de performance.
</t>
      </text>
    </comment>
    <comment ref="C117" authorId="50" shapeId="0" xr:uid="{E0B3E015-4959-4FB6-B1D1-875BC4F0F0B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quando chegar a MP</t>
      </text>
    </comment>
    <comment ref="N119" authorId="51" shapeId="0" xr:uid="{15116070-67E9-4519-BD81-5EDBF2A0FB0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Envio de 3 NFs - duas emitidas por Jarinu e uma de 50k é referente ao ativo da anchieta, já considerado na planta.
Valores entraram no resultado em Janeiro/26 (controladoria)</t>
      </text>
    </comment>
    <comment ref="S120" authorId="52" shapeId="0" xr:uid="{3F4E69B5-C0FB-4718-AFE7-F2908AC5B96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Retorno Real esta sendo validado, visto que a contabilidade sinalizou que alguns itens ainda podem ter depreciação.</t>
      </text>
    </comment>
    <comment ref="C121" authorId="53" shapeId="0" xr:uid="{27354356-AED7-483D-89DC-AE28169F207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Entre dias 08 e 09 a empresa vira coletar</t>
      </text>
    </comment>
    <comment ref="D123" authorId="54" shapeId="0" xr:uid="{7113F327-422A-48C6-8632-97ACC260AF4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@Willian Avigni Matos , Acionar compras para a venda.</t>
      </text>
    </comment>
    <comment ref="H141" authorId="55" shapeId="0" xr:uid="{F8D18132-89D2-4774-8CEE-81B22DC1EA1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Informações do Form 206  como Material utilizado no processo  e tempo diferem do que esta no SAP</t>
      </text>
    </comment>
    <comment ref="P163" authorId="56" shapeId="0" xr:uid="{841E5A5B-4A15-4C2D-9A2C-331DE4D2F1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tc={AD15BF91-1EB0-4ECC-ACCD-AEFFBEFBA4CB}</author>
    <author>tc={2ED46F5D-C043-4F15-8C21-F2B393F14266}</author>
    <author>tc={30FE3D46-3BB5-473F-B2BD-B0F3CC2E8E96}</author>
    <author>tc={5110C3B8-5C7B-4C9D-91B2-DAC91C1E0F3F}</author>
    <author>tc={578FF154-B75C-4530-9B6E-446E05CA3B64}</author>
    <author>tc={656AB246-5EE5-417E-BB59-A2F3B64AEEB7}</author>
    <author>tc={169813D5-4589-48ED-9F53-B1864F8B4DCC}</author>
    <author>tc={A41F462D-4B83-4C8D-BF49-F0141BEC7925}</author>
    <author>tc={CFD4E37F-390E-41A8-8D2A-2993982999D3}</author>
    <author>tc={3229778D-949F-4E09-8F6E-B88712196FE4}</author>
    <author>tc={B2FC7EC7-46E2-4BA1-AD66-7CCB20EECDC5}</author>
    <author>tc={1FB1C2F9-91F8-43AE-A0C1-B4EA3C61298D}</author>
    <author>tc={1F6683AB-DBB1-4C00-81CD-35069099378F}</author>
    <author>tc={31DCFE99-45E0-4061-BB45-C33C60A32099}</author>
    <author>tc={5BBE9062-337B-4AAD-AE33-2540727DF964}</author>
    <author>tc={61D7DC84-078C-4C5A-B52D-7AE951F2D15A}</author>
    <author>tc={16FEEFB8-8C4A-4A09-9BAE-B898A306C185}</author>
    <author>tc={65247B02-628A-41FC-A3B2-D640AC7382B7}</author>
    <author>tc={89B734F2-A71F-4AFF-A0C7-5C3471A3AC91}</author>
    <author>tc={F47EA6CC-D47B-4B5B-860C-30C50CEB1700}</author>
    <author>Gleidson Pereira Cunha</author>
    <author>tc={AE18DCE1-2A12-49D5-81E4-82EC07456E31}</author>
    <author>Fabiana Francischetti</author>
    <author>tc={90EDE195-5581-45C6-9C49-8E6C552C6AE4}</author>
    <author>tc={ADD34DE3-4AA8-4E8D-A8FE-6C0F69E5F426}</author>
    <author>tc={C444063D-0925-4C1A-A2DA-236CBC3D1922}</author>
    <author>tc={81630990-8F06-4C8E-85A2-EB931C5856BD}</author>
    <author>tc={C50745F1-B8DB-48D0-B9E5-54C2EBC3F791}</author>
    <author>tc={7656BB5F-9D6D-4AD8-8280-23ABBDC44F69}</author>
    <author>tc={FBE3C3AE-87D8-4E67-9D97-F98F5C282058}</author>
    <author>tc={CA3ED050-36D3-46D6-89AE-337F37015C6B}</author>
    <author>tc={D183D07B-CADA-4F3C-A242-389EE4C96BA7}</author>
    <author>tc={11772B05-24A8-4FD7-B319-3D08F67FF915}</author>
    <author>tc={D462F49E-A3C2-4A52-B042-B45F2D5C3F05}</author>
    <author>tc={7ED214CB-A858-4766-AEC7-15F9541260C9}</author>
    <author>tc={77847385-7739-47B0-9D1D-1E90ABC20B0B}</author>
    <author>tc={CA2F144E-0BEC-4D8A-91BE-71058BE6C5CA}</author>
    <author>tc={1D4E3BC8-5775-444E-8BD5-3CE8FAC262F1}</author>
    <author>tc={2389CDB8-E268-4EC0-96D7-533232ADC17B}</author>
    <author>tc={FA7FB255-7483-42A4-9339-8C4DA2F61E98}</author>
    <author>tc={1E5DB897-C325-489B-B398-6F045387E383}</author>
    <author>tc={AF04D26F-419D-4609-A566-5981E8FAEF1E}</author>
    <author>tc={F82A4AE4-4916-4904-852A-59C8650ABC86}</author>
    <author>tc={A5CCBD2E-07FB-445B-928A-F5C303ACFA91}</author>
    <author>tc={56161C62-83DC-423F-811B-FCD426A154CF}</author>
    <author>tc={2D0BCBE5-4BFF-4717-B308-CCEB44068D6F}</author>
    <author>tc={B4B18A84-BDE4-4F06-872F-F2042A4A82D6}</author>
    <author>tc={E8490572-1FF1-422C-8224-28D28427944C}</author>
    <author>tc={7B771F2D-AF3C-422A-84A9-DD31B3CAE1BA}</author>
    <author>tc={24B4733D-6303-4772-A454-A539E1A5097E}</author>
    <author>tc={EC2505FB-8F0E-4875-AB36-80443AC6510F}</author>
    <author>tc={77A7709B-8E5A-439A-AFB3-76B1906B5629}</author>
    <author>tc={D6B64185-BD9F-4099-96B1-E85E25F008C3}</author>
    <author>tc={EC652186-73A9-4C66-BF55-23EB07FDE33D}</author>
    <author>tc={5C74C366-5AD5-47BF-B799-C52869E5CAA0}</author>
    <author>tc={B254F233-1A25-492E-9E5C-58843BF0A5B4}</author>
    <author>tc={69E9F477-E61F-4E71-AB02-D56863939C1D}</author>
    <author>tc={FC0A6762-1B22-4487-81DF-D344DEDB258C}</author>
    <author>tc={8E621660-6E20-44B6-A5FC-D332163AC2D9}</author>
    <author>tc={68E558DE-0EB6-4F8F-8FBE-3C6328E929C5}</author>
    <author>tc={A78DDE0A-DD35-46D0-89B2-BC3096080A6A}</author>
    <author>tc={2DFA707F-A5BA-454E-91DA-268AE3392955}</author>
    <author>tc={289EEF16-269E-4685-932A-4711EC2E202D}</author>
    <author>tc={431D6035-2EA2-472D-B3A6-B578EC566C19}</author>
    <author>tc={5B45FD53-A66A-4926-97EC-D983A579867F}</author>
    <author>tc={D07C8F38-2389-4505-B4A3-27E5E45E8B18}</author>
    <author>tc={F1644269-4E14-4409-B819-1862CDDB10FA}</author>
  </authors>
  <commentList>
    <comment ref="O4" authorId="0" shapeId="0" xr:uid="{AD15BF91-1EB0-4ECC-ACCD-AEFFBEFBA4C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U6" authorId="1" shapeId="0" xr:uid="{2ED46F5D-C043-4F15-8C21-F2B393F1426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Desenvolver um formulário mais dinâmico
Emerson e Gleidson</t>
      </text>
    </comment>
    <comment ref="U7" authorId="2" shapeId="0" xr:uid="{30FE3D46-3BB5-473F-B2BD-B0F3CC2E8E9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Compras os itens que já tivemos retorno da Usina
Gleidson
Resposta:
    Retorno de Compras de R$ 772K com Usina - Enviar para Emerson as evidÊncias
Revisar Lista técnica após validação de custo e entrada do novo material</t>
      </text>
    </comment>
    <comment ref="N8" authorId="3" shapeId="0" xr:uid="{5110C3B8-5C7B-4C9D-91B2-DAC91C1E0F3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U8" authorId="4" shapeId="0" xr:uid="{578FF154-B75C-4530-9B6E-446E05CA3B6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Custos alega que a taxa horária interna esta maior que externa 
Gleidson enviou a crono analise dos itens que são feitos na laser </t>
      </text>
    </comment>
    <comment ref="U11" authorId="5" shapeId="0" xr:uid="{656AB246-5EE5-417E-BB59-A2F3B64AEEB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Numero de PNs reduziu, necessidade de validar com o Emerson
Gleidson</t>
      </text>
    </comment>
    <comment ref="U14" authorId="6" shapeId="0" xr:uid="{169813D5-4589-48ED-9F53-B1864F8B4DC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com Emerson como esta sendo apurado 
</t>
      </text>
    </comment>
    <comment ref="U15" authorId="7" shapeId="0" xr:uid="{A41F462D-4B83-4C8D-BF49-F0141BEC792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Consumo com Paulo Ribeiro
Conta de Manutenção vem apresentando Saving mensalmente</t>
      </text>
    </comment>
    <comment ref="U16" authorId="8" shapeId="0" xr:uid="{CFD4E37F-390E-41A8-8D2A-2993982999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enviar material para Emerson
Gleidson</t>
      </text>
    </comment>
    <comment ref="U17" authorId="9" shapeId="0" xr:uid="{3229778D-949F-4E09-8F6E-B88712196FE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enviar material para Emerson
Gleidson
</t>
      </text>
    </comment>
    <comment ref="U18" authorId="10" shapeId="0" xr:uid="{B2FC7EC7-46E2-4BA1-AD66-7CCB20EECDC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Agendar reunião com Elison e Emerson
Gleidson
</t>
      </text>
    </comment>
    <comment ref="U21" authorId="11" shapeId="0" xr:uid="{1FB1C2F9-91F8-43AE-A0C1-B4EA3C61298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Montar Base de Calculo para enviar para Custos
Gleidson</t>
      </text>
    </comment>
    <comment ref="U22" authorId="12" shapeId="0" xr:uid="{1F6683AB-DBB1-4C00-81CD-35069099378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validação de Custos
Fabiana</t>
      </text>
    </comment>
    <comment ref="U23" authorId="13" shapeId="0" xr:uid="{31DCFE99-45E0-4061-BB45-C33C60A3209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Montar A3 
Anderson dos Santos</t>
      </text>
    </comment>
    <comment ref="U24" authorId="14" shapeId="0" xr:uid="{5BBE9062-337B-4AAD-AE33-2540727DF96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A3
Evangelista</t>
      </text>
    </comment>
    <comment ref="U25" authorId="15" shapeId="0" xr:uid="{61D7DC84-078C-4C5A-B52D-7AE951F2D15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Aumentar Escopo considerando mais máquinas
Elio + Gleidson</t>
      </text>
    </comment>
    <comment ref="B29" authorId="16" shapeId="0" xr:uid="{16FEEFB8-8C4A-4A09-9BAE-B898A306C18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17" shapeId="0" xr:uid="{65247B02-628A-41FC-A3B2-D640AC7382B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18" shapeId="0" xr:uid="{89B734F2-A71F-4AFF-A0C7-5C3471A3AC9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19" shapeId="0" xr:uid="{F47EA6CC-D47B-4B5B-860C-30C50CEB17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9" authorId="20" shapeId="0" xr:uid="{0E54D914-6885-4E66-850A-43EA6B15CC65}">
      <text>
        <r>
          <rPr>
            <b/>
            <sz val="9"/>
            <color indexed="81"/>
            <rFont val="Segoe UI"/>
            <family val="2"/>
          </rPr>
          <t>Redução de gasto de manutenção, e materiais auxiliares.</t>
        </r>
      </text>
    </comment>
    <comment ref="J49" authorId="20" shapeId="0" xr:uid="{041F7593-21FD-48D0-97AE-B604146D95F8}">
      <text>
        <r>
          <rPr>
            <b/>
            <sz val="9"/>
            <color indexed="81"/>
            <rFont val="Segoe UI"/>
            <family val="2"/>
          </rPr>
          <t xml:space="preserve">Redução de gastos com manutenção e custos fixos.
</t>
        </r>
      </text>
    </comment>
    <comment ref="N55" authorId="21" shapeId="0" xr:uid="{AE18DCE1-2A12-49D5-81E4-82EC07456E3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Inicio validação 05/05</t>
      </text>
    </comment>
    <comment ref="J57" authorId="22" shapeId="0" xr:uid="{73AF5FF4-46F5-4947-88B5-A6A5EDEEDECF}">
      <text>
        <r>
          <rPr>
            <sz val="11"/>
            <color theme="1"/>
            <rFont val="Calibri"/>
            <family val="2"/>
            <scheme val="minor"/>
          </rPr>
          <t xml:space="preserve">Fabiana Francischetti:
</t>
        </r>
      </text>
    </comment>
    <comment ref="X60" authorId="22" shapeId="0" xr:uid="{BC07E302-E23D-4276-8B24-BF40D0AF2C79}">
      <text>
        <r>
          <rPr>
            <b/>
            <sz val="9"/>
            <color indexed="81"/>
            <rFont val="Segoe UI"/>
            <family val="2"/>
          </rPr>
          <t>Fabiana Francischetti:</t>
        </r>
        <r>
          <rPr>
            <sz val="9"/>
            <color indexed="81"/>
            <rFont val="Segoe UI"/>
            <family val="2"/>
          </rPr>
          <t xml:space="preserve">
revisado cód.materiais/volume de todos meses</t>
        </r>
      </text>
    </comment>
    <comment ref="N63" authorId="23" shapeId="0" xr:uid="{90EDE195-5581-45C6-9C49-8E6C552C6AE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Corte interno no Budget. Corte laser externo estava com saving. Agendei reunião com o Emerson.</t>
      </text>
    </comment>
    <comment ref="T66" authorId="22" shapeId="0" xr:uid="{5C45DEF7-C683-4394-8977-07FC70440D34}">
      <text>
        <r>
          <rPr>
            <b/>
            <sz val="9"/>
            <color indexed="81"/>
            <rFont val="Segoe UI"/>
            <family val="2"/>
          </rPr>
          <t>Fabiana Francischetti:</t>
        </r>
        <r>
          <rPr>
            <sz val="9"/>
            <color indexed="81"/>
            <rFont val="Segoe UI"/>
            <family val="2"/>
          </rPr>
          <t xml:space="preserve">
ABAIXO DA META</t>
        </r>
      </text>
    </comment>
    <comment ref="W66" authorId="22" shapeId="0" xr:uid="{C249CE7D-7D18-4E95-AEBE-E8D575E2B8CE}">
      <text>
        <r>
          <rPr>
            <b/>
            <sz val="9"/>
            <color indexed="81"/>
            <rFont val="Segoe UI"/>
            <family val="2"/>
          </rPr>
          <t>Fabiana Francischetti:</t>
        </r>
        <r>
          <rPr>
            <sz val="9"/>
            <color indexed="81"/>
            <rFont val="Segoe UI"/>
            <family val="2"/>
          </rPr>
          <t xml:space="preserve">
ABAIXO DA META</t>
        </r>
      </text>
    </comment>
    <comment ref="X68" authorId="22" shapeId="0" xr:uid="{AB077D25-81B3-42E5-8876-C75C8196D08D}">
      <text>
        <r>
          <rPr>
            <b/>
            <sz val="9"/>
            <color indexed="81"/>
            <rFont val="Segoe UI"/>
            <family val="2"/>
          </rPr>
          <t>Fabiana Francischetti:</t>
        </r>
        <r>
          <rPr>
            <sz val="9"/>
            <color indexed="81"/>
            <rFont val="Segoe UI"/>
            <family val="2"/>
          </rPr>
          <t xml:space="preserve">
revisado cód.materiais/volume de todos meses</t>
        </r>
      </text>
    </comment>
    <comment ref="N69" authorId="24" shapeId="0" xr:uid="{ADD34DE3-4AA8-4E8D-A8FE-6C0F69E5F42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Códigos SAP dos consumíveis e critérios de consumo</t>
      </text>
    </comment>
    <comment ref="N75" authorId="25" shapeId="0" xr:uid="{C444063D-0925-4C1A-A2DA-236CBC3D192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Agendando conversa</t>
      </text>
    </comment>
    <comment ref="T78" authorId="22" shapeId="0" xr:uid="{BEC7DAF8-02C9-452E-A233-E8DB4F59856B}">
      <text>
        <r>
          <rPr>
            <b/>
            <sz val="9"/>
            <color indexed="81"/>
            <rFont val="Segoe UI"/>
            <family val="2"/>
          </rPr>
          <t>Fabiana Francischetti:</t>
        </r>
        <r>
          <rPr>
            <sz val="9"/>
            <color indexed="81"/>
            <rFont val="Segoe UI"/>
            <family val="2"/>
          </rPr>
          <t xml:space="preserve">
abaixo da meta</t>
        </r>
      </text>
    </comment>
    <comment ref="W78" authorId="22" shapeId="0" xr:uid="{EAF7E4D7-B1DC-45C8-B7EC-4B81A20A73AF}">
      <text>
        <r>
          <rPr>
            <b/>
            <sz val="9"/>
            <color indexed="81"/>
            <rFont val="Segoe UI"/>
            <family val="2"/>
          </rPr>
          <t>Fabiana Francischetti:</t>
        </r>
        <r>
          <rPr>
            <sz val="9"/>
            <color indexed="81"/>
            <rFont val="Segoe UI"/>
            <family val="2"/>
          </rPr>
          <t xml:space="preserve">
Despesa aumentou em abriu e caiu em maio</t>
        </r>
      </text>
    </comment>
    <comment ref="X78" authorId="22" shapeId="0" xr:uid="{1BBFA8A5-60CA-4825-A9FA-A0172F63B0EF}">
      <text>
        <r>
          <rPr>
            <b/>
            <sz val="9"/>
            <color indexed="81"/>
            <rFont val="Segoe UI"/>
            <family val="2"/>
          </rPr>
          <t>Fabiana Francischetti:</t>
        </r>
        <r>
          <rPr>
            <sz val="9"/>
            <color indexed="81"/>
            <rFont val="Segoe UI"/>
            <family val="2"/>
          </rPr>
          <t xml:space="preserve">
Despesa aumentou em abriu e caiu em maio</t>
        </r>
      </text>
    </comment>
    <comment ref="I81" authorId="20" shapeId="0" xr:uid="{7A3E0E16-D9FA-4363-9E01-8B5DF87449E0}">
      <text>
        <r>
          <rPr>
            <sz val="9"/>
            <color indexed="81"/>
            <rFont val="Segoe UI"/>
            <family val="2"/>
          </rPr>
          <t>PROPOSTA INICIAL: 
R$1.452.384,82</t>
        </r>
      </text>
    </comment>
    <comment ref="M81" authorId="26" shapeId="0" xr:uid="{81630990-8F06-4C8E-85A2-EB931C5856B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Peso Bruto do SAP já está abaixo do peso considerado após a redução da tolerância enviada pela Usina. Emerson e Gleidson levarão para reunião do BSW: não são todos os cenários que estão ok por Compras/Usina.</t>
      </text>
    </comment>
    <comment ref="N89" authorId="27" shapeId="0" xr:uid="{C50745F1-B8DB-48D0-B9E5-54C2EBC3F79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Agendando reunião. Falta dados: qual é a empresa terceirizada?
Resposta:
    Cálculo do saving de jul a dez.</t>
      </text>
    </comment>
    <comment ref="N93" authorId="28" shapeId="0" xr:uid="{7656BB5F-9D6D-4AD8-8280-23ABBDC44F6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Previsão 05/05
Resposta:
    Elio pediu para o Gleidsom aumentar escopo</t>
      </text>
    </comment>
    <comment ref="F353" authorId="29" shapeId="0" xr:uid="{FBE3C3AE-87D8-4E67-9D97-F98F5C28205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Incidente com ponte rolante informado como NOK no dia 19 e 09/03 operador escorregou - não foi encontrado ação no Form.370 e também no Form.506  também não houve registro</t>
      </text>
    </comment>
    <comment ref="F354" authorId="30" shapeId="0" xr:uid="{CA3ED050-36D3-46D6-89AE-337F37015C6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Ok, mas não tem a lista de quem participou da reunião</t>
      </text>
    </comment>
    <comment ref="F355" authorId="31" shapeId="0" xr:uid="{D183D07B-CADA-4F3C-A242-389EE4C96BA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Evidência Form.015 Fast Response
Resposta:
    Acontece, pois temos fotos e afins, mas não há evidência como alguma ATA</t>
      </text>
    </comment>
    <comment ref="F356" authorId="32" shapeId="0" xr:uid="{11772B05-24A8-4FD7-B319-3D08F67FF91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foram realizadas o preenchimento das atas  de Janeiro e Fevereiro.
Foram feitas reuniões porém não evidência no form.104
Está sendo usado Lista de presença e não está usado a Ata de Analise crítica. 104.</t>
      </text>
    </comment>
    <comment ref="F357" authorId="33" shapeId="0" xr:uid="{D462F49E-A3C2-4A52-B042-B45F2D5C3F0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reunião acontece, porém, Item com INC acima de 250 sem ação definida no form.506 e 370.</t>
      </text>
    </comment>
    <comment ref="F358" authorId="34" shapeId="0" xr:uid="{7ED214CB-A858-4766-AEC7-15F9541260C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disponibilizar o verso na produção - diário de bordo</t>
      </text>
    </comment>
    <comment ref="F359" authorId="35" shapeId="0" xr:uid="{77847385-7739-47B0-9D1D-1E90ABC20B0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no formato correto, mas não está atualizado janeiro e fevereiro </t>
      </text>
    </comment>
    <comment ref="F360" authorId="36" shapeId="0" xr:uid="{CA2F144E-0BEC-4D8A-91BE-71058BE6C5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preenchimento na segurança, perfomance de entrega preenchimento atraso, Refugo OK, OEE falta preenchimento, Manutenção OK.</t>
      </text>
    </comment>
    <comment ref="F361" authorId="37" shapeId="0" xr:uid="{1D4E3BC8-5775-444E-8BD5-3CE8FAC262F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Indicadores do 121 estão desatualizados. Ex.: recursos humanos e engenharia. </t>
      </text>
    </comment>
    <comment ref="F362" authorId="38" shapeId="0" xr:uid="{2389CDB8-E268-4EC0-96D7-533232ADC17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de adesivos</t>
      </text>
    </comment>
    <comment ref="F366" authorId="39" shapeId="0" xr:uid="{FA7FB255-7483-42A4-9339-8C4DA2F61E9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foram realizadas o preenchimento das atas  de Janeiro e Fevereiro.</t>
      </text>
    </comment>
    <comment ref="F367" authorId="40" shapeId="0" xr:uid="{1E5DB897-C325-489B-B398-6F045387E38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Os 8D's foram fechados com data anterior da abertura e a planilha não está com as fórmulas travadas de acordo com as do Sharepoint.
Falta também o número de alerta da qualidade
Só há reclamação do cliente</t>
      </text>
    </comment>
    <comment ref="F368" authorId="41" shapeId="0" xr:uid="{AF04D26F-419D-4609-A566-5981E8FAEF1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assinatura dos representantes ou titulares e nos demais turnos não houve assinatura. 
Há itens marcados ok, mas NOK no 506 que consta como atraso referente ações de Janeiro e  Fevereiro.</t>
      </text>
    </comment>
    <comment ref="F369" authorId="42" shapeId="0" xr:uid="{F82A4AE4-4916-4904-852A-59C8650ABC8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usando formulário correto, porém há ações de Janeiro e Fevereiro em atraso. </t>
      </text>
    </comment>
    <comment ref="F371" authorId="43" shapeId="0" xr:uid="{A5CCBD2E-07FB-445B-928A-F5C303ACFA9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de aprovação de lider</t>
      </text>
    </comment>
    <comment ref="F372" authorId="44" shapeId="0" xr:uid="{56161C62-83DC-423F-811B-FCD426A154C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informações nos campos - está em branco.</t>
      </text>
    </comment>
    <comment ref="F373" authorId="45" shapeId="0" xr:uid="{2D0BCBE5-4BFF-4717-B308-CCEB44068D6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próxima operação - roteiro</t>
      </text>
    </comment>
    <comment ref="F374" authorId="46" shapeId="0" xr:uid="{B4B18A84-BDE4-4F06-872F-F2042A4A82D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roteiro da etiqueta </t>
      </text>
    </comment>
    <comment ref="F375" authorId="47" shapeId="0" xr:uid="{E8490572-1FF1-422C-8224-28D28427944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DA87z Falta informação de preenchiment0 - 25/09</t>
      </text>
    </comment>
    <comment ref="F376" authorId="48" shapeId="0" xr:uid="{7B771F2D-AF3C-422A-84A9-DD31B3CAE1B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informações - EX.: SV000464AE - DA00077AA. </t>
      </text>
    </comment>
    <comment ref="F377" authorId="49" shapeId="0" xr:uid="{24B4733D-6303-4772-A454-A539E1A509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Pontuado como ñok, devido ao consumo da etiqueta antiga que possui no almoxarifado, para evitar desperdício de custos.  Porém evidência da solicitação para os próximos pedidos, chegar com etiqueta nova</t>
      </text>
    </comment>
    <comment ref="F378" authorId="50" shapeId="0" xr:uid="{EC2505FB-8F0E-4875-AB36-80443AC6510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encontrado material em processo - com roteiro de serviço externo </t>
      </text>
    </comment>
    <comment ref="F379" authorId="51" shapeId="0" xr:uid="{77A7709B-8E5A-439A-AFB3-76B1906B562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identificação
</t>
      </text>
    </comment>
    <comment ref="F380" authorId="52" shapeId="0" xr:uid="{D6B64185-BD9F-4099-96B1-E85E25F008C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Usar o que tem disponível no sharepoint </t>
      </text>
    </comment>
    <comment ref="F381" authorId="53" shapeId="0" xr:uid="{EC652186-73A9-4C66-BF55-23EB07FDE33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Coloração onde fica a letra "S" está preto e branco e o correto é Fundo amarelo e o "S" Vermelho</t>
      </text>
    </comment>
    <comment ref="F383" authorId="54" shapeId="0" xr:uid="{5C74C366-5AD5-47BF-B799-C52869E5CAA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o formato do Sharepoint</t>
      </text>
    </comment>
    <comment ref="F385" authorId="55" shapeId="0" xr:uid="{B254F233-1A25-492E-9E5C-58843BF0A5B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Padronizar plano mestre de produtividade</t>
      </text>
    </comment>
    <comment ref="F386" authorId="56" shapeId="0" xr:uid="{69E9F477-E61F-4E71-AB02-D56863939C1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evidências atualizadas para 2026 (Produtividade), Falta atualização para 2026 (SMED), não está de acordo OEE.</t>
      </text>
    </comment>
    <comment ref="F387" authorId="57" shapeId="0" xr:uid="{FC0A6762-1B22-4487-81DF-D344DEDB258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Temos o gerenciamento do programa 5S implementado, porém pontuado como não ok devido auditorias em atraso
Resposta:
    Possui auditorias em atraso desde o dia 03/03 e auditorias não realizada em Janeiro e Fevereiro.
Auditorias realizada com atraso.
As ações estão sendo acompanhadas pelo Planer e não está atualizando o 506.</t>
      </text>
    </comment>
    <comment ref="F388" authorId="58" shapeId="0" xr:uid="{8E621660-6E20-44B6-A5FC-D332163AC2D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Matriz não se encontra no local correto no sharepoint - Áreas/Recursos Humanos/ Matriz de versatilidade/ Ferraz e anexa.
Preenchimento da situação dos funcionários NOK.
Atualização do change log. 
</t>
      </text>
    </comment>
    <comment ref="F389" authorId="59" shapeId="0" xr:uid="{68E558DE-0EB6-4F8F-8FBE-3C6328E929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atende o formato atual</t>
      </text>
    </comment>
    <comment ref="F390" authorId="60" shapeId="0" xr:uid="{A78DDE0A-DD35-46D0-89B2-BC3096080A6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aprovação da inspeção, preenchimento do form não está completo e no verso não está preenchido</t>
      </text>
    </comment>
    <comment ref="F391" authorId="61" shapeId="0" xr:uid="{2DFA707F-A5BA-454E-91DA-268AE339295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verso - Diário de bordo / falta informação no preenchimento.</t>
      </text>
    </comment>
    <comment ref="F392" authorId="62" shapeId="0" xr:uid="{289EEF16-269E-4685-932A-4711EC2E20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novo</t>
      </text>
    </comment>
    <comment ref="F393" authorId="63" shapeId="0" xr:uid="{431D6035-2EA2-472D-B3A6-B578EC566C1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novo
</t>
      </text>
    </comment>
    <comment ref="F397" authorId="64" shapeId="0" xr:uid="{5B45FD53-A66A-4926-97EC-D983A579867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Form.618 não está sendo utilizado </t>
      </text>
    </comment>
    <comment ref="F398" authorId="65" shapeId="0" xr:uid="{D07C8F38-2389-4505-B4A3-27E5E45E8B1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identificação no Plasma </t>
      </text>
    </comment>
    <comment ref="F399" authorId="66" shapeId="0" xr:uid="{F1644269-4E14-4409-B819-1862CDDB10F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Fábrica de Eixos 100% implementado, e está em processo fábrica de Chassis.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tc={126A1AE3-E599-4CD3-9467-309950A752AA}</author>
    <author>tc={F95887A3-92B1-44F0-B857-4B985D1A88F8}</author>
    <author>tc={1CB3A1B9-5D48-476D-BECF-9056085445CE}</author>
    <author>tc={1725BE74-358B-47AF-8F11-6F27724D0A4F}</author>
    <author>tc={43BFD43C-ACEC-4518-9351-DF468B601361}</author>
    <author>tc={7E2B708B-0ECF-4119-8E08-4FFA2FB16650}</author>
    <author>tc={FF1853F4-B4B8-4B9F-A504-A81E6C289619}</author>
    <author>tc={DF6066D4-EC7D-4328-AA1D-1EF17382536D}</author>
    <author>tc={D4932226-367D-432C-8A35-BD55C29E9FAC}</author>
    <author>tc={EC7DEB58-9FE0-4B91-99CE-294339970F0B}</author>
    <author>tc={C18828FC-2409-45A7-B1F4-AE5868AC9862}</author>
    <author>Isabele Portela</author>
    <author>tc={99F98007-554C-469E-A6DF-1E6B9052EA1A}</author>
    <author>tc={18E268AD-3EF8-402A-A9A4-492D290FC5CC}</author>
    <author>tc={BA60900C-9454-4AE3-B753-AF8F03389F84}</author>
    <author>tc={92D115C8-58FC-4F30-952E-30A07DE45898}</author>
    <author>tc={7589B562-73CB-44F8-9EF8-0DC02CC2B515}</author>
    <author>tc={7FB644CF-A5B3-43BB-A55A-CE33D7810FC1}</author>
    <author>tc={76BE9760-1974-43FD-95DC-FEFB062B8A73}</author>
    <author>tc={B692DBE5-4D43-4A97-B5A6-FA3BD096CF0B}</author>
    <author>tc={D5D39FF5-35A1-42DE-8948-F9FB9409BE08}</author>
    <author>tc={96F71421-C4C6-4D09-830B-FF1203AB5D42}</author>
    <author>tc={FF380B8C-BD5C-44FB-8B1C-3360415C5EA4}</author>
    <author>tc={3BD7DF7E-7BD0-4535-BC12-C8E13484897E}</author>
    <author>tc={D043B60C-B98C-4C39-A0D6-C0778EF6CCC5}</author>
    <author>tc={2EAB8D5A-1FD4-4840-A0D2-D5AF4B7091AD}</author>
  </authors>
  <commentList>
    <comment ref="O4" authorId="0" shapeId="0" xr:uid="{126A1AE3-E599-4CD3-9467-309950A752A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N8" authorId="1" shapeId="0" xr:uid="{F95887A3-92B1-44F0-B857-4B985D1A88F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B29" authorId="2" shapeId="0" xr:uid="{1CB3A1B9-5D48-476D-BECF-9056085445C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3" shapeId="0" xr:uid="{1725BE74-358B-47AF-8F11-6F27724D0A4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4" shapeId="0" xr:uid="{43BFD43C-ACEC-4518-9351-DF468B60136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5" shapeId="0" xr:uid="{7E2B708B-0ECF-4119-8E08-4FFA2FB1665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9" authorId="6" shapeId="0" xr:uid="{FF1853F4-B4B8-4B9F-A504-A81E6C28961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Gases, alocação, manutenção e outras despesas.</t>
      </text>
    </comment>
    <comment ref="J49" authorId="7" shapeId="0" xr:uid="{DF6066D4-EC7D-4328-AA1D-1EF17382536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Gases, alocação, manutenção e outras despesas.</t>
      </text>
    </comment>
    <comment ref="C67" authorId="8" shapeId="0" xr:uid="{D4932226-367D-432C-8A35-BD55C29E9FA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devolutiva do cliente
</t>
      </text>
    </comment>
    <comment ref="T70" authorId="9" shapeId="0" xr:uid="{EC7DEB58-9FE0-4B91-99CE-294339970F0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Mês de fev. impacto negativo - rescisão
Resposta:
    Despesas com Rescisão 757.777,62  abatidos da provisão (Conforme acordado com o Emerson)
</t>
      </text>
    </comment>
    <comment ref="W72" authorId="10" shapeId="0" xr:uid="{C18828FC-2409-45A7-B1F4-AE5868AC986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Virada oficial realizada para o fornecedor BRASRENTAL. Contudo, houve cobrança referente aos primeiros dias de abril até a devolução do equipamento ao fornecedor anterior, Retrak.</t>
      </text>
    </comment>
    <comment ref="N83" authorId="11" shapeId="0" xr:uid="{132FE68D-6386-471E-92D0-CC462459D7A3}">
      <text>
        <r>
          <rPr>
            <b/>
            <sz val="9"/>
            <color indexed="81"/>
            <rFont val="Segoe UI"/>
            <family val="2"/>
          </rPr>
          <t>Isabele Portela:</t>
        </r>
        <r>
          <rPr>
            <sz val="9"/>
            <color indexed="81"/>
            <rFont val="Segoe UI"/>
            <family val="2"/>
          </rPr>
          <t xml:space="preserve">
Considerado período efetivo da proposta com o 1° retorno em Maio.2026 (8 meses)</t>
        </r>
      </text>
    </comment>
    <comment ref="W84" authorId="12" shapeId="0" xr:uid="{99F98007-554C-469E-A6DF-1E6B9052EA1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economia do valor integral da locação da 3ª empilhadeira não ocorreu, pois ainda houve cobrança proporcional referente aos dias do mês de abril em que o equipamento permaneceu na fábrica até sua devolução.</t>
      </text>
    </comment>
    <comment ref="M85" authorId="13" shapeId="0" xr:uid="{18E268AD-3EF8-402A-A9A4-492D290FC5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t>
      </text>
    </comment>
    <comment ref="C89" authorId="14" shapeId="0" xr:uid="{BA60900C-9454-4AE3-B753-AF8F03389F8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ainda está consolidando as informações.</t>
      </text>
    </comment>
    <comment ref="H128" authorId="15" shapeId="0" xr:uid="{92D115C8-58FC-4F30-952E-30A07DE4589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 </t>
      </text>
    </comment>
    <comment ref="H129" authorId="16" shapeId="0" xr:uid="{7589B562-73CB-44F8-9EF8-0DC02CC2B51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0" authorId="17" shapeId="0" xr:uid="{7FB644CF-A5B3-43BB-A55A-CE33D7810FC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1" authorId="18" shapeId="0" xr:uid="{76BE9760-1974-43FD-95DC-FEFB062B8A7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2" authorId="19" shapeId="0" xr:uid="{B692DBE5-4D43-4A97-B5A6-FA3BD096CF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3" authorId="20" shapeId="0" xr:uid="{D5D39FF5-35A1-42DE-8948-F9FB9409BE0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4" authorId="21" shapeId="0" xr:uid="{96F71421-C4C6-4D09-830B-FF1203AB5D4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5" authorId="22" shapeId="0" xr:uid="{FF380B8C-BD5C-44FB-8B1C-3360415C5EA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36" authorId="23" shapeId="0" xr:uid="{3BD7DF7E-7BD0-4535-BC12-C8E1348489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substitui o CN000021Z que não teve PPAP aprovado e está ON HOLD até segunda ordem.</t>
      </text>
    </comment>
    <comment ref="H137" authorId="24" shapeId="0" xr:uid="{D043B60C-B98C-4C39-A0D6-C0778EF6CC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P157" authorId="25" shapeId="0" xr:uid="{2EAB8D5A-1FD4-4840-A0D2-D5AF4B7091A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tc={53340A36-E976-49FC-A577-F4768F339BBD}</author>
    <author>tc={DF8D4096-2655-452C-BD3B-DE45DA387D44}</author>
    <author>tc={37DD9B03-E887-44FA-80FC-CA6444C0F425}</author>
    <author>tc={CF479CBD-6895-4282-912B-EC9F06EC2861}</author>
    <author>tc={A58C288F-F1EC-47E9-9DF9-915C401DFC83}</author>
    <author>Janderson Bezerra de Oliveira</author>
    <author>tc={865E8E36-F1B1-4710-83AF-DD113BD40BEF}</author>
  </authors>
  <commentList>
    <comment ref="O4" authorId="0" shapeId="0" xr:uid="{53340A36-E976-49FC-A577-F4768F339BB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B29" authorId="1" shapeId="0" xr:uid="{DF8D4096-2655-452C-BD3B-DE45DA387D4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2" shapeId="0" xr:uid="{37DD9B03-E887-44FA-80FC-CA6444C0F42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3" shapeId="0" xr:uid="{CF479CBD-6895-4282-912B-EC9F06EC286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4" shapeId="0" xr:uid="{A58C288F-F1EC-47E9-9DF9-915C401DFC8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4" authorId="5" shapeId="0" xr:uid="{6A0895C1-DD95-4757-A3C0-55E1186B93CE}">
      <text>
        <r>
          <rPr>
            <b/>
            <sz val="9"/>
            <color indexed="81"/>
            <rFont val="Segoe UI"/>
            <family val="2"/>
          </rPr>
          <t>Janderson Bezerra de Oliveira:</t>
        </r>
        <r>
          <rPr>
            <sz val="9"/>
            <color indexed="81"/>
            <rFont val="Segoe UI"/>
            <family val="2"/>
          </rPr>
          <t xml:space="preserve">
2 acidentes com afastamento
1 - 13/01/2026 - 5 dias (corte no dedo)
2 - 31/01/2026 - 21 dias (fratura de ponta de dedo)</t>
        </r>
      </text>
    </comment>
    <comment ref="G47" authorId="5" shapeId="0" xr:uid="{C0E1A150-943D-455C-896B-A6204B544900}">
      <text>
        <r>
          <rPr>
            <b/>
            <sz val="9"/>
            <color indexed="81"/>
            <rFont val="Segoe UI"/>
            <family val="2"/>
          </rPr>
          <t>Janderson Bezerra de Oliveira:</t>
        </r>
        <r>
          <rPr>
            <sz val="9"/>
            <color indexed="81"/>
            <rFont val="Segoe UI"/>
            <family val="2"/>
          </rPr>
          <t xml:space="preserve">
A meta foi definida considerando 2T para 2026
Em 2025 eram 3T</t>
        </r>
      </text>
    </comment>
    <comment ref="E120" authorId="5" shapeId="0" xr:uid="{DB9B0876-D6E0-4BD0-B557-1F28441166C0}">
      <text>
        <r>
          <rPr>
            <b/>
            <sz val="9"/>
            <color indexed="81"/>
            <rFont val="Segoe UI"/>
            <family val="2"/>
          </rPr>
          <t>Janderson Bezerra de Oliveira:</t>
        </r>
        <r>
          <rPr>
            <sz val="9"/>
            <color indexed="81"/>
            <rFont val="Segoe UI"/>
            <family val="2"/>
          </rPr>
          <t xml:space="preserve">
</t>
        </r>
        <r>
          <rPr>
            <sz val="10"/>
            <color indexed="81"/>
            <rFont val="Segoe UI"/>
            <family val="2"/>
          </rPr>
          <t>19/02/2026: implementado nesta data. Book de evidência atualizado.</t>
        </r>
      </text>
    </comment>
    <comment ref="E130" authorId="5" shapeId="0" xr:uid="{6526AD36-A213-4193-9176-03CEF9469D16}">
      <text>
        <r>
          <rPr>
            <b/>
            <sz val="9"/>
            <color indexed="81"/>
            <rFont val="Segoe UI"/>
            <family val="2"/>
          </rPr>
          <t>Janderson Bezerra de Oliveira:</t>
        </r>
        <r>
          <rPr>
            <sz val="9"/>
            <color indexed="81"/>
            <rFont val="Segoe UI"/>
            <family val="2"/>
          </rPr>
          <t xml:space="preserve">
Em 04/02/2026 era NOK
Em 05/02/2026, foi alterado para ok, após esclarecimento da Ingrid.</t>
        </r>
      </text>
    </comment>
    <comment ref="E138" authorId="5" shapeId="0" xr:uid="{E8283CFA-421F-499E-9A31-1456BD7235B9}">
      <text>
        <r>
          <rPr>
            <b/>
            <sz val="9"/>
            <color indexed="81"/>
            <rFont val="Segoe UI"/>
            <family val="2"/>
          </rPr>
          <t>Janderson Bezerra de Oliveira:</t>
        </r>
        <r>
          <rPr>
            <sz val="9"/>
            <color indexed="81"/>
            <rFont val="Segoe UI"/>
            <family val="2"/>
          </rPr>
          <t xml:space="preserve">
06/02/2026 - foi considerado o form 147, para produto aprovado. Evidência incluída no book.</t>
        </r>
      </text>
    </comment>
    <comment ref="E141" authorId="5" shapeId="0" xr:uid="{A3169E8D-2994-447F-BA05-6092CDBC967E}">
      <text>
        <r>
          <rPr>
            <b/>
            <sz val="9"/>
            <color indexed="81"/>
            <rFont val="Segoe UI"/>
            <family val="2"/>
          </rPr>
          <t>Janderson Bezerra de Oliveira:</t>
        </r>
        <r>
          <rPr>
            <sz val="9"/>
            <color indexed="81"/>
            <rFont val="Segoe UI"/>
            <family val="2"/>
          </rPr>
          <t xml:space="preserve">
17/02/2026: implementado nesta data. Book evidência atualizado com evidência</t>
        </r>
      </text>
    </comment>
    <comment ref="E143" authorId="5" shapeId="0" xr:uid="{F7B4E798-7F47-4599-9D9C-487C5FF2137C}">
      <text>
        <r>
          <rPr>
            <b/>
            <sz val="9"/>
            <color indexed="81"/>
            <rFont val="Segoe UI"/>
            <family val="2"/>
          </rPr>
          <t xml:space="preserve">Janderson Bezerra de Oliveira:
</t>
        </r>
        <r>
          <rPr>
            <sz val="9"/>
            <color indexed="81"/>
            <rFont val="Segoe UI"/>
            <family val="2"/>
          </rPr>
          <t>Em 04/02/2026 era NOK
Em 05/02/2026, foi alterado para ok, após esclarecimento da Ingrid.</t>
        </r>
      </text>
    </comment>
    <comment ref="E149" authorId="5" shapeId="0" xr:uid="{1FDC1E07-BC79-4B17-BFF1-F93F1CDC6204}">
      <text>
        <r>
          <rPr>
            <b/>
            <sz val="9"/>
            <color indexed="81"/>
            <rFont val="Segoe UI"/>
            <family val="2"/>
          </rPr>
          <t>Janderson Bezerra de Oliveira:</t>
        </r>
        <r>
          <rPr>
            <sz val="9"/>
            <color indexed="81"/>
            <rFont val="Segoe UI"/>
            <family val="2"/>
          </rPr>
          <t xml:space="preserve">
O plano mestre é apresentado mensalmente para a diretoria. Já coloquei a evidência correta no nook.
06/02/2026</t>
        </r>
      </text>
    </comment>
    <comment ref="E151" authorId="5" shapeId="0" xr:uid="{99952259-146A-45DF-B7C2-8D07B1EB64E2}">
      <text>
        <r>
          <rPr>
            <b/>
            <sz val="9"/>
            <color indexed="81"/>
            <rFont val="Segoe UI"/>
            <family val="2"/>
          </rPr>
          <t>Janderson Bezerra de Oliveira:</t>
        </r>
        <r>
          <rPr>
            <sz val="9"/>
            <color indexed="81"/>
            <rFont val="Segoe UI"/>
            <family val="2"/>
          </rPr>
          <t xml:space="preserve">
06/02/2026 - o programa de 5S está de acordo com os padrões.
Falta disponibilizar no Sharepoint. </t>
        </r>
      </text>
    </comment>
    <comment ref="E153" authorId="5" shapeId="0" xr:uid="{8D76CBCE-C11C-44F0-8AF3-293FE8E65F3C}">
      <text>
        <r>
          <rPr>
            <b/>
            <sz val="9"/>
            <color indexed="81"/>
            <rFont val="Segoe UI"/>
            <family val="2"/>
          </rPr>
          <t xml:space="preserve">Janderson Bezerra de Oliveira:
</t>
        </r>
        <r>
          <rPr>
            <sz val="9"/>
            <color indexed="81"/>
            <rFont val="Segoe UI"/>
            <family val="2"/>
          </rPr>
          <t>17/02/2026: implementado nesta data. Book evidência atualizado com evidência</t>
        </r>
      </text>
    </comment>
    <comment ref="E155" authorId="5" shapeId="0" xr:uid="{5A4C4BBC-E32F-4634-95F4-FA682049548B}">
      <text>
        <r>
          <rPr>
            <b/>
            <sz val="9"/>
            <color indexed="81"/>
            <rFont val="Segoe UI"/>
            <family val="2"/>
          </rPr>
          <t>Janderson Bezerra de Oliveira:</t>
        </r>
        <r>
          <rPr>
            <sz val="9"/>
            <color indexed="81"/>
            <rFont val="Segoe UI"/>
            <family val="2"/>
          </rPr>
          <t xml:space="preserve">
Atualizado em 10/02/2026</t>
        </r>
      </text>
    </comment>
    <comment ref="E156" authorId="5" shapeId="0" xr:uid="{2439C34C-5BF7-4DDB-8131-90142273C546}">
      <text>
        <r>
          <rPr>
            <b/>
            <sz val="9"/>
            <color indexed="81"/>
            <rFont val="Segoe UI"/>
            <family val="2"/>
          </rPr>
          <t xml:space="preserve">Janderson Bezerra de Oliveira:
</t>
        </r>
        <r>
          <rPr>
            <sz val="9"/>
            <color indexed="81"/>
            <rFont val="Segoe UI"/>
            <family val="2"/>
          </rPr>
          <t>17/02/2026: implementado nest data. Book evidência atualizado com evidência</t>
        </r>
      </text>
    </comment>
    <comment ref="I173" authorId="6" shapeId="0" xr:uid="{865E8E36-F1B1-4710-83AF-DD113BD40BE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tc={0797BA69-B0A1-45BC-A265-02EFA0C95E19}</author>
    <author>tc={5A5D13B7-C666-460C-8973-376DD490EFDA}</author>
    <author>tc={57605324-39F9-4960-968B-2EBF6E222A27}</author>
    <author>Eduardo Kakitsuka</author>
    <author>tc={875C35AA-683B-4C62-90E3-E711FA3E87D6}</author>
    <author>tc={CBD3AB78-5AA6-42BC-9B33-C81FA202219F}</author>
    <author>tc={83357ED4-4F47-493F-9EB3-A50E9128480E}</author>
    <author>tc={870E3FB5-CAF6-4367-B760-69F1D9EE9774}</author>
    <author>tc={2A5988A5-472C-4533-8F70-CD7B04BE7A64}</author>
    <author>tc={06D9F538-B08D-40F6-B653-0C6F3B1B45BF}</author>
    <author>Gabriel Gustavo de Souza</author>
    <author>tc={7A2A8052-A215-4500-AE7D-9E964829F4AA}</author>
    <author>tc={1D314011-92A1-4346-AE0D-62CD453703F9}</author>
    <author>tc={F9BE6A23-10F3-43E6-9448-A86E11846267}</author>
    <author>tc={E18A9F1D-AF22-42DD-8ADB-CE5E6777225C}</author>
    <author>tc={EFA97A40-CDEA-4278-9124-E3F0556F9C5D}</author>
    <author>tc={1D9B8FF9-29D1-4E3B-9F77-F465E72E7D66}</author>
    <author>tc={90C35E04-6BBE-4472-A5D5-A08976F1F1A2}</author>
  </authors>
  <commentList>
    <comment ref="O4" authorId="0" shapeId="0" xr:uid="{0797BA69-B0A1-45BC-A265-02EFA0C95E1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N8" authorId="1" shapeId="0" xr:uid="{5A5D13B7-C666-460C-8973-376DD490EF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B29" authorId="2" shapeId="0" xr:uid="{57605324-39F9-4960-968B-2EBF6E222A2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29" authorId="3" shapeId="0" xr:uid="{CCD45358-0EFD-44E6-B380-274D088722AB}">
      <text>
        <r>
          <rPr>
            <sz val="11"/>
            <color theme="1"/>
            <rFont val="Calibri"/>
            <family val="2"/>
            <scheme val="minor"/>
          </rPr>
          <t>Eduardo Kakitsuka:
(Receita Líquida - Custos Variáveis) / Receita Líquida
Custos variáveis são despesas que mudam conforme a produção ou vendas, como matéria-prima, embalagens, fretes por unidade, insumos (água/luz dependendo do uso) e horas extras de produção, que aumentam com a demanda e só ocorrem se houver atividade, diferentemente dos custos fixos que se mantêm constantes.</t>
        </r>
      </text>
    </comment>
    <comment ref="B30" authorId="4" shapeId="0" xr:uid="{875C35AA-683B-4C62-90E3-E711FA3E87D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30" authorId="3" shapeId="0" xr:uid="{27D80603-7FC5-4374-93AE-9C8F6CBE126A}">
      <text>
        <r>
          <rPr>
            <sz val="11"/>
            <color theme="1"/>
            <rFont val="Calibri"/>
            <family val="2"/>
            <scheme val="minor"/>
          </rPr>
          <t>Eduardo Kakitsuka:
Valor (R$) do Scrap / Custo Total da Produção</t>
        </r>
      </text>
    </comment>
    <comment ref="G31" authorId="3" shapeId="0" xr:uid="{E11AC141-D7F3-48B4-81D7-2A27B7FE36E0}">
      <text>
        <r>
          <rPr>
            <sz val="11"/>
            <color theme="1"/>
            <rFont val="Calibri"/>
            <family val="2"/>
            <scheme val="minor"/>
          </rPr>
          <t>Eduardo Kakitsuka:
Disponibilidade x Performance x Qualidade</t>
        </r>
      </text>
    </comment>
    <comment ref="B32" authorId="5" shapeId="0" xr:uid="{CBD3AB78-5AA6-42BC-9B33-C81FA202219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32" authorId="3" shapeId="0" xr:uid="{5A62F742-27E0-4A2A-8D1A-29E52E507873}">
      <text>
        <r>
          <rPr>
            <sz val="11"/>
            <color theme="1"/>
            <rFont val="Calibri"/>
            <family val="2"/>
            <scheme val="minor"/>
          </rPr>
          <t>Eduardo Kakitsuka:
Horas Padrão / Horas Apontadas</t>
        </r>
      </text>
    </comment>
    <comment ref="G34" authorId="3" shapeId="0" xr:uid="{B06401A0-F276-49EC-B60A-98D0F60DB36C}">
      <text>
        <r>
          <rPr>
            <sz val="11"/>
            <color theme="1"/>
            <rFont val="Calibri"/>
            <family val="2"/>
            <scheme val="minor"/>
          </rPr>
          <t>Eduardo Kakitsuka:
Tempo Total Operando / Número de falhas</t>
        </r>
      </text>
    </comment>
    <comment ref="G36" authorId="3" shapeId="0" xr:uid="{58ADCE7B-D6A3-440D-8E8B-ACEC89444A04}">
      <text>
        <r>
          <rPr>
            <sz val="11"/>
            <color theme="1"/>
            <rFont val="Calibri"/>
            <family val="2"/>
            <scheme val="minor"/>
          </rPr>
          <t>Eduardo Kakitsuka:
Tempo Total Operando / Número de falhas</t>
        </r>
      </text>
    </comment>
    <comment ref="G37" authorId="3" shapeId="0" xr:uid="{B97CCA09-FA9E-4733-B947-D5062F06E179}">
      <text>
        <r>
          <rPr>
            <sz val="11"/>
            <color theme="1"/>
            <rFont val="Calibri"/>
            <family val="2"/>
            <scheme val="minor"/>
          </rPr>
          <t>Eduardo Kakitsuka:
Tempo Total de Reparo / Número de falhas</t>
        </r>
      </text>
    </comment>
    <comment ref="G39" authorId="3" shapeId="0" xr:uid="{1184A505-8DA8-4663-B437-DA56E2027304}">
      <text>
        <r>
          <rPr>
            <sz val="11"/>
            <color theme="1"/>
            <rFont val="Calibri"/>
            <family val="2"/>
            <scheme val="minor"/>
          </rPr>
          <t>Eduardo Kakitsuka:
Acuracidade: (Qtd de itens com saldo correto / Qtd de itens verificados) x 100
Divergência: ((Qtd física - Qtd sistema) / Qtd no sistema) x 100</t>
        </r>
      </text>
    </comment>
    <comment ref="G40" authorId="3" shapeId="0" xr:uid="{6ADE5F35-A4A9-44F2-8768-A91B3E180489}">
      <text>
        <r>
          <rPr>
            <sz val="11"/>
            <color theme="1"/>
            <rFont val="Calibri"/>
            <family val="2"/>
            <scheme val="minor"/>
          </rPr>
          <t>Eduardo Kakitsuka:
(Nº de Peças Defeituosas / Total de Peças Produzidas) x 1.000.000</t>
        </r>
      </text>
    </comment>
    <comment ref="G41" authorId="3" shapeId="0" xr:uid="{1E1FA7C5-2953-46B5-B304-89530426A8DD}">
      <text>
        <r>
          <rPr>
            <sz val="11"/>
            <color theme="1"/>
            <rFont val="Calibri"/>
            <family val="2"/>
            <scheme val="minor"/>
          </rPr>
          <t>Eduardo Kakitsuka:
(Nº de Peças Defeituosas / Total de Peças Produzidas) x 1.000.000</t>
        </r>
      </text>
    </comment>
    <comment ref="B42" authorId="6" shapeId="0" xr:uid="{83357ED4-4F47-493F-9EB3-A50E9128480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44" authorId="3" shapeId="0" xr:uid="{93B250DE-B662-4667-BA52-EF51DC39C742}">
      <text>
        <r>
          <rPr>
            <sz val="11"/>
            <color theme="1"/>
            <rFont val="Calibri"/>
            <family val="2"/>
            <scheme val="minor"/>
          </rPr>
          <t>Eduardo Kakitsuka:
(Nº de Acidentes com Afastamento x 1.000.000) / HHT</t>
        </r>
      </text>
    </comment>
    <comment ref="G45" authorId="3" shapeId="0" xr:uid="{DF36AE18-3391-4E19-884C-DD294342E446}">
      <text>
        <r>
          <rPr>
            <sz val="11"/>
            <color theme="1"/>
            <rFont val="Calibri"/>
            <family val="2"/>
            <scheme val="minor"/>
          </rPr>
          <t>Eduardo Kakitsuka:
Auditorias de processo comparando o consumo real vs. POC</t>
        </r>
      </text>
    </comment>
    <comment ref="G46" authorId="3" shapeId="0" xr:uid="{AC9F1843-A760-4FFD-A9A2-FA97FB12535F}">
      <text>
        <r>
          <rPr>
            <sz val="11"/>
            <color theme="1"/>
            <rFont val="Calibri"/>
            <family val="2"/>
            <scheme val="minor"/>
          </rPr>
          <t>Eduardo Kakitsuka:
Auditoria semanal do preenchimento de formulários e reuniões.</t>
        </r>
      </text>
    </comment>
    <comment ref="B47" authorId="7" shapeId="0" xr:uid="{870E3FB5-CAF6-4367-B760-69F1D9EE977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Fonte: Planilha Controle_Orçamentário Negócio (Controladoria)
Despesas: Outros custos fixos - Materiais auxiliares - Gases industriais - Locação - Energia Elétrica - Manutenção - Frete - T.I - Serviços - Outras despesas ADM - Outros Custos Variáveis - Despesas juridicas</t>
      </text>
    </comment>
    <comment ref="M57" authorId="8" shapeId="0" xr:uid="{2A5988A5-472C-4533-8F70-CD7B04BE7A6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Analise da proposta em andamento. Planta retornará com algumas informações extras importantes para que seja possível dar sequência. </t>
      </text>
    </comment>
    <comment ref="S60" authorId="9" shapeId="0" xr:uid="{06D9F538-B08D-40F6-B653-0C6F3B1B45B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Economia não atingida para o mês de Jan.</t>
      </text>
    </comment>
    <comment ref="M61" authorId="10" shapeId="0" xr:uid="{1E4A24EB-608F-4BC5-8B49-441DB4B8F639}">
      <text>
        <r>
          <rPr>
            <b/>
            <sz val="9"/>
            <color indexed="81"/>
            <rFont val="Tahoma"/>
            <family val="2"/>
          </rPr>
          <t>Gabriel Gustavo de Souza:</t>
        </r>
        <r>
          <rPr>
            <sz val="9"/>
            <color indexed="81"/>
            <rFont val="Tahoma"/>
            <family val="2"/>
          </rPr>
          <t xml:space="preserve">
22/05 previsto</t>
        </r>
      </text>
    </comment>
    <comment ref="M63" authorId="11" shapeId="0" xr:uid="{7A2A8052-A215-4500-AE7D-9E964829F4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proposta está em stand-by, considerando a necessidade de escalonamento aos gerentes para melhor alinhamento.</t>
      </text>
    </comment>
    <comment ref="M65" authorId="12" shapeId="0" xr:uid="{1D314011-92A1-4346-AE0D-62CD453703F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está responsável por revisar e analisar uma forma alternativa de melhor refletir o controle e a mensuração da redução proposta na pintura a pó.</t>
      </text>
    </comment>
    <comment ref="M67" authorId="13" shapeId="0" xr:uid="{F9BE6A23-10F3-43E6-9448-A86E1184626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Já esclarecido pela planta. Analise em andamento.</t>
      </text>
    </comment>
    <comment ref="M69" authorId="14" shapeId="0" xr:uid="{E18A9F1D-AF22-42DD-8ADB-CE5E6777225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t>
      </text>
    </comment>
    <comment ref="M71" authorId="15" shapeId="0" xr:uid="{EFA97A40-CDEA-4278-9124-E3F0556F9C5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
</t>
      </text>
    </comment>
    <comment ref="N73" authorId="16" shapeId="0" xr:uid="{1D9B8FF9-29D1-4E3B-9F77-F465E72E7D6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Estimativa validada. Acompanharemos mensalmente, iniciando no mês de abril, o reporte da redução, casou houver.</t>
      </text>
    </comment>
    <comment ref="P137" authorId="17" shapeId="0" xr:uid="{90C35E04-6BBE-4472-A5D5-A08976F1F1A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tc={850AA130-BC98-4FB1-9A1D-A07A2365AA23}</author>
  </authors>
  <commentList>
    <comment ref="R4" authorId="0" shapeId="0" xr:uid="{850AA130-BC98-4FB1-9A1D-A07A2365AA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tc={BA37A69C-E1E5-47BB-B2C5-109317351F13}</author>
  </authors>
  <commentList>
    <comment ref="R8" authorId="0" shapeId="0" xr:uid="{BA37A69C-E1E5-47BB-B2C5-109317351F1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tc={D88A9B23-964D-4147-BA31-C029D418FEC7}</author>
    <author>tc={0FB6B2B9-326A-40F7-8746-ABD1346E42D5}</author>
    <author>tc={CDDEE2F8-CA49-4216-9638-B4F6677B97CA}</author>
    <author>tc={BDA776D3-7FAC-4AAF-BDB2-336D2932535C}</author>
    <author>tc={4EE00267-FF71-4296-9A52-237A8130F91F}</author>
    <author>tc={6A1C380F-6F1A-4C0E-A2E5-FBF3183A15F3}</author>
    <author>tc={F7F57100-ACA0-41FB-B257-256556E3EE30}</author>
    <author>tc={273B0949-D6C3-4E55-8029-D15D2DBE9483}</author>
    <author>tc={B2FAF34A-2041-4735-B0E7-7CF011956DBF}</author>
    <author>tc={E68BED9F-337E-4AB7-9AC3-202848CC4820}</author>
    <author>tc={5C8F071D-7980-458D-8767-03D40A29B005}</author>
    <author>tc={97EE70FF-E4BB-403B-BB95-F6187A414EB2}</author>
    <author>tc={2C1D4407-A02A-45F6-9F3F-6684566D664A}</author>
    <author>tc={1FC23990-861A-4E72-B7E8-DCF7552A4E8E}</author>
    <author>tc={1ECA232C-B845-478D-B73C-9F9EAFD0DF72}</author>
    <author>tc={9422A863-C9FC-4432-915B-5BC659602A65}</author>
    <author>tc={93FF6728-9803-410F-84B0-00C7F3D45D3D}</author>
    <author>tc={2D8BE2C1-81B4-4F55-A0B2-B94A32BC0C1E}</author>
    <author>tc={A100FC49-CB98-42DF-AEA2-CA70F77BB42C}</author>
    <author>tc={AD86390B-09FA-48B8-8095-5EBBDBABA72C}</author>
    <author>tc={C9D2B482-EB38-4F63-BBDB-AB3E09C5102D}</author>
    <author>tc={21E10CF9-8F7E-4975-AD5D-BBC0CE6D5ECD}</author>
    <author>tc={0B0883C1-DDCD-4F8E-91BD-CF5A46875DC3}</author>
    <author>tc={1BC6D244-8AD9-4F2D-A2AD-5A968CF75719}</author>
    <author>tc={3CD98D5D-E808-4EFC-A73E-BDED3E94E160}</author>
    <author>tc={1C9E04FE-CFE4-49DD-A320-F0D7A16E5E27}</author>
    <author>tc={2444F3C4-4027-4EA1-B09E-B0D5C7B8AF33}</author>
    <author>tc={81456B4A-7638-4F48-9675-FB52A3C93728}</author>
    <author>tc={358D4973-AB28-456F-A640-9856E01C5FE9}</author>
    <author>tc={9C425455-D843-4E13-AF70-2A45F253ECD5}</author>
    <author>tc={941AD74F-8240-4BB2-A2FE-7F6CC395C4EF}</author>
    <author>tc={1FA16A7E-CE84-44D7-AD2C-1EDBF8270E40}</author>
    <author>tc={4A471903-6BEF-4EE4-8DF8-8721D6A4BCBD}</author>
    <author>tc={315BB803-4484-40F8-9650-4214D3BCB388}</author>
    <author>tc={CAC2FD96-0BF8-4A1A-AB82-16B95356A42E}</author>
    <author>tc={8A78017D-CAB5-4010-84CD-6B9BC1954DCF}</author>
    <author>tc={27E78490-834C-4EC4-8CC2-3A81E1895CBB}</author>
    <author>tc={0FA8DC18-D388-442A-B7AC-D1D6A26C4E04}</author>
    <author>tc={085D4A6D-DD5C-47D4-AD93-CFA16A12A40B}</author>
    <author>tc={1DEBA298-4B30-4DB7-A997-C084AF8B9CBD}</author>
    <author>tc={5ED7A15F-8670-47F2-B65B-3E522AA01FE6}</author>
    <author>tc={FD0F00A5-291B-48DF-887C-3E11F99929AE}</author>
    <author>tc={6AB332AC-A64E-4EAC-9744-1EF1E9C5B40F}</author>
    <author>tc={04E19B96-2646-48EC-840A-C52298D37E6B}</author>
    <author>tc={65164BDE-3C08-4FF9-A10B-BE34958A49D3}</author>
    <author>tc={A5197233-05AC-46DD-B84A-06C738456CC7}</author>
    <author>tc={0CBFD93A-BF38-47E2-85F6-EDA8B032C8C9}</author>
    <author>tc={42D7C201-1EBE-44B9-BE3D-EB654D88F1AC}</author>
    <author>tc={CEC12F9E-B5BD-49F7-ACA2-D8088F90F10C}</author>
  </authors>
  <commentList>
    <comment ref="R3" authorId="0" shapeId="0" xr:uid="{D88A9B23-964D-4147-BA31-C029D418FEC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Tempo Médio de Setup
Golpes por Minuto
OEE % - Geral
</t>
      </text>
    </comment>
    <comment ref="S3" authorId="1" shapeId="0" xr:uid="{0FB6B2B9-326A-40F7-8746-ABD1346E42D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das Cruzes
PPM - Cliente	Mercedes Benz
PPM - Cliente	Renault
PPM - Cliente	Plascar
PPM - Cliente	Delga Anchieta
PPM - Cliente	Delga Ferraz
PPM - Cliente	Delga Jarinu
PPM - Cliente	Delga São Leopoldo
N.º de Falhas de Garantia/Campo
Satisfação do Cliente (%) - Total
Nº de Peças em Embarque Controlado
PPM Interno (Total)	Total
PPM - Interno	Estamparia
PPM - Interno	Solda
Form.206 na aprovação do cliente - Fase 5 (%)
Atendimento do desenvolvimento no prazo (%)
Auditorias Escalonadas (% de Conformidade)
Auditoria de 5S (% de Conformidade)
 </t>
      </text>
    </comment>
    <comment ref="T3" authorId="2" shapeId="0" xr:uid="{CDDEE2F8-CA49-4216-9638-B4F6677B97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3" authorId="3" shapeId="0" xr:uid="{BDA776D3-7FAC-4AAF-BDB2-336D2932535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3" authorId="4" shapeId="0" xr:uid="{4EE00267-FF71-4296-9A52-237A8130F91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Volkswagem - Anchieta
% Prazo de entrega	Volkswagem - São Jose dos Pinhais
% Prazo de entrega	Volkswagem - Taubaté
% Prazo de entrega	MAN
% Prazo de entrega	GM - SCS
% Prazo de entrega	GM - Gravatai
% Prazo de entrega	GM - São José dos Campos
% Prazo de entrega	GM - Mogi das Cruzes
% Prazo de entrega	Mercedes Benz
% Prazo de entrega	Renault
% Prazo de entrega	Plascar
% Prazo de entrega	Delga Anchieta
% Prazo de entrega	Delga Ferraz
% Prazo de entrega	Delga Jarinu
% Prazo de entrega	Delga São Leopoldo
% atingimento da meta de faturamento mensal
Frete
Frete Extra
Days on hands ( dias de estoque )
Valor total de estoques
Giro de Estoque
IQF Fornecedores</t>
      </text>
    </comment>
    <comment ref="W3" authorId="5" shapeId="0" xr:uid="{6A1C380F-6F1A-4C0E-A2E5-FBF3183A15F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3" authorId="6" shapeId="0" xr:uid="{F7F57100-ACA0-41FB-B257-256556E3EE3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3" authorId="7" shapeId="0" xr:uid="{273B0949-D6C3-4E55-8029-D15D2DBE948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3" authorId="8" shapeId="0" xr:uid="{B2FAF34A-2041-4735-B0E7-7CF011956DB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
      </text>
    </comment>
    <comment ref="AA3" authorId="9" shapeId="0" xr:uid="{E68BED9F-337E-4AB7-9AC3-202848CC482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4" authorId="10" shapeId="0" xr:uid="{5C8F071D-7980-458D-8767-03D40A29B00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Produtividade
OEE % - Geral</t>
      </text>
    </comment>
    <comment ref="S4" authorId="11" shapeId="0" xr:uid="{97EE70FF-E4BB-403B-BB95-F6187A414EB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Scania
Nº de Reclamações	VWTB
Nº de Reclamações	Mercedes Benz
Nº de Reclamações	Volvo
Nº de Reclamações	Metalsa
Nº de Reclamações	Sogefi
Nº de Reclamações	Delga Diadema
Nº de Reclamações	Delga Ferraz
Nº de Reclamações	Delga Jarinu
N.º de Paradas de Linha (Perturbação no Cliente)
PPM Cliente (Total)	Total
PPM - Cliente	Scania
PPM - Cliente	VWTB
PPM - Cliente	Mercedes Benz
PPM - Cliente	Volvo
PPM - Cliente	Metalsa
PPM - Cliente	Sogefi
PPM - Cliente	Delga Diadema
PPM - Cliente	Delga Ferraz
PPM - Cliente	Delga Jarinu
N.º de Falhas de Garantia/Campo
Satisfação do Cliente (%) - Total
Nº de Peças em Embarque Controlado
PPM Interno (Total)	Total
PPM - Interno	Pintura
PPM - Interno	Montagem
Form.206 na aprovação do cliente - Fase 5 (%)
Atendimento do desenvolvimento no prazo (%)
Auditorias Escalonadas (% de Conformidade)
Auditoria de 5S (% de Conformidade)</t>
      </text>
    </comment>
    <comment ref="T4" authorId="12" shapeId="0" xr:uid="{2C1D4407-A02A-45F6-9F3F-6684566D664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ROS
Margem Contribuição (%)
Custos Fixos / Faturamento Líquido (%)
Faturamento  Bruto Peças (R$) /1000
Faturamento  Liquido (R$) (Efetivo) /1000
Resultado Operacional</t>
      </text>
    </comment>
    <comment ref="U4" authorId="13" shapeId="0" xr:uid="{1FC23990-861A-4E72-B7E8-DCF7552A4E8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4" authorId="14" shapeId="0" xr:uid="{1ECA232C-B845-478D-B73C-9F9EAFD0DF7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Scania
% Prazo de entrega	VWTB
% Prazo de entrega	Mercedes Benz
% Prazo de entrega	Volvo
% Prazo de entrega	Metalsa
% Prazo de entrega	Sogefi
% Prazo de entrega	Delga Diadema
% Prazo de entrega	Delga Ferraz
% Prazo de entrega	Delga Jarinu
% atingimento da meta de faturamento mensal
Frete
Bitmap
Frete Extra
Days on hands ( dias de estoque )
Valor total de estoques
Giro de Estoque
IQF Fornecedores</t>
      </text>
    </comment>
    <comment ref="X4" authorId="15" shapeId="0" xr:uid="{9422A863-C9FC-4432-915B-5BC659602A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4" authorId="16" shapeId="0" xr:uid="{93FF6728-9803-410F-84B0-00C7F3D45D3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 Tonelada produzida
Resíduo sobre MP
% de resíduo reciclável
% de resíduos destinado para aterro </t>
      </text>
    </comment>
    <comment ref="Z4" authorId="17" shapeId="0" xr:uid="{2D8BE2C1-81B4-4F55-A0B2-B94A32BC0C1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
      </text>
    </comment>
    <comment ref="AA4" authorId="18" shapeId="0" xr:uid="{A100FC49-CB98-42DF-AEA2-CA70F77BB42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5" authorId="19" shapeId="0" xr:uid="{AD86390B-09FA-48B8-8095-5EBBDBABA72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 eficiência mão de obra - Chassis
% eficiência mão de obra - Eixos
Refugo / Scrap (%) - Chassis
Refugo / Scrap (%) Eixos
Downtime - Geral
Hora Extra
Tempo Médio de Setup
Golpes por Minuto
OEE % - Geral
OEE % - Chassis
OEE % - Eixos</t>
      </text>
    </comment>
    <comment ref="S5" authorId="20" shapeId="0" xr:uid="{C9D2B482-EB38-4F63-BBDB-AB3E09C510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Refugo / Scrap (%)
Retrabalho (R$)
Controle de Material Não Conforme Bloqueados (R$)
Nº de Reclamações de Clientes - Total
Nº de Reclamações	CNH
Nº de Reclamações	Cummins
Nº de Reclamações	Dana
Nº de Reclamações	Man
Nº de Reclamações	Kongsberg
Nº de Reclamações	Maxion
Nº de Reclamações	Mercedes Benz
Nº de Reclamações	Méritor
Nº de Reclamações	MWM
Nº de Reclamações	SCANIA
N.º de Paradas de Linha (Perturbação no Cliente)
PPM Cliente (Total)
PPM - Cliente	CNH
PPM - Cliente	Cummins
PPM - Cliente	Dana
PPM - Cliente	Man
PPM - Cliente	Kongsberg
PPM - Cliente	Maxion
PPM - Cliente	Mercedes Benz
PPM - Cliente	Méritor
PPM - Cliente	MWM
PPM - Cliente	SCANIA
N.º de Falhas de Garantia/Campo
Satisfação do Cliente (%) - Total
Satisfação do Cliente (%)	CNH
Satisfação do Cliente (%)	Cummins
Satisfação do Cliente (%)	Dana
Satisfação do Cliente (%)	Man
Satisfação do Cliente (%)	Kongsberg
Satisfação do Cliente (%)	Maxion
Satisfação do Cliente (%)	Mercedes Benz
Satisfação do Cliente (%)	Méritor
Satisfação do Cliente (%)	MWM
Satisfação do Cliente (%)	SCANIA
Nº de Peças em Embarque Controlado
PPM Interno (Total)
PPM - Interno	Estamparia
PPM - Interno	Solda
PPM - Interno	Pintura
PPM - Interno	Montagem
PPM - Interno	Corte
PPM - Interno	Dobra
Form.206 na aprovação do cliente - Fase 5 (%)
Atendimento do desenvolvimento no prazo (%)
Auditorias Escalonadas (% de Conformidade)
Auditoria de 5S (% de Conformidade)</t>
      </text>
    </comment>
    <comment ref="T5" authorId="21" shapeId="0" xr:uid="{21E10CF9-8F7E-4975-AD5D-BBC0CE6D5EC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5" authorId="22" shapeId="0" xr:uid="{0B0883C1-DDCD-4F8E-91BD-CF5A46875DC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5" authorId="23" shapeId="0" xr:uid="{1BC6D244-8AD9-4F2D-A2AD-5A968CF7571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CNH
% Prazo de entrega	Cummins
% Prazo de entrega	Dana
% Prazo de entrega	Man
% Prazo de entrega	Kongsberg
% Prazo de entrega	Maxion
% Prazo de entrega	Mercedes Benz
% Prazo de entrega	Méritor
% Prazo de entrega	MWM
% Prazo de entrega	SCANIA
% atingimento da meta de faturamento mensal
Frete
Frete Extra
Days on hands ( dias de estoque )
Valor total de estoques
Giro de Estoque
IQF Fornecedores</t>
      </text>
    </comment>
    <comment ref="W5" authorId="24" shapeId="0" xr:uid="{3CD98D5D-E808-4EFC-A73E-BDED3E94E16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5" authorId="25" shapeId="0" xr:uid="{1C9E04FE-CFE4-49DD-A320-F0D7A16E5E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5" authorId="26" shapeId="0" xr:uid="{2444F3C4-4027-4EA1-B09E-B0D5C7B8AF3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5" authorId="27" shapeId="0" xr:uid="{81456B4A-7638-4F48-9675-FB52A3C9372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5" authorId="28" shapeId="0" xr:uid="{358D4973-AB28-456F-A640-9856E01C5FE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6" authorId="29" shapeId="0" xr:uid="{9C425455-D843-4E13-AF70-2A45F253ECD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Downtime - Estamparia
Downtime - Solda
Hora Extra
Tempo Médio de Setup
Golpes por Minuto
OEE % - Geral
OEE % - Isgec - EST25001
OEE % - Celula 04 - CSR61004
OEE % - Prensa Minster - Est05001
OEE % - Prensa Schuler - Est05002
OEE % - Prensa Gutmann - Est04002
OEE % - Prensa Gutmann - Est04003
OEE % - Prensa Schuler - Est08001</t>
      </text>
    </comment>
    <comment ref="S6" authorId="30" shapeId="0" xr:uid="{941AD74F-8240-4BB2-A2FE-7F6CC395C4E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 custo da não conformidade (CONC)Notas de Debito (R$)Refugo / Scrap (R$)Retrabalho (R$)Nº de Reclamações de Clientes - TotalNº de ReclamaçõesVolkswagem - AnchietaNº de ReclamaçõesVolkswagem - São Jose dos PinhaisNº de ReclamaçõesVolkswagem - TaubatéNº de ReclamaçõesGM - SCSNº de ReclamaçõesGM - GravataiNº de ReclamaçõesGM - ArgentinaNº de ReclamaçõesGM -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GM - SCS
Nº de Reclamações	GM - Gravatai
Nº de Reclamações	GM - Argentina
Nº de Reclamações	GM - Uzbequistão
Nº de Reclamações	GM - Colombia
Nº de Reclamações	Gestamp - Santa Isabel
Nº de Reclamações	Gestamp - Paraná
N.º de Paradas de Linha (Perturbação no Cliente)
PPM Cliente (Total)
PPM - Cliente	Volkswagem - Anchieta
PPM - Cliente	Volkswagem - São Jose dos Pinhais
PPM - Cliente	Volkswagem - Taubaté
PPM - Cliente	GM - SCS
PPM - Cliente	GM - Gravatai
PPM - Cliente	GM - Argentina
PPM - Cliente	GM - Uzbequistão
PPM - Cliente	GM - Colombia
PPM - Cliente	Gestamp - Santa Isabel
PPM - Cliente	Gestamp - Paraná
N.º de Falhas de Garantia/Campo
Satisfação do Cliente (%) - Total
Nº de Peças em Embarque Controlado
PPM Interno (Total)
PPM - Interno	Estamparia
PPM - Interno	Solda
Form.206 na aprovação do cliente - Fase 5 (%)
Atendimento do desenvolvimento no prazo (%)
Auditorias Escalonadas (% de Conformidade)
Auditoria de 5S (% de Conformidade)
</t>
      </text>
    </comment>
    <comment ref="T6" authorId="31" shapeId="0" xr:uid="{1FA16A7E-CE84-44D7-AD2C-1EDBF8270E4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6" authorId="32" shapeId="0" xr:uid="{4A471903-6BEF-4EE4-8DF8-8721D6A4BCB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t>
      </text>
    </comment>
    <comment ref="V6" authorId="33" shapeId="0" xr:uid="{315BB803-4484-40F8-9650-4214D3BCB38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Volkswagem - Anchieta
% Prazo de entrega	Volkswagem - Taubaté
% Prazo de entrega	GM - SCS
% Prazo de entrega	GM - Gravatai
% Prazo de entrega	GM - Argentina
% Prazo de entrega	GM - Uzbequistão
% Prazo de entrega	Gestamp - Santa Isabel
% Prazo de entrega	Gestamp - Paraná
% atingimento da meta de faturamento mensal
Frete
Frete Extra
Days on hands ( dias de estoque )
Valor total de estoques
Giro de Estoque
IQF Fornecedores</t>
      </text>
    </comment>
    <comment ref="W6" authorId="34" shapeId="0" xr:uid="{CAC2FD96-0BF8-4A1A-AB82-16B95356A42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MTTR (Hrs) - Ferramentaria - Estamparia
MTTR (Hrs) - Ferramentaria - Solda
MTBF (Hrs) - Ferramentaria
MTBF (Hrs) - Ferramentaria - Estamparia
MTBF (Hrs) - Ferramentaria - Solda
Disponibilidade % - Ferramentaria
Disponibilidade % - Ferramentaria - Estamparia
Disponibilidade % - Ferramentaria - Solda
Custos - Ferramentaria
Preventivas - Ferramentaria</t>
      </text>
    </comment>
    <comment ref="X6" authorId="35" shapeId="0" xr:uid="{8A78017D-CAB5-4010-84CD-6B9BC1954DC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MTTR (Hrs) - Manutenção - Estamparia
MTTR (Hrs) - Manutenção - Solda
MTBF (Hrs) - Manutenção
MTBF (Hrs) - Manutenção - Estamparia
MTBF (Hrs) - Manutenção - Solda
Disponibilidade % - Manutenção
Disponibilidade % - Manutenção - Estamparia
Disponibilidade % - Manutenção - Solda
Custos - Manutenção
Preventivas - Manutenção</t>
      </text>
    </comment>
    <comment ref="Y6" authorId="36" shapeId="0" xr:uid="{27E78490-834C-4EC4-8CC2-3A81E1895C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6" authorId="37" shapeId="0" xr:uid="{0FA8DC18-D388-442A-B7AC-D1D6A26C4E0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6" authorId="38" shapeId="0" xr:uid="{085D4A6D-DD5C-47D4-AD93-CFA16A12A4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Absenteísmo - Efetivos
Absenteísmo - Temporarios
Turnover - Geral
Turnover - Efetivos
Turnover - Temporarios
Satisfação dos Colaboradores</t>
      </text>
    </comment>
    <comment ref="R7" authorId="39" shapeId="0" xr:uid="{1DEBA298-4B30-4DB7-A997-C084AF8B9CB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Tempo Médio de Setup
Golpes por Minuto
OEE % - Geral
</t>
      </text>
    </comment>
    <comment ref="S7" authorId="40" shapeId="0" xr:uid="{5ED7A15F-8670-47F2-B65B-3E522AA01FE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de Clientes (Total) - Automotivo
Nº de Reclamações de Clientes (Total) - Agricola
Nº de Reclamações	AGCO
Nº de Reclamações	CNH
Nº de Reclamações	Suspensys
Nº de Reclamações	Master
Nº de Reclamações	Delga Diadema
N.º de Paradas de Linha (Perturbação no Cliente)
PPM Cliente (Total)
PPM Cliente (Total)	Automotivo
PPM Cliente (Total)	Agricola
PPM - Cliente	CNH
PPM - Cliente	AGCO
PPM - Cliente	Suspensys
PPM - Cliente	Master
PPM - Cliente	Delga Diadema
N.º de Falhas de Garantia/Campo
Satisfação do Cliente (%) - Total
Satisfação do Cliente (%)	AGCO
Satisfação do Cliente (%)	CNH	 
Satisfação do Cliente (%)	Suspensys	 
Satisfação do Cliente (%)	Master 	 
Satisfação do Cliente (%)	Delga Diadema 
Nº de Peças em Embarque Controlado
PPM Interno (Total)
PPM - Interno	Estamparia
PPM - Interno	Solda
PPM - Interno	Usinagem
PPM - Interno	Dobradeira
PPM - Interno	Lsaer
PPM - Interno	Montagem
Form.206 na aprovação do cliente - Fase 5 (%)
Atendimento do desenvolvimento no prazo (%)
Auditorias Escalonadas (% de Conformidade)
Auditoria de 5S (% de Conformidade)</t>
      </text>
    </comment>
    <comment ref="T7" authorId="41" shapeId="0" xr:uid="{FD0F00A5-291B-48DF-887C-3E11F99929A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7" authorId="42" shapeId="0" xr:uid="{6AB332AC-A64E-4EAC-9744-1EF1E9C5B40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7" authorId="43" shapeId="0" xr:uid="{04E19B96-2646-48EC-840A-C52298D37E6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Master
% Prazo de entrega	Suspensys
% Prazo de entrega	AGCO
% Prazo de entrega	CNH
% Prazo de entrega	Delga Diadema
% atingimento da meta de faturamento mensal 
Frete
Frete Extra 
Days on hands ( dias de estoque )
Valor total de estoques
Giro de Estoque
IQF Fornecedores</t>
      </text>
    </comment>
    <comment ref="W7" authorId="44" shapeId="0" xr:uid="{65164BDE-3C08-4FF9-A10B-BE34958A49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7" authorId="45" shapeId="0" xr:uid="{A5197233-05AC-46DD-B84A-06C738456CC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7" authorId="46" shapeId="0" xr:uid="{0CBFD93A-BF38-47E2-85F6-EDA8B032C8C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7" authorId="47" shapeId="0" xr:uid="{42D7C201-1EBE-44B9-BE3D-EB654D88F1A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7" authorId="48" shapeId="0" xr:uid="{CEC12F9E-B5BD-49F7-ACA2-D8088F90F10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<sst xmlns="http://schemas.openxmlformats.org/spreadsheetml/2006/main" count="12067" uniqueCount="2595">
  <si>
    <t>DASHBOARD CONSOLIDADO - GRUPO DELGA 2026</t>
  </si>
  <si>
    <t>Atualizado:</t>
  </si>
  <si>
    <t>13/01/2026</t>
  </si>
  <si>
    <t>Semana:</t>
  </si>
  <si>
    <t>VISÃO GERAL - BIG NUMBERS</t>
  </si>
  <si>
    <t>META ANUAL</t>
  </si>
  <si>
    <t>REALIZADO YTD</t>
  </si>
  <si>
    <t>% ATINGIMENTO</t>
  </si>
  <si>
    <t>GAP</t>
  </si>
  <si>
    <t>PROJETOS ATIVOS</t>
  </si>
  <si>
    <t>KAIZENS</t>
  </si>
  <si>
    <t>R$ 50,32 Mi</t>
  </si>
  <si>
    <t>R$ 0</t>
  </si>
  <si>
    <t>0%</t>
  </si>
  <si>
    <t>0</t>
  </si>
  <si>
    <t>SAVING POR FONTE</t>
  </si>
  <si>
    <t>FONTE</t>
  </si>
  <si>
    <t>META</t>
  </si>
  <si>
    <t>REALIZADO</t>
  </si>
  <si>
    <t>% ATING.</t>
  </si>
  <si>
    <t>STATUS</t>
  </si>
  <si>
    <t>Diadema</t>
  </si>
  <si>
    <t>Ferraz</t>
  </si>
  <si>
    <t>São Leopoldo</t>
  </si>
  <si>
    <t>Jarinu</t>
  </si>
  <si>
    <t>Anchieta</t>
  </si>
  <si>
    <t>Compras</t>
  </si>
  <si>
    <t>Vendas</t>
  </si>
  <si>
    <t>Corporativo</t>
  </si>
  <si>
    <t>TOTAL</t>
  </si>
  <si>
    <t>KPIs OPERACIONAIS - COMPARATIVO UNIDADES</t>
  </si>
  <si>
    <t>KPI</t>
  </si>
  <si>
    <t>DIADEMA</t>
  </si>
  <si>
    <t>FERRAZ</t>
  </si>
  <si>
    <t>SÃO LEOPOLDO</t>
  </si>
  <si>
    <t>JARINU</t>
  </si>
  <si>
    <t>ANCHIETA</t>
  </si>
  <si>
    <t>MÉDIA</t>
  </si>
  <si>
    <t>DESTAQUES DA SEMANA</t>
  </si>
  <si>
    <t>RISCOS E AÇÕES</t>
  </si>
  <si>
    <t>1.</t>
  </si>
  <si>
    <t>2.</t>
  </si>
  <si>
    <t>3.</t>
  </si>
  <si>
    <t>4.</t>
  </si>
  <si>
    <t>5.</t>
  </si>
  <si>
    <t>DASHBOARD EXECUTIVO - GRUPO DELGA</t>
  </si>
  <si>
    <t>Gestão Estratégica de Projetos e Redução de Custos | Grupo Delga | 2026</t>
  </si>
  <si>
    <t>META DO GRUPO</t>
  </si>
  <si>
    <t>RETORNO PREVISTO</t>
  </si>
  <si>
    <t>PREVISTO 2026</t>
  </si>
  <si>
    <t>💰 RETORNO VALIDADO</t>
  </si>
  <si>
    <t>💰 RETORNO REAL</t>
  </si>
  <si>
    <t>Real +  Fora do DRE (Não mensuravies)</t>
  </si>
  <si>
    <t>% ATINGIMENTO DA META</t>
  </si>
  <si>
    <t>INICIATIVAS</t>
  </si>
  <si>
    <t>Top 03 Projetos  (Maior Retorno REAL até o momento)</t>
  </si>
  <si>
    <t>possibilidade de listar e fazer BI</t>
  </si>
  <si>
    <t>Adicionar Responsavie e prazo de conclusão do projeto e possibilidade de antecipação. (sim ou não)</t>
  </si>
  <si>
    <t>📊 SAVING ESPECULADO POR PILAR</t>
  </si>
  <si>
    <t>📋 STATUS DAS INICIATIVAS</t>
  </si>
  <si>
    <t>🏭 INDICADORES OPERACIONAIS</t>
  </si>
  <si>
    <t>MATRIZ SPD 5 unidades</t>
  </si>
  <si>
    <t>Pilar</t>
  </si>
  <si>
    <t>Qtd.</t>
  </si>
  <si>
    <t>Saving (R$)</t>
  </si>
  <si>
    <t>Saving Validado 2026</t>
  </si>
  <si>
    <t>% Total</t>
  </si>
  <si>
    <t>Status</t>
  </si>
  <si>
    <t>R$ Previsto</t>
  </si>
  <si>
    <t>Aderência SPD: Unidade</t>
  </si>
  <si>
    <t>Aderência SPD: Auditado</t>
  </si>
  <si>
    <t>Análise de Margem</t>
  </si>
  <si>
    <t>Tipo</t>
  </si>
  <si>
    <t>Unidade</t>
  </si>
  <si>
    <t>Auditado</t>
  </si>
  <si>
    <t>Meta</t>
  </si>
  <si>
    <t>Kaizen</t>
  </si>
  <si>
    <t>✓ Concluído</t>
  </si>
  <si>
    <t>Produtividade e Controle</t>
  </si>
  <si>
    <t>Redução de Custo</t>
  </si>
  <si>
    <t>⏳ Em Execução</t>
  </si>
  <si>
    <t xml:space="preserve">Documentos e Registro </t>
  </si>
  <si>
    <t>Você Resolve</t>
  </si>
  <si>
    <t>📝 Não iniciado</t>
  </si>
  <si>
    <t xml:space="preserve">Manutenção do Processo </t>
  </si>
  <si>
    <t>BSW</t>
  </si>
  <si>
    <t xml:space="preserve">Análise dos Dados </t>
  </si>
  <si>
    <t>Estratégia Comercial</t>
  </si>
  <si>
    <t>-</t>
  </si>
  <si>
    <t>META DA UNIDADE</t>
  </si>
  <si>
    <t>VA</t>
  </si>
  <si>
    <t>GGF</t>
  </si>
  <si>
    <r>
      <t>PREVISTO</t>
    </r>
    <r>
      <rPr>
        <b/>
        <sz val="8"/>
        <color theme="1" tint="4.9989318521683403E-2"/>
        <rFont val="Calibri"/>
        <family val="2"/>
      </rPr>
      <t xml:space="preserve"> (Concluido)</t>
    </r>
  </si>
  <si>
    <t>MA</t>
  </si>
  <si>
    <t>Outros</t>
  </si>
  <si>
    <t>Status SPD: Unidade</t>
  </si>
  <si>
    <t>Status SPD: Auditado</t>
  </si>
  <si>
    <t>,</t>
  </si>
  <si>
    <t xml:space="preserve">Posição </t>
  </si>
  <si>
    <t>Unidade / Departamento</t>
  </si>
  <si>
    <t>Nome do projeto /Inicio do Saving</t>
  </si>
  <si>
    <t>Status de Custos</t>
  </si>
  <si>
    <t>Previsto em 2026</t>
  </si>
  <si>
    <t xml:space="preserve">Valor Previsto até o Momento </t>
  </si>
  <si>
    <t xml:space="preserve">Valor Real até o Momento </t>
  </si>
  <si>
    <t>Delta</t>
  </si>
  <si>
    <t>Previsto</t>
  </si>
  <si>
    <t>Real</t>
  </si>
  <si>
    <t>São leopoldo</t>
  </si>
  <si>
    <t>DASHBOARD EXECUTIVO - UNIDADE DIADEMA</t>
  </si>
  <si>
    <t>RETORNO PREVISTO (Total)</t>
  </si>
  <si>
    <t xml:space="preserve"> </t>
  </si>
  <si>
    <t xml:space="preserve"> TOP 20 Raking de Projetos Valorizados</t>
  </si>
  <si>
    <t>dip</t>
  </si>
  <si>
    <t>perf</t>
  </si>
  <si>
    <t>POS</t>
  </si>
  <si>
    <t>Valor Previsto
Unidade</t>
  </si>
  <si>
    <t>Valor Previsto
Custos</t>
  </si>
  <si>
    <t>Retorno Previsto</t>
  </si>
  <si>
    <t>Retorno Real  até hoje</t>
  </si>
  <si>
    <t>Projetos</t>
  </si>
  <si>
    <t>Peso</t>
  </si>
  <si>
    <t>Pareto</t>
  </si>
  <si>
    <t>% Previsto</t>
  </si>
  <si>
    <t>% Real</t>
  </si>
  <si>
    <t xml:space="preserve">Planejado </t>
  </si>
  <si>
    <t>% Responsabilidade  Delga</t>
  </si>
  <si>
    <t>p</t>
  </si>
  <si>
    <t>d</t>
  </si>
  <si>
    <t>📊 SAVING PREVISTO POR PILAR</t>
  </si>
  <si>
    <t>q</t>
  </si>
  <si>
    <t>Barra</t>
  </si>
  <si>
    <t>Análise de Margem 
(Form 206)</t>
  </si>
  <si>
    <t>Total</t>
  </si>
  <si>
    <t>1. KPIs ESTRATÉGICOS</t>
  </si>
  <si>
    <t>CATEGORIA</t>
  </si>
  <si>
    <t>UN</t>
  </si>
  <si>
    <t xml:space="preserve">Frequência </t>
  </si>
  <si>
    <t>TIPO</t>
  </si>
  <si>
    <t>BASELINE 2025</t>
  </si>
  <si>
    <t>META 2026</t>
  </si>
  <si>
    <t>Jan</t>
  </si>
  <si>
    <t>P. Ofensor1</t>
  </si>
  <si>
    <t>Fev</t>
  </si>
  <si>
    <t>P. Ofensor2</t>
  </si>
  <si>
    <t>Mar</t>
  </si>
  <si>
    <t>P. Ofensor3</t>
  </si>
  <si>
    <t>Abr</t>
  </si>
  <si>
    <t>P. Ofensor4</t>
  </si>
  <si>
    <t>Mai</t>
  </si>
  <si>
    <t>P. Ofensor5</t>
  </si>
  <si>
    <t>Jun</t>
  </si>
  <si>
    <t>P. Ofensor6</t>
  </si>
  <si>
    <t>Jul</t>
  </si>
  <si>
    <t>P. Ofensor7</t>
  </si>
  <si>
    <t>Ago</t>
  </si>
  <si>
    <t>P. Ofensor8</t>
  </si>
  <si>
    <t>Set</t>
  </si>
  <si>
    <t>P. Ofensor9</t>
  </si>
  <si>
    <t>Out</t>
  </si>
  <si>
    <t>P. Ofensor10</t>
  </si>
  <si>
    <t>Nov</t>
  </si>
  <si>
    <t>P. Ofensor11</t>
  </si>
  <si>
    <t>Dez</t>
  </si>
  <si>
    <t>P. Ofensor12</t>
  </si>
  <si>
    <t>Financeiro</t>
  </si>
  <si>
    <t>Margem VA</t>
  </si>
  <si>
    <t>%</t>
  </si>
  <si>
    <t>Mensal</t>
  </si>
  <si>
    <r>
      <t xml:space="preserve">Maior Melhor </t>
    </r>
    <r>
      <rPr>
        <b/>
        <sz val="11"/>
        <color rgb="FF0000FF"/>
        <rFont val="Calibri"/>
        <family val="2"/>
        <scheme val="minor"/>
      </rPr>
      <t>↑</t>
    </r>
  </si>
  <si>
    <t>Matéria Prima</t>
  </si>
  <si>
    <t>Custo de Scrap (Refugo)</t>
  </si>
  <si>
    <r>
      <t xml:space="preserve">Menor Melhor </t>
    </r>
    <r>
      <rPr>
        <b/>
        <sz val="11"/>
        <color rgb="FFFF0000"/>
        <rFont val="Calibri"/>
        <family val="2"/>
        <scheme val="minor"/>
      </rPr>
      <t>↓</t>
    </r>
  </si>
  <si>
    <t>Rachadura</t>
  </si>
  <si>
    <t>Operacional</t>
  </si>
  <si>
    <t>OEE Prensas Grandes (24)</t>
  </si>
  <si>
    <t>Semanal</t>
  </si>
  <si>
    <t>Falta de energia</t>
  </si>
  <si>
    <t>Manutenção</t>
  </si>
  <si>
    <t>Eficiência de MO Planta</t>
  </si>
  <si>
    <t>Falta de OP</t>
  </si>
  <si>
    <t>Performance Prensas Grandes (24)</t>
  </si>
  <si>
    <t>Qualidade Prensas Grandes (24)</t>
  </si>
  <si>
    <t>Ferramentaria</t>
  </si>
  <si>
    <t>Disponibilidade Prensas Grandes (24)</t>
  </si>
  <si>
    <t>MTBF (Manutenção)</t>
  </si>
  <si>
    <t>h</t>
  </si>
  <si>
    <t>13:00</t>
  </si>
  <si>
    <t>15:00</t>
  </si>
  <si>
    <t xml:space="preserve">Quebra mecânica  </t>
  </si>
  <si>
    <t>MTTR (Manutenção)</t>
  </si>
  <si>
    <t>0:33</t>
  </si>
  <si>
    <t>0:30</t>
  </si>
  <si>
    <t>00:15</t>
  </si>
  <si>
    <t>Problema com CLP</t>
  </si>
  <si>
    <t>Horas Extras</t>
  </si>
  <si>
    <t>Valor</t>
  </si>
  <si>
    <t>Acuracidade Estoque</t>
  </si>
  <si>
    <t>Apontamento incorreto</t>
  </si>
  <si>
    <t>Mat. sem saldo</t>
  </si>
  <si>
    <t>Qualidade</t>
  </si>
  <si>
    <t>PPM Interno</t>
  </si>
  <si>
    <t>ppm</t>
  </si>
  <si>
    <t>Rebarba</t>
  </si>
  <si>
    <t>PPM Externo</t>
  </si>
  <si>
    <t>Solda irregular</t>
  </si>
  <si>
    <t>Falta de rosca</t>
  </si>
  <si>
    <t>Quebra de FIFO</t>
  </si>
  <si>
    <t>Falta de componente</t>
  </si>
  <si>
    <t>Dimensional</t>
  </si>
  <si>
    <t>CONC</t>
  </si>
  <si>
    <t>Horas extras</t>
  </si>
  <si>
    <t>Refugo</t>
  </si>
  <si>
    <t>Frete estra</t>
  </si>
  <si>
    <t>Reclamações de Clientes</t>
  </si>
  <si>
    <t>qtd</t>
  </si>
  <si>
    <t>Diário</t>
  </si>
  <si>
    <t>Rosca obstruída</t>
  </si>
  <si>
    <t>Segurança</t>
  </si>
  <si>
    <t>Taxa de Frequência de Acidente</t>
  </si>
  <si>
    <t>taxa</t>
  </si>
  <si>
    <t>Lesão dedos</t>
  </si>
  <si>
    <t>Validação Processo</t>
  </si>
  <si>
    <t>% Conformidade vs POC</t>
  </si>
  <si>
    <t>P/ Prioridade</t>
  </si>
  <si>
    <t>Engenharia</t>
  </si>
  <si>
    <t>Custos</t>
  </si>
  <si>
    <t>Departamento Suporte</t>
  </si>
  <si>
    <t>Sistema de Produção Delga (SPD)</t>
  </si>
  <si>
    <t>% Aderência às Ferramentas SPD</t>
  </si>
  <si>
    <t>Logística</t>
  </si>
  <si>
    <t>Produção</t>
  </si>
  <si>
    <t xml:space="preserve">Departamentos </t>
  </si>
  <si>
    <t>Valor de Impacto</t>
  </si>
  <si>
    <t>MTBF (Ferramentaria)</t>
  </si>
  <si>
    <t>80:00</t>
  </si>
  <si>
    <t>60:00</t>
  </si>
  <si>
    <t>54:25</t>
  </si>
  <si>
    <t>Qualidade/dimensional</t>
  </si>
  <si>
    <t>57:08</t>
  </si>
  <si>
    <t>74:31</t>
  </si>
  <si>
    <t>Linhas de corte/ajustes</t>
  </si>
  <si>
    <t>Rebarbas</t>
  </si>
  <si>
    <t>MTTR (Ferramentaria)</t>
  </si>
  <si>
    <t>2:00</t>
  </si>
  <si>
    <t>1:45</t>
  </si>
  <si>
    <t>Gerente de Planta</t>
  </si>
  <si>
    <t>Performance de GESTÂO</t>
  </si>
  <si>
    <t>R$</t>
  </si>
  <si>
    <t>Orçamento</t>
  </si>
  <si>
    <t>Simulação</t>
  </si>
  <si>
    <t>Eng. Corporativa</t>
  </si>
  <si>
    <t>2. IDEIAS DE KAIZENS E PROJETOS DE REDUÇÃO DE CUSTOS</t>
  </si>
  <si>
    <t>1° Tri</t>
  </si>
  <si>
    <t>2° Tri</t>
  </si>
  <si>
    <t>3° Tri</t>
  </si>
  <si>
    <t>4° Tri</t>
  </si>
  <si>
    <t>TIPO 
Redução de custos 
 Kaizen / Você resolve</t>
  </si>
  <si>
    <t xml:space="preserve">VA / GGF / Material Auxiliar </t>
  </si>
  <si>
    <t>Nome do Projeto</t>
  </si>
  <si>
    <t>Caminho da Evidência</t>
  </si>
  <si>
    <t>DESCRIÇÃO</t>
  </si>
  <si>
    <t>RESPONSÁVEL</t>
  </si>
  <si>
    <t>Inicio
Mês/Ano</t>
  </si>
  <si>
    <t xml:space="preserve">Termino
Mês/Ano </t>
  </si>
  <si>
    <t>Previsto (R$)</t>
  </si>
  <si>
    <t>Mês do 1º RETORNO</t>
  </si>
  <si>
    <t xml:space="preserve">Quantidade de meses com retorno </t>
  </si>
  <si>
    <t>Processo de entrega do projeto a custos</t>
  </si>
  <si>
    <t>VALIDADOR
OK / NOK
CUSTOS</t>
  </si>
  <si>
    <t>SAVING VALIDADO
(R$ Valor)</t>
  </si>
  <si>
    <t>Previsto /Real</t>
  </si>
  <si>
    <t>Avanço</t>
  </si>
  <si>
    <t>Total 1° Tri</t>
  </si>
  <si>
    <t>Total 2° Tri</t>
  </si>
  <si>
    <t>Total 3° Tri</t>
  </si>
  <si>
    <t>Total 4° Tri</t>
  </si>
  <si>
    <t>Total Ano</t>
  </si>
  <si>
    <t>OBS</t>
  </si>
  <si>
    <t>% de Impacto</t>
  </si>
  <si>
    <t>Impacto Financeiro</t>
  </si>
  <si>
    <t>proj ref.</t>
  </si>
  <si>
    <t>Retorno até hoje</t>
  </si>
  <si>
    <t>01 - Redução de peso bruto DA000489A</t>
  </si>
  <si>
    <t>\\192.168.0.20\DEPARTAMENTOS\\Engenharia\0. Kaizen Diadema\6. 2026\01 Janeiro\01 - DA000489AB -Bruno Manachini_Engenharia\01 - KAIZEN - DA000489AB_Rev00_Bruno Manachini.xlsx</t>
  </si>
  <si>
    <t>Peso bruto: de 4,27 Kg / peça para 4,18kg / peça</t>
  </si>
  <si>
    <t>B. Manachini</t>
  </si>
  <si>
    <t>OK</t>
  </si>
  <si>
    <r>
      <t xml:space="preserve">Validado pela Carolina Reis Machado em 18/12/2025 (e-mail 11:55) </t>
    </r>
    <r>
      <rPr>
        <sz val="11"/>
        <rFont val="Calibri"/>
        <family val="2"/>
        <scheme val="minor"/>
      </rPr>
      <t>- Redução de Peso Bruto do item DA000489AB (Reforço Sup. Tanque) -</t>
    </r>
    <r>
      <rPr>
        <i/>
        <sz val="11"/>
        <color theme="5" tint="-0.249977111117893"/>
        <rFont val="Calibri"/>
        <family val="2"/>
        <scheme val="minor"/>
      </rPr>
      <t xml:space="preserve"> Revisão em 09/02 - baseado  no volume Budget dos itens faturados (Mar a Dez) - considerado apenas a variação do custo peça, pois os processos embora mudem, no efeito resultado continuamos pagando a mão de obra de 2 operadores.</t>
    </r>
  </si>
  <si>
    <t>P</t>
  </si>
  <si>
    <r>
      <t xml:space="preserve">Projeto de kaizen número 01 de 2026. </t>
    </r>
    <r>
      <rPr>
        <sz val="11"/>
        <color theme="1"/>
        <rFont val="Calibri"/>
        <family val="2"/>
        <scheme val="minor"/>
      </rPr>
      <t>E-mail de revalidação enviado em 10/02/2026 16h12 - Carolina Rodrigues.</t>
    </r>
  </si>
  <si>
    <t>R</t>
  </si>
  <si>
    <t>02 - Redução na quantidade de lâmpadas acessa, na produção</t>
  </si>
  <si>
    <t>\\192.168.0.20\DEPARTAMENTOS\Engenharia\0. Kaizen Diadema\6. 2026\02 Fevereiro\09 - Redução de lampadas acessas na fábrica_Eduardo Fajardo_Concluído\9 - Kaizen Redução de lampadas acessas na fábrica_Eduardo Fajardo.xlsx</t>
  </si>
  <si>
    <t xml:space="preserve">Redução no consumo de energia elétrica, por meio do desligamento de lâmpadas e redistribuição, sem afetar iluminamento </t>
  </si>
  <si>
    <t>E. Fajardo</t>
  </si>
  <si>
    <t>100 luminárias x 180W = 18KWh. 18KWh x 24h x 6dias = 2.592 x 4,2 semanas = 10.886KWh x R$1,00 = R$ 10.886,00 por mês</t>
  </si>
  <si>
    <r>
      <t xml:space="preserve">O baseline 401,7KWh para cada 1.000 peças vendidas. </t>
    </r>
    <r>
      <rPr>
        <b/>
        <sz val="11"/>
        <color theme="1"/>
        <rFont val="Calibri"/>
        <family val="2"/>
        <scheme val="minor"/>
      </rPr>
      <t>Projeto de kaizen número 09 de 2026</t>
    </r>
  </si>
  <si>
    <t>03 - Otimização de processo - Cavalo Marinho</t>
  </si>
  <si>
    <t>\\192.168.0.20\DEPARTAMENTOS\\Engenharia\0. Kaizen Diadema\6. 2026\01 Janeiro\03 - GM000463Z_GM000359AA_Robson Luz_Engenharia\3 - Eficiência_Operacional - GM000359AA_GM000463Z_REV01.xlsx</t>
  </si>
  <si>
    <t>Atualmente usa-se 8 MO e 4 prensas. A proposta é usar 2 prensas e 6MO</t>
  </si>
  <si>
    <t>R. Luz</t>
  </si>
  <si>
    <t>Spin 3k pçs/mês, 2 corridas mensais, 180pçs/hora. 1500/180 = 8,33h x 2 = 16,66 x 8 MO = 133,3h. 16,6h x 6MO = 100h. Logo, save de 33,3h / 166 = 0,2MO. Projeto kaizen 03 2026</t>
  </si>
  <si>
    <r>
      <t xml:space="preserve">Projeto concluído, tendo redução de 1MO somando este projeto com o projeto 4 (Pulmão) e projeto 19 (Facão). </t>
    </r>
    <r>
      <rPr>
        <b/>
        <sz val="11"/>
        <color theme="1"/>
        <rFont val="Calibri"/>
        <family val="2"/>
        <scheme val="minor"/>
      </rPr>
      <t>Projeto de kaizen 03 de 2026</t>
    </r>
  </si>
  <si>
    <t>04 - Otimização de processo - Pulmão</t>
  </si>
  <si>
    <t>\\192.168.0.20\DEPARTAMENTOS\Engenharia\0. Kaizen Diadema\5. 2025\11 Novembro - 5\52 - Kaizen Pulmão.pptx</t>
  </si>
  <si>
    <t xml:space="preserve">Atualmente usa-se 20 MO. A proposta é usar 18MO. </t>
  </si>
  <si>
    <t>J. Oliveira</t>
  </si>
  <si>
    <t>6k pçs/mês, 4 corridas mensais, 206pçs/hora. 6000/206 = 29,12h x 20MO = 582,5h. 29,12h x 18MO = 524h. Logo, save de 58,34h / 166 = 0,35MO</t>
  </si>
  <si>
    <r>
      <t xml:space="preserve">Projeto concluído, tendo redução de 1MO somando este projeto com o projeto 3 (Cavalo Marinho) e projeto 19 (Facão). </t>
    </r>
    <r>
      <rPr>
        <b/>
        <sz val="11"/>
        <color theme="1"/>
        <rFont val="Calibri"/>
        <family val="2"/>
        <scheme val="minor"/>
      </rPr>
      <t>Projeto de kaizen 52 de 2025</t>
    </r>
  </si>
  <si>
    <t>Redução de custo</t>
  </si>
  <si>
    <t>05 - Empilhadeira - Diadema</t>
  </si>
  <si>
    <t>\\192.168.0.20\DEPARTAMENTOS\\Engenharia\0. Kaizen Diadema\6. 2026\02 Fevereiro\17 - Redução do contrato de empilhadeiras_Eduardo Fajardo\17 - Redução de do contrato de empilhadeiras_Eduardo Fajardo.xlsx</t>
  </si>
  <si>
    <t>Redução de 1 empilhadeira. Eram 8 em operação, e serão 7</t>
  </si>
  <si>
    <r>
      <t xml:space="preserve">13/02/2026: Projeto de kaizen número 17 de 2026. </t>
    </r>
    <r>
      <rPr>
        <sz val="11"/>
        <color theme="1"/>
        <rFont val="Calibri"/>
        <family val="2"/>
        <scheme val="minor"/>
      </rPr>
      <t xml:space="preserve">E empilhaderia já foi devolvida. </t>
    </r>
  </si>
  <si>
    <t>13/02/2026: Falta validação do time de Controladoria -&gt; Considerados valores líquidos para o resultado -&gt; Resultado de Fevereiro ainda contemplou o valor de 8 empilhadeiras.</t>
  </si>
  <si>
    <t>06 - Produtividade</t>
  </si>
  <si>
    <t>\\192.168.0.20\DEPARTAMENTOS\Engenharia\0. Kaizen Diadema\6. 2026\02 Fevereiro\18 - Produtividade_Aumento da eficiência para 73%_Rua 2-3-4-8_Eduardo Fajardo\18 - Produtividade_Aumento da eficiência para 73%_Rua 2-3-4-8.xlsx</t>
  </si>
  <si>
    <t>Aumento da eficiência da rua 2, 3 e 4 \para 73,4%.</t>
  </si>
  <si>
    <r>
      <t xml:space="preserve">16/02/206: </t>
    </r>
    <r>
      <rPr>
        <b/>
        <sz val="11"/>
        <color theme="1"/>
        <rFont val="Calibri"/>
        <family val="2"/>
        <scheme val="minor"/>
      </rPr>
      <t>Projeto de kaizen número 18 de 2026</t>
    </r>
    <r>
      <rPr>
        <sz val="11"/>
        <color theme="1"/>
        <rFont val="Calibri"/>
        <family val="2"/>
        <scheme val="minor"/>
      </rPr>
      <t>. Enviado para validação da controladoria em 02/03/2026.</t>
    </r>
  </si>
  <si>
    <t xml:space="preserve"> 07 - Consumo de água</t>
  </si>
  <si>
    <t>\\192.168.0.20\DEPARTAMENTOS\Engenharia\0. Kaizen Diadema\6. 2026\03 Março\42 - Redução do Consumo de Água_Eduardo Fajardo\42 - Redução do Consumo de Água_Eduardo Fajardo_REV00.xlsx</t>
  </si>
  <si>
    <t xml:space="preserve">Instalar válvula corta ar, redução de vazão e pressão nas torneira, caça vazamentos e instalação de hidromêtro na torre Alpina. </t>
  </si>
  <si>
    <r>
      <t xml:space="preserve">O baseline 570l para cada 1.000 peças vendidas. </t>
    </r>
    <r>
      <rPr>
        <b/>
        <sz val="11"/>
        <color theme="1"/>
        <rFont val="Calibri"/>
        <family val="2"/>
        <scheme val="minor"/>
      </rPr>
      <t>Kaizen número 42 de 2026</t>
    </r>
    <r>
      <rPr>
        <sz val="11"/>
        <color theme="1"/>
        <rFont val="Calibri"/>
        <family val="2"/>
        <scheme val="minor"/>
      </rPr>
      <t>. Enviado para validação da controladoria em 02/04/2026</t>
    </r>
  </si>
  <si>
    <t>08 - Redução de peso bruto MB002446LA / MB003670LA / MB003671LA</t>
  </si>
  <si>
    <t>\\192.168.0.20\DEPARTAMENTOS\\Engenharia\0. Kaizen Diadema\6. 2026\01 Janeiro\02 - MB2446LA_MB3670LA_MB3671LA_Engenharia_Bruno Manachini_Validado Pela Controladoria\02 - KAIZEN - MB2446LA_MB3670LA_MB3671LA_Rev00_Bruno Manachini.xlsx</t>
  </si>
  <si>
    <t>Reduzir a largura da chapa de 1150mm para 1000, resultando em maior aproveitamento.</t>
  </si>
  <si>
    <t>05/02/2026: Com base no volume médio, e redução de peso bruto para cada PN, estima-se redução de 674kg/mês. Ao preço de R$5,5/kg, a redução especulada é de R$3700/mês</t>
  </si>
  <si>
    <r>
      <t>Projeto de kaizen número 02 de 2026 -</t>
    </r>
    <r>
      <rPr>
        <b/>
        <u/>
        <sz val="11"/>
        <color theme="1"/>
        <rFont val="Calibri"/>
        <family val="2"/>
        <scheme val="minor"/>
      </rPr>
      <t xml:space="preserve"> </t>
    </r>
    <r>
      <rPr>
        <b/>
        <u/>
        <sz val="11"/>
        <color rgb="FFC00000"/>
        <rFont val="Calibri"/>
        <family val="2"/>
        <scheme val="minor"/>
      </rPr>
      <t>CUSTOS &gt;&gt;</t>
    </r>
    <r>
      <rPr>
        <b/>
        <sz val="11"/>
        <color rgb="FFC00000"/>
        <rFont val="Calibri"/>
        <family val="2"/>
        <scheme val="minor"/>
      </rPr>
      <t xml:space="preserve"> </t>
    </r>
    <r>
      <rPr>
        <sz val="11"/>
        <color rgb="FFC00000"/>
        <rFont val="Calibri"/>
        <family val="2"/>
        <scheme val="minor"/>
      </rPr>
      <t>Validação em andamento</t>
    </r>
    <r>
      <rPr>
        <sz val="11"/>
        <color theme="1"/>
        <rFont val="Calibri"/>
        <family val="2"/>
        <scheme val="minor"/>
      </rPr>
      <t>, LT incorreta.. Não se compra Bobina desde 08/2025 e o preço calculado em Budget é menor do que o efetuado por Compras em Dez/26, gerando um penalti no Kaizen (será agendado um alinhamento entre as areas para definição das premissas, nesses casos)</t>
    </r>
  </si>
  <si>
    <t>09 - Taxa de Esgoto</t>
  </si>
  <si>
    <t>\\192.168.0.20\departamentos\Engenharia\0. Kaizen Diadema\6. 2026\04 Abril\51 - Taxa de Esgoto_Eduardo Fajardo)REV00\51_Taxa de Esgoto_Eduardo Fajardo_Rev00.xlsx</t>
  </si>
  <si>
    <t>Redução do pagamento da conta de água/esgoto gerado na planta devido a evaporação dos processos</t>
  </si>
  <si>
    <r>
      <t xml:space="preserve">29/04/2026: </t>
    </r>
    <r>
      <rPr>
        <b/>
        <sz val="11"/>
        <color theme="1"/>
        <rFont val="Calibri"/>
        <family val="2"/>
        <scheme val="minor"/>
      </rPr>
      <t xml:space="preserve">Projeto de kaizen númeor 51 de 2026. </t>
    </r>
    <r>
      <rPr>
        <sz val="11"/>
        <color theme="1"/>
        <rFont val="Calibri"/>
        <family val="2"/>
        <scheme val="minor"/>
      </rPr>
      <t>Enviado para validaç!ao da controladoria em 29/04/2026</t>
    </r>
  </si>
  <si>
    <t>10 - Padronização de arame de solda</t>
  </si>
  <si>
    <t>\\192.168.0.20\DEPARTAMENTOS\\Engenharia\0. Kaizen Diadema\6. 2026\01 Janeiro\06 - Padronização de Arame de Solda_Izaias Junior_Engenharia\06_Padronização Arame de Solda. rev01_Izaias Junior.xlsx</t>
  </si>
  <si>
    <t>Padronizar todos os processos de solda com arame de 1,2mm</t>
  </si>
  <si>
    <t>I. Junior</t>
  </si>
  <si>
    <t>Projeto de kaizen número 06 de 2026</t>
  </si>
  <si>
    <t>11 - Resourcing de DSL para DD</t>
  </si>
  <si>
    <t>Trazer 2 ferramentas da VW1131</t>
  </si>
  <si>
    <t/>
  </si>
  <si>
    <t>12 - Aproveitamento de peças Obsoletas - A9583176540</t>
  </si>
  <si>
    <t>\\192.168.0.20\DEPARTAMENTOS\Engenharia\0. Kaizen Diadema\5. 2025\12 Dezembro - 5\54 - Aproveitamento_de_peças_obsoletas.xlsx</t>
  </si>
  <si>
    <t>Transformar o PN obsoleto no PN conrrete A9583178440, por meio de corte laser 3D</t>
  </si>
  <si>
    <r>
      <t xml:space="preserve">23/01/2026: Aguardando validação da controladoria. </t>
    </r>
    <r>
      <rPr>
        <b/>
        <sz val="11"/>
        <color theme="1"/>
        <rFont val="Calibri"/>
        <family val="2"/>
        <scheme val="minor"/>
      </rPr>
      <t>Projeto de kaizen número 54 de 2025.</t>
    </r>
  </si>
  <si>
    <t>03/02/2026: todas as peças foram expedidas ao cliente. Todas as NF de movimentaçção foram anexadas como evidência na pasta do projeto. Fica pendente a validação da controladoria. -&gt; Validado - o valor total foi atualizado com base no custo médio da peça no estoque em Dez/25 quando enviada ao fornecedor.</t>
  </si>
  <si>
    <t>13 - Redução de Componente - 4065 de 6 para 4</t>
  </si>
  <si>
    <t>\\192.168.0.20\DEPARTAMENTOS\Engenharia\0. Kaizen Diadema\5. 2025\12 Dezembro - 5\53 - Redução de Componente - 4065 de 6 para 4.xlsx</t>
  </si>
  <si>
    <t xml:space="preserve">O item pedaleira da MBB atualmente contém 6 porcas, porém, o desenho solicita 4 porcas. </t>
  </si>
  <si>
    <r>
      <t xml:space="preserve">23/01/2026: Aguardando validação da controladoria. </t>
    </r>
    <r>
      <rPr>
        <b/>
        <sz val="11"/>
        <color theme="1"/>
        <rFont val="Calibri"/>
        <family val="2"/>
        <scheme val="minor"/>
      </rPr>
      <t>Projeto de kaizen número 53 de 2025.</t>
    </r>
  </si>
  <si>
    <r>
      <t xml:space="preserve">14 - REDUÇÃO DE MP </t>
    </r>
    <r>
      <rPr>
        <b/>
        <sz val="11"/>
        <color theme="1"/>
        <rFont val="Calibri"/>
        <family val="2"/>
        <scheme val="minor"/>
      </rPr>
      <t xml:space="preserve">DA000518Z (Anchieta) Código DD - </t>
    </r>
    <r>
      <rPr>
        <sz val="11"/>
        <color theme="1"/>
        <rFont val="Calibri"/>
        <family val="2"/>
        <scheme val="minor"/>
      </rPr>
      <t>VB000324Z</t>
    </r>
  </si>
  <si>
    <t>\\192.168.0.20\DEPARTAMENTOS\\Engenharia\0. Kaizen Diadema\6. 2026\01 Janeiro\04 - DA000518Z_Thiago Cardoso_Engenharia\4 - KAIZEN DA000518Z.xlsx</t>
  </si>
  <si>
    <t>Aumentar a largura da bobina de 1100 para 1250, eliminando sobra (retalho).</t>
  </si>
  <si>
    <t>T. Cardodo</t>
  </si>
  <si>
    <r>
      <t xml:space="preserve">23/01/2026: Aguardando validação da controladoria. </t>
    </r>
    <r>
      <rPr>
        <b/>
        <sz val="11"/>
        <color theme="1"/>
        <rFont val="Calibri"/>
        <family val="2"/>
        <scheme val="minor"/>
      </rPr>
      <t>Projeto de kaizen número 04 de 2026</t>
    </r>
  </si>
  <si>
    <r>
      <t>03/02/2026: A bobina deu entrada na DELGA Diadema em 22</t>
    </r>
    <r>
      <rPr>
        <sz val="11"/>
        <rFont val="Calibri"/>
        <family val="2"/>
        <scheme val="minor"/>
      </rPr>
      <t>/01/2026 NF 139598</t>
    </r>
    <r>
      <rPr>
        <sz val="11"/>
        <color theme="1"/>
        <rFont val="Calibri"/>
        <family val="2"/>
        <scheme val="minor"/>
      </rPr>
      <t>. Fica pendente a validação da controladoria.</t>
    </r>
  </si>
  <si>
    <t>15 - Kaizem - Botões BI - MANUAL</t>
  </si>
  <si>
    <t>\\192.168.0.20\DEPARTAMENTOS\\Engenharia\0. Kaizen Diadema\6. 2026\01 Janeiro\05 - Kaizem - Botões BI - MANUAL_Rafael Almeida_Ferramentaria\5 - Kaizem - Botões BI - MANUAL_Rev00.xlsx</t>
  </si>
  <si>
    <t>Reduzir custos de fabricação, utilizando recursos internos.</t>
  </si>
  <si>
    <t>S. Souza</t>
  </si>
  <si>
    <r>
      <t xml:space="preserve">23/01/2026: Aguardando validação da controladoria. </t>
    </r>
    <r>
      <rPr>
        <b/>
        <sz val="11"/>
        <color theme="1"/>
        <rFont val="Calibri"/>
        <family val="2"/>
        <scheme val="minor"/>
      </rPr>
      <t>Projeto de kaizen número 05 de 2026</t>
    </r>
  </si>
  <si>
    <t xml:space="preserve">03/02/2026: o trabalho já foi conclído. Fica pendente apenas a validação da controladoria. </t>
  </si>
  <si>
    <t>16 - Eficiência de MO na linha de Solda e Montagem</t>
  </si>
  <si>
    <t>\\192.168.0.20\DEPARTAMENTOS\Engenharia\0. Kaizen Diadema\6. 2026\02 Fevereiro\Kaizens 10_11_12_consolidados_ Redução de 2MOD.xlsx</t>
  </si>
  <si>
    <t>Foram realizados 3 kaizens na linha de solda e montagem, melhorando a eficiência de MO (redução de 2MO). Kaizens 10, 11 e 12.</t>
  </si>
  <si>
    <t>V. Moreira</t>
  </si>
  <si>
    <r>
      <t xml:space="preserve">03/02/206 - O Vitório entregou 3 kaizens que juntos reduzirão 2 MOD. </t>
    </r>
    <r>
      <rPr>
        <b/>
        <sz val="11"/>
        <color theme="1"/>
        <rFont val="Calibri"/>
        <family val="2"/>
        <scheme val="minor"/>
      </rPr>
      <t>Projetos de kaizen número 10, 11 e 12 de 2026</t>
    </r>
  </si>
  <si>
    <t xml:space="preserve">03/02/2026 - No dia 06/02/2026 foi executado a primeira redução de MOD. </t>
  </si>
  <si>
    <t>17 - MB003537LB_MB003538LB</t>
  </si>
  <si>
    <t>\\192.168.0.20\DEPARTAMENTOS\\Engenharia\0. Kaizen Diadema\6. 2026\02 Fevereiro\13 - MB003537LB_MB003538LB - Bruno Manachini_Engenharia\13 - KAIZEN - MB003537LB_MB003538LB_Rev00_Bruno Manachini.xlsx</t>
  </si>
  <si>
    <t>De 111 peças por chapa para 160</t>
  </si>
  <si>
    <r>
      <t xml:space="preserve">05/02/2026 - Kaizen número 13 de 2026, em processo de implementação. Programa de corte laser e LT SAP. </t>
    </r>
    <r>
      <rPr>
        <b/>
        <sz val="11"/>
        <color theme="1"/>
        <rFont val="Calibri"/>
        <family val="2"/>
        <scheme val="minor"/>
      </rPr>
      <t>Projeto de kaizen número 13 de 2026</t>
    </r>
  </si>
  <si>
    <r>
      <t>05/02/2026 - Aguardando validçaão da controladoria; 10/02/2026: validado pela Carolina Rodrigues em 10/02/2026 15h31 - e-mail</t>
    </r>
    <r>
      <rPr>
        <i/>
        <sz val="11"/>
        <color rgb="FFC00000"/>
        <rFont val="Calibri"/>
        <family val="2"/>
        <scheme val="minor"/>
      </rPr>
      <t xml:space="preserve"> -&gt; Calculado o ganho direto da MP, visto que os processos não mudam - baseado no volume Budget dos itens que são faturados (Março a Dezembro)</t>
    </r>
  </si>
  <si>
    <t>18 - Venda de Embalagens, ativos e sucatas</t>
  </si>
  <si>
    <t>\\192.168.0.20\DEPARTAMENTOS\\Engenharia\0. Kaizen Diadema\6. 2026\03 Março\41 - VENDA DE ATIVOS OBSOLETOS_Paulo Algodoal_Produção\41 - VENDA DE ATIVOS OBSOLETOS_REV00.xlsx</t>
  </si>
  <si>
    <t xml:space="preserve">Fazer levantamento de embalagens obsoletas, quantificar e pesar. </t>
  </si>
  <si>
    <t>P. Algodoal</t>
  </si>
  <si>
    <r>
      <t xml:space="preserve">02/04/2026: </t>
    </r>
    <r>
      <rPr>
        <b/>
        <sz val="11"/>
        <color theme="1"/>
        <rFont val="Calibri"/>
        <family val="2"/>
        <scheme val="minor"/>
      </rPr>
      <t>Projeto de kaizen número 42 de 2026.</t>
    </r>
  </si>
  <si>
    <t>19 - Kaizen Facão. DA000481Z - PRODUTIVIDADE</t>
  </si>
  <si>
    <t>\\192.168.0.20\DEPARTAMENTOS\Engenharia\0. Kaizen Diadema\6. 2026\01 Janeiro\07 - Kaizen Facão_Sebastião Gomes\7 - KAIZEN FACÃO DA000418Z_JAN 2026.xlsx</t>
  </si>
  <si>
    <t>Reduzir a quantidade de MO de 2 para 1 MO.</t>
  </si>
  <si>
    <t>S. Gomes</t>
  </si>
  <si>
    <r>
      <t xml:space="preserve">05/02/2026: Falta atualizar a LT do SAP. </t>
    </r>
    <r>
      <rPr>
        <b/>
        <sz val="11"/>
        <color theme="1"/>
        <rFont val="Calibri"/>
        <family val="2"/>
        <scheme val="minor"/>
      </rPr>
      <t>Projeto de kaizen número 07 de 2026.</t>
    </r>
  </si>
  <si>
    <t>Projeto concluído, tendo redução de 1MO somando este projeto com o projeto 3 (Cavalo Marinho) e projeto 4 (Pulmão).</t>
  </si>
  <si>
    <t>20 - Redução refugo em relação ao budget</t>
  </si>
  <si>
    <t>\\192.168.0.20\DEPARTAMENTOS\Engenharia\0. Kaizen Diadema\6. 2026\02 Fevereiro\19 - Redução de refugo em relação ao budget_Rodrigo Larrubia\19 - Redução de refugo em relação ao budget 2026.xlsx</t>
  </si>
  <si>
    <t xml:space="preserve">Para budget 2026 foi previsto R$442K (36,8k/mês). Objetivo 0,2% do faturamento, logo, R$360K. </t>
  </si>
  <si>
    <t>R. Larrubia</t>
  </si>
  <si>
    <t>Não Ok</t>
  </si>
  <si>
    <t>05/02/2026 - O objetivo é reduzir o custo médio mensal previsto no budget, para um custo de 0,2% em relação ao faturamento. Budget prevê R$442K. Se ficarmos anaixo de 0,2% do faturamento (R$360K), o potencial de ganho é R$82K - VALIDADO Custos &gt;&gt; Projeção de ganho anual de 83.506,82  ( nessa meta o interessante é praticar sempre menos do que o Budget mensal, visto que a projeção do Budget anual já considera 0,2% do faturamento.</t>
  </si>
  <si>
    <t> </t>
  </si>
  <si>
    <r>
      <t xml:space="preserve">05/02/2026: e-mail do Paulo Ribeiro confirmando o R$ do budget, 05/02/2026 16h18, salvo na pasta, como evidência. </t>
    </r>
    <r>
      <rPr>
        <b/>
        <sz val="11"/>
        <color theme="1"/>
        <rFont val="Calibri"/>
        <family val="2"/>
        <scheme val="minor"/>
      </rPr>
      <t>Projeto de kaizen númrero 19 de 2026</t>
    </r>
  </si>
  <si>
    <t>21 - Kaizen_Redução de peso bruto MB003537LA_MB003538LA</t>
  </si>
  <si>
    <t>\\192.168.0.20\DEPARTAMENTOS\\Engenharia\0. Kaizen Diadema\6. 2026\02 Fevereiro\14 - MB003537LA_MB003538LA - Bruno Manachini_Engenharia\14 - KAIZEN - MB003537LA_MB003538LA_Rev00_Bruno Manachini.xlsx</t>
  </si>
  <si>
    <t>De 111 peças por chapa para 168</t>
  </si>
  <si>
    <r>
      <t>05/02/2026 - Projeto de k</t>
    </r>
    <r>
      <rPr>
        <b/>
        <sz val="11"/>
        <color theme="1"/>
        <rFont val="Calibri"/>
        <family val="2"/>
        <scheme val="minor"/>
      </rPr>
      <t>aizen número 14 de 2026</t>
    </r>
    <r>
      <rPr>
        <sz val="11"/>
        <color theme="1"/>
        <rFont val="Calibri"/>
        <family val="2"/>
        <scheme val="minor"/>
      </rPr>
      <t xml:space="preserve">, em processo de implementação. Programa de corte laser e LT SAP. </t>
    </r>
  </si>
  <si>
    <r>
      <t xml:space="preserve">05/02/2026 - Aguardando validação dae Custos -&gt; </t>
    </r>
    <r>
      <rPr>
        <i/>
        <sz val="11"/>
        <color theme="5" tint="-0.249977111117893"/>
        <rFont val="Calibri"/>
        <family val="2"/>
        <scheme val="minor"/>
      </rPr>
      <t>Calculado o ganho direto da MP, visto que os processos não mudam - baseado no volume Budget dos itens que são faturados</t>
    </r>
    <r>
      <rPr>
        <sz val="11"/>
        <color theme="1"/>
        <rFont val="Calibri"/>
        <family val="2"/>
        <scheme val="minor"/>
      </rPr>
      <t xml:space="preserve"> </t>
    </r>
    <r>
      <rPr>
        <i/>
        <sz val="11"/>
        <color theme="5" tint="-0.249977111117893"/>
        <rFont val="Calibri"/>
        <family val="2"/>
        <scheme val="minor"/>
      </rPr>
      <t>(Março a Dezembro)</t>
    </r>
  </si>
  <si>
    <t>22 - Aproveitamento de Retalho do corte laser - MB002316LA_MB003533LA_MB003673LC</t>
  </si>
  <si>
    <t>\\192.168.0.20\DEPARTAMENTOS\Engenharia\0. Kaizen Diadema\6. 2026\02 Fevereiro\15 - MB002316LA_MB003533LA_MB003673LC - Bruno Manachini_Engenharia\15 - KAIZEN - MB002316LA_MB003533LA_MB003673LC_Rev00_Bruno Manachini.xlsx</t>
  </si>
  <si>
    <t>Corta as peças MB003673LC e MB003533LA/LB no retalho da peça MB002316LA</t>
  </si>
  <si>
    <r>
      <t xml:space="preserve">13/02/2026: </t>
    </r>
    <r>
      <rPr>
        <b/>
        <sz val="11"/>
        <color theme="1"/>
        <rFont val="Calibri"/>
        <family val="2"/>
        <scheme val="minor"/>
      </rPr>
      <t>Projeto de kaizen número 15 de 2026.</t>
    </r>
  </si>
  <si>
    <t>23 - Redução do peso bruto VW000581Z / VW000582Z</t>
  </si>
  <si>
    <t>\\192.168.0.20\DEPARTAMENTOS\\Engenharia\0. Kaizen Diadema\6. 2026\02 Fevereiro\16 - VW000581Z_VW000582Z - Bruno Manachini\16 - KAIZEN - Redução do peso bruto VW000581Z  VW000582Z_Rev00_B. Manachini.xlsx</t>
  </si>
  <si>
    <t>Reduzir o blank de 840mm para 820mm (passo).</t>
  </si>
  <si>
    <r>
      <t>17/02/2026:</t>
    </r>
    <r>
      <rPr>
        <b/>
        <sz val="11"/>
        <color theme="1"/>
        <rFont val="Calibri"/>
        <family val="2"/>
        <scheme val="minor"/>
      </rPr>
      <t xml:space="preserve"> </t>
    </r>
    <r>
      <rPr>
        <b/>
        <sz val="11"/>
        <rFont val="Calibri"/>
        <family val="2"/>
        <scheme val="minor"/>
      </rPr>
      <t>Projeto de kaizen número 16 de 2026</t>
    </r>
    <r>
      <rPr>
        <sz val="11"/>
        <color theme="1"/>
        <rFont val="Calibri"/>
        <family val="2"/>
        <scheme val="minor"/>
      </rPr>
      <t xml:space="preserve">. Enviado 16/02/2026 para validação da Controladoria. </t>
    </r>
  </si>
  <si>
    <t>&gt;&gt; Custos - validado, considerando volume de Março a Dezembro.</t>
  </si>
  <si>
    <t>24 - KAIZEN - Redução de peso bruto_MB002289LA_MB002290LA_Rev00_Bruno Manachini</t>
  </si>
  <si>
    <t>\\192.168.0.20\DEPARTAMENTOS\Engenharia\0. Kaizen Diadema\6. 2026\02 Fevereiro\20 - MB002289LA_MB002290LA - Bruno Manachini_Engenharia\20 - KAIZEN - Redução de peso bruto_MB002289LA_MB002290LA_Rev00_Bruno Manachini.xlsx</t>
  </si>
  <si>
    <t>Redução de 146g do peso bruto por peça (comprimento de 1540 para 2690)</t>
  </si>
  <si>
    <r>
      <t xml:space="preserve">24/02/2026: </t>
    </r>
    <r>
      <rPr>
        <b/>
        <sz val="11"/>
        <color theme="1"/>
        <rFont val="Calibri"/>
        <family val="2"/>
        <scheme val="minor"/>
      </rPr>
      <t>Projeto de kaizen número 20 de 2026.</t>
    </r>
    <r>
      <rPr>
        <sz val="11"/>
        <color theme="1"/>
        <rFont val="Calibri"/>
        <family val="2"/>
        <scheme val="minor"/>
      </rPr>
      <t xml:space="preserve"> Enviado 23/02/2026 para validação da Controladoria. --&gt; Aguardando confirmação de algumas informações  (email enviado 11/03)</t>
    </r>
  </si>
  <si>
    <t>-&gt; Aguardando confirmação de algumas informações - email enviado em 11/03.</t>
  </si>
  <si>
    <t>25 - KAIZEN - Redução de peso bruto_MB003601LA_Rev00_Bruno Manachini</t>
  </si>
  <si>
    <t>\\192.168.0.20\DEPARTAMENTOS\\Engenharia\0. Kaizen Diadema\6. 2026\02 Fevereiro\23 - MB003601LA - Bruno Manachini_Engenharia\23 - KAIZEN - Redução de peso bruto_MB003601LA_Rev00_Bruno Manachini.xlsx</t>
  </si>
  <si>
    <t>Redução de 904g do peso bruto por peça (comprimento de 2410 para 2470)</t>
  </si>
  <si>
    <r>
      <t>24/02/2026:</t>
    </r>
    <r>
      <rPr>
        <b/>
        <sz val="11"/>
        <color theme="1"/>
        <rFont val="Calibri"/>
        <family val="2"/>
        <scheme val="minor"/>
      </rPr>
      <t xml:space="preserve"> Projeto de kaizen número 23 de 2026.</t>
    </r>
    <r>
      <rPr>
        <sz val="11"/>
        <color theme="1"/>
        <rFont val="Calibri"/>
        <family val="2"/>
        <scheme val="minor"/>
      </rPr>
      <t xml:space="preserve"> Enviado 24/02/2026 para validação da Controladoria. </t>
    </r>
  </si>
  <si>
    <t>CUSTOS &gt;&gt;&gt; LT ATUALIZADA EM FEVEREIRO APENAS COM O PESO CORRETO DE 8,239KGS / PARA EFEITOS DE ANALISES, NESSES ESTUDOS DEVEMOS CONSIDERAR A LT GERADA NO BUDGET (budget congelado) / NESSE CASO, O PESO DA LT BUDGET É DE 7,552KGS (REDUÇÃO MENOR DO QUE A PROPOSTA) - volume de Mar a Dez, visto que ainda temos material antigo a ser consumido.</t>
  </si>
  <si>
    <t>26 - Redução_de_MP - DJ000059Z_DJ000060Z</t>
  </si>
  <si>
    <t>\\192.168.0.20\DEPARTAMENTOS\Engenharia\0. Kaizen Diadema\6. 2026\02 Fevereiro\24 - Redução_de_MP - DJ000059Z_DJ000060Z\24 - Redução_de_MP - DJ000059Z_DJ000060Z.xlsx</t>
  </si>
  <si>
    <t xml:space="preserve">Redução no passo de corte do blank da coluna "B" da GM (40m). </t>
  </si>
  <si>
    <r>
      <t>03/03/2026: Projeto de kaizen número 24 de 2026. Enviado em 03/03/2026 para validação da Controladoria. --&gt;</t>
    </r>
    <r>
      <rPr>
        <b/>
        <sz val="11"/>
        <color theme="1"/>
        <rFont val="Calibri"/>
        <family val="2"/>
        <scheme val="minor"/>
      </rPr>
      <t xml:space="preserve"> CUSTOS:</t>
    </r>
    <r>
      <rPr>
        <sz val="11"/>
        <color theme="1"/>
        <rFont val="Calibri"/>
        <family val="2"/>
        <scheme val="minor"/>
      </rPr>
      <t xml:space="preserve"> Redução considerada a partir do mês de Março/26 - a confirmar!</t>
    </r>
  </si>
  <si>
    <t>27 - DA000459AA - STC Volvo_</t>
  </si>
  <si>
    <t>\\192.168.0.20\DEPARTAMENTOS\\Engenharia\0. Kaizen Diadema\6. 2026\03 Março\37 - DA000459AA - STC Volvo_Sidnei Souza_Ferramentaria\37 - DA000459AA - STC Volvo_Sidnei Souza_Ferramentaria.xlsx</t>
  </si>
  <si>
    <t>Redução de 8mm no blank (0,16kg)/peça</t>
  </si>
  <si>
    <r>
      <t xml:space="preserve">17/03/2026: </t>
    </r>
    <r>
      <rPr>
        <b/>
        <sz val="11"/>
        <color theme="1"/>
        <rFont val="Calibri"/>
        <family val="2"/>
        <scheme val="minor"/>
      </rPr>
      <t>Projeto de kaizen número 37 de 2026</t>
    </r>
    <r>
      <rPr>
        <sz val="11"/>
        <color theme="1"/>
        <rFont val="Calibri"/>
        <family val="2"/>
        <scheme val="minor"/>
      </rPr>
      <t xml:space="preserve">. Enviado 17/03/2026 para validação da Controladoria. </t>
    </r>
  </si>
  <si>
    <t>28 - DA000487Z_DA000488Z - STC Scania P</t>
  </si>
  <si>
    <t>\\192.168.0.20\DEPARTAMENTOS\\Engenharia\0. Kaizen Diadema\6. 2026\03 Março\38 - DA000487AA_DA000488AA - STC Scania P_Sidnei Souza_Ferramentaria\38 - DA000487AA_DA000488AA - STC Scania P_Sidnei Souza_Ferramentaria_REV00.xlsx</t>
  </si>
  <si>
    <t>Redução de 20mm no blank (0,4kg)/peça</t>
  </si>
  <si>
    <r>
      <t xml:space="preserve">17/03/2026: </t>
    </r>
    <r>
      <rPr>
        <b/>
        <sz val="11"/>
        <color theme="1"/>
        <rFont val="Calibri"/>
        <family val="2"/>
        <scheme val="minor"/>
      </rPr>
      <t>Projeto de kaizen número 38 de 2026</t>
    </r>
    <r>
      <rPr>
        <sz val="11"/>
        <color theme="1"/>
        <rFont val="Calibri"/>
        <family val="2"/>
        <scheme val="minor"/>
      </rPr>
      <t xml:space="preserve">. Enviado 17/03/2026 para validação da Controladoria. </t>
    </r>
  </si>
  <si>
    <t>29 - DA000489Z_DA000490Z - STC Scania M_</t>
  </si>
  <si>
    <t>\\192.168.0.20\DEPARTAMENTOS\\Engenharia\0. Kaizen Diadema\6. 2026\03 Março\39 - DA000489AA_DA000490AA - STC Scania M_Sidnei Souza_Ferramentaria\39 - DA000489Z_DE000490Z - STC Scania M_Sidnei Souza_Ferramentaria_REV00.xlsx</t>
  </si>
  <si>
    <t>Redução de 20mm no blank (0,46kg)/peça</t>
  </si>
  <si>
    <r>
      <t xml:space="preserve">17/03/2026: </t>
    </r>
    <r>
      <rPr>
        <b/>
        <sz val="11"/>
        <color theme="1"/>
        <rFont val="Calibri"/>
        <family val="2"/>
        <scheme val="minor"/>
      </rPr>
      <t>Projeto de kaizen número 39 de 2026</t>
    </r>
    <r>
      <rPr>
        <sz val="11"/>
        <color theme="1"/>
        <rFont val="Calibri"/>
        <family val="2"/>
        <scheme val="minor"/>
      </rPr>
      <t xml:space="preserve">. Enviado 17/03/2026 para validação da Controladoria. </t>
    </r>
  </si>
  <si>
    <t>30 - DA000491Z_DE000492Z - STC Scania G_</t>
  </si>
  <si>
    <t>\\192.168.0.20\DEPARTAMENTOS\\Engenharia\0. Kaizen Diadema\6. 2026\03 Março\40 - DA000491AA_DA000492AA - STC Scania G_Sidnei Souza_Ferramentaria\40 - DA000491AA_DA000492AA - STC Scania G_Sidnei Souza_Ferramentaria_REV00.xlsx</t>
  </si>
  <si>
    <t>Redução de 20mm no blank (0,52kg)/peça</t>
  </si>
  <si>
    <r>
      <t xml:space="preserve">17/03/2026: </t>
    </r>
    <r>
      <rPr>
        <b/>
        <sz val="11"/>
        <color theme="1"/>
        <rFont val="Calibri"/>
        <family val="2"/>
        <scheme val="minor"/>
      </rPr>
      <t>Projeto de kaizen número 40 de 2026</t>
    </r>
    <r>
      <rPr>
        <sz val="11"/>
        <color theme="1"/>
        <rFont val="Calibri"/>
        <family val="2"/>
        <scheme val="minor"/>
      </rPr>
      <t xml:space="preserve">. Enviado 17/03/2026 para validação da Controladoria. </t>
    </r>
  </si>
  <si>
    <t>31 - Comunização da chapa CHQ0475ED12502650</t>
  </si>
  <si>
    <t>\\192.168.0.20\DEPARTAMENTOS\Engenharia\0. Kaizen Diadema\6. 2026\03 Março\25 - CHQ0475ED12502650 - Bruno Manachini_Engenharia\25 - KAIZEN - CHQ0475ED12502650_Rev00_Bruno Manachini.xlsx</t>
  </si>
  <si>
    <t>Corte da chapa de  (CHQ0475ED12501970) com L= 1250mm e C= 1970mm para Corte da chapa (CHQ0475ED12502650) com L= 1250mm e C= 2650mm.</t>
  </si>
  <si>
    <r>
      <t>04/03/2026:</t>
    </r>
    <r>
      <rPr>
        <b/>
        <sz val="11"/>
        <color theme="1"/>
        <rFont val="Calibri"/>
        <family val="2"/>
        <scheme val="minor"/>
      </rPr>
      <t xml:space="preserve"> Projeto de kaizen número 25 de 2026.</t>
    </r>
    <r>
      <rPr>
        <sz val="11"/>
        <color theme="1"/>
        <rFont val="Calibri"/>
        <family val="2"/>
        <scheme val="minor"/>
      </rPr>
      <t xml:space="preserve"> Enviado 02/03/2026 para validação da Controladoria. </t>
    </r>
  </si>
  <si>
    <t>32 - Redução de Peso Bruto do item MB003594LA</t>
  </si>
  <si>
    <t>\\Deptos\Engenharia\0. Kaizen Diadema\6. 2026\03 Março\26 - MB003594LA - Bruno Manachini_Engenharia\26 - KAIZEN - MB003594LA_Rev00_Bruno Manachini.xlsx</t>
  </si>
  <si>
    <t>De 187 peças por chapa para 196</t>
  </si>
  <si>
    <r>
      <t>04/03/2026:</t>
    </r>
    <r>
      <rPr>
        <b/>
        <sz val="11"/>
        <color theme="1"/>
        <rFont val="Calibri"/>
        <family val="2"/>
        <scheme val="minor"/>
      </rPr>
      <t xml:space="preserve"> Projeto de kaizen número 26 de 2026.</t>
    </r>
    <r>
      <rPr>
        <sz val="11"/>
        <color theme="1"/>
        <rFont val="Calibri"/>
        <family val="2"/>
        <scheme val="minor"/>
      </rPr>
      <t xml:space="preserve"> Enviado 02/03/2026 para validação da Controladoria. </t>
    </r>
  </si>
  <si>
    <t>33 - Redução de Peso Bruto do item MB003610LA</t>
  </si>
  <si>
    <t>\\192.168.0.20\DEPARTAMENTOS\\Engenharia\0. Kaizen Diadema\6. 2026\03 Março\27 - MB003610LA - Bruno Manachini_Engenharia</t>
  </si>
  <si>
    <t>De 154 peças por chapa para 207</t>
  </si>
  <si>
    <r>
      <rPr>
        <sz val="11"/>
        <color theme="1"/>
        <rFont val="Calibri"/>
        <family val="2"/>
        <scheme val="minor"/>
      </rPr>
      <t>04/03/2026:</t>
    </r>
    <r>
      <rPr>
        <b/>
        <sz val="11"/>
        <color theme="1"/>
        <rFont val="Calibri"/>
        <family val="2"/>
        <scheme val="minor"/>
      </rPr>
      <t xml:space="preserve"> Projeto de kaizen número 27 de 2026.</t>
    </r>
    <r>
      <rPr>
        <sz val="11"/>
        <color theme="1"/>
        <rFont val="Calibri"/>
        <family val="2"/>
        <scheme val="minor"/>
      </rPr>
      <t xml:space="preserve"> Enviado 02/03/2026 para validação da Controladoria. </t>
    </r>
  </si>
  <si>
    <t>34 - Redução de Peso Bruto do item MB003554LA</t>
  </si>
  <si>
    <t>\\192.168.0.20\DEPARTAMENTOS\Engenharia\0. Kaizen Diadema\6. 2026\03 Março\28 - MB003554LA - Bruno Manachini_Engenharia\28 - KAIZEN - MB003554LA_Rev00_Bruno Manachini.xlsx</t>
  </si>
  <si>
    <t>De 108 peças por chapa para 120</t>
  </si>
  <si>
    <r>
      <rPr>
        <sz val="11"/>
        <color theme="1"/>
        <rFont val="Calibri"/>
        <family val="2"/>
        <scheme val="minor"/>
      </rPr>
      <t>04/03/2026:</t>
    </r>
    <r>
      <rPr>
        <b/>
        <sz val="11"/>
        <color theme="1"/>
        <rFont val="Calibri"/>
        <family val="2"/>
        <scheme val="minor"/>
      </rPr>
      <t xml:space="preserve"> Projeto de kaizen número 28 de 2026.</t>
    </r>
    <r>
      <rPr>
        <sz val="11"/>
        <color theme="1"/>
        <rFont val="Calibri"/>
        <family val="2"/>
        <scheme val="minor"/>
      </rPr>
      <t xml:space="preserve"> Enviado 02/03/2026 para validação da Controladoria. </t>
    </r>
  </si>
  <si>
    <t>35 - Redução de Peso Bruto do item MB003597LA</t>
  </si>
  <si>
    <t>\\192.168.0.20\DEPARTAMENTOS\Engenharia\0. Kaizen Diadema\6. 2026\03 Março\29 - MB003597LA - Bruno Manachini_Engenharia\29 - KAIZEN - MB003597LA_Rev00_Bruno Manachini.xlsx</t>
  </si>
  <si>
    <t>De 63 peças por chapa para 68</t>
  </si>
  <si>
    <r>
      <rPr>
        <sz val="11"/>
        <color theme="1"/>
        <rFont val="Calibri"/>
        <family val="2"/>
        <scheme val="minor"/>
      </rPr>
      <t>04/03/2026:</t>
    </r>
    <r>
      <rPr>
        <b/>
        <sz val="11"/>
        <color theme="1"/>
        <rFont val="Calibri"/>
        <family val="2"/>
        <scheme val="minor"/>
      </rPr>
      <t xml:space="preserve"> Projeto de kaizen número 29 de 2026.</t>
    </r>
    <r>
      <rPr>
        <sz val="11"/>
        <color theme="1"/>
        <rFont val="Calibri"/>
        <family val="2"/>
        <scheme val="minor"/>
      </rPr>
      <t xml:space="preserve"> Enviado 02/03/2026 para validação da Controladoria. </t>
    </r>
  </si>
  <si>
    <t>36 - Redução de Peso Bruto do item MB003673LA</t>
  </si>
  <si>
    <t>\\192.168.0.20\DEPARTAMENTOS\Engenharia\0. Kaizen Diadema\6. 2026\03 Março\30 - MB003673LA - Bruno Manachini_Engenharia\30 - KAIZEN - MB003673LA_Rev00_Bruno Manachini.xlsx</t>
  </si>
  <si>
    <t>De 134 peças por chapa para 140</t>
  </si>
  <si>
    <r>
      <rPr>
        <sz val="11"/>
        <color theme="1"/>
        <rFont val="Calibri"/>
        <family val="2"/>
        <scheme val="minor"/>
      </rPr>
      <t>04/03/2026:</t>
    </r>
    <r>
      <rPr>
        <b/>
        <sz val="11"/>
        <color theme="1"/>
        <rFont val="Calibri"/>
        <family val="2"/>
        <scheme val="minor"/>
      </rPr>
      <t xml:space="preserve"> Projeto de kaizen número 30 de 2026.</t>
    </r>
    <r>
      <rPr>
        <sz val="11"/>
        <color theme="1"/>
        <rFont val="Calibri"/>
        <family val="2"/>
        <scheme val="minor"/>
      </rPr>
      <t xml:space="preserve"> Enviado 02/03/2026 para validação da Controladoria. </t>
    </r>
  </si>
  <si>
    <t>37 - Redução de Peso Bruto do item MB003673LD</t>
  </si>
  <si>
    <t>\\192.168.0.20\DEPARTAMENTOS\Engenharia\0. Kaizen Diadema\6. 2026\03 Março\31 - MB003673LD - Bruno Manachini_Engenharia\31 - KAIZEN - MB003673LD_Rev00_Bruno Manachini.xlsx</t>
  </si>
  <si>
    <t>De 686 peças por chapa para 992</t>
  </si>
  <si>
    <r>
      <rPr>
        <sz val="11"/>
        <color theme="1"/>
        <rFont val="Calibri"/>
        <family val="2"/>
        <scheme val="minor"/>
      </rPr>
      <t>04/03/2026:</t>
    </r>
    <r>
      <rPr>
        <b/>
        <sz val="11"/>
        <color theme="1"/>
        <rFont val="Calibri"/>
        <family val="2"/>
        <scheme val="minor"/>
      </rPr>
      <t xml:space="preserve"> Projeto de kaizen número 31 de 2026.</t>
    </r>
    <r>
      <rPr>
        <sz val="11"/>
        <color theme="1"/>
        <rFont val="Calibri"/>
        <family val="2"/>
        <scheme val="minor"/>
      </rPr>
      <t xml:space="preserve"> Enviado 02/03/2026 para validação da Controladoria. </t>
    </r>
  </si>
  <si>
    <t>38 - Redução de Peso Bruto do item SV000205LB</t>
  </si>
  <si>
    <t>\\192.168.0.20\DEPARTAMENTOS\Engenharia\0. Kaizen Diadema\6. 2026\03 Março\32 - SV000205LB - Bruno Manachini_Engenharia\32 - KAIZEN - SV000205LB_Rev00_Bruno Manachini.xlsx</t>
  </si>
  <si>
    <t>De 26 peças por chapa para 32</t>
  </si>
  <si>
    <r>
      <rPr>
        <sz val="11"/>
        <color theme="1"/>
        <rFont val="Calibri"/>
        <family val="2"/>
        <scheme val="minor"/>
      </rPr>
      <t>04/03/2026:</t>
    </r>
    <r>
      <rPr>
        <b/>
        <sz val="11"/>
        <color theme="1"/>
        <rFont val="Calibri"/>
        <family val="2"/>
        <scheme val="minor"/>
      </rPr>
      <t xml:space="preserve"> Projeto de kaizen número 32 de 2026.</t>
    </r>
    <r>
      <rPr>
        <sz val="11"/>
        <color theme="1"/>
        <rFont val="Calibri"/>
        <family val="2"/>
        <scheme val="minor"/>
      </rPr>
      <t xml:space="preserve"> Enviado 02/03/2026 para validação da Controladoria. </t>
    </r>
  </si>
  <si>
    <t>39 - Redução de Peso Bruto do item VB000323LA</t>
  </si>
  <si>
    <t>\\192.168.0.20\DEPARTAMENTOS\Engenharia\0. Kaizen Diadema\6. 2026\03 Março\33 - VB000323LA - Bruno Manachini_Engenharia\33 - KAIZEN - VB000323LA_Rev00_Bruno Manachini.xlsx</t>
  </si>
  <si>
    <t>De 101 peças por chapa para 127</t>
  </si>
  <si>
    <r>
      <rPr>
        <sz val="11"/>
        <color theme="1"/>
        <rFont val="Calibri"/>
        <family val="2"/>
        <scheme val="minor"/>
      </rPr>
      <t>04/03/2026:</t>
    </r>
    <r>
      <rPr>
        <b/>
        <sz val="11"/>
        <color theme="1"/>
        <rFont val="Calibri"/>
        <family val="2"/>
        <scheme val="minor"/>
      </rPr>
      <t xml:space="preserve"> Projeto de kaizen número 33 de 2026.</t>
    </r>
    <r>
      <rPr>
        <sz val="11"/>
        <color theme="1"/>
        <rFont val="Calibri"/>
        <family val="2"/>
        <scheme val="minor"/>
      </rPr>
      <t xml:space="preserve"> Enviado 02/03/2026 para validação da Controladoria. </t>
    </r>
  </si>
  <si>
    <t>40 - Redução de Peso Bruto do item VW001138LA</t>
  </si>
  <si>
    <t>\\192.168.0.20\DEPARTAMENTOS\Engenharia\0. Kaizen Diadema\6. 2026\03 Março\34 - VW001138LA - Bruno Manachini_Engenharia\34 - KAIZEN - VW001138LA_Rev00_Bruno Manachini.xlsx</t>
  </si>
  <si>
    <t>De 32 peças por chapa para 36</t>
  </si>
  <si>
    <r>
      <rPr>
        <sz val="11"/>
        <color theme="1"/>
        <rFont val="Calibri"/>
        <family val="2"/>
        <scheme val="minor"/>
      </rPr>
      <t>04/03/2026:</t>
    </r>
    <r>
      <rPr>
        <b/>
        <sz val="11"/>
        <color theme="1"/>
        <rFont val="Calibri"/>
        <family val="2"/>
        <scheme val="minor"/>
      </rPr>
      <t xml:space="preserve"> Projeto de kaizen número 34 de 2026.</t>
    </r>
    <r>
      <rPr>
        <sz val="11"/>
        <color theme="1"/>
        <rFont val="Calibri"/>
        <family val="2"/>
        <scheme val="minor"/>
      </rPr>
      <t xml:space="preserve"> Enviado 02/03/2026 para validação da Controladoria. </t>
    </r>
  </si>
  <si>
    <t>41 - Redução de Peso Bruto do item SV001141LA</t>
  </si>
  <si>
    <t>\\192.168.0.20\DEPARTAMENTOS\Engenharia\0. Kaizen Diadema\6. 2026\03 Março\35 - SV001141LA - Bruno Manachini_Engenharia\35 - KAIZEN - SV001141LA_Rev00_Bruno Manachini.xlsx</t>
  </si>
  <si>
    <t>De 31 peças por chapa para 34</t>
  </si>
  <si>
    <r>
      <rPr>
        <sz val="11"/>
        <color theme="1"/>
        <rFont val="Calibri"/>
        <family val="2"/>
        <scheme val="minor"/>
      </rPr>
      <t>04/03/2026:</t>
    </r>
    <r>
      <rPr>
        <b/>
        <sz val="11"/>
        <color theme="1"/>
        <rFont val="Calibri"/>
        <family val="2"/>
        <scheme val="minor"/>
      </rPr>
      <t xml:space="preserve"> Projeto de kaizen número 35 de 2026.</t>
    </r>
    <r>
      <rPr>
        <sz val="11"/>
        <color theme="1"/>
        <rFont val="Calibri"/>
        <family val="2"/>
        <scheme val="minor"/>
      </rPr>
      <t xml:space="preserve"> Enviado 02/03/2026 para validação da Controladoria. </t>
    </r>
  </si>
  <si>
    <t>42 - Aluguel de Compressor</t>
  </si>
  <si>
    <t>\\192.168.0.20\departamentos\Engenharia\0. Kaizen Diadema\6. 2026\04 Abril\44 - Redução de um compressor alugado planta Diadema 2026 _Mario Reami_REV00\44 - Redução de um compressor alugado planta Diadema 2026 _Mario Reami_REV00.xlsx</t>
  </si>
  <si>
    <t xml:space="preserve">Consertar o compressor da DELGA (60k), e eliminar o aluguel de 1 compressro (17,5K/mês). </t>
  </si>
  <si>
    <t>M. Reami</t>
  </si>
  <si>
    <r>
      <rPr>
        <sz val="11"/>
        <color theme="1"/>
        <rFont val="Calibri"/>
        <family val="2"/>
        <scheme val="minor"/>
      </rPr>
      <t>02/04/2026:</t>
    </r>
    <r>
      <rPr>
        <b/>
        <sz val="11"/>
        <color theme="1"/>
        <rFont val="Calibri"/>
        <family val="2"/>
        <scheme val="minor"/>
      </rPr>
      <t xml:space="preserve"> Projeto de kaizen número 44 de 2026.</t>
    </r>
    <r>
      <rPr>
        <sz val="11"/>
        <color theme="1"/>
        <rFont val="Calibri"/>
        <family val="2"/>
        <scheme val="minor"/>
      </rPr>
      <t xml:space="preserve"> Enviado 02/04/2026 para validação da Controladoria. </t>
    </r>
  </si>
  <si>
    <t>43 - Automação Boomerang</t>
  </si>
  <si>
    <t>\\192.168.0.20\departamentos\Engenharia\0. Kaizen Diadema\6. 2026\04 Abril\43 - Projeto de Automação Boomerang_Izaias Junior_Engenharia_REV00\43 - Projeto de Automação Boomerang_Izaias Junior_Engenharia_REV00.xlsx</t>
  </si>
  <si>
    <t>Soldar os Boomerang na célula 10 (robô), que atualmente são soldados em cabines manuais (redução de 1MOD)</t>
  </si>
  <si>
    <t>NOK</t>
  </si>
  <si>
    <r>
      <rPr>
        <sz val="11"/>
        <color theme="1"/>
        <rFont val="Calibri"/>
        <family val="2"/>
        <scheme val="minor"/>
      </rPr>
      <t>02/04/2026:</t>
    </r>
    <r>
      <rPr>
        <b/>
        <sz val="11"/>
        <color theme="1"/>
        <rFont val="Calibri"/>
        <family val="2"/>
        <scheme val="minor"/>
      </rPr>
      <t xml:space="preserve"> Projeto de kaizen número 43 de 2026.</t>
    </r>
    <r>
      <rPr>
        <sz val="11"/>
        <color theme="1"/>
        <rFont val="Calibri"/>
        <family val="2"/>
        <scheme val="minor"/>
      </rPr>
      <t xml:space="preserve"> Enviado 02/04/2026 para validação da Controladoria. Redução de 1MOD (soldador), das cabines manuais</t>
    </r>
  </si>
  <si>
    <t>44 - Mudança de fonte Usiminas para Arcelor</t>
  </si>
  <si>
    <t>\\192.168.0.20\DEPARTAMENTOS\Engenharia\0. Kaizen Diadema\6. 2026\04 Abril\45 - Mudança de fonte de Usiminas para Arcelor - Robson Luz_Engenharia_REV_00.xlsx</t>
  </si>
  <si>
    <t>Aterar fonte de distibuição do BOQ0575EE1150 MTH (Usiminas) para BOQ0600LA1150 MTL (Arcelor) visando reduzir o preço do Kg .</t>
  </si>
  <si>
    <r>
      <rPr>
        <sz val="11"/>
        <color theme="1"/>
        <rFont val="Calibri"/>
        <family val="2"/>
        <scheme val="minor"/>
      </rPr>
      <t>06/04/2026:</t>
    </r>
    <r>
      <rPr>
        <b/>
        <sz val="11"/>
        <color theme="1"/>
        <rFont val="Calibri"/>
        <family val="2"/>
        <scheme val="minor"/>
      </rPr>
      <t xml:space="preserve"> Projeto de kaizen número 45 de 2026.</t>
    </r>
    <r>
      <rPr>
        <sz val="11"/>
        <color theme="1"/>
        <rFont val="Calibri"/>
        <family val="2"/>
        <scheme val="minor"/>
      </rPr>
      <t xml:space="preserve"> Enviado 02/04/2026 para validação da Controladoria. </t>
    </r>
  </si>
  <si>
    <t>45 - Redução de MP GM000409Z</t>
  </si>
  <si>
    <t>\\192.168.0.20\departamentos\Engenharia\0. Kaizen Diadema\6. 2026\04 Abril\46 - Redução de MP - GM000408Z_409Z_Passo_Rev00_Thiago Cardoso\46 - Redução de MP - GM000408Z_409Z_Passo_Rev00_Thiago Cardoso.xlsx</t>
  </si>
  <si>
    <t>REDUZIR PASSO DE 210 mm PARA 195 mm. REDUÇÃO DE PESO BRUTO DE 1,561 KG PARA 1,464 KG.</t>
  </si>
  <si>
    <r>
      <rPr>
        <sz val="11"/>
        <color theme="1"/>
        <rFont val="Calibri"/>
        <family val="2"/>
        <scheme val="minor"/>
      </rPr>
      <t>06/04/2026:</t>
    </r>
    <r>
      <rPr>
        <b/>
        <sz val="11"/>
        <color theme="1"/>
        <rFont val="Calibri"/>
        <family val="2"/>
        <scheme val="minor"/>
      </rPr>
      <t xml:space="preserve"> Projeto de kaizen número 46 de 2026.</t>
    </r>
    <r>
      <rPr>
        <sz val="11"/>
        <color theme="1"/>
        <rFont val="Calibri"/>
        <family val="2"/>
        <scheme val="minor"/>
      </rPr>
      <t xml:space="preserve"> Enviado 06/04/2026 para validação da Controladoria. </t>
    </r>
  </si>
  <si>
    <t>46 - AGUA DESMINERALIZADA</t>
  </si>
  <si>
    <t>\\192.168.0.20\departamentos\Engenharia\0. Kaizen Diadema\6. 2026\04 Abril\47 - KAIZEN AGUA DESMINERALIZADA 2026 Diadema 2026 _Mario REAMI\47 - KAIZEN AGUA DESMINERALIZADA 2026 Diadema 2026 _Mario REAMI.xlsx</t>
  </si>
  <si>
    <t>ELIMINAR COMPRA DE GALÕES DE ÁGUA DESMINERALIZADA E SAÍDAS COM CARRO DE FROTA</t>
  </si>
  <si>
    <r>
      <rPr>
        <sz val="11"/>
        <color theme="1"/>
        <rFont val="Calibri"/>
        <family val="2"/>
        <scheme val="minor"/>
      </rPr>
      <t>06/04/2026:</t>
    </r>
    <r>
      <rPr>
        <b/>
        <sz val="11"/>
        <color theme="1"/>
        <rFont val="Calibri"/>
        <family val="2"/>
        <scheme val="minor"/>
      </rPr>
      <t xml:space="preserve"> Projeto de kaizen número 47 de 2026.</t>
    </r>
    <r>
      <rPr>
        <sz val="11"/>
        <color theme="1"/>
        <rFont val="Calibri"/>
        <family val="2"/>
        <scheme val="minor"/>
      </rPr>
      <t xml:space="preserve"> Enviado 06/04/2026 para validação da Controladoria. </t>
    </r>
  </si>
  <si>
    <t>47 - REDUÇÃO DE MP DJ000079Z – 80Z</t>
  </si>
  <si>
    <t>\\192.168.0.20\departamentos\Engenharia\0. Kaizen Diadema\6. 2026\04 Abril\48 - Redução de MP - DJ000079Z - 80Z_Rev00_Thiago Cardoso\48 - Redução de MP - DJ000079Z - 80Z_Rev00_Thiago Cardoso.xlsx</t>
  </si>
  <si>
    <t>Redução da largura do slitter de 400mm para 366mm</t>
  </si>
  <si>
    <r>
      <t>13/03/2026:</t>
    </r>
    <r>
      <rPr>
        <b/>
        <sz val="11"/>
        <color theme="1"/>
        <rFont val="Calibri"/>
        <family val="2"/>
        <scheme val="minor"/>
      </rPr>
      <t xml:space="preserve"> Projeto de kaizen número 48 de 2026.</t>
    </r>
    <r>
      <rPr>
        <sz val="11"/>
        <color theme="1"/>
        <rFont val="Calibri"/>
        <family val="2"/>
        <scheme val="minor"/>
      </rPr>
      <t xml:space="preserve"> Enviado 08/04/2026 para validação da Controladoria. </t>
    </r>
  </si>
  <si>
    <t>48 - REDUÇÃO DE MP BOZ0150HX1000</t>
  </si>
  <si>
    <t>\\192.168.0.20\departamentos\Engenharia\0. Kaizen Diadema\6. 2026\04 Abril\49 - Redução de MP - BOZ0150HX1000_Rev00_Thiago Cardoso\49 - Redução de MP - BOZ0150HX1000_Rev00_Thiago Cardoso.xlsx</t>
  </si>
  <si>
    <t>Redução da largura do slitter de 1000mm para 950mm</t>
  </si>
  <si>
    <r>
      <t>13/03/2026:</t>
    </r>
    <r>
      <rPr>
        <b/>
        <sz val="11"/>
        <color theme="1"/>
        <rFont val="Calibri"/>
        <family val="2"/>
        <scheme val="minor"/>
      </rPr>
      <t xml:space="preserve"> Projeto de kaizen número 49 de 2026.</t>
    </r>
    <r>
      <rPr>
        <sz val="11"/>
        <color theme="1"/>
        <rFont val="Calibri"/>
        <family val="2"/>
        <scheme val="minor"/>
      </rPr>
      <t xml:space="preserve"> Enviado 08/04/2026 para validação da Controladoria. </t>
    </r>
  </si>
  <si>
    <t>49 - REDUÇÃO DE MP GM000408Z / GM000409Z</t>
  </si>
  <si>
    <t>\\192.168.0.20\departamentos\Engenharia\0. Kaizen Diadema\6. 2026\04 Abril\50 - Redução de MP - GM000408Z_409Z_Bobina_Rev00_Thiago Cardoso\50 - Redução de MP - GM000408Z_409Z_Bobina_Rev00_Thiago Cardoso.xlsx</t>
  </si>
  <si>
    <t>Redução na largura da bobina de 1250mm para 1200mm</t>
  </si>
  <si>
    <r>
      <rPr>
        <sz val="11"/>
        <color theme="1"/>
        <rFont val="Calibri"/>
        <family val="2"/>
        <scheme val="minor"/>
      </rPr>
      <t>13/04/2026:</t>
    </r>
    <r>
      <rPr>
        <b/>
        <sz val="11"/>
        <color theme="1"/>
        <rFont val="Calibri"/>
        <family val="2"/>
        <scheme val="minor"/>
      </rPr>
      <t xml:space="preserve"> Projeto de kaizen número 50 de 2026.</t>
    </r>
    <r>
      <rPr>
        <sz val="11"/>
        <color theme="1"/>
        <rFont val="Calibri"/>
        <family val="2"/>
        <scheme val="minor"/>
      </rPr>
      <t xml:space="preserve"> Enviado 08/04/2026 para validação da Controladoria. </t>
    </r>
  </si>
  <si>
    <t>50 - Suporte da lanterna MB003681</t>
  </si>
  <si>
    <t>\\192.168.0.20\departamentos\Engenharia\0. Kaizen Diadema\6. 2026\04 Abril\52 - Suporte da lanterna MB003681_Sidnei Souza_Ferramentaria\52 - Suporte da lanterna MB003681_REV00.xlsx</t>
  </si>
  <si>
    <t>Redução de 12mm na largura do blank. De 300mm para 288mm. Redução de 0,44kg por blank</t>
  </si>
  <si>
    <r>
      <rPr>
        <sz val="11"/>
        <color theme="1"/>
        <rFont val="Calibri"/>
        <family val="2"/>
        <scheme val="minor"/>
      </rPr>
      <t>13/03/2026:</t>
    </r>
    <r>
      <rPr>
        <b/>
        <sz val="11"/>
        <color theme="1"/>
        <rFont val="Calibri"/>
        <family val="2"/>
        <scheme val="minor"/>
      </rPr>
      <t xml:space="preserve"> Projeto de kaizen número 52 de 2026.</t>
    </r>
    <r>
      <rPr>
        <sz val="11"/>
        <color theme="1"/>
        <rFont val="Calibri"/>
        <family val="2"/>
        <scheme val="minor"/>
      </rPr>
      <t xml:space="preserve"> Enviado 13/04/2026 para validação da Controladoria. </t>
    </r>
  </si>
  <si>
    <t>51 - Redução de MP - GM000402Z_403Z_Passo</t>
  </si>
  <si>
    <t>\\192.168.0.20\departamentos\Engenharia\0. Kaizen Diadema\6. 2026\04 Abril\55 - Redução de MP - GM000402Z_403Z_Passo_Rev00_Thiago Cardoso\55 - Redução de MP - GM000402Z_403Z_Passo_Rev00_Thiago Cardoso.xlsx</t>
  </si>
  <si>
    <t>Redução de 15mm no passo do blank (183g/blank)</t>
  </si>
  <si>
    <r>
      <t xml:space="preserve">20/04/2026: </t>
    </r>
    <r>
      <rPr>
        <b/>
        <sz val="11"/>
        <color theme="1"/>
        <rFont val="Calibri"/>
        <family val="2"/>
        <scheme val="minor"/>
      </rPr>
      <t>Projeto de kaizen número 55 de 2026</t>
    </r>
    <r>
      <rPr>
        <sz val="11"/>
        <color theme="1"/>
        <rFont val="Calibri"/>
        <family val="2"/>
        <scheme val="minor"/>
      </rPr>
      <t>. Enviado 20/04/2026 para validação da Controladoria.</t>
    </r>
  </si>
  <si>
    <t>52 - Redução de MP - GM000458Z / GM000459Z</t>
  </si>
  <si>
    <t>\\192.168.0.20\departamentos\Engenharia\0. Kaizen Diadema\6. 2026\04 Abril\56 - Redução_de_MP - GM000458Z_GM000459Z_Bruno Manachini\56 - Redução_de_MP - GM000458Z_GM000459Z.xlsx</t>
  </si>
  <si>
    <t xml:space="preserve">Reduzir 20mm no passo do blank, de 190 para 180 (5mm/peça). </t>
  </si>
  <si>
    <r>
      <t xml:space="preserve">22/04/2026: </t>
    </r>
    <r>
      <rPr>
        <b/>
        <sz val="11"/>
        <color theme="1"/>
        <rFont val="Calibri"/>
        <family val="2"/>
        <scheme val="minor"/>
      </rPr>
      <t>Projeto de kaizen número 56 de 2026</t>
    </r>
    <r>
      <rPr>
        <sz val="11"/>
        <color theme="1"/>
        <rFont val="Calibri"/>
        <family val="2"/>
        <scheme val="minor"/>
      </rPr>
      <t>. Enviado 22/04/2026 para validação da Controladoria.</t>
    </r>
  </si>
  <si>
    <t xml:space="preserve">53 - Redução no custo de aluguel de cilindros. </t>
  </si>
  <si>
    <t>\\192.168.0.20\departamentos\Engenharia\0. Kaizen Diadema\6. 2026\04 Abril\54 - Redução com aluguel de cilindros_Eduardo Fajardo\54 - Redução com aluguel de cilindros_Eduardo Fajardo_REV00.xlsx</t>
  </si>
  <si>
    <t xml:space="preserve">Devolver 15 cilindros de alta pressão, para o fornecedor MESSER. </t>
  </si>
  <si>
    <r>
      <rPr>
        <sz val="11"/>
        <color theme="1"/>
        <rFont val="Calibri"/>
        <family val="2"/>
        <scheme val="minor"/>
      </rPr>
      <t>11/05/2026:</t>
    </r>
    <r>
      <rPr>
        <b/>
        <sz val="11"/>
        <color theme="1"/>
        <rFont val="Calibri"/>
        <family val="2"/>
        <scheme val="minor"/>
      </rPr>
      <t xml:space="preserve"> Projeto de kaizen número 54 de 2026. </t>
    </r>
    <r>
      <rPr>
        <sz val="11"/>
        <color theme="1"/>
        <rFont val="Calibri"/>
        <family val="2"/>
        <scheme val="minor"/>
      </rPr>
      <t>Aguardando informações sobre o valor de aluguel de cilindros.</t>
    </r>
    <r>
      <rPr>
        <b/>
        <sz val="11"/>
        <color theme="1"/>
        <rFont val="Calibri"/>
        <family val="2"/>
        <scheme val="minor"/>
      </rPr>
      <t xml:space="preserve"> Enviado 11/05/2026 para validação da Controladoria</t>
    </r>
  </si>
  <si>
    <t>54 - Redução de MP - VW000585Z_586Z (20mm no passo)</t>
  </si>
  <si>
    <t>\\192.168.0.20\departamentos\Engenharia\0. Kaizen Diadema\6. 2026\04 Abril\57 - Redução_de_MP - VW000585Z_586Z_Amauri Mantuan\57 - Redução_de_MP - VW000585Z_586Z_Amauri Mantuan_REV00.xlsx</t>
  </si>
  <si>
    <t xml:space="preserve">Reduzir 20mm no passo do blank, de 900 para 880 (10mm/peça). </t>
  </si>
  <si>
    <t>A. Mantuan</t>
  </si>
  <si>
    <r>
      <rPr>
        <sz val="11"/>
        <color theme="1"/>
        <rFont val="Calibri"/>
        <family val="2"/>
        <scheme val="minor"/>
      </rPr>
      <t>11/05/2026:</t>
    </r>
    <r>
      <rPr>
        <b/>
        <sz val="11"/>
        <color theme="1"/>
        <rFont val="Calibri"/>
        <family val="2"/>
        <scheme val="minor"/>
      </rPr>
      <t xml:space="preserve"> Projeto de kaizen número 57 de 2026. </t>
    </r>
    <r>
      <rPr>
        <sz val="11"/>
        <color theme="1"/>
        <rFont val="Calibri"/>
        <family val="2"/>
        <scheme val="minor"/>
      </rPr>
      <t>Enviado 24/04/2026 para validação da Controladoria</t>
    </r>
  </si>
  <si>
    <t>55 -  Redução de MP - GM000378Z / GM000379Z</t>
  </si>
  <si>
    <t>\\192.168.0.20\departamentos\Engenharia\0. Kaizen Diadema\6. 2026\05 Maio\58 - Redução_de_MP - GM000378Z_379Z_Amauri Mantuan\58 - Redução_de_MP - GM000378Z_GM000379Z.xlsx</t>
  </si>
  <si>
    <t xml:space="preserve">Reduzir 20mm no passo do blank, de 240 para 220 (10mm/peça). </t>
  </si>
  <si>
    <r>
      <rPr>
        <sz val="11"/>
        <color theme="1"/>
        <rFont val="Calibri"/>
        <family val="2"/>
        <scheme val="minor"/>
      </rPr>
      <t>11/05/2026:</t>
    </r>
    <r>
      <rPr>
        <b/>
        <sz val="11"/>
        <color theme="1"/>
        <rFont val="Calibri"/>
        <family val="2"/>
        <scheme val="minor"/>
      </rPr>
      <t xml:space="preserve"> Projeto de kaizen número 58 de 2026. </t>
    </r>
  </si>
  <si>
    <t>56 -Redução de Peso Bruto do item SV001141LA / SV001142LA</t>
  </si>
  <si>
    <t>\\192.168.0.20\departamentos\Engenharia\0. Kaizen Diadema\6. 2026\05 Maio\59 - Redução_de_MP - SV001141LA_1142LA - Bruno Manachini_Engenharia\59 - KAIZEN - SV001141LA_SV001142LA_Rev00_Bruno Manachini.xlsx</t>
  </si>
  <si>
    <t xml:space="preserve">Reduzir 30mm no comprimento da chapa (usado na laser, para 2 PN). </t>
  </si>
  <si>
    <r>
      <rPr>
        <sz val="11"/>
        <color theme="1"/>
        <rFont val="Calibri"/>
        <family val="2"/>
        <scheme val="minor"/>
      </rPr>
      <t xml:space="preserve">04/06/2026: </t>
    </r>
    <r>
      <rPr>
        <b/>
        <sz val="11"/>
        <color theme="1"/>
        <rFont val="Calibri"/>
        <family val="2"/>
        <scheme val="minor"/>
      </rPr>
      <t>Projeto de kaizen número 59 de 2026</t>
    </r>
  </si>
  <si>
    <t>57 - AlmaCAM_Redução de Peso</t>
  </si>
  <si>
    <t>\\192.168.0.20\departamentos\Engenharia\0. Kaizen Diadema\6. 2026\05 Maio\60 - Redução_do_Peso_Bruto_AlmaCAM - Bruno Manachini_Engenharia\60 - KAIZEN - AlmaCAM_Redução de Peso_Rev00_Bruno Manachini.xlsx</t>
  </si>
  <si>
    <t>Aumento da quantidade de peças de por chapa.</t>
  </si>
  <si>
    <r>
      <rPr>
        <sz val="11"/>
        <color theme="1"/>
        <rFont val="Calibri"/>
        <family val="2"/>
        <scheme val="minor"/>
      </rPr>
      <t>04/06/2026</t>
    </r>
    <r>
      <rPr>
        <b/>
        <sz val="11"/>
        <color theme="1"/>
        <rFont val="Calibri"/>
        <family val="2"/>
        <scheme val="minor"/>
      </rPr>
      <t xml:space="preserve">: Projeto de kaizen número 60 de 2026. </t>
    </r>
    <r>
      <rPr>
        <sz val="11"/>
        <color theme="1"/>
        <rFont val="Calibri"/>
        <family val="2"/>
        <scheme val="minor"/>
      </rPr>
      <t>Enviado 29/05/2026 para validação de custos</t>
    </r>
  </si>
  <si>
    <t>3. Adesão SPD</t>
  </si>
  <si>
    <t>Fase</t>
  </si>
  <si>
    <t>4. Análide De Margem</t>
  </si>
  <si>
    <t>total</t>
  </si>
  <si>
    <t>(#01) - Reunião Fast Response</t>
  </si>
  <si>
    <t>Item</t>
  </si>
  <si>
    <t>Mapeados</t>
  </si>
  <si>
    <t>Comparados</t>
  </si>
  <si>
    <t>Ajustados</t>
  </si>
  <si>
    <t>Nome do item</t>
  </si>
  <si>
    <t>Unid. Transf.</t>
  </si>
  <si>
    <t>Cod. Transf</t>
  </si>
  <si>
    <t>(#02) - Reunião diaria de produção</t>
  </si>
  <si>
    <t>VW000574Z</t>
  </si>
  <si>
    <t>LONGARINA DIR</t>
  </si>
  <si>
    <t>N/A</t>
  </si>
  <si>
    <t>(#18) - Ordem de produção</t>
  </si>
  <si>
    <t>VW000573Z</t>
  </si>
  <si>
    <t>LONGARINA ESQ</t>
  </si>
  <si>
    <t xml:space="preserve">Q. Projetos </t>
  </si>
  <si>
    <t>(#36) - Matriz de versatilidade</t>
  </si>
  <si>
    <t>VW000815Z</t>
  </si>
  <si>
    <t>CONJUNTO PAINEL FRONTAL 5U1805431C</t>
  </si>
  <si>
    <t>Acumulado Previsto</t>
  </si>
  <si>
    <t>(#42) - IT 8.7.1.7 – 033 PLANO DE REAÇÃO</t>
  </si>
  <si>
    <t>VW000630Z</t>
  </si>
  <si>
    <t>CONJ REF ALOJ LANT TRAS 5U7809485A</t>
  </si>
  <si>
    <t>Acumulado Real</t>
  </si>
  <si>
    <t xml:space="preserve">(#28) - Form. 87 - PLANO DE CONTROLE </t>
  </si>
  <si>
    <t>VW000631Z</t>
  </si>
  <si>
    <t>CONJ REF ALOJ LANT TRAS 5U7809486A</t>
  </si>
  <si>
    <t>Projeção da Meta</t>
  </si>
  <si>
    <t>(#30) - Form. 647 - INSTRUÇÃO DE TRABALHO</t>
  </si>
  <si>
    <t>VW000745Z</t>
  </si>
  <si>
    <t>FECHAMENTO LONGARINA TRASEIRA LE</t>
  </si>
  <si>
    <t>DD000510Z</t>
  </si>
  <si>
    <t>(#06) - Form.682 Quadro hora/hora</t>
  </si>
  <si>
    <t>VW000746Z</t>
  </si>
  <si>
    <t>FECHAMENTO LONGARINA TRASEIRA LD</t>
  </si>
  <si>
    <t>DD000511Z</t>
  </si>
  <si>
    <t>(#20) - Form 532-Relátorio de produção</t>
  </si>
  <si>
    <t>VW000887Z</t>
  </si>
  <si>
    <t>CONJ. REFORÇO DA DOBRADIÇA INF DIAN LE</t>
  </si>
  <si>
    <t>(#22) - Form 441-Identificação do produto aprovado</t>
  </si>
  <si>
    <t>VW000582Z</t>
  </si>
  <si>
    <t>FECHAMENTO LONG TRAS DIR</t>
  </si>
  <si>
    <t>(#23) - Form 032-Identificação de produto suspeito</t>
  </si>
  <si>
    <t>VW000581Z</t>
  </si>
  <si>
    <t>FECHAMENTO LONG TRAS ESQ</t>
  </si>
  <si>
    <t>(#19) - Form 075 registro de inspeção</t>
  </si>
  <si>
    <t>VW000895Z</t>
  </si>
  <si>
    <t>CONJ. REFORÇO DO PERFIL 6EA.827.209</t>
  </si>
  <si>
    <t>(#08) - SQDCM</t>
  </si>
  <si>
    <t>VW000896Z</t>
  </si>
  <si>
    <t>CONJ. REFORÇO DO PERFIL 6EA.827.210</t>
  </si>
  <si>
    <t>(#05) - Reunião diaria de produto não conforme</t>
  </si>
  <si>
    <t>VW000583Z</t>
  </si>
  <si>
    <t>CONJ SUPORTE FIXACAO DO EIXO ESQ</t>
  </si>
  <si>
    <t>(#45) - Form. 477 – REGISTRO DE ALARMES E ESCALONAMENTO</t>
  </si>
  <si>
    <t>VW000584Z</t>
  </si>
  <si>
    <t>CONJ SUPORTE FIXACAO DO EIXO DIR</t>
  </si>
  <si>
    <t>(#37) - Form 080-Registro de Parametros de Processo.xlsx</t>
  </si>
  <si>
    <t>GM000359Z</t>
  </si>
  <si>
    <t>PANEL ASM-BODY H/PLR INR LWR-LH</t>
  </si>
  <si>
    <t>(#32) - Acompanhamento de Eficiencia de mão de obra</t>
  </si>
  <si>
    <t>VW000590Z</t>
  </si>
  <si>
    <t>REFORCO LONGARINA DIR</t>
  </si>
  <si>
    <t>(#38) - Form 048-Retrabalho/Reparo</t>
  </si>
  <si>
    <t>VW000589Z</t>
  </si>
  <si>
    <t>REFORCO LONGARINA ESQ</t>
  </si>
  <si>
    <t>(#31) - Form.513 EPS - ESPECIFICAÇÃO DOS PROCESSOS DE SOLDA</t>
  </si>
  <si>
    <t>GM000408Z</t>
  </si>
  <si>
    <t>REINF RR S/D LWR HGE LH - 26223905</t>
  </si>
  <si>
    <t>Recebe apenas MP de SL</t>
  </si>
  <si>
    <t>(#43) - Programa FIFO</t>
  </si>
  <si>
    <t>VW000578Z</t>
  </si>
  <si>
    <t>PRATO DA MOLA SUPERIOR 5U7803457</t>
  </si>
  <si>
    <t>(#47) - Form. 030 –  CHECK LIST TPM E PLANO DE MANUTENÇÃO (TPM)</t>
  </si>
  <si>
    <t>GM000409Z</t>
  </si>
  <si>
    <t>REINF RR S/D LWR HGE RH - 26223906</t>
  </si>
  <si>
    <t>(#11) - Acompanhamento de OEE</t>
  </si>
  <si>
    <t>VW000888Z</t>
  </si>
  <si>
    <t>CONJ. REFORÇO DA DOBRADIÇA INF DIAN LD</t>
  </si>
  <si>
    <t>(#35) - Programa 5S</t>
  </si>
  <si>
    <t>DJ000056Z / 229Z / 090Z  (GM510Z)</t>
  </si>
  <si>
    <t>LONGARINA TETO CARROC VEICULO AUTOMOVEL</t>
  </si>
  <si>
    <t>Transferido (JARINU)</t>
  </si>
  <si>
    <t>(#13) - Acompanhamento de SETUP</t>
  </si>
  <si>
    <t>DJ000055Z / 228Z / 089Z  (GM509Z)</t>
  </si>
  <si>
    <t>(#34) - Projetos Estratégicos: OEE, SCRAP, SMED, Eficiência MOD</t>
  </si>
  <si>
    <t>DJ000059Z / 087Z (GM430Z)</t>
  </si>
  <si>
    <t>PAINEL COLUNA CARROC VEICULO AUTOMOV ESQ</t>
  </si>
  <si>
    <t>(#07) - PLR</t>
  </si>
  <si>
    <t>DJ000060Z / 088Z (GM431Z)</t>
  </si>
  <si>
    <t>PAINEL COLUNA CARROC VEICULO AUTOMOV DIR</t>
  </si>
  <si>
    <t>(#10) - Quadro de Aviso Padronizado</t>
  </si>
  <si>
    <t>DJ000076Z / 078Z (VW939Z)</t>
  </si>
  <si>
    <t>CONJ. LÂMPADA TRASEIRA LD</t>
  </si>
  <si>
    <t>(#04) - Reunião mensal de gestão da produção</t>
  </si>
  <si>
    <t>DJ000075Z / 077Z (VW938Z)</t>
  </si>
  <si>
    <t>CONJ. LÂMPADA TRASEIRA LE</t>
  </si>
  <si>
    <t>DA000459AA/ DA000459Z (VB000459Z)</t>
  </si>
  <si>
    <t>CONJ. SUPORTE DO TANQUE VOLVO - 22739212</t>
  </si>
  <si>
    <t>Transferido (Anchieta)</t>
  </si>
  <si>
    <t>DA000489Z (SV000203Z)</t>
  </si>
  <si>
    <t>CONJUNTO SUPORTE DO TANQUE 2601225</t>
  </si>
  <si>
    <t>MB000074AX (MB000074Z)</t>
  </si>
  <si>
    <t>TRAVESSA - A3843127217</t>
  </si>
  <si>
    <t>DA000492Z (SV000201Z)</t>
  </si>
  <si>
    <t>CONJUNTO SUPORTE DO TANQUE 2897838</t>
  </si>
  <si>
    <t>DA000261Z (MB003558Z)</t>
  </si>
  <si>
    <t>CJ ESTRIBO ESQ - A9796607001</t>
  </si>
  <si>
    <t>DA000262Z (MB003559Z)</t>
  </si>
  <si>
    <t>CJ ESTRIBO DIR - A9796607101</t>
  </si>
  <si>
    <t>Resumo SPD</t>
  </si>
  <si>
    <t>Fases</t>
  </si>
  <si>
    <t>Pontos</t>
  </si>
  <si>
    <t>Pontos  OK</t>
  </si>
  <si>
    <t>Pontos  NOK</t>
  </si>
  <si>
    <t>% OK</t>
  </si>
  <si>
    <t>Aud. Pontos  OK</t>
  </si>
  <si>
    <t>Aud.Pontos  NOK</t>
  </si>
  <si>
    <t>Aud. % OK</t>
  </si>
  <si>
    <t>Datas de conclusão</t>
  </si>
  <si>
    <t>MATRIZ SPD</t>
  </si>
  <si>
    <t>Bussines</t>
  </si>
  <si>
    <t>Código do Produto</t>
  </si>
  <si>
    <t>Descrição Produto</t>
  </si>
  <si>
    <t>Descrição Cliente</t>
  </si>
  <si>
    <t>Avaliado ?</t>
  </si>
  <si>
    <t xml:space="preserve">Plano ação </t>
  </si>
  <si>
    <t>LEVES</t>
  </si>
  <si>
    <t>VOLKSWAGEN</t>
  </si>
  <si>
    <t>VW000586Z</t>
  </si>
  <si>
    <t>FECHAMENTO LONGARINA DIR</t>
  </si>
  <si>
    <t>VW000585Z</t>
  </si>
  <si>
    <t>FECHAMENTO LONGARINA ESQ</t>
  </si>
  <si>
    <t>VW000929Z</t>
  </si>
  <si>
    <t>ALOJAMENTO MOLA TRASEIRA LD 5U7501448B</t>
  </si>
  <si>
    <t>VW000928Z</t>
  </si>
  <si>
    <t>ALOJAMENTO MOLA TRASEIRA LE 5U7501447B</t>
  </si>
  <si>
    <t>GM</t>
  </si>
  <si>
    <t>GM000402Z</t>
  </si>
  <si>
    <t>REINF FRT S/D HGE (DR SI) LH - 26223887</t>
  </si>
  <si>
    <t>GM000403Z</t>
  </si>
  <si>
    <t>REINF FRT S/D HGE (DR SI) RH - 26223888</t>
  </si>
  <si>
    <t>VW000919Z</t>
  </si>
  <si>
    <t>REFORÇO FECHAMENTO PORTA 2G4.831.457A</t>
  </si>
  <si>
    <t>VW000920Z</t>
  </si>
  <si>
    <t>REFORÇO FECHAMENTO PORTA 2G4.831.458.A</t>
  </si>
  <si>
    <t>VW001049Z</t>
  </si>
  <si>
    <t>REFORÇO FECHAMENTO PORTA 2G4.833.458.A</t>
  </si>
  <si>
    <t>VW001048Z</t>
  </si>
  <si>
    <t>REFORÇO FECHAMENTO PORTA 2G4.833.457.A</t>
  </si>
  <si>
    <t>GM000432Z</t>
  </si>
  <si>
    <t>PANEL -BK BODY PLR INR -LH (JBUC)</t>
  </si>
  <si>
    <t>GM000378Z</t>
  </si>
  <si>
    <t>REINFORCEMENT-FRT S/D OTR PNL BELT LH</t>
  </si>
  <si>
    <t>GM000433Z</t>
  </si>
  <si>
    <t>PANEL -BK BODY PLR INR - RH (JBUC)</t>
  </si>
  <si>
    <t>VW000587Z</t>
  </si>
  <si>
    <t>CHAPA DIVISORIA ESQ</t>
  </si>
  <si>
    <t>PESADOS</t>
  </si>
  <si>
    <t>VW001141Z</t>
  </si>
  <si>
    <t>SUPORTE DEFLETOR - 23G121239</t>
  </si>
  <si>
    <t>MAN</t>
  </si>
  <si>
    <t>VW000970Z</t>
  </si>
  <si>
    <t>SUPORTE DE VEDAÇÃO</t>
  </si>
  <si>
    <t>VW001243Z</t>
  </si>
  <si>
    <t>REF. DA DOBRADIÇA INFERIOR 2GY.831.563</t>
  </si>
  <si>
    <t>VW001244Z</t>
  </si>
  <si>
    <t>REF. DA DOBRADIÇA INFERIOR 2GY.831.564</t>
  </si>
  <si>
    <t>VW000971Z</t>
  </si>
  <si>
    <t>VW000972Z</t>
  </si>
  <si>
    <t>PEÇA DE CONEXÃO</t>
  </si>
  <si>
    <t>GM000423Z</t>
  </si>
  <si>
    <t>REINFORCEMENT-HOOD - 26258409</t>
  </si>
  <si>
    <t>VW000973Z</t>
  </si>
  <si>
    <t>VW000832Z</t>
  </si>
  <si>
    <t>SUPORTE 5U0971858A ZINCADO</t>
  </si>
  <si>
    <t>VW000863Z</t>
  </si>
  <si>
    <t>GANCHO DE BLOQUEIO 5U0.881.270 - ZINCADO</t>
  </si>
  <si>
    <t>VW000336Z</t>
  </si>
  <si>
    <t>SUPORTE DO PARA-CHOQUE</t>
  </si>
  <si>
    <t>MB003554Z</t>
  </si>
  <si>
    <t>ZB CONSOLE - A9795200433</t>
  </si>
  <si>
    <t>MERCEDES</t>
  </si>
  <si>
    <t>VW001039Z</t>
  </si>
  <si>
    <t>ASSY LOCK SUPPORT 6EC.805.567</t>
  </si>
  <si>
    <t>PL000002Z</t>
  </si>
  <si>
    <t>REFORCO MET LE 7199823(2V3.831.311)</t>
  </si>
  <si>
    <t>PLASCAR</t>
  </si>
  <si>
    <t>MB003555Z</t>
  </si>
  <si>
    <t>CJ SUPORTE - A9796200014</t>
  </si>
  <si>
    <t>VW001208Z</t>
  </si>
  <si>
    <t>REFORÇO DE COLISÃO - 5U7.809.230</t>
  </si>
  <si>
    <t>VW001207Z</t>
  </si>
  <si>
    <t>REFORÇO DE COLISÃO - 5U7.809.229</t>
  </si>
  <si>
    <t>VW000853Z</t>
  </si>
  <si>
    <t>BUCHA 5Z0.201.693 ZINCADO</t>
  </si>
  <si>
    <t>VW000507Z</t>
  </si>
  <si>
    <t>SUPORTE FIXACAO PARALAMA ESQ. 5U0821163</t>
  </si>
  <si>
    <t>MB002317Z</t>
  </si>
  <si>
    <t>LAMINA LIMPADOR - A9738840474 5900</t>
  </si>
  <si>
    <t>MB003602Z</t>
  </si>
  <si>
    <t>SUPORTE DIR - A9583178540</t>
  </si>
  <si>
    <t>MB003601Z</t>
  </si>
  <si>
    <t>SUPORTE ESQ - A9583178440</t>
  </si>
  <si>
    <t>RN000013Z</t>
  </si>
  <si>
    <t>CARTER DE OLEO 111106159R PINTADO</t>
  </si>
  <si>
    <t>RENAULT</t>
  </si>
  <si>
    <t>GM000459Z</t>
  </si>
  <si>
    <t>REINF FRT S/D OTR PNL BELT RH - 26356934</t>
  </si>
  <si>
    <t>GM000458Z</t>
  </si>
  <si>
    <t>REINF FRT S/D OTR PNL BELT LH - 26356933</t>
  </si>
  <si>
    <t>VW000985Z</t>
  </si>
  <si>
    <t>PAINEL TRANSVERSAL</t>
  </si>
  <si>
    <t>GM000379Z</t>
  </si>
  <si>
    <t>REINFORCEMENT-FRT S/D OTR PNL BELT RH</t>
  </si>
  <si>
    <t>VW000588Z</t>
  </si>
  <si>
    <t>CHAPA DIVISORIA DIR</t>
  </si>
  <si>
    <t>GM000396Z</t>
  </si>
  <si>
    <t>REINFORCEMENT-RR S/D OTR PNL LH</t>
  </si>
  <si>
    <t>GM000397Z</t>
  </si>
  <si>
    <t>REINFORCEMENT-RR S/D OTR PNL RH</t>
  </si>
  <si>
    <t>MB003597Z</t>
  </si>
  <si>
    <t>SUPORTE - A9583178640</t>
  </si>
  <si>
    <t>GM000413Z</t>
  </si>
  <si>
    <t>REINF ASM-R/CMPT LID HGE RH - 26281808</t>
  </si>
  <si>
    <t>GM000412Z</t>
  </si>
  <si>
    <t>REINF ASM-R/CMPT LID HGE LH - 26281807</t>
  </si>
  <si>
    <t>MB003674Z</t>
  </si>
  <si>
    <t>CJ SOLDADO - CROSSMEMBER A3823124325</t>
  </si>
  <si>
    <t>GM000404Z</t>
  </si>
  <si>
    <t>REINF FRT S/D LWR HGE LH - 26223891</t>
  </si>
  <si>
    <t>VW001047Z</t>
  </si>
  <si>
    <t>REINFORCEMENT LOCK 6EC.823.198</t>
  </si>
  <si>
    <t>VW001147Z</t>
  </si>
  <si>
    <t>SUPORTE DO DEFLETOR 23H253319H</t>
  </si>
  <si>
    <t>VW000636Z</t>
  </si>
  <si>
    <t>SUPORTE DO RADIADOR - 5U0.805.594.C</t>
  </si>
  <si>
    <t>VW001146Z</t>
  </si>
  <si>
    <t>SUPORTE DO DEFLETOR 23H253319G</t>
  </si>
  <si>
    <t>VW001155Z</t>
  </si>
  <si>
    <t>SUPORTE - 23H121239</t>
  </si>
  <si>
    <t>PL000003Z</t>
  </si>
  <si>
    <t>REFORCO MET LD 7199822(2V3.831.312)</t>
  </si>
  <si>
    <t>MB000332Z</t>
  </si>
  <si>
    <t>SUPORTE - A6343121840 ( DF552Z )</t>
  </si>
  <si>
    <t>VW000506Z</t>
  </si>
  <si>
    <t>PAINEL TRANSV.</t>
  </si>
  <si>
    <t>MB003610Z</t>
  </si>
  <si>
    <t>SUPORTE - A9584291269</t>
  </si>
  <si>
    <t>MB003652Z</t>
  </si>
  <si>
    <t>CHAPA RETENTORA DE OLEO - A3853560082</t>
  </si>
  <si>
    <t>PU000008Z</t>
  </si>
  <si>
    <t>BRACKET SUPPORT - 16.89.033.507.082</t>
  </si>
  <si>
    <t>PUREM AUTOMOTIVE</t>
  </si>
  <si>
    <t>VW000974Z</t>
  </si>
  <si>
    <t>2G5827399 - SUPORTE ESQ.</t>
  </si>
  <si>
    <t>VW000975Z</t>
  </si>
  <si>
    <t>2G5827400 - SUPORTE DIR.</t>
  </si>
  <si>
    <t>PU000009Z</t>
  </si>
  <si>
    <t>STRAP MODULE - 1689033507083 (ACABADADO)</t>
  </si>
  <si>
    <t>MB003612Z</t>
  </si>
  <si>
    <t>TRILHO INFERIOR - A9586930020</t>
  </si>
  <si>
    <t>VW000407Z</t>
  </si>
  <si>
    <t>SUPORTE ANTI RUIDO LD - 2R2899388</t>
  </si>
  <si>
    <t>VW000182Z</t>
  </si>
  <si>
    <t>TIRANTE MANCAL DO CARDAN 2W0521347</t>
  </si>
  <si>
    <t>VW001143Z</t>
  </si>
  <si>
    <t>SUPORTE DEFLETOR - 23L121239</t>
  </si>
  <si>
    <t>VW000571Z</t>
  </si>
  <si>
    <t>SUPORTE SENSOR ABS DIR 5U7971504</t>
  </si>
  <si>
    <t>MB003556Z</t>
  </si>
  <si>
    <t>CJ REF PAREDE DIVIS ESQ - A9796200116</t>
  </si>
  <si>
    <t>MB003557Z</t>
  </si>
  <si>
    <t>CJ REF PAREDE DIVIS DIR - A9796200216</t>
  </si>
  <si>
    <t>VW000219Z</t>
  </si>
  <si>
    <t>REFORCO FIXACAO DO PARALAMA 2VC821115</t>
  </si>
  <si>
    <t>VW001138Z</t>
  </si>
  <si>
    <t>SUPORTE - 23H.145.813.E</t>
  </si>
  <si>
    <t>SERVIÇOS</t>
  </si>
  <si>
    <t>SY000051Z</t>
  </si>
  <si>
    <t>CHAPA PROTETORA ESQ / DIR - A3074210020</t>
  </si>
  <si>
    <t>SUSPENSYS</t>
  </si>
  <si>
    <t>GM000198Z</t>
  </si>
  <si>
    <t>REINFORCEMENT-FRT S/D INR PNL(AT O/S RR</t>
  </si>
  <si>
    <t>VW000509Z</t>
  </si>
  <si>
    <t>SUPORTE FIXACAO PARA LAMA DIR. 5U0821164</t>
  </si>
  <si>
    <t>GM000199Z</t>
  </si>
  <si>
    <t>REINFORCEMENT-FRT S/D INR PNL (AT O/S RR</t>
  </si>
  <si>
    <t>MB003697Z</t>
  </si>
  <si>
    <t>CROSSMEMBER A3823124425</t>
  </si>
  <si>
    <t>PU000002Z</t>
  </si>
  <si>
    <t>PINO USINADO - 16.89.033.507.091</t>
  </si>
  <si>
    <t>MB003532Z</t>
  </si>
  <si>
    <t>CJ SUPORTE - A9405000531</t>
  </si>
  <si>
    <t>VW000171Z</t>
  </si>
  <si>
    <t>CONJ. SUPORTE TUBO - 2S0607621</t>
  </si>
  <si>
    <t>PU000007Z</t>
  </si>
  <si>
    <t>BRACKET SUPPORT - 16.89.033.507.038</t>
  </si>
  <si>
    <t>MB000296Z</t>
  </si>
  <si>
    <t>CINTA - A9794110082 ( RET/PINT )</t>
  </si>
  <si>
    <t>VW001276Z</t>
  </si>
  <si>
    <t>0INGE REINFORCEMENT - 2FC.823.189</t>
  </si>
  <si>
    <t>VW001277Z</t>
  </si>
  <si>
    <t>HINGE REINFORCEMENT - 2FC.823.190</t>
  </si>
  <si>
    <t>VW001281Z</t>
  </si>
  <si>
    <t>SUPPORT PART 2FC.823.198</t>
  </si>
  <si>
    <t>VW001284Z</t>
  </si>
  <si>
    <t>0INGE REINFORCEMENT - 2FC.833.563</t>
  </si>
  <si>
    <t>VW001285Z</t>
  </si>
  <si>
    <t>HINGE REINFORCEMENT - 2FC.833.564</t>
  </si>
  <si>
    <t>VW001283Z</t>
  </si>
  <si>
    <t>LOCK REINFORCEMENT - 2FC.823.178</t>
  </si>
  <si>
    <t>VW001282Z</t>
  </si>
  <si>
    <t>LOCK REINFORCEMENT - 2FC.823.177</t>
  </si>
  <si>
    <t>VW001280Z</t>
  </si>
  <si>
    <t>DEFORMATION ELEMENT 2FC.809.471</t>
  </si>
  <si>
    <t>Comunicação 
assertiva</t>
  </si>
  <si>
    <t>(#03) - Reunião diaria de passagem de turno</t>
  </si>
  <si>
    <t>Gestão à vista</t>
  </si>
  <si>
    <t>(#09) - Form.121 Indicadores de SGI</t>
  </si>
  <si>
    <t>Gerenciamento e Metódos</t>
  </si>
  <si>
    <t>(#12) - Acompanhamento de SCRAP</t>
  </si>
  <si>
    <t>(#14) - Form. 104 - Indicadores e Ata de Analise Critica</t>
  </si>
  <si>
    <t xml:space="preserve">(#15) - Form.370 - Fast Response Itens Críticos </t>
  </si>
  <si>
    <t>(#16) - Form. 015 – Lista de Presença Resposta Rápida</t>
  </si>
  <si>
    <t>(#17) - Form. 506 Open Issues List</t>
  </si>
  <si>
    <t xml:space="preserve">Documentos de Processos </t>
  </si>
  <si>
    <t>(#21) - Form 085 identificação do processo-etiqueta azul</t>
  </si>
  <si>
    <t>(#24) - Form 149-Identificação de amostra de produto (try-out)</t>
  </si>
  <si>
    <t>(#25) - Form 093 - Etiqueta "Solicitação de ensaio"</t>
  </si>
  <si>
    <t>(#26) - Etiqueta de beneficiamento</t>
  </si>
  <si>
    <t>(#27) - Etiqueta de RASTREABILIDADE DO PRODUTO/COMPONENTE</t>
  </si>
  <si>
    <t>(#29) - Form. 87 - PLANO DE CONTROLE DE CARACTERÍSTICAS ESPECIAIS (RIP "S")</t>
  </si>
  <si>
    <t>(#33) - Plano Mestre de Produtividade</t>
  </si>
  <si>
    <t>(#39) - Form. 410 – CHECK LIST DE SETUP E FIM DE PRODUÇÃO – ESTAMPARIA</t>
  </si>
  <si>
    <t>(#40) - Form. 411 – CHECK LIST DE SETUP E FIM DE PRODUÇÃO – SOLDA</t>
  </si>
  <si>
    <t>(#41) - FORM 224 – CHECK LIST DE SETUP E FIM DE PRODUÇÃO – OUTROS PROCESSOS</t>
  </si>
  <si>
    <t>(#44) - Alocação de mão de obra</t>
  </si>
  <si>
    <r>
      <t xml:space="preserve">(#46) - Form. 148 – IDENTIFICAÇÃO DE </t>
    </r>
    <r>
      <rPr>
        <sz val="10"/>
        <color rgb="FFFF0000"/>
        <rFont val="Calibri"/>
        <family val="2"/>
        <scheme val="minor"/>
      </rPr>
      <t>RETALHOS</t>
    </r>
    <r>
      <rPr>
        <sz val="10"/>
        <color theme="1"/>
        <rFont val="Calibri"/>
        <family val="2"/>
        <scheme val="minor"/>
      </rPr>
      <t xml:space="preserve"> (MP)</t>
    </r>
  </si>
  <si>
    <t>DASHBOARD EXECUTIVO - UNIDADE JARINU</t>
  </si>
  <si>
    <t>Valor Previsto</t>
  </si>
  <si>
    <t>;</t>
  </si>
  <si>
    <t>Maior Melhor</t>
  </si>
  <si>
    <t>Menor Melhor</t>
  </si>
  <si>
    <t>Try Out</t>
  </si>
  <si>
    <t>OEE</t>
  </si>
  <si>
    <t>75%%</t>
  </si>
  <si>
    <t>Manutenção Mecanica</t>
  </si>
  <si>
    <t>Eficiência de MO</t>
  </si>
  <si>
    <t>Turn Over</t>
  </si>
  <si>
    <t>75,0%%</t>
  </si>
  <si>
    <t>Performance</t>
  </si>
  <si>
    <t>NA</t>
  </si>
  <si>
    <t>Disponibilidade</t>
  </si>
  <si>
    <t>CSR54009</t>
  </si>
  <si>
    <t>0.80%</t>
  </si>
  <si>
    <t>Hora Extra</t>
  </si>
  <si>
    <t>1,44%%</t>
  </si>
  <si>
    <t>Falha na porca da ciser</t>
  </si>
  <si>
    <t>Corte na mão</t>
  </si>
  <si>
    <t>Utilização de form irregular</t>
  </si>
  <si>
    <t>55.3%</t>
  </si>
  <si>
    <t>??</t>
  </si>
  <si>
    <t>TIPO 
Redução de custos / Kaizen / Você resolve</t>
  </si>
  <si>
    <t>PREVISTO (R$)</t>
  </si>
  <si>
    <t>VALIDADOR
OK / NOK</t>
  </si>
  <si>
    <t>01 - Desenvolver célula de solda para soldar porcas</t>
  </si>
  <si>
    <t>\\192.168.5.20\Departamentos\TI\Projetos\Master 2026\01 - Desenvolver célula de solda para soldar porcas\01 - Desenvolver célula de solda para soldar porcas.xlsx</t>
  </si>
  <si>
    <t>Confeccionar uma célula de solda para manufaturar conjuntos e sub conjuntos  de elementos roscados substituindo as estacionarias</t>
  </si>
  <si>
    <t>Jonathan</t>
  </si>
  <si>
    <t>02 - Aumentar a produtividade da estamparia atraves da implementação lote econômico e multiplos de MTP</t>
  </si>
  <si>
    <t>\\192.168.5.20\Departamentos\TI\Projetos\Master 2026\02 - Aumentar a produtividade da estamparia atraves da implementação lote econômico e multiplos de MTP\A3 Aumento de Produtividade por Implementação de Lote Econômico e Padronização de Embalagens.xlsx</t>
  </si>
  <si>
    <t>Padronização do processo de fabricação. Matéria Prima e Embalagens para possibilitar o controle de estoque/recebimento e produção de acordo com a POC diminuindo a quantidade de set up</t>
  </si>
  <si>
    <t>Willian</t>
  </si>
  <si>
    <t>03 - Redução de consumo de MP dos blanks com a técnica de corte Wave</t>
  </si>
  <si>
    <t>\\192.168.5.20\Departamentos\TI\Projetos\Master 2026\03 - Redução de consumo de MP dos blanks com a técnica de corte Wave\Planta Melhoria Blank Wave - Gestão de Projetos.xlsx</t>
  </si>
  <si>
    <t>Inserir cortes wave nos blanks retangulares que são utilizados na prensa Isgec</t>
  </si>
  <si>
    <t>Felipe</t>
  </si>
  <si>
    <t>04 - Redução da largura dos slitters</t>
  </si>
  <si>
    <t>\\192.168.5.20\Departamentos\TI\Projetos\Master 2026\04 - Redução da largura dos slitters\04 - Redução da largura dos slitters.xlsx</t>
  </si>
  <si>
    <t>Redução das larguras dos slitters (137/138 e 567/568 MQB)</t>
  </si>
  <si>
    <t>Tersio</t>
  </si>
  <si>
    <t>Formalizado ou não ? Quais são os itens corretos?</t>
  </si>
  <si>
    <t xml:space="preserve">05 - Aplicar borda aparadas nas bobinas </t>
  </si>
  <si>
    <t>\\192.168.5.20\Departamentos\TI\Projetos\Master 2026\05- Aplicar borda aparada nas bobinas\05 - Aplicação de bordas aparadas.xlsx</t>
  </si>
  <si>
    <t>Implementar processo de bordas aparadas nas bobinas mãe para 7 itens. (2 itens inviabilizado) Restam 5 Itens</t>
  </si>
  <si>
    <t>06 - Redução consumo MTP aplicando tolerância mínima</t>
  </si>
  <si>
    <t>\\192.168.5.20\Departamentos\TI\Projetos\Master 2026\06 - Redução consumo MTP aplicando tolerância mínima\06 - Projeto Jarinu.xlsx</t>
  </si>
  <si>
    <t>Implementar mean to-low em 14 itens (Curva A)</t>
  </si>
  <si>
    <t>Validação para 12 meses  - porém a planilha considera os meses correntes de 2026 no saldo.</t>
  </si>
  <si>
    <t>Alguns itens foram desconsiderados, pois o peso cadastrado não confere com o sinalizado no estudo, o que gera um penalti e não um ganho no Kaizen apresentado. Por isso valor validado - menor (Lembrando que o volume ainda será revisado, pois temos que trabalhar com o Budget 2026 - solicitado códigos finais ao Felipe)</t>
  </si>
  <si>
    <t>07 - Balanceamento de carga máquina entre a prensa Gutmnan / Minster</t>
  </si>
  <si>
    <t>\\192.168.5.20\Departamentos\TI\Projetos\Master 2026\07 - Balanceamento de carga máquina entre a prensa Gutmnan e Minster\07 - Balanceamento de carga máquina entre a prensa Gutmnan e Minster.xlsx</t>
  </si>
  <si>
    <t>Adaptação do ferramental para transferi-lo para a prensa mister que possui maior cadência (5 ferramentas)</t>
  </si>
  <si>
    <t>08 - Individualização de zonas de segurança da máquina Baltec</t>
  </si>
  <si>
    <t>\\192.168.5.20\Departamentos\TI\Projetos\Master 2026\08 - Individualização de zonas de segurança da máquina Baltec\Planta Jarinu- Gestão de Projetos - Individualização de zonas de segurança.xlsx</t>
  </si>
  <si>
    <t>Indivisualizar zona de segurança da baltec para permitir a produção dos 2 processos simultaneamente. Cravar / Rebitar</t>
  </si>
  <si>
    <t>09 - Aumento de performance dos itens estampados na prensa Minster</t>
  </si>
  <si>
    <t>Aumentar a cadencia dos itens estampados na prensa Minster</t>
  </si>
  <si>
    <t>10 - Aumento de performance dos itens estampados na prensa Isgec</t>
  </si>
  <si>
    <t>Aumentar a cadencia dos itens estampados na prensa Isgec 2500tn</t>
  </si>
  <si>
    <t>11 - Aumento de performance dos itens estampados nas prensas Gutmmans</t>
  </si>
  <si>
    <t>Aumentar a cadencia dos itens estampados nas prensas Gutmmans</t>
  </si>
  <si>
    <t>12 - Aumento do OEE do equipamento ISGEC</t>
  </si>
  <si>
    <t>\\192.168.5.20\Departamentos\TI\Projetos\Master 2026\12 - Aumento do OEE do equipamento ISGEC\OEE MUNDIAL ISGEC - Gestão de Projetos.xlsx</t>
  </si>
  <si>
    <t xml:space="preserve">Aumento da performance, disponibilidade e melhoria da qualidade na prensa Isgec </t>
  </si>
  <si>
    <t>13 - Redução de consumo no passo do blank dos itens VW000954Z/955Z</t>
  </si>
  <si>
    <t>\\192.168.5.20\Departamentos\TI\Projetos\Master 2026\13 - Redução de consumo no passo do blank dos itens VW000954Z 955Z\13 - Projeto jarinu.XLS</t>
  </si>
  <si>
    <t>Resuzir em 5mm o passo dos blank das peças VW000954Z/955Z</t>
  </si>
  <si>
    <t>NÃO FOI POSSIVEL REALIZAR O KAIZEN</t>
  </si>
  <si>
    <t>Ajustado por Custos o ganho previsto, com inicio em Março/26 -  visto que estamos no final de Fevereiro e as listas ainda não foram atualizadas no sistema - Necessário revisar quantidade de estoque antes de iniciar as mudanças - Cadastro no SAP contempla 5,51kgs (maior do que o sinalizado pela planta) e revisitado para 5,37kgs</t>
  </si>
  <si>
    <t>A previsão de ganho sinalizado no A3 é de 17.328,60 e não 15k como na planilha.</t>
  </si>
  <si>
    <t>14 - Redução de consumo no passo do blank dos itens VW000950AA/951AA</t>
  </si>
  <si>
    <t>\\192.168.5.20\Departamentos\TI\Projetos\Master 2026\14 - Redução de consumo no passo do blank dos itens VW000950AA 951AA\14 - Redução de consumo no passo  VW000950AA 951AA.xlsx</t>
  </si>
  <si>
    <t>Reduzir em 5mm o passo dos blank das peças VW000950AA/951AA</t>
  </si>
  <si>
    <t>Custos&gt;&gt; KAIZEN DESCONSIDERADO - Devolvido para planta, pois o cadastro no SAP (que deve ser considerado) já é menor do que o ganho proposto</t>
  </si>
  <si>
    <t>15 - Redução de consumo no slitter dos itens VW000950AA/951AA</t>
  </si>
  <si>
    <t>\\192.168.5.20\Departamentos\TI\Projetos\Master 2026\15 - Redução de consumo no slitter dos itens VW000950AA 951AA\15 - Projeto Jarinu.xlsx</t>
  </si>
  <si>
    <t>Reduzir em 20mm o slitter das peças VW000950AA/951AA</t>
  </si>
  <si>
    <t>Validação de Março a Dezembro - considerando as duas peças 950Z e 951Z - volume Budget. --&gt; A memoria de calculo formalizada no email não é a desse item, para validação utilizei os arquivos salvos no LINK DA PLANILHA.</t>
  </si>
  <si>
    <t>19 - Redução da largura da bobina mãe do Curvão</t>
  </si>
  <si>
    <t>\\192.168.5.20\Departamentos\TI\Projetos\Master 2026\19 - Redução da largura da bobina mãe do Curvão\19 - Redução da largura da bobina mãe do Curvão.xlsx</t>
  </si>
  <si>
    <t>Aplicar redução de 5mm na largura da bobina mãe do Curvão MQB</t>
  </si>
  <si>
    <t>20 - Troca do modelo disco Flap</t>
  </si>
  <si>
    <t>\\192.168.5.20\Departamentos\TI\Projetos\Master 2026\20 - Redução do custos na aquisição de FLAP\20 - Redução do custos na aquisição de FLAP.xlsx</t>
  </si>
  <si>
    <t>Trocar modelo de disco Flap ultilizado atualmente no retrabalho</t>
  </si>
  <si>
    <t>21 - Redução de MOD CSR61014</t>
  </si>
  <si>
    <t>\\192.168.5.20\Departamentos\TI\Projetos\Master 2026\21 - Melhoria no fluxo do processo para redução de MOD\21 - Melhoria no fluxo do processo para redução de MOD.xlsx</t>
  </si>
  <si>
    <t>Eliminar atividades aciclicas reduzindo gargalos do processo para reduzir a quantidade de MOD do equipamento CSR61014 (CUV 1)</t>
  </si>
  <si>
    <t>Conforme reunião entre Elio / Emerson / Sandro e Sergio - esses Kaizens serão desconsiderados.</t>
  </si>
  <si>
    <t>22 - Redução de MOD CSR61015</t>
  </si>
  <si>
    <t>\\192.168.5.20\Departamentos\TI\Projetos\Master 2026\22 - Melhoria no fluxo de processo para redução de MOD\22 - Melhoria no fluxo de processo para redução de MOD.xlsx</t>
  </si>
  <si>
    <t>Eliminar atividades aciclicas reduzindo gargalos do processo para reduzir a quantidade de MOD do equipamento CSR61015 (Pestaninha)</t>
  </si>
  <si>
    <t>23 - Redução do consumo de MTP VW000938AB (- 3 mm no passo)</t>
  </si>
  <si>
    <t>\\192.168.5.20\Departamentos\TI\Projetos\Master 2026\23 - Piloto MTP VW000938AB (- 3 mm no passo)\23 - Piloto MTP VW000938AB (- 3 mm no passo).xlsx</t>
  </si>
  <si>
    <t>Redução de consumo de MTP em -3,0mm no passo</t>
  </si>
  <si>
    <t>Formalizado via email Felipe</t>
  </si>
  <si>
    <t>24 - Redução de consumo de MTP China 1 porca (-10 mm)</t>
  </si>
  <si>
    <t>\\192.168.5.20\Departamentos\TI\Projetos\Master 2026\24 - Redução de consumo de MTP dos  Redução China 1 porca (-10 mm Slitter)\24 - Redução de consumo de MTP dos  Redução China 1 por.xlsx</t>
  </si>
  <si>
    <t>Realizar redução de consumo de MTP da dimensão do blank -10,00mm</t>
  </si>
  <si>
    <t>Validação de Março a Dezembro - considerando as duas peças 1222Z e 1223Z - volume Budget.</t>
  </si>
  <si>
    <t>25 - Redução de consumo de MTP China 2 porca (-10 mm)</t>
  </si>
  <si>
    <t>\\192.168.5.20\Departamentos\TI\Projetos\Master 2026\25 - Redução de consumo de MTP dos  Redução China 2 porca (-10 mm Slitter)\25 - Redução de consumo de MTP dos  Redução China 2.xlsx</t>
  </si>
  <si>
    <t>Validação de Maio a Dezembro - considerando as duas peças 1233Z e 1234Z - volume Budget.</t>
  </si>
  <si>
    <t>26 - Redução de gastos com HE</t>
  </si>
  <si>
    <t>\\192.168.5.20\Departamentos\TI\Projetos\Master 2026\26 - Redução de gastos com HE\26 - Redução de gastos com HE.xlsx</t>
  </si>
  <si>
    <t>Ampliação da célula de solda do Curvão</t>
  </si>
  <si>
    <t>Sandro</t>
  </si>
  <si>
    <t>27 - Redução consumo MTP aplicando tolerância mínima curva B</t>
  </si>
  <si>
    <t>\\192.168.5.20\Departamentos\TI\Projetos\Master 2026\27 - Mean to-low Curva B\27 - Mean to low curva B.xlsx</t>
  </si>
  <si>
    <t>Implementar mean to-low em 24 itens (Curva B)</t>
  </si>
  <si>
    <t>28 -  Redução consumo MTP aplicando tolerância mínima curva C</t>
  </si>
  <si>
    <t>\\192.168.5.20\Departamentos\TI\Projetos\Master 2026\28 - Mean to-low Curva C\28 - Mean to low curva C.xlsx</t>
  </si>
  <si>
    <t>Implementar mean to-low em 24 itens (Curva C)</t>
  </si>
  <si>
    <t>29 - Redução do consumo MTP no passo do Blank VW000942AB / 943AB -5MM</t>
  </si>
  <si>
    <t>\\192.168.5.20\Departamentos\TI\Projetos\Master 2026\29 - Redução de consumo de MTP no passo do Blank do item VW000942AB943AB (Passo -5 )\29 - Projeto Jarinu.xlsx</t>
  </si>
  <si>
    <t xml:space="preserve">Reduzir em 5mm o passo dos blank das peças VW000942AB / 943AB </t>
  </si>
  <si>
    <t>Ganho de Mar a Dez - considerado para as duas peças - Volume de 119.342 - anual</t>
  </si>
  <si>
    <t>30 - Redução de Refugo</t>
  </si>
  <si>
    <t>\\192.168.5.20\Departamentos\TI\Projetos\Master 2026\30 - Redução de Refugo\Kaizen XXX- poposta redução de custos com ensaios destrutivos..xlsx</t>
  </si>
  <si>
    <t>Redução de ensaios destrutivos inerentes ao processo ( ensaios de compressão )</t>
  </si>
  <si>
    <t>Andreia</t>
  </si>
  <si>
    <t>31 - Redução impressora Backup</t>
  </si>
  <si>
    <t>\\192.168.5.20\Departamentos\TI\Projetos\Master 2026\30 - Redução de impressora Backup\30 - Projeto Jarinu.xlsx</t>
  </si>
  <si>
    <t xml:space="preserve">Devolução impressora Backup simpress ZD 220 </t>
  </si>
  <si>
    <t xml:space="preserve">João </t>
  </si>
  <si>
    <t>32 - Empilhadeiras Elétricas</t>
  </si>
  <si>
    <t>\\192.168.5.20\Departamentos\TI\Projetos\Master 2026\32 - Emplihadeiras Elétricas\Planta Jarinu - A3 Resumo de Projetos (Empilhadeira).xlsx</t>
  </si>
  <si>
    <t>Substituição de empilhadeiras a gás para eletricas.</t>
  </si>
  <si>
    <t>Luis</t>
  </si>
  <si>
    <t>33- Rollout impressora Administrativo</t>
  </si>
  <si>
    <t>Substituir a impressora atual do administrativo por uma mais atual com valor menor.</t>
  </si>
  <si>
    <t>34 - Iluminação em LED</t>
  </si>
  <si>
    <t>\\192.168.5.20\Departamentos\TI\Projetos\Master 2026\34 - Iluminação Led\Planta Jarinu - A3 Resumo de Projetos (Lampadas de Led).xlsx</t>
  </si>
  <si>
    <t>Troca das 228 lâmpadas de vapor metálico por lâmpadas de led com menor consumo de energia elétrica</t>
  </si>
  <si>
    <t>35 - Redução do consumo MTP no passo do Blank VW000942AA -15MM</t>
  </si>
  <si>
    <t>36 - Venda Robos</t>
  </si>
  <si>
    <t>"\\192.168.5.20\Departamentos\TI\Projetos\Master 2026\36 - Venda Robos\35 - Venda Robos.xlsx"</t>
  </si>
  <si>
    <t>Venda de robos obsoletos do processo</t>
  </si>
  <si>
    <t>38 - Venda de ATIVOS</t>
  </si>
  <si>
    <t>Venda de ativos obsoletos</t>
  </si>
  <si>
    <t>39 - Venda de sucata de cobre</t>
  </si>
  <si>
    <t>Venda de aparas e cavacos e eletrodos inutilizados.</t>
  </si>
  <si>
    <t>40 - Redução de disperdicio bobina.</t>
  </si>
  <si>
    <t>Entrega A3 29/06</t>
  </si>
  <si>
    <t>Redução do disperdicio de bobina no inicio de setup.</t>
  </si>
  <si>
    <t>41 - Redução de largura bobinas.</t>
  </si>
  <si>
    <t>Análide De Margem</t>
  </si>
  <si>
    <t xml:space="preserve">VW001214Z </t>
  </si>
  <si>
    <t>CONJ. TRASEIRO NOVO C/ PINT</t>
  </si>
  <si>
    <t>Sul atende Jarinu / Anchieta pinta e retorna Jarinu</t>
  </si>
  <si>
    <t>DJ000306Z / VW001214Z</t>
  </si>
  <si>
    <t>GM000510Z</t>
  </si>
  <si>
    <t>Diadema atende para Jarinu</t>
  </si>
  <si>
    <t xml:space="preserve">DJ000056Z / 229Z / 090Z </t>
  </si>
  <si>
    <t>GM000509Z</t>
  </si>
  <si>
    <t xml:space="preserve">DJ000055Z / 228Z / 089Z </t>
  </si>
  <si>
    <t>GM000430Z</t>
  </si>
  <si>
    <t>DJ000059Z / 087Z</t>
  </si>
  <si>
    <t>GM000431Z</t>
  </si>
  <si>
    <t>DJ000060Z / 088Z</t>
  </si>
  <si>
    <t>VW000939Z</t>
  </si>
  <si>
    <t>DJ000076Z / 078Z</t>
  </si>
  <si>
    <t>VW000938Z</t>
  </si>
  <si>
    <t>DJ000075Z / 077Z</t>
  </si>
  <si>
    <t>VW000943Z</t>
  </si>
  <si>
    <t>CONJ. TRASEIRO LD (OBS&gt; devolvido a planta para validação do preenchimento)</t>
  </si>
  <si>
    <t>VW000947Z</t>
  </si>
  <si>
    <t>CONJ. REFORÇO FECHAMENTO (OBS&gt; devolvido a planta para validação do preenchimento)</t>
  </si>
  <si>
    <t>VW000954Z</t>
  </si>
  <si>
    <t>REFORÇO DA DOBRADIÇA LE (OBS&gt; devolvido a planta para validação do preenchimento)</t>
  </si>
  <si>
    <t>Plano de ação SPD</t>
  </si>
  <si>
    <t>Controles VA</t>
  </si>
  <si>
    <t>VW001242Z</t>
  </si>
  <si>
    <t>CONJ. PAINEL LAT. INT.SUP-DIR MODIF.NOVO</t>
  </si>
  <si>
    <t>VW001241Z</t>
  </si>
  <si>
    <t>CONJ. PAINEL LAT. INT.SUP-ESQ MODIF.NOVO</t>
  </si>
  <si>
    <t>VW000886Z</t>
  </si>
  <si>
    <t>CONJ. REF. DA DOBRADIÇA SUP DIANT - DIR</t>
  </si>
  <si>
    <t>VW001217Z</t>
  </si>
  <si>
    <t>CONJ. FECHAMENTO - 2GY.813.301</t>
  </si>
  <si>
    <t>VW000885Z</t>
  </si>
  <si>
    <t>CONJ. REF. DA DOBRADIÇA SUP DIANT - ESQ</t>
  </si>
  <si>
    <t>VW000892Z</t>
  </si>
  <si>
    <t>CONJ. REF. DA DOBRADIÇA SUP TRAS - DIR</t>
  </si>
  <si>
    <t>VW001214Z</t>
  </si>
  <si>
    <t>VW001247Z</t>
  </si>
  <si>
    <t>CONJ. FECHAMENTO 2G5.813.301.A</t>
  </si>
  <si>
    <t>VW000984Z</t>
  </si>
  <si>
    <t>CONJ. SUPORTE MONTAGEM DO RETRATOR - DIR</t>
  </si>
  <si>
    <t>VW000983Z</t>
  </si>
  <si>
    <t>CONJ. SUPORTE MONTAGEM DO RETRATOR - ESQ</t>
  </si>
  <si>
    <t>VW000942Z</t>
  </si>
  <si>
    <t>CONJ. TRASEIRO LE</t>
  </si>
  <si>
    <t>CONJ. REFORÇO FECHAMENTO</t>
  </si>
  <si>
    <t>VW001234Z</t>
  </si>
  <si>
    <t>CONJ. REF. DA DOBRADIÇA SUP. 2GY.833.562</t>
  </si>
  <si>
    <t>VW000893Z</t>
  </si>
  <si>
    <t>CONJ. REF. DA DOBRADIÇA INF TRAS - ESQ</t>
  </si>
  <si>
    <t>VW001233Z</t>
  </si>
  <si>
    <t>CONJ. REF. DA DOBRADIÇA. 2GY.833.561</t>
  </si>
  <si>
    <t>VW000949Z</t>
  </si>
  <si>
    <t>CONJ. PERFIL REFORÇO LD</t>
  </si>
  <si>
    <t>VW000955Z</t>
  </si>
  <si>
    <t>REFORÇO DA DOBRADIÇA LD</t>
  </si>
  <si>
    <t>REFORÇO DA DOBRADIÇA LE</t>
  </si>
  <si>
    <t>VW001223Z</t>
  </si>
  <si>
    <t>CONJ. REF. DA DOBRADIÇA. 2GY.831.562</t>
  </si>
  <si>
    <t>VW001222Z</t>
  </si>
  <si>
    <t>CONJ. REF. DA DOBRADIÇA. 2GY.831.561</t>
  </si>
  <si>
    <t>VW000937Z</t>
  </si>
  <si>
    <t>CONJ. CALHA POSTERIOR DIR.</t>
  </si>
  <si>
    <t>VW000936Z</t>
  </si>
  <si>
    <t>CONJ. CALHA POSTERIOR ESQ.</t>
  </si>
  <si>
    <t>VW000951Z</t>
  </si>
  <si>
    <t>CONJ. REF. DA DOBRADIÇA LD</t>
  </si>
  <si>
    <t>GM000422Z</t>
  </si>
  <si>
    <t>REINF ASM-HOOD PRIM LAT STKR - 26258408</t>
  </si>
  <si>
    <t>VW000941Z</t>
  </si>
  <si>
    <t>CONJ. RETRATOR LD</t>
  </si>
  <si>
    <t>VW000940Z</t>
  </si>
  <si>
    <t>CONJ. RETRATOR LE</t>
  </si>
  <si>
    <t>GM000416Z</t>
  </si>
  <si>
    <t>REFORÇO DO CAPO TRACKER</t>
  </si>
  <si>
    <t>GM EXPORT</t>
  </si>
  <si>
    <t>VW001225Z</t>
  </si>
  <si>
    <t>CONJ. REFORÇO FECHAMENTO. 2GY.823.177</t>
  </si>
  <si>
    <t>GM000425Z</t>
  </si>
  <si>
    <t>REINF ASM-HOOD HGE RH - 26223756</t>
  </si>
  <si>
    <t>GM000424Z</t>
  </si>
  <si>
    <t>REINF ASM-HOOD HGE LH - 26223755</t>
  </si>
  <si>
    <t>VW000944Z</t>
  </si>
  <si>
    <t>CONJ. PEÇA DE LIGAÇÃO</t>
  </si>
  <si>
    <t>VW000884Z</t>
  </si>
  <si>
    <t>CONJ. REFORÇO DA TRAVA TAMPA - DIREITO</t>
  </si>
  <si>
    <t>GM000420Z</t>
  </si>
  <si>
    <t>REAR LEFT BRACKET - 26223274</t>
  </si>
  <si>
    <t>GM000421Z</t>
  </si>
  <si>
    <t>REAR RIGHT BRACKET - 26223275</t>
  </si>
  <si>
    <t>VW001231Z</t>
  </si>
  <si>
    <t>CONJ SUPORTE DO PARACHOQUE - 2GY.821.135</t>
  </si>
  <si>
    <t>VW001232Z</t>
  </si>
  <si>
    <t>CONJ SUPORTE DO PARACHOQUE - 2GY.821.136</t>
  </si>
  <si>
    <t>VW000945Z</t>
  </si>
  <si>
    <t>GM000406Z</t>
  </si>
  <si>
    <t>REINF RR S/D HGE RH-CHN - 26223901</t>
  </si>
  <si>
    <t>GM000407Z</t>
  </si>
  <si>
    <t>REINF RR S/D HGE LH-CHN - 26223902</t>
  </si>
  <si>
    <t>VW000963Z</t>
  </si>
  <si>
    <t>CONJ SUPORTE DO PARACHOQUE - ESQ</t>
  </si>
  <si>
    <t>VW000964Z</t>
  </si>
  <si>
    <t>CONJ SUPORTE DO PARACHOQUE - DIR</t>
  </si>
  <si>
    <t>GM000419Z</t>
  </si>
  <si>
    <t>REF DOBRAD CAPO CARRCA VEIC AUTOMOV DIR</t>
  </si>
  <si>
    <t>VW001041Z</t>
  </si>
  <si>
    <t>VW001046Z</t>
  </si>
  <si>
    <t>VW001043Z</t>
  </si>
  <si>
    <t>VW001044Z</t>
  </si>
  <si>
    <t>GM000383Z</t>
  </si>
  <si>
    <t>REF FRONT DOBRA PORT CARROC VEIC AUT DIR</t>
  </si>
  <si>
    <t>GM000382Z</t>
  </si>
  <si>
    <t>REF FRONT DOBRA PORT CARROC VEIC AUT ESQ</t>
  </si>
  <si>
    <t>VW001224Z</t>
  </si>
  <si>
    <t>CONJ. ELEMENT DE DEFORMAÇÃO. 2GY.809.471</t>
  </si>
  <si>
    <t>VW001035Z</t>
  </si>
  <si>
    <t>SUPORTE CANISTER</t>
  </si>
  <si>
    <t>GESTAMP</t>
  </si>
  <si>
    <t>GM000415Z</t>
  </si>
  <si>
    <t>REINF ASM-R/CMPT LID LAT - 26281806</t>
  </si>
  <si>
    <t>GM000387Z</t>
  </si>
  <si>
    <t>REF TRASE DOBRA PORT CARROC VEIC AUT DIR</t>
  </si>
  <si>
    <t>VW001230Z</t>
  </si>
  <si>
    <t>HALTER LD. 2GY.817.370</t>
  </si>
  <si>
    <t>VW001229Z</t>
  </si>
  <si>
    <t>HALTER LE. 2GY.817.369</t>
  </si>
  <si>
    <t>VW001037Z</t>
  </si>
  <si>
    <t>VW001302Z</t>
  </si>
  <si>
    <t>CONJ SUPORTE DO PARALAMA DIANTEIRO - ESQ</t>
  </si>
  <si>
    <t>VW001303Z</t>
  </si>
  <si>
    <t>CONJ SUPORTE DO PARALAMA DIANTEIRO - DIR</t>
  </si>
  <si>
    <t>TO000034Z</t>
  </si>
  <si>
    <t>CARTER DE OLEO - 121010D040 - REPOSICAO</t>
  </si>
  <si>
    <t>TOYOTA</t>
  </si>
  <si>
    <t>VW000924Z</t>
  </si>
  <si>
    <t>CJ SUP DO PAR DIANT DIR</t>
  </si>
  <si>
    <t>VW000774Z</t>
  </si>
  <si>
    <t>TRAVESSA PAINEL POSTERIOR(1SB813309-ROH)</t>
  </si>
  <si>
    <t>VW001289Z</t>
  </si>
  <si>
    <t>ISOFIX PART - 2QB.813.545.A</t>
  </si>
  <si>
    <t>VW001022Z</t>
  </si>
  <si>
    <t>CJ SUP PARACHOQUE DIR - P&amp;A</t>
  </si>
  <si>
    <t>VW001290Z</t>
  </si>
  <si>
    <t>UPPER SIDE PAINEL - 2FC.809.421</t>
  </si>
  <si>
    <t>VW001288Z</t>
  </si>
  <si>
    <t>HOOK REINFORCEMENT - 2FC.803.945</t>
  </si>
  <si>
    <t>VW001293Z</t>
  </si>
  <si>
    <t>UPPER SIDE PAINEL - 2FC.809.422.A</t>
  </si>
  <si>
    <t>VW001292Z</t>
  </si>
  <si>
    <t>UPPER SIDE PAINEL - 2FC.809.421.A</t>
  </si>
  <si>
    <t>VW001246Z</t>
  </si>
  <si>
    <t>VW001245Z</t>
  </si>
  <si>
    <t>VW000891Z</t>
  </si>
  <si>
    <t>CONJ. REF. DA DOBRADIÇA SUP TRAS - ESQ</t>
  </si>
  <si>
    <t>VW000817Z</t>
  </si>
  <si>
    <t>SUPORTE DO RADIADOR</t>
  </si>
  <si>
    <t>CONJ. TRASEIRO LD</t>
  </si>
  <si>
    <t>VW000878Z</t>
  </si>
  <si>
    <t>REFORÇO</t>
  </si>
  <si>
    <t>VW000812Z</t>
  </si>
  <si>
    <t>TRAVESSA DIANT. DO TETO</t>
  </si>
  <si>
    <t>VW000894Z</t>
  </si>
  <si>
    <t>CONJ. REF. DA DOBRADIÇA INF TRAS - DIR</t>
  </si>
  <si>
    <t>VW000948Z</t>
  </si>
  <si>
    <t>CONJ. PERFIL REFORÇO LE</t>
  </si>
  <si>
    <t>VW000871Z</t>
  </si>
  <si>
    <t>REFORÇO DA SOLEIRA TRASEIRA - ESQUERDA</t>
  </si>
  <si>
    <t>VW000872Z</t>
  </si>
  <si>
    <t>REFORÇO DA SOLEIRA TRASEIRA - DIREITA</t>
  </si>
  <si>
    <t>VW000950Z</t>
  </si>
  <si>
    <t>CONJ. REF. DA DOBRADIÇA LE</t>
  </si>
  <si>
    <t>VW000962Z</t>
  </si>
  <si>
    <t>VW001125Z</t>
  </si>
  <si>
    <t>CONJ. REFORÇO DA DOBRADIÇA TAMPA - DIR</t>
  </si>
  <si>
    <t>VW001124Z</t>
  </si>
  <si>
    <t>CONJ. REFORÇO DA DOBRADIÇA TAMPA - ESQ</t>
  </si>
  <si>
    <t>VW000880Z</t>
  </si>
  <si>
    <t>VW000879Z</t>
  </si>
  <si>
    <t>GM000414Z</t>
  </si>
  <si>
    <t>SUPORTE ESTRUTURA DE PORTA COM PINTURA</t>
  </si>
  <si>
    <t>VW000870Z</t>
  </si>
  <si>
    <t>SUPORTE ACUSTICO</t>
  </si>
  <si>
    <t>VW001219Z</t>
  </si>
  <si>
    <t>REFORÇO DA DOBRADIÇA LD. 2GY.823.190</t>
  </si>
  <si>
    <t>VW001218Z</t>
  </si>
  <si>
    <t>REFORÇO DA DOBRADIÇA LE. 2GY.823.189</t>
  </si>
  <si>
    <t>GM000462Z</t>
  </si>
  <si>
    <t>VW000883Z</t>
  </si>
  <si>
    <t>CONJ. REFORÇO DA TRAVA TAMPA - ESQUERDO</t>
  </si>
  <si>
    <t>GM000337Z</t>
  </si>
  <si>
    <t>BAR ASM-F/END UPR TIE PA</t>
  </si>
  <si>
    <t>GM000460Z</t>
  </si>
  <si>
    <t>REINF ASM-RR S/D PNL BELT LH - 26356939</t>
  </si>
  <si>
    <t>GM000461Z</t>
  </si>
  <si>
    <t>REINF ASM-RR S/D PNL BELT RH - 26356940</t>
  </si>
  <si>
    <t>GM000417Z</t>
  </si>
  <si>
    <t>REF PAINEL CAPO CARROC VEICULO AUTOMOVEL</t>
  </si>
  <si>
    <t>VW000978Z</t>
  </si>
  <si>
    <t>CONJ. SUP. DO PARALAMA TRAS. - ESQ MODIF</t>
  </si>
  <si>
    <t>VW000979Z</t>
  </si>
  <si>
    <t>CONJ. SUP. DO PARALAMA TRAS. - DIR MODIF</t>
  </si>
  <si>
    <t>VW000960Z</t>
  </si>
  <si>
    <t>VW000961Z</t>
  </si>
  <si>
    <t>VW000953Z</t>
  </si>
  <si>
    <t>PEÇA DIVISÓRIA LD</t>
  </si>
  <si>
    <t>VW000952Z</t>
  </si>
  <si>
    <t>PEÇA DIVISÓRIA LE</t>
  </si>
  <si>
    <t>GM000418Z</t>
  </si>
  <si>
    <t>REF DOBRAD CAPO CARRCA VEIC AUTOMOV ESQ</t>
  </si>
  <si>
    <t>VW001042Z</t>
  </si>
  <si>
    <t>VW000957Z</t>
  </si>
  <si>
    <t>SUP. TRILHO TETO FRENTE LD</t>
  </si>
  <si>
    <t>GM000385Z</t>
  </si>
  <si>
    <t>GM000384Z</t>
  </si>
  <si>
    <t>GM000310Z</t>
  </si>
  <si>
    <t>BAR ASM - F/END UPR TIE</t>
  </si>
  <si>
    <t>GM000386Z</t>
  </si>
  <si>
    <t>REF TRASE DOBRA PORT CARROC VEIC AUT ESQ</t>
  </si>
  <si>
    <t>GM000389Z</t>
  </si>
  <si>
    <t>REF TRASE DOBRA PORT CARROC VEIC AUTOMOV</t>
  </si>
  <si>
    <t>GM000388Z</t>
  </si>
  <si>
    <t>VW001228Z</t>
  </si>
  <si>
    <t>SUPORTE. 2GY.813.227</t>
  </si>
  <si>
    <t>GM000398Z</t>
  </si>
  <si>
    <t>REINF.FRT S/D INR PNL LAT LH - 26244431</t>
  </si>
  <si>
    <t>GM000399Z</t>
  </si>
  <si>
    <t>REINF.FRT S/D INR PNL LAT RH - 26244432</t>
  </si>
  <si>
    <t>GM000307Z</t>
  </si>
  <si>
    <t>REINF ASM-HOOD PRIM LAT STKR 52123677</t>
  </si>
  <si>
    <t>VW001221Z</t>
  </si>
  <si>
    <t>Schliessteil  LD. 2GY.810.222</t>
  </si>
  <si>
    <t>VW001220Z</t>
  </si>
  <si>
    <t>Schliessteil  LE. 2GY.810.221</t>
  </si>
  <si>
    <t>VW001227Z</t>
  </si>
  <si>
    <t>CONJ. SUP. DO PARALAMA TRAS. 2GY.810.380</t>
  </si>
  <si>
    <t>VW000927Z</t>
  </si>
  <si>
    <t>CONJ. TRASEIRO CUV C/ PINT</t>
  </si>
  <si>
    <t>VW001045Z</t>
  </si>
  <si>
    <t>CONJ. ELEMENTO DE DEFORMAÇÃO TRASEIRA</t>
  </si>
  <si>
    <t>GM000426Z</t>
  </si>
  <si>
    <t>SUPORTE RR LATERAL ESQUERDO</t>
  </si>
  <si>
    <t>GM000427Z</t>
  </si>
  <si>
    <t>SUPORTE RR LATERAL DIREITO</t>
  </si>
  <si>
    <t>GM000306Z</t>
  </si>
  <si>
    <t>REINF.-HOOD ADJ FRT BPR - RH</t>
  </si>
  <si>
    <t>GM000394Z</t>
  </si>
  <si>
    <t>REF FRON TRAV PAI PORT CAR VEIC AUT ESQ</t>
  </si>
  <si>
    <t>GM000395Z</t>
  </si>
  <si>
    <t>REF FRON TRAV PAI PORT CAR VEIC AUT DIR</t>
  </si>
  <si>
    <t>GM000305Z</t>
  </si>
  <si>
    <t>REINF.-HOOD ADJ FRT BPR - LH</t>
  </si>
  <si>
    <t>GM000290Z</t>
  </si>
  <si>
    <t>REINFORCEMENT ASM-RR S/D INR PNL BELT-RH</t>
  </si>
  <si>
    <t>GS000001Z</t>
  </si>
  <si>
    <t>GANCHO DE TRAVAMENTO 1S0885309</t>
  </si>
  <si>
    <t>VW001262Z</t>
  </si>
  <si>
    <t>CONJ. FECHAMENTO 2G5.813.301.A ROH</t>
  </si>
  <si>
    <t>VW001300Z</t>
  </si>
  <si>
    <t>CROSSMEMBER REAR - 2QB.803.833</t>
  </si>
  <si>
    <t>VW001291Z</t>
  </si>
  <si>
    <t>UPPER SIDE PAINEL - 2FC.809.422</t>
  </si>
  <si>
    <t>VW001021Z</t>
  </si>
  <si>
    <t>CJ SUP PARACHOQUE ESQ - P&amp;A</t>
  </si>
  <si>
    <t>VW001287Z</t>
  </si>
  <si>
    <t>CONNECT PART - 2QB.802.508</t>
  </si>
  <si>
    <t>VW001286Z</t>
  </si>
  <si>
    <t>CONNECT PART - 2QB.802.507</t>
  </si>
  <si>
    <t>VW001298Z</t>
  </si>
  <si>
    <t>TAIL LAMP MOUNTING LH+RH 2FC.813.319</t>
  </si>
  <si>
    <t>VW001299Z</t>
  </si>
  <si>
    <t>TAIL LAMP MOUNTING LH+RH 2FC.813.320</t>
  </si>
  <si>
    <t>VW001199Z</t>
  </si>
  <si>
    <t>CONJ SUP. DO PARA - ESQ 6EC.821.135 ROH</t>
  </si>
  <si>
    <t>VW001297Z</t>
  </si>
  <si>
    <t>CONJ SUP.DO PARACH - 2GY.821.136 - ROH</t>
  </si>
  <si>
    <t>GM000450Z</t>
  </si>
  <si>
    <t>REPOSICAO PANEL ASM C/PLR INR LH C/ PINT</t>
  </si>
  <si>
    <t>VW001296Z</t>
  </si>
  <si>
    <t>CONJ SUP. DO PARACH. - 2GY.821.135 - ROH</t>
  </si>
  <si>
    <t>VW001034Z</t>
  </si>
  <si>
    <t>TRAVESSA DIANT. DO TETO (5U0817123AROH)</t>
  </si>
  <si>
    <t>VW001256Z</t>
  </si>
  <si>
    <t>SUPORTE CANISTER (5U7201809ROH)</t>
  </si>
  <si>
    <t>VW001020Z</t>
  </si>
  <si>
    <t>REF CANAL DE VED LD - P&amp;A</t>
  </si>
  <si>
    <t>VW001294Z</t>
  </si>
  <si>
    <t>CONJ. PAINEL LAT. 6EA.809.421.D - ROH</t>
  </si>
  <si>
    <t>TO000032Z</t>
  </si>
  <si>
    <t>EXTEN FR SIDE MEMBER RH 5711302130 - REP</t>
  </si>
  <si>
    <t>VW001271Z</t>
  </si>
  <si>
    <t>SUPORTE 2GY.813.227 - ROH</t>
  </si>
  <si>
    <t>(#46) - Form. 148 – IDENTIFICAÇÃO DE RETALHOS (MP)</t>
  </si>
  <si>
    <t>DASHBOARD EXECUTIVO - UNIDADE FERRAZ</t>
  </si>
  <si>
    <t>Com quem Está</t>
  </si>
  <si>
    <t>Gleidson</t>
  </si>
  <si>
    <t>Carrier Over</t>
  </si>
  <si>
    <t>Custos - Validar / Compras Fechar o Pedido</t>
  </si>
  <si>
    <t>Aguardando</t>
  </si>
  <si>
    <t>Em andamento</t>
  </si>
  <si>
    <t>Retirar</t>
  </si>
  <si>
    <t xml:space="preserve">Custos </t>
  </si>
  <si>
    <t>Elio/Emerson</t>
  </si>
  <si>
    <t>Anderson</t>
  </si>
  <si>
    <t>Evangelista</t>
  </si>
  <si>
    <t xml:space="preserve">Elio </t>
  </si>
  <si>
    <t xml:space="preserve">% </t>
  </si>
  <si>
    <t>materiais</t>
  </si>
  <si>
    <t>máquina</t>
  </si>
  <si>
    <t>mão de obra</t>
  </si>
  <si>
    <t xml:space="preserve">Parte de apoio </t>
  </si>
  <si>
    <t>Retorno previsto em:</t>
  </si>
  <si>
    <t>01 - Clientes com baixa margem de contribuição.</t>
  </si>
  <si>
    <t>\\dfsrvfile01\Departamentos\Engenharia\02. Engenharia de Processo\02 - Projetos\05 - Projetos estratégicos\01 - Clientes com baixa margem de contribuição\PROJETO - CLIENTES COM BAIXA MARGEM DE CONTRIBUIÇÃO.xlsx</t>
  </si>
  <si>
    <t>Redução de itens com baixa margem de contribuição.</t>
  </si>
  <si>
    <t>Alexandre / Gleidson</t>
  </si>
  <si>
    <t xml:space="preserve">02 - Eficiência dos planos de corte </t>
  </si>
  <si>
    <t>\\dfsrvfile01\Departamentos\Engenharia\02. Engenharia de Processo\02 - Projetos\05 - Projetos estratégicos\02 - Eficiência dos planos de corte\KAIZEN_A3_MB000291GU_JEANSOLA.xlsx</t>
  </si>
  <si>
    <t>Eficiência no nesting dos processos de laser e plasma.</t>
  </si>
  <si>
    <t xml:space="preserve">03 - Consumo de desmoldante </t>
  </si>
  <si>
    <t>\\dfsrvfile01\Departamentos\Engenharia\02. Engenharia de Processo\02 - Projetos\05 - Projetos estratégicos\03 - Consumo de desmoldante\KAIZEN 36 - A3_RÉGUA COM BICO PULVERIZADOR - DESMOLDANTE - 2000T</t>
  </si>
  <si>
    <t xml:space="preserve">Redução do consumo de desmoldante (diluição, pulverização, eliminação de vazamentos e ajustes nos parâmetros de produção) </t>
  </si>
  <si>
    <t xml:space="preserve">04 - Redução dos retrabalhos </t>
  </si>
  <si>
    <t>\\dfsrvfile01\Departamentos\Engenharia\02. Engenharia de Processo\02 - Projetos\05 - Projetos estratégicos\04 - Redução dos retrabalhos\Planta Ferraz - Projeto Redução Lixamentos de Retrabalhos.xlsx</t>
  </si>
  <si>
    <t>Eliminação  e/ou redução dos retrabalhos que utilizam processo de lixamento</t>
  </si>
  <si>
    <t>Sergio Carvalho</t>
  </si>
  <si>
    <t xml:space="preserve">05 - Nitrogênio da máquina laser </t>
  </si>
  <si>
    <t>\\dfsrvfile01\Departamentos\Engenharia\02. Engenharia de Processo\02 - Projetos\05 - Projetos estratégicos\05 - Nitrogênio da máquina laser\KAIZEN XX - A3_NITROGENIO LASER</t>
  </si>
  <si>
    <t>Implementação de corte com nitrogênio na laser</t>
  </si>
  <si>
    <t xml:space="preserve">06 - Reaproveitamento de lixas </t>
  </si>
  <si>
    <t>\\dfsrvfile01\Departamentos\Engenharia\02. Engenharia de Processo\02 - Projetos\05 - Projetos estratégicos\06 - Reaproveitamento de lixas\Planta Ferraz - Projeto de Redução de Custos - Lixas -  2026.xlsx</t>
  </si>
  <si>
    <t>Criação de fluxo para reaproveitamento das lixas entre as operações da fábrica</t>
  </si>
  <si>
    <t>Breno/Jonathas</t>
  </si>
  <si>
    <t xml:space="preserve">07 - Consumo de gás </t>
  </si>
  <si>
    <t>\\dfsrvfile01\Departamentos\Engenharia\02. Engenharia de Processo\02 - Projetos\05 - Projetos estratégicos\07 - Consumo de gás\Redução de custos - Consumo de gás.xlsx</t>
  </si>
  <si>
    <t>Melhoria na vedação do forno e eficiência dos queimadores visando redução do consumo de gás.</t>
  </si>
  <si>
    <t>Job</t>
  </si>
  <si>
    <t>09 - Critério para descarte de consumíveis</t>
  </si>
  <si>
    <t>\\dfsrvfile01\Departamentos\Engenharia\02. Engenharia de Processo\02 - Projetos\05 - Projetos estratégicos\09 - Critério para descarte de consumíveis\Redução de custos - Critério para descarte de consumíveis.xlsx</t>
  </si>
  <si>
    <t xml:space="preserve">Definição de critérios para auxiliar na distinção dos itens que deverão ser retrabalhados e quais deverão ser descartados, envolvendo eletrodos e tocha de solda, consumíveis do plasma, entre  outros.  </t>
  </si>
  <si>
    <t xml:space="preserve">10 - Consumo de energia elétrica: vazamentos de ar </t>
  </si>
  <si>
    <t>\\dfsrvfile01\Departamentos\Engenharia\02. Engenharia de Processo\02 - Projetos\05 - Projetos estratégicos\10 - Consumo de energia elétrica, vazamentos de ar\Redução de custos - Consumo de energia, vazemento de ar.xlsx</t>
  </si>
  <si>
    <t>Eliminação dos vazamentos de ar nos processos de produção, visando redução do consumo  de  energia elétrica</t>
  </si>
  <si>
    <t>12 - Sistema hidráulico 3500T</t>
  </si>
  <si>
    <t>\\dfsrvfile01\Departamentos\Engenharia\02. Engenharia de Processo\02 - Projetos\05 - Projetos estratégicos\12 - Sistema hidráulico 3500T\KAIZEN XX - A3_SISTEMA HIDRÁULICO_3500.xlsx</t>
  </si>
  <si>
    <t xml:space="preserve">Troca da tubução hidráulica da prensa 3500T visando reduzir os gastos com óleo (vazamento) </t>
  </si>
  <si>
    <t>w</t>
  </si>
  <si>
    <t xml:space="preserve">13 - Transferência Hasenclaver para o plasma </t>
  </si>
  <si>
    <t>\\dfsrvfile01\Departamentos\Engenharia\02. Engenharia de Processo\02 - Projetos\05 - Projetos estratégicos\13 - Transferência Hasenclaver para o plasma\KAIZEN XX - A3_TRANSFERÊNCIA_HASENCLAVER_PLASMA.xlsx</t>
  </si>
  <si>
    <t>Alteração processo de corte de blank das Tampas de prensa para plasma</t>
  </si>
  <si>
    <t>14 - Consumo de EPI's</t>
  </si>
  <si>
    <t>\\dfsrvfile01\Departamentos\Engenharia\02. Engenharia de Processo\02 - Projetos\05 - Projetos estratégicos\14 - Consumo de EPI's\Planta Ferraz - Projeto de Redução de Custos - EPIS -  2026 rev 01.xlsx</t>
  </si>
  <si>
    <t>Redução do consumo de EPIs</t>
  </si>
  <si>
    <t>Christian</t>
  </si>
  <si>
    <t>15 - Enclausuramento do jato granalha</t>
  </si>
  <si>
    <t>\\dfsrvfile01\Departamentos\Engenharia\02. Engenharia de Processo\02 - Projetos\05 - Projetos estratégicos\15 - Enclausuramento do jato granalha\Redução de custos - Enclausuramento Jatos 1.xlsx</t>
  </si>
  <si>
    <t>Melhoria da vedação e  enclausuramento do jato granalha</t>
  </si>
  <si>
    <t>16 - Tolerância das MP's</t>
  </si>
  <si>
    <t>\\dfsrvfile01\rede_geral\Deptos\Engenharia\02. Engenharia de Processo\02 - Projetos\05 - Projetos estratégicos\16 - Tolerância das MP's\KAIZEN_A3 - Tolerância MP - BOQ1225BA1250.xlsx</t>
  </si>
  <si>
    <t>Redução do consumo de matéria prima com a diminuição da tolerância da espessura</t>
  </si>
  <si>
    <t xml:space="preserve">Consumo de água </t>
  </si>
  <si>
    <t>\\dfsrvfile01\Departamentos\Engenharia\02. Engenharia de Processo\02 - Projetos\05 - Projetos estratégicos\17 - Consumo de água\KAIZEN 01 - A3_REDUÇÃO CONSUMO DE ÁGUA REVISÃO 01.xlsx</t>
  </si>
  <si>
    <t>Redução do consumo de agua</t>
  </si>
  <si>
    <t>19 - Insumos logística</t>
  </si>
  <si>
    <t>https://delgadiadema-my.sharepoint.com/:x:/g/personal/ingrid_ferreira_delga_com_br/IQCGPLS6W6aLTr_nv0VrJt36AYtpwe00L8Mk7dKszWQA4mw?e=sbPPGU</t>
  </si>
  <si>
    <t>Redução do custo de retirada de insumos de madeira como paletes e caixas</t>
  </si>
  <si>
    <t xml:space="preserve">Anderson </t>
  </si>
  <si>
    <t>20 - Limpador de grelha</t>
  </si>
  <si>
    <t>\\dfsrvfile01\Departamentos\Engenharia\02. Engenharia de Processo\02 - Projetos\05 - Projetos estratégicos\20 - Limpador de grelha\KAIZEN XX - A3_LIMPADOR DE GRELHA.xlsx</t>
  </si>
  <si>
    <t>Limpeza de grelhas laser</t>
  </si>
  <si>
    <t xml:space="preserve">Projeto inviabilizado </t>
  </si>
  <si>
    <t xml:space="preserve">22 - Tablet - Dobradeira </t>
  </si>
  <si>
    <t>Substituir o PCP e IT impresso pelo tablet no processo da dobradeira</t>
  </si>
  <si>
    <t xml:space="preserve">Igor Santos </t>
  </si>
  <si>
    <t xml:space="preserve">23 - Devolução das máquinas de solda alugadas </t>
  </si>
  <si>
    <t xml:space="preserve">24 - Aquisição do equipamento de ultrassom </t>
  </si>
  <si>
    <t xml:space="preserve">25 - Redução de scrap </t>
  </si>
  <si>
    <t>SV000236Z</t>
  </si>
  <si>
    <t>RESERVATORIO DE AR 29,2L - 2773708</t>
  </si>
  <si>
    <t>AM000038Z</t>
  </si>
  <si>
    <t>TAMPA DA CARCACA 110127</t>
  </si>
  <si>
    <t>SV000650Z</t>
  </si>
  <si>
    <t>CONJ. TRAVESSA SUSP DE AR - 2078672</t>
  </si>
  <si>
    <t>SV000649Z</t>
  </si>
  <si>
    <t>CONJ. TRAVESSA SUSP DE AR - 2078671</t>
  </si>
  <si>
    <t>SV000648Z</t>
  </si>
  <si>
    <t>CONJ. TRAVESSA SUSP DE AR - 2078670</t>
  </si>
  <si>
    <t>SV000647Z</t>
  </si>
  <si>
    <t>CONJ. TRAVESSA SUSP DE AR - 2078669</t>
  </si>
  <si>
    <t>DN000172Z</t>
  </si>
  <si>
    <t>TAMPA HL6 - 10046422 (10048003)</t>
  </si>
  <si>
    <t>SV000238Z</t>
  </si>
  <si>
    <t>RESERVATORIO DE AR 15L - 2773713</t>
  </si>
  <si>
    <t>VW001130Z</t>
  </si>
  <si>
    <t>CONJ PLACA TRASEIRA GAS BOX - 23P253175A</t>
  </si>
  <si>
    <t>VW001129Z</t>
  </si>
  <si>
    <t>CONJ PLACA FRONTAL GAS BOX - 23P253175</t>
  </si>
  <si>
    <t>VB000216AA/ VB000215AB/ VB000215AC</t>
  </si>
  <si>
    <t>TRAVESSA - 20832047</t>
  </si>
  <si>
    <t>Transferidos Anchieta</t>
  </si>
  <si>
    <t>MB000306AX</t>
  </si>
  <si>
    <t>CONJ. SUPORTE DA BATERIA - A9795400014</t>
  </si>
  <si>
    <t>VB000221AA/ VB000221AB</t>
  </si>
  <si>
    <t>TRAVESSA - 21119317</t>
  </si>
  <si>
    <t>MB000451AX</t>
  </si>
  <si>
    <t>CONJ. BATENTE DO EIXO - A3843120061</t>
  </si>
  <si>
    <t>ME000028AA</t>
  </si>
  <si>
    <t>TRAVESSA - 21825534</t>
  </si>
  <si>
    <t>VW001131DAZA/ VW001131SBZA</t>
  </si>
  <si>
    <t>CONJUNTO PLACA - 23P253175E</t>
  </si>
  <si>
    <t xml:space="preserve">Plano de Ação </t>
  </si>
  <si>
    <t>AM000064Z</t>
  </si>
  <si>
    <t>MEIA CARCACA 4121X3066 (16MM)</t>
  </si>
  <si>
    <t>MERITOR</t>
  </si>
  <si>
    <t>SV000118Z</t>
  </si>
  <si>
    <t>CONJUNTO CARCACA (BANJO PART) 2443371</t>
  </si>
  <si>
    <t>SCANIA</t>
  </si>
  <si>
    <t>SV000115Z</t>
  </si>
  <si>
    <t>CONJUNTO CARCACA (BANJO PART) 2443347</t>
  </si>
  <si>
    <t>DN000182Z</t>
  </si>
  <si>
    <t>TAMPA HL4 - 10001658</t>
  </si>
  <si>
    <t>DANA</t>
  </si>
  <si>
    <t>SV000117Z</t>
  </si>
  <si>
    <t>CONJUNTO CARCACA (BANJO PART) 2443370</t>
  </si>
  <si>
    <t>SV000162Z</t>
  </si>
  <si>
    <t>CONJUNTO CARCACA (BANJO PART) 2765027</t>
  </si>
  <si>
    <t>SV000164Z</t>
  </si>
  <si>
    <t>CONJUNTO CARCACA (BANJO PART) 2765029</t>
  </si>
  <si>
    <t>SV000085Z</t>
  </si>
  <si>
    <t>ANEL DE REFORCO 1462809</t>
  </si>
  <si>
    <t>SV000160Z</t>
  </si>
  <si>
    <t>PROTECTIVE PLATE REAR - 1894196</t>
  </si>
  <si>
    <t>MB002288Z</t>
  </si>
  <si>
    <t>CONJUNTO SUPORTE - A9795000327</t>
  </si>
  <si>
    <t>MB002301Z</t>
  </si>
  <si>
    <t>SUPORTE INF. - A9583176240</t>
  </si>
  <si>
    <t>AM000039Z</t>
  </si>
  <si>
    <t>TAMPA DA CARCACA 110372</t>
  </si>
  <si>
    <t>SV000658Z</t>
  </si>
  <si>
    <t>CONJUNTO SUPORTE - 1926715</t>
  </si>
  <si>
    <t>MB002219Z</t>
  </si>
  <si>
    <t>CONJ SUP BARRA TRANSV - A3843200278</t>
  </si>
  <si>
    <t>SV000195Z</t>
  </si>
  <si>
    <t>CONJUNTO CARCACA (BANJO PART) 2838158</t>
  </si>
  <si>
    <t>AM000031Z</t>
  </si>
  <si>
    <t>TAMPA DA CARCACA 110188</t>
  </si>
  <si>
    <t>MW000056Z</t>
  </si>
  <si>
    <t>CARTER DE OLEO - 961001150016</t>
  </si>
  <si>
    <t>INTERNATIONAL</t>
  </si>
  <si>
    <t>VW001140Z</t>
  </si>
  <si>
    <t>SUPORTE PARTIDA REMOTA - 23G971003C</t>
  </si>
  <si>
    <t>VW001145Z</t>
  </si>
  <si>
    <t>SUPORTE - 23G607363</t>
  </si>
  <si>
    <t>VW001093Z</t>
  </si>
  <si>
    <t>SUPORTE ADMISSAO DE AR - 23H145813C</t>
  </si>
  <si>
    <t>MW000250Z</t>
  </si>
  <si>
    <t>CARTER DE OLEO - 941001150035</t>
  </si>
  <si>
    <t>MB002306Z</t>
  </si>
  <si>
    <t>PLACA DE FIXACAO - A9798810411</t>
  </si>
  <si>
    <t>MB002423Z</t>
  </si>
  <si>
    <t>SUPORTE - A9624294068 7416</t>
  </si>
  <si>
    <t>MW000058Z</t>
  </si>
  <si>
    <t>CARTER DE OLEO - 961001150056</t>
  </si>
  <si>
    <t>CB000060Z</t>
  </si>
  <si>
    <t>STRAP MODULE - A066E592</t>
  </si>
  <si>
    <t>CUMMINS</t>
  </si>
  <si>
    <t>VW001127Z</t>
  </si>
  <si>
    <t>DEFLETOR TUBO SECUNDARIO - 23H253037B</t>
  </si>
  <si>
    <t>VW001097Z</t>
  </si>
  <si>
    <t>SUPORTE PI - 23P803543A</t>
  </si>
  <si>
    <t>MW000258Z</t>
  </si>
  <si>
    <t>TAMPA FRONTAL - 961007800154</t>
  </si>
  <si>
    <t>MB002265Z</t>
  </si>
  <si>
    <t>SUPORTE - A3823280940</t>
  </si>
  <si>
    <t>MW000248Z</t>
  </si>
  <si>
    <t>CARTER DE OLEO - 961001150015</t>
  </si>
  <si>
    <t>MI000012Z</t>
  </si>
  <si>
    <t>TAMPA DA CAIXA DISTRIBUICAO - 70240254</t>
  </si>
  <si>
    <t>MB001604Z</t>
  </si>
  <si>
    <t>CHAPA - A3256120511</t>
  </si>
  <si>
    <t>DN000179Z</t>
  </si>
  <si>
    <t>MEIA CARCACA HL4 - 10001348</t>
  </si>
  <si>
    <t>DN000174Z</t>
  </si>
  <si>
    <t>MEIA CARCACA HL6 - 10046419</t>
  </si>
  <si>
    <t>AM000062Z</t>
  </si>
  <si>
    <t>MEIA CARCACA 551061</t>
  </si>
  <si>
    <t>SV001333Z</t>
  </si>
  <si>
    <t>CONJUNTO CARCACA (BANJO PART) 3082816</t>
  </si>
  <si>
    <t>SV000120Z</t>
  </si>
  <si>
    <t>CONJUNTO CARCACA (BANJO PART) 2443373</t>
  </si>
  <si>
    <t>SV000119Z</t>
  </si>
  <si>
    <t>CONJUNTO CARCACA (BANJO PART) 2443372</t>
  </si>
  <si>
    <t>CB000058Z</t>
  </si>
  <si>
    <t>CARTER DE OLEO - 5566764</t>
  </si>
  <si>
    <t>CUMMINS EXPORT</t>
  </si>
  <si>
    <t>AM000100Z</t>
  </si>
  <si>
    <t>MEIA CARCACA 4121-Y-3795</t>
  </si>
  <si>
    <t>AM000099Z</t>
  </si>
  <si>
    <t>TAMPA DA CARCACA 3224-G-1385</t>
  </si>
  <si>
    <t>SV000161Z</t>
  </si>
  <si>
    <t>PROTECTION PLATE - 1931904</t>
  </si>
  <si>
    <t>VW001148Z</t>
  </si>
  <si>
    <t>CONJUNTO SUPORTE COCKPIT - 23F803549A</t>
  </si>
  <si>
    <t>VW001100Z</t>
  </si>
  <si>
    <t>SUPORTE RESSERVATÓRIO - 23H422849</t>
  </si>
  <si>
    <t>MB002286Z</t>
  </si>
  <si>
    <t>CONJ SUP DA MOLA DIANT DIR - A9793200470</t>
  </si>
  <si>
    <t>MB002307Z</t>
  </si>
  <si>
    <t>PLACA /LAGERPLATTE - A9798810511</t>
  </si>
  <si>
    <t>AM000032Z</t>
  </si>
  <si>
    <t>TAMPA DA CARCACA 110273</t>
  </si>
  <si>
    <t>CB000005Z</t>
  </si>
  <si>
    <t>PLACA - 3970102</t>
  </si>
  <si>
    <t>AM000098Z</t>
  </si>
  <si>
    <t>TAMPA DA CARCACA 3224-P-1264</t>
  </si>
  <si>
    <t>MB002282Z</t>
  </si>
  <si>
    <t>SUPORTE - A3826117129</t>
  </si>
  <si>
    <t>MW000065Z</t>
  </si>
  <si>
    <t>CARTER DE OLEO - 941001150026</t>
  </si>
  <si>
    <t>AM000034Z</t>
  </si>
  <si>
    <t>TAMPA DA CARCACA 3224P1238</t>
  </si>
  <si>
    <t>MB000338Z</t>
  </si>
  <si>
    <t>CONJ. SUPORTE - A6343105109</t>
  </si>
  <si>
    <t>VW001109Z</t>
  </si>
  <si>
    <t>SUPORTE UNIDADE COMANDO - 23K607891F</t>
  </si>
  <si>
    <t>MB002204Z</t>
  </si>
  <si>
    <t>REFORÇO ESQUERDO - A3823273095</t>
  </si>
  <si>
    <t>MB003668Z</t>
  </si>
  <si>
    <t>CONJ TRILHO DE MONTAGEM - A3825400118</t>
  </si>
  <si>
    <t>MB001156Z</t>
  </si>
  <si>
    <t>REFORCO - A3823110160</t>
  </si>
  <si>
    <t>KB000003Z</t>
  </si>
  <si>
    <t>CAIXA DO PEDAL - 1801349</t>
  </si>
  <si>
    <t>KONGSBERG</t>
  </si>
  <si>
    <t>MB000390Z</t>
  </si>
  <si>
    <t>SUPORTE - A6346120124</t>
  </si>
  <si>
    <t>VERDE E AMARELO</t>
  </si>
  <si>
    <t>NH000038Z</t>
  </si>
  <si>
    <t>ANEL - 51425577</t>
  </si>
  <si>
    <t>CNH</t>
  </si>
  <si>
    <t>KB000001Z</t>
  </si>
  <si>
    <t>SUPORTE - 1782311</t>
  </si>
  <si>
    <t>MB000481Z</t>
  </si>
  <si>
    <t>REFORCO COL. CENTRAL SUP. - A9406410216</t>
  </si>
  <si>
    <t>VW001056Z</t>
  </si>
  <si>
    <t>ESTRUTURA LATERAL 23M809595</t>
  </si>
  <si>
    <t>SV000579Z</t>
  </si>
  <si>
    <t>CAIXA DO PEDAL DO BREQUE- 1801349</t>
  </si>
  <si>
    <t>DASHBOARD EXECUTIVO - UNIDADE SÃO LEOPOLDO</t>
  </si>
  <si>
    <t>49.0%</t>
  </si>
  <si>
    <t xml:space="preserve">valor </t>
  </si>
  <si>
    <t>Setup Ferramenta VW</t>
  </si>
  <si>
    <t xml:space="preserve">Abesenteísmo </t>
  </si>
  <si>
    <t>manutenção máquina Laser</t>
  </si>
  <si>
    <t>Manuteção Schuler 5</t>
  </si>
  <si>
    <t>Entrega de peças atrasadas</t>
  </si>
  <si>
    <t>banco de peças  e faturamento</t>
  </si>
  <si>
    <t>Alta no Scrap durante Setup</t>
  </si>
  <si>
    <t>Quebra de punção ferramentas master</t>
  </si>
  <si>
    <t>01 - Redução de Refugo</t>
  </si>
  <si>
    <t>\\192.168.3.20\Departamentos\Engenharia\Planejamento Estratégico\A3_01-Refugo.xlsx</t>
  </si>
  <si>
    <t>Análise dos processos dos principais itens com falha em produção e clientes a fim de reduzir as perdas.</t>
  </si>
  <si>
    <t>Roselise Aguiar</t>
  </si>
  <si>
    <t>Validação considerando valores e % do REFUGO no Budget 2026</t>
  </si>
  <si>
    <t xml:space="preserve">02 -  REDUÇÃO DE PESO BRUTO DD000506Z
</t>
  </si>
  <si>
    <t>\\192.168.3.20\Departamentos\Engenharia\Planejamento Estratégico\A3_02 - Redução de matéria-prima DD000506Z.xlsx</t>
  </si>
  <si>
    <t>Realizar estudo para otimização do blank dos itens automotivos transferidos</t>
  </si>
  <si>
    <t>Alex Monteiro</t>
  </si>
  <si>
    <t>03- Comunização de Materiais</t>
  </si>
  <si>
    <t>\\192.168.3.20\Departamentos\Engenharia\Planejamento Estratégico\A3_03- Comunização de Materiais.xlsx</t>
  </si>
  <si>
    <t xml:space="preserve">Comunizar a espessura e qualidade de MP das chapas </t>
  </si>
  <si>
    <t>Denison Moraes.</t>
  </si>
  <si>
    <t>Estudo de comunização realizado. Avaliar potencial comercial.</t>
  </si>
  <si>
    <t>04 - Aluguel de corte plasma</t>
  </si>
  <si>
    <t>\\192.168.3.20\Departamentos\Engenharia\Planejamento Estratégico\A3_07-Aluguel Corte Plasma.xlsx</t>
  </si>
  <si>
    <t>Alugar equipamento de corte de plasma para internalização de serviços externos</t>
  </si>
  <si>
    <t>Victor Luchinni</t>
  </si>
  <si>
    <t>05 -  REDUÇÃO DE PESO BRUTO DD000502/503Z</t>
  </si>
  <si>
    <t>\\192.168.3.20\Departamentos\Engenharia\Planejamento Estratégico\A3_08 - Redução de matéria-prima DD000502-DD000503Z.xlsx</t>
  </si>
  <si>
    <t>06 - Acabamento capo CN13</t>
  </si>
  <si>
    <t>\\192.168.3.20\Departamentos\Engenharia\Planejamento Estratégico\A3_09-ACABAMENTO CAPO CNH.xlsx</t>
  </si>
  <si>
    <t>Reduzir tempo de operação de acabamento do capo CN13 e CN 14 e comunizar mão-de-obra entre eles</t>
  </si>
  <si>
    <t>07 - Troca dos fornecedores de tubo do Capo CNH CN-13</t>
  </si>
  <si>
    <t>\\192.168.3.20\Departamentos\Engenharia\Planejamento Estratégico\A3 REDUÇÃO DE CUSTO DO TUBO COMPRADO DO CAPÔ.xlsx</t>
  </si>
  <si>
    <t>Desenvolver nova fonte de fornecimento com custo menor</t>
  </si>
  <si>
    <t>08 - Reestruturação</t>
  </si>
  <si>
    <t>\\192.168.3.20\Departamentos\Engenharia\Planejamento Estratégico\A3_11 - Término turno da noite.xlsx</t>
  </si>
  <si>
    <t>Reestruturação da folha de pagamento</t>
  </si>
  <si>
    <t>Sidnei R.  Fraga</t>
  </si>
  <si>
    <t>09 - REDUÇÃO DE CUSTO LOCAÇÃO DE PTA (12METROS)</t>
  </si>
  <si>
    <t>\\192.168.3.20\Departamentos\Engenharia\Planejamento Estratégico\A3_12-REDUÇÃO DE CUSTO DE LOCAÇÃO DE PTA 12 METROS (002).xlsx</t>
  </si>
  <si>
    <t>Trocar o fornecedor de locação da plataforma PTA</t>
  </si>
  <si>
    <t>Diogo Iaronka</t>
  </si>
  <si>
    <t>10 - Vazamentos de Ar Comprimido</t>
  </si>
  <si>
    <t>\\192.168.3.20\Departamentos\Engenharia\Planejamento Estratégico\A3_13-VAZAMENTOS DE AR.xlsx</t>
  </si>
  <si>
    <t>Reduzir os custos de energia elétrica consumidos nos compressores de ar através da eliminação de vazamentos.</t>
  </si>
  <si>
    <t>11- Substituíção de Empilhadeiras GPL.</t>
  </si>
  <si>
    <t>\\192.168.3.20\Departamentos\Engenharia\Planejamento Estratégico\A3_14-Troca de empilhaderia GLP por elétrica.xlsx</t>
  </si>
  <si>
    <t>Substituição das empilhadeiras por equipamentos menores ou elétricos.</t>
  </si>
  <si>
    <t xml:space="preserve">Eduardo Luhring </t>
  </si>
  <si>
    <t>Pendente por falta de informações.</t>
  </si>
  <si>
    <t xml:space="preserve">12 -  REDUÇÃO DE PESO BRUTO DD000504/505Z
</t>
  </si>
  <si>
    <t>\\192.168.3.20\Departamentos\Engenharia\Planejamento Estratégico\A3_15 - Redução de matéria-prima DD000504-DD000505.xlsx</t>
  </si>
  <si>
    <t>Realizar estudo para otimização do blank dos itens automotivos transferidos.</t>
  </si>
  <si>
    <t>13- REDUZIR A QUANTIDADE DE MÁQUINAS DE SOLDA MIG/MAG LOCADAS</t>
  </si>
  <si>
    <t>\\192.168.3.20\Departamentos\Engenharia\Planejamento Estratégico\A3 REDUÇÃO DE CUSTO DE LOCAÇÃO DE MÁQUINA SOLDA MIG.xlsx</t>
  </si>
  <si>
    <t>Reduzir os custos de locação de 02 máquina e solda MIG/MAG.</t>
  </si>
  <si>
    <t>14-Adicionar serviços de portaria e limpeza em um único prestador terceirizado com serviços gerais.</t>
  </si>
  <si>
    <t>\\192.168.3.20\Departamentos\Engenharia\Planejamento Estratégico\A3_01- serviços terceiros.xlsx</t>
  </si>
  <si>
    <t>Agregar os serviço prestado por terceiros de portaria e limpeza em um único fornecedor, incluindo um posto de serviço gerais por 4 h diárias de segunda a sexta feira</t>
  </si>
  <si>
    <t>Paula Scherer</t>
  </si>
  <si>
    <t>15- Redução do custo mensal de empilhadeira locada (LOCAPEX).</t>
  </si>
  <si>
    <t>\\192.168.3.20\Departamentos\Engenharia\Planejamento Estratégico\A3_REDUZIR NÚMEROS DE EMPILHADEIRAS LOCADA.xlsx</t>
  </si>
  <si>
    <t xml:space="preserve"> Redução de empilhadeira locada.</t>
  </si>
  <si>
    <t>16- Redução de gastos com energia elétrica.</t>
  </si>
  <si>
    <t>\\192.168.3.20\Departamentos\Engenharia\Planejamento Estratégico\A3_16 - Redução de energia elétrica.xlsx</t>
  </si>
  <si>
    <t>Reduzir o consumo de energia elétrica da fábrica e áreas de apoio.</t>
  </si>
  <si>
    <t>17- Redução de gasto com copo plásticos descartáveis.</t>
  </si>
  <si>
    <t>\\192.168.3.20\Departamentos\Engenharia\Planejamento Estratégico\A3_19 - Garrafas de águas redução de descartáveis.xlsx</t>
  </si>
  <si>
    <t>Reduzir o consumo de copos plásticos.</t>
  </si>
  <si>
    <t>Elisete Borges</t>
  </si>
  <si>
    <t xml:space="preserve">18 -  REDUÇÃO DE PESO BRUTO DD000507z
</t>
  </si>
  <si>
    <t>\\192.168.3.20\Departamentos\Engenharia\Planejamento Estratégico\A3_18 - Redução de matéria-prima DD000507z.xlsx</t>
  </si>
  <si>
    <t xml:space="preserve">19 - Troca de Plano Médico, custo beneficio </t>
  </si>
  <si>
    <t>Reduzir o valor pago para fornecedor de  assistência  Médica.</t>
  </si>
  <si>
    <t>Eliste Borges</t>
  </si>
  <si>
    <t>20 - Redução com gasto com transporte de peças  DELGA X  FORNECEDOR.</t>
  </si>
  <si>
    <t>Reduzir o gasto com Fretes.</t>
  </si>
  <si>
    <t>21- Venda de ATIVOS</t>
  </si>
  <si>
    <t>Avaliar oportunidade de venda dos ativos parados na planta</t>
  </si>
  <si>
    <t>22- Eliminar custo com usinagem externa CN 00016/17</t>
  </si>
  <si>
    <t>\\192.168.3.20\Departamentos\Engenharia\Planejamento Estratégico\A3_22- Eliminar custo com usinagem externa CN 00016-17.xlsx</t>
  </si>
  <si>
    <t>Ajustar furação  na laser  para eliminar usinar após conformação na  prensa.</t>
  </si>
  <si>
    <t>Luis Nardes</t>
  </si>
  <si>
    <t>23- Reduzir o valor pago de aluguel de Pavilhão Antigo.</t>
  </si>
  <si>
    <t>Negociar a redução de valor pago de aluguel mensal do Pavilhão Antigo.</t>
  </si>
  <si>
    <t>Rodrigo Azevedo</t>
  </si>
  <si>
    <t xml:space="preserve">24-Aumento de produtividade do KART - PN </t>
  </si>
  <si>
    <t>Adaptar dispositivo de solda manual do Kart na célula robotizada para ganho de produtividade.</t>
  </si>
  <si>
    <t xml:space="preserve">Luis Vasconcelos </t>
  </si>
  <si>
    <t>25-REDUÇÃO DE CUSTOS DO PROCESSO DE LIMPEZA DE GRELHAS DA LASER</t>
  </si>
  <si>
    <t>Adquirir máquina para limpeza de grelhas da laser após acumulo de materiais do corte.</t>
  </si>
  <si>
    <t>CN000013Z</t>
  </si>
  <si>
    <t>91740291 - HOOD,PTD,FIXED</t>
  </si>
  <si>
    <t>AG000163Z</t>
  </si>
  <si>
    <t>8747240A Back Support Welded</t>
  </si>
  <si>
    <t>MA000001Z</t>
  </si>
  <si>
    <t>3211FM138 - ARANHA DE FREIO</t>
  </si>
  <si>
    <t>CN000009Z</t>
  </si>
  <si>
    <t>91739671 - SUPPORT, HYD TANK, WA</t>
  </si>
  <si>
    <t>CN000010Z</t>
  </si>
  <si>
    <t>92200448 - SCREEN WA, MID GRILLE</t>
  </si>
  <si>
    <t>MA000007Z</t>
  </si>
  <si>
    <t>100000599660 - BACKING PLATE</t>
  </si>
  <si>
    <t>MA000002Z</t>
  </si>
  <si>
    <t>100000146115 - ARANHA DE FREIO</t>
  </si>
  <si>
    <t>AG000017Z</t>
  </si>
  <si>
    <t>86698000 - PROTECAO DIANTEIRA</t>
  </si>
  <si>
    <t>CN000012Z</t>
  </si>
  <si>
    <t>CN000011Z</t>
  </si>
  <si>
    <t>92200454 - SCREEN DKGRA, GRILLE LH</t>
  </si>
  <si>
    <t>DD000510Z (VW745Z)</t>
  </si>
  <si>
    <t>Sul atende para Diadema</t>
  </si>
  <si>
    <t>TRANSFERÊNCIA</t>
  </si>
  <si>
    <t>DD000511Z (VW746Z)</t>
  </si>
  <si>
    <t>DJ000306Z  (VW1214Z)</t>
  </si>
  <si>
    <t>Sul atende para Jarinu</t>
  </si>
  <si>
    <t>ok</t>
  </si>
  <si>
    <t>AG000053Z</t>
  </si>
  <si>
    <t>ACW182251B - CJ MONT SUP BARRA DE TRACAO</t>
  </si>
  <si>
    <t>AGCO</t>
  </si>
  <si>
    <t>AG000051Z</t>
  </si>
  <si>
    <t>87303820 - SUP DO COXIM DIANT DIR</t>
  </si>
  <si>
    <t>CN000078Z</t>
  </si>
  <si>
    <t>91802211  SUPPORT ASSY DRAWBAR CAT.3</t>
  </si>
  <si>
    <t>AG000211Z</t>
  </si>
  <si>
    <t>ACX367074A Sup da válvula</t>
  </si>
  <si>
    <t>AG000181Z</t>
  </si>
  <si>
    <t>ACX4083150 ANGLE SHIELD, TOP</t>
  </si>
  <si>
    <t>AG000109Z</t>
  </si>
  <si>
    <t>ACW389570A - RADIO SUPPORT</t>
  </si>
  <si>
    <t>CN000022Z</t>
  </si>
  <si>
    <t>91844850 - SUPPORT WA</t>
  </si>
  <si>
    <t>AG000047Z</t>
  </si>
  <si>
    <t>ACW7069870 - SUPORTE TRASEIRO</t>
  </si>
  <si>
    <t>AG000021Z</t>
  </si>
  <si>
    <t>71444676 - HANGER</t>
  </si>
  <si>
    <t>AG000098Z</t>
  </si>
  <si>
    <t>ACW9094730 - SUPORTE DO RESPIRO</t>
  </si>
  <si>
    <t>CN000014Z</t>
  </si>
  <si>
    <t>91735123 - HOOD,WA,FIXED</t>
  </si>
  <si>
    <t>AG000151Z</t>
  </si>
  <si>
    <t>87465600 - FRONT FLAT</t>
  </si>
  <si>
    <t>92200460 - SCREEN DKGRA, GRILLE RH</t>
  </si>
  <si>
    <t>AG000016Z</t>
  </si>
  <si>
    <t>86884560 - PARACHOQUE DIANTEIRO</t>
  </si>
  <si>
    <t>CN000004Z</t>
  </si>
  <si>
    <t>FEEDER WA, PLATE, HVOF</t>
  </si>
  <si>
    <t>AG000019Z</t>
  </si>
  <si>
    <t>4352758M2 - 7 PILARS CAB</t>
  </si>
  <si>
    <t>AG000014Z</t>
  </si>
  <si>
    <t>ACX2878480 - ALAVANCA DA EMBREAGEM SOLD</t>
  </si>
  <si>
    <t>AG0000177Z</t>
  </si>
  <si>
    <t>ACW1892520 - PLATAFORMA DO MOTOR WA</t>
  </si>
  <si>
    <t>AG000020Z</t>
  </si>
  <si>
    <t>87286110 - SUPORTE CONTR REMOTO SM12</t>
  </si>
  <si>
    <t>AG000175Z</t>
  </si>
  <si>
    <t>4387929M3-Sapata esquerda</t>
  </si>
  <si>
    <t>AG000025Z</t>
  </si>
  <si>
    <t>87103310 - ALAVANCA POSICAO SOLDADA</t>
  </si>
  <si>
    <t>AG000142Z</t>
  </si>
  <si>
    <t>71433753 - CANTONEIRA LD  INFERIOR</t>
  </si>
  <si>
    <t>AG000034Z</t>
  </si>
  <si>
    <t>87273710 - ALAVANCA DO CREEPER MONTADA</t>
  </si>
  <si>
    <t>AG000161Z</t>
  </si>
  <si>
    <t>4353305M2 - Suporte Traseiro LE</t>
  </si>
  <si>
    <t>AG000173Z</t>
  </si>
  <si>
    <t>ACW7055510 - BLOQUEIO DE BATERIA 80A</t>
  </si>
  <si>
    <t>AG000143Z</t>
  </si>
  <si>
    <t>71460288 - CANTONEIRA LE  INFERIOR</t>
  </si>
  <si>
    <t>AG000125Z</t>
  </si>
  <si>
    <t>4378834M1 - RENFORT DROIT TRAVERSE ARRIE</t>
  </si>
  <si>
    <t>AG000108Z</t>
  </si>
  <si>
    <t>ACW2469860 - SHIELD</t>
  </si>
  <si>
    <t>CN000027Z</t>
  </si>
  <si>
    <t>MOUN UPPER 92092306</t>
  </si>
  <si>
    <t>AG000168Z</t>
  </si>
  <si>
    <t>87639000 - BENDED SUPPORT</t>
  </si>
  <si>
    <t>AG000050Z</t>
  </si>
  <si>
    <t>86988300 - ALAVANCA PEDAL SOLDADA</t>
  </si>
  <si>
    <t>AG000022Z</t>
  </si>
  <si>
    <t>71450084 - SUPPORT WA-HINGE</t>
  </si>
  <si>
    <t>CN000015Z</t>
  </si>
  <si>
    <t>91739026 - RING WA</t>
  </si>
  <si>
    <t>AG000203Z</t>
  </si>
  <si>
    <t>TRAVESSA INF GARFO RODADO HT 20031002</t>
  </si>
  <si>
    <t>AG000026Z</t>
  </si>
  <si>
    <t>4353538M1 - LH FRONT REINF</t>
  </si>
  <si>
    <t>AG000150Z</t>
  </si>
  <si>
    <t>6316171M1 - LINK</t>
  </si>
  <si>
    <t>AG000189Z</t>
  </si>
  <si>
    <t>700114031 - STEP</t>
  </si>
  <si>
    <t>AG000126Z</t>
  </si>
  <si>
    <t>71438645 - ROCK SHAFT EA</t>
  </si>
  <si>
    <t>AG000092Z</t>
  </si>
  <si>
    <t>ACX3999130 - BRACKET SOCKET TRAILER</t>
  </si>
  <si>
    <t>AG000027Z</t>
  </si>
  <si>
    <t>4352741M1 - RH FRONT REINF</t>
  </si>
  <si>
    <t>AG000115Z</t>
  </si>
  <si>
    <t>ACW0813650 - CANTONEIRA SUP. LD</t>
  </si>
  <si>
    <t>AG000204Z</t>
  </si>
  <si>
    <t>TRAVESSA SUP GARFO RODADO HT 20031003</t>
  </si>
  <si>
    <t>AG000198Z</t>
  </si>
  <si>
    <t>ACX437462A - PANEL-SIDE, REAR, RH</t>
  </si>
  <si>
    <t>AG000197Z</t>
  </si>
  <si>
    <t>ACX437460A - PANEL-SIDE, REAR, LH</t>
  </si>
  <si>
    <t>AG000138Z</t>
  </si>
  <si>
    <t>ACW1825340 - LISTA</t>
  </si>
  <si>
    <t>AG000094Z</t>
  </si>
  <si>
    <t>ACW9099090 - PROTEÇÃO ESQUERDA</t>
  </si>
  <si>
    <t>AG000169Z</t>
  </si>
  <si>
    <t>ACW2787230 PROT HARNESS PLATE</t>
  </si>
  <si>
    <t>AG000038Z</t>
  </si>
  <si>
    <t>36437300 - OLHAL</t>
  </si>
  <si>
    <t>AG000131Z</t>
  </si>
  <si>
    <t>36558800 - PEDAL</t>
  </si>
  <si>
    <t>AG000041Z</t>
  </si>
  <si>
    <t>ACW1553350 - ESTRIA DE PROTECAO</t>
  </si>
  <si>
    <t>AG000104Z</t>
  </si>
  <si>
    <t>4352751M1 - REFORÇO DA COLUNA TRASEIRO</t>
  </si>
  <si>
    <t>AG000030Z</t>
  </si>
  <si>
    <t>ACW1555320 - FIXER</t>
  </si>
  <si>
    <t>AG000128Z</t>
  </si>
  <si>
    <t>4352750M1 - Reforço da coluna traseiro</t>
  </si>
  <si>
    <t>CN000017Z</t>
  </si>
  <si>
    <t>47470962 - ANGLE</t>
  </si>
  <si>
    <t>AG000112Z</t>
  </si>
  <si>
    <t>836747849 - SUP. P/ TUBO RADIADOR OLEO</t>
  </si>
  <si>
    <t>AG000140Z</t>
  </si>
  <si>
    <t>4354569M1 - Pilrs Cab Rmt Mirror Bck</t>
  </si>
  <si>
    <t>AG000152Z</t>
  </si>
  <si>
    <t>4384848M1 - SUPORTE AÇO FIXAÇÃO CABINE</t>
  </si>
  <si>
    <t>AG0000178Z</t>
  </si>
  <si>
    <t>4383944M1 - 6 Pilars Cab Left Roof</t>
  </si>
  <si>
    <t>AG000039Z</t>
  </si>
  <si>
    <t>86593410 - CHAPA</t>
  </si>
  <si>
    <t>AG000129Z</t>
  </si>
  <si>
    <t>4287874M1 - Suporte fixação parabrisa</t>
  </si>
  <si>
    <t>CN000067Z</t>
  </si>
  <si>
    <t>44943045 - PLATE - C-BAR TRANSPORT RH</t>
  </si>
  <si>
    <t>CN000031Z</t>
  </si>
  <si>
    <t>CONSOLE WA</t>
  </si>
  <si>
    <t>AG000037Z</t>
  </si>
  <si>
    <t>4381192M2 - CLAMP BRACKET</t>
  </si>
  <si>
    <t>CN000071Z</t>
  </si>
  <si>
    <t>LID WA - 84200095</t>
  </si>
  <si>
    <t>CN000062Z</t>
  </si>
  <si>
    <t>44942997 - PLATE CUTTERBAR CENTER LH</t>
  </si>
  <si>
    <t>CN000064Z</t>
  </si>
  <si>
    <t>44942617 - PLATE - CUTTERBAR - WIDE CF</t>
  </si>
  <si>
    <t>CN000061Z</t>
  </si>
  <si>
    <t>44942769 - PLATE-C'BAR LH</t>
  </si>
  <si>
    <t>CN000053Z</t>
  </si>
  <si>
    <t>44943871 - SHIELD-5BAT RH REEL-TAIL END</t>
  </si>
  <si>
    <t>CN000030Z</t>
  </si>
  <si>
    <t>ARM WA - 92.034.169</t>
  </si>
  <si>
    <t>CN000076Z</t>
  </si>
  <si>
    <t>SHIELD - 44945637</t>
  </si>
  <si>
    <t>CN000058Z</t>
  </si>
  <si>
    <t>44943802 - SUPPORT - WELDT CAM END</t>
  </si>
  <si>
    <t>CN000070Z</t>
  </si>
  <si>
    <t>840698871 - Combines AST40</t>
  </si>
  <si>
    <t>CN000057Z</t>
  </si>
  <si>
    <t>44943804 - SUPPORT - WELDT TAIL END</t>
  </si>
  <si>
    <t>CN000069Z</t>
  </si>
  <si>
    <t>PANEL PTD, ACCESS - 92692916</t>
  </si>
  <si>
    <t>DASHBOARD EXECUTIVO - UNIDADE ANCHIETA</t>
  </si>
  <si>
    <t xml:space="preserve">Transferência recebida acima do previsto com impacto negativo.
</t>
  </si>
  <si>
    <t>/</t>
  </si>
  <si>
    <t>*Controladoria</t>
  </si>
  <si>
    <t>Baixa disponibilidade</t>
  </si>
  <si>
    <t>Baixa disponibilidade principalmente devido a quedas de energia</t>
  </si>
  <si>
    <t>Baixo volume de peças</t>
  </si>
  <si>
    <t>Deslocamento M.O</t>
  </si>
  <si>
    <t>Quedas de energia</t>
  </si>
  <si>
    <t>Demanda Urgente/ Fechamento da Folha</t>
  </si>
  <si>
    <t>Demanda Urgente</t>
  </si>
  <si>
    <t>Demanda urgente</t>
  </si>
  <si>
    <t>*a definir</t>
  </si>
  <si>
    <t xml:space="preserve">Cinta SCANIA </t>
  </si>
  <si>
    <t>Fornecedores</t>
  </si>
  <si>
    <t>Scania</t>
  </si>
  <si>
    <t>Acidentes</t>
  </si>
  <si>
    <t>2 acidentes leves</t>
  </si>
  <si>
    <t>Aderência Fases 2 e 3</t>
  </si>
  <si>
    <t>Baixa aderência</t>
  </si>
  <si>
    <t>Aderência baixa na fase 1</t>
  </si>
  <si>
    <t>Avanço %</t>
  </si>
  <si>
    <t>Obs:</t>
  </si>
  <si>
    <t>01 - VENDA DE ATIVOS</t>
  </si>
  <si>
    <t>\\DASRVFILE\Departamentos\ENGENHARIA\1.1 Projetos de redução custo\01 - VENDA DE ATIVOS\A3 Projeto 01 - VENDA DE ATIVOS.xlsx</t>
  </si>
  <si>
    <t>Werner</t>
  </si>
  <si>
    <t>02 - TANQUE DE DECAPAGEM</t>
  </si>
  <si>
    <t>\\DASRVFILE\Departamentos\ENGENHARIA\1.1 Projetos de redução custo\02 - TANQUE DE DECAPAGEM\A3 Projeto 02 - TANQUE DE DECAPAGEM.xlsx</t>
  </si>
  <si>
    <t>Reduzir o gasto com limpeza de gancheira</t>
  </si>
  <si>
    <t>Rafaela</t>
  </si>
  <si>
    <t>03 - PRODUTOS QUÍMICOS KTL</t>
  </si>
  <si>
    <t>\\DASRVFILE\Departamentos\ENGENHARIA\1.1 Projetos de redução custo\03 - PRODUTOS QUÍMICOS KTL\A3 Projeto 03 - PRODUTOS QUÍMICOS KTL.xlsx</t>
  </si>
  <si>
    <t>Reduzir o consumo de produtos químicos utilizado no processo KTL</t>
  </si>
  <si>
    <t>04 - GÁS</t>
  </si>
  <si>
    <t>R:\Departamentos\ENGENHARIA\1.1 Projetos de redução custo\04 - GÁS\A3 Projeto 04 - Projeto de eficiência do Gás.xlsx</t>
  </si>
  <si>
    <t>Reduzir o consumo de gás</t>
  </si>
  <si>
    <t xml:space="preserve">Fabiano  </t>
  </si>
  <si>
    <t>05 - REDUÇÃO DE FRETE</t>
  </si>
  <si>
    <t>\\DASRVFILE\Departamentos\ENGENHARIA\1.1 Projetos de redução custo\05 - REDUÇÃO DE FRETE\A3 Projeto 05 - REDUÇÃO DE FRETE.xlsx</t>
  </si>
  <si>
    <t>Reduzir o gasto com frete</t>
  </si>
  <si>
    <t>Umberto</t>
  </si>
  <si>
    <t>06 - CONSUMO DE TINTA PÓ</t>
  </si>
  <si>
    <t>\\DASRVFILE\Departamentos\ENGENHARIA\1.1 Projetos de redução custo\06 - CONSUMO DE TINTA PÓ\A3 Projeto 06 - CONSUMO DE TINTA PÓ.xlsx</t>
  </si>
  <si>
    <t>Reduzir o consumo de tinta pó</t>
  </si>
  <si>
    <t>Rafaela/Vinicius</t>
  </si>
  <si>
    <t>07 - CONSUMO DE EPI e SERVIÇOS</t>
  </si>
  <si>
    <t>R:\Departamentos\ENGENHARIA\1.1 Projetos de redução custo\07 - CONSUMO DE EPI e SERVIÇOS\A3 Projeto 07 - CONSUMO DE EPI e SERVIÇOS_Feveiro2026.xlsx</t>
  </si>
  <si>
    <t>Reduzir o consumo de EPI</t>
  </si>
  <si>
    <t>Raphael</t>
  </si>
  <si>
    <t>z</t>
  </si>
  <si>
    <t>08- ÁGUA</t>
  </si>
  <si>
    <t>R:\Departamentos\ENGENHARIA\1.1 Projetos de redução custo\08 - ÁGUA\08. ÁGUA - MELHORAR A EFICIÊNCIA DO CONSUMO DE ÀGUA.xlsx</t>
  </si>
  <si>
    <t>Reduzir o consumo de água</t>
  </si>
  <si>
    <t>Fabiano / Rafael</t>
  </si>
  <si>
    <t>09 - ENERGIA ELÉTRICA</t>
  </si>
  <si>
    <t>R:\Departamentos\ENGENHARIA\1.1 Projetos de redução custo\09 - ENERGIA ELÉTRICA\A3 Projeto 09 - MELHORAR A EFICIÊNCIA DO CONSUMO DA ENERGIA ELÉTRICA.xlsx</t>
  </si>
  <si>
    <t xml:space="preserve">Reduzir o consumo de energia elétrica </t>
  </si>
  <si>
    <t>10 - CONSUMO PERNA DE MOÇA</t>
  </si>
  <si>
    <t>R:\Departamentos\ENGENHARIA\1.1 Projetos de redução custo\10 - CONSUMO PERNA DE MOÇA\A3 - 10. CONSUMO PERNA DE MOÇA.xlsx</t>
  </si>
  <si>
    <t>Reduzir o consumo de produto utilizado no processo da perna de moça</t>
  </si>
  <si>
    <t>Ronaldo</t>
  </si>
  <si>
    <t>11 - WORKSHOP LIXAMENTO DD / DF</t>
  </si>
  <si>
    <t>\\DASRVFILE\Departamentos\ENGENHARIA\1.1 Projetos de redução custo\11 - WORKSHOP LIXAMENTO DD  DF\A3 Projeto 11 - WORKSHOP LIXAMENTO DD  DF.xlsx</t>
  </si>
  <si>
    <t>Reduzir operação e consumo de insumo na operação de lixamento.</t>
  </si>
  <si>
    <t>12 - Vendas de descartáveis</t>
  </si>
  <si>
    <t>\\DASRVFILE\Departamentos\ENGENHARIA\1.1 Projetos de redução custo\12 - VENDA DE DESCARTÁVEIS\A3 Projeto 12 - VENDA DE DESCARTÁVEIS.xlsx</t>
  </si>
  <si>
    <t xml:space="preserve">Venda de sucata, madeira e outros </t>
  </si>
  <si>
    <t>13 - Consumo de materiais da ETE</t>
  </si>
  <si>
    <t>\\DASRVFILE\Departamentos\ENGENHARIA\1.1 Projetos de redução custo\13 - CONSUMO DE MATERIAIS DA ETE\A3 Projeto 13 - CONSUMO DE MATERIAIS DA ETE.xlsx</t>
  </si>
  <si>
    <t>Reduzir o consumo dos materiais da ETE</t>
  </si>
  <si>
    <t>Análise De Margem</t>
  </si>
  <si>
    <t>VB000459Z</t>
  </si>
  <si>
    <t>DA000459AA/ DA000459Z</t>
  </si>
  <si>
    <t>SV000203Z</t>
  </si>
  <si>
    <t>DA000489Z</t>
  </si>
  <si>
    <t>MB000074Z</t>
  </si>
  <si>
    <t>MB000074AX</t>
  </si>
  <si>
    <t>ME000022Z</t>
  </si>
  <si>
    <t>MB000306Z</t>
  </si>
  <si>
    <t>ME000023Z</t>
  </si>
  <si>
    <t>MB000451Z</t>
  </si>
  <si>
    <t>SV000201Z</t>
  </si>
  <si>
    <t>DA000492Z</t>
  </si>
  <si>
    <t>ME000028Z</t>
  </si>
  <si>
    <t>VW001131Z</t>
  </si>
  <si>
    <t>MB003558Z</t>
  </si>
  <si>
    <t>DA000261Z</t>
  </si>
  <si>
    <t>MB003559Z</t>
  </si>
  <si>
    <t>DA000262Z</t>
  </si>
  <si>
    <t>VW001214AA / VW001214Z</t>
  </si>
  <si>
    <t>Anchieta atende Jarinu</t>
  </si>
  <si>
    <t>Anchieta recebe o AA de Jarinu, pinta e retorna a jarinu p/ FAT. Como Z</t>
  </si>
  <si>
    <t>VOLVO</t>
  </si>
  <si>
    <t>SV001571Z</t>
  </si>
  <si>
    <t>FRONT MODULE MONTADO</t>
  </si>
  <si>
    <t>MB000140Z</t>
  </si>
  <si>
    <t>TRAVESSA APOIO - A3843127061</t>
  </si>
  <si>
    <t>SV001531Z</t>
  </si>
  <si>
    <t>MB002039Z</t>
  </si>
  <si>
    <t>CONJ JUMELO - A9793200370</t>
  </si>
  <si>
    <t>SV001142Z</t>
  </si>
  <si>
    <t>BRACKET TAG AXLE - 1847583 C/PINT</t>
  </si>
  <si>
    <t>SV001568Z</t>
  </si>
  <si>
    <t>MB000073Z</t>
  </si>
  <si>
    <t>TRAVESSA - A3843127017</t>
  </si>
  <si>
    <t>METALSA</t>
  </si>
  <si>
    <t>SV001283Z</t>
  </si>
  <si>
    <t>CINTA C/PINTURA - CONJ. 3119466</t>
  </si>
  <si>
    <t>SV001582Z</t>
  </si>
  <si>
    <t>SV001285Z</t>
  </si>
  <si>
    <t>CINTA C/PINTURA - CONJ. 3119478</t>
  </si>
  <si>
    <t>MB000072Z</t>
  </si>
  <si>
    <t>TRAVESSA - A3863127523</t>
  </si>
  <si>
    <t>SV001548Z</t>
  </si>
  <si>
    <t>SV000448Z</t>
  </si>
  <si>
    <t>CONJUNTO MUDGUARD 2773100 PINT PO</t>
  </si>
  <si>
    <t>SV001580Z</t>
  </si>
  <si>
    <t>SV000227Z</t>
  </si>
  <si>
    <t>CROSSMEMBER ASSY RH 2656626</t>
  </si>
  <si>
    <t>SV001541Z</t>
  </si>
  <si>
    <t>SV001588Z</t>
  </si>
  <si>
    <t>SV001141Z</t>
  </si>
  <si>
    <t>BRACKET COMP AIR TRANK - 2210992 C/PINT</t>
  </si>
  <si>
    <t>MB002276Z</t>
  </si>
  <si>
    <t>CAVALETE - A9793200770</t>
  </si>
  <si>
    <t>SV001558Z</t>
  </si>
  <si>
    <t>SV001282Z</t>
  </si>
  <si>
    <t>CINTA S/PINTURA - CONJ. 3117151</t>
  </si>
  <si>
    <t>MB000002Z</t>
  </si>
  <si>
    <t>CONJUNTO JUMELO - A9743200037</t>
  </si>
  <si>
    <t>VB000345Z</t>
  </si>
  <si>
    <t>CAB SUSPENSION REAR - 24530273</t>
  </si>
  <si>
    <t>MB003673Z</t>
  </si>
  <si>
    <t>ZB BRACKET - CONJ. SOLDADO - A3845204841</t>
  </si>
  <si>
    <t>SV001535Z</t>
  </si>
  <si>
    <t>MB002296Z</t>
  </si>
  <si>
    <t>ZB PLATE A9585201982</t>
  </si>
  <si>
    <t>VB000222Z</t>
  </si>
  <si>
    <t>TRAVESSA - 21917412</t>
  </si>
  <si>
    <t>MB003544Z</t>
  </si>
  <si>
    <t>ZB SUPORTE ESQ DA PORTA - A9587200814</t>
  </si>
  <si>
    <t>SV001575Z</t>
  </si>
  <si>
    <t>MB002446Z</t>
  </si>
  <si>
    <t>CONJUNTO BRACKET A9585409940</t>
  </si>
  <si>
    <t>MB002405Z</t>
  </si>
  <si>
    <t>CONJUNTO CONSOLE FRT A9584900634</t>
  </si>
  <si>
    <t>MB003680Z</t>
  </si>
  <si>
    <t>CONJUNTO PEDAL EMBREAGEM - A9792900916</t>
  </si>
  <si>
    <t>SV001603Z</t>
  </si>
  <si>
    <t>VB000346Z</t>
  </si>
  <si>
    <t>ARM ARTICULATION - 20578884</t>
  </si>
  <si>
    <t>MB003669Z</t>
  </si>
  <si>
    <t>CONJ SUPORTE DE MONTAGEM - A6343105667</t>
  </si>
  <si>
    <t>MB002407Z</t>
  </si>
  <si>
    <t>CONJUNTO CONSOLE RR A9584900834</t>
  </si>
  <si>
    <t>MB002316Z</t>
  </si>
  <si>
    <t>SUP TRAS CABINA (ACO) - A9583104058</t>
  </si>
  <si>
    <t>MB003695Z</t>
  </si>
  <si>
    <t>ZB CONSOLE - A9794900634</t>
  </si>
  <si>
    <t>VW001117Z</t>
  </si>
  <si>
    <t>SUPORTE DIANTEIRO CONJUNTO - 23P803549A</t>
  </si>
  <si>
    <t>SV000204Z</t>
  </si>
  <si>
    <t>CONJUNTO SUPORTE DO TANQUE 2760083</t>
  </si>
  <si>
    <t>SV001574Z</t>
  </si>
  <si>
    <t>MB003694Z</t>
  </si>
  <si>
    <t>ZB CONSOLE - A9794900534</t>
  </si>
  <si>
    <t>MB003587Z</t>
  </si>
  <si>
    <t>CHAPA DE REFORCO - A6953127160</t>
  </si>
  <si>
    <t>SV001549Z</t>
  </si>
  <si>
    <t>SV000202Z</t>
  </si>
  <si>
    <t>CONJUNTO SUPORTE DO TANQUE 2760082</t>
  </si>
  <si>
    <t>SV001566Z</t>
  </si>
  <si>
    <t>SV000210Z</t>
  </si>
  <si>
    <t>CONJUNTO DE FEIXE 2800256</t>
  </si>
  <si>
    <t>VW001137Z</t>
  </si>
  <si>
    <t>SUPORTE TRASEIRO - 23F801147E</t>
  </si>
  <si>
    <t>MB003653Z</t>
  </si>
  <si>
    <t>CHAPA RETENTORA DE OLEO - A3853560282</t>
  </si>
  <si>
    <t>MB002404Z</t>
  </si>
  <si>
    <t>CONJUNTO CONSOLE RR A9794900334</t>
  </si>
  <si>
    <t>MB003629Z</t>
  </si>
  <si>
    <t>REF / ADAPTADOR - A9604751526  7416</t>
  </si>
  <si>
    <t>SV001666Z</t>
  </si>
  <si>
    <t>SV001529Z</t>
  </si>
  <si>
    <t>MB003551Z</t>
  </si>
  <si>
    <t>CJ PEDAL DA COLUNA(TRAVA) - A9794600175</t>
  </si>
  <si>
    <t>MB002406Z</t>
  </si>
  <si>
    <t>CONJUNTO CONSOLE RR A9584900734</t>
  </si>
  <si>
    <t>SV001591Z</t>
  </si>
  <si>
    <t>MB003538Z</t>
  </si>
  <si>
    <t>CJ. CONSOLE SUP DIR - A9583102458</t>
  </si>
  <si>
    <t>MB003537Z</t>
  </si>
  <si>
    <t>CJ. CONSOLE SUP ESQ - A9583102358</t>
  </si>
  <si>
    <t>MB003696Z</t>
  </si>
  <si>
    <t>ZB STEP PLATTE A9585200531</t>
  </si>
  <si>
    <t>SV001134Z</t>
  </si>
  <si>
    <t>ATTACHMENT PLATE ASSY - 2897648</t>
  </si>
  <si>
    <t>SV001612Z</t>
  </si>
  <si>
    <t>VW001156Z</t>
  </si>
  <si>
    <t>SUPORTE EGP - 23L253319</t>
  </si>
  <si>
    <t>SV001654Z</t>
  </si>
  <si>
    <t>SV001577Z</t>
  </si>
  <si>
    <t>SV001655Z</t>
  </si>
  <si>
    <t>MB003671Z</t>
  </si>
  <si>
    <t>CONJUTO SUPORTE - A9585400773</t>
  </si>
  <si>
    <t>SV001584Z</t>
  </si>
  <si>
    <t>SV001677Z</t>
  </si>
  <si>
    <t>SV001678Z</t>
  </si>
  <si>
    <t>MB002183Z</t>
  </si>
  <si>
    <t>PERNA DE MOÇA - A6343205934</t>
  </si>
  <si>
    <t>MB000412Z</t>
  </si>
  <si>
    <t>CONJ. SUPORTE - A6343203734</t>
  </si>
  <si>
    <t>SV000450Z</t>
  </si>
  <si>
    <t>MUDGUARD BRACKET ASSY - 2773101</t>
  </si>
  <si>
    <t>SV001625Z</t>
  </si>
  <si>
    <t>MB003681Z</t>
  </si>
  <si>
    <t>SUPORTE - A9585440038</t>
  </si>
  <si>
    <t>SV000451Z</t>
  </si>
  <si>
    <t>MUDGUARD BRACKET ASSY - 2773103</t>
  </si>
  <si>
    <t>SV001209Z</t>
  </si>
  <si>
    <t>CONJUNTO CINTA - 3110126</t>
  </si>
  <si>
    <t>SV000207Z</t>
  </si>
  <si>
    <t>DRIVER STAND 3021487</t>
  </si>
  <si>
    <t>SV001627Z</t>
  </si>
  <si>
    <t>ME000481Z</t>
  </si>
  <si>
    <t>REINF. LOWER FLANGE - 21450240</t>
  </si>
  <si>
    <t>SV001628Z</t>
  </si>
  <si>
    <t>VB000324Z</t>
  </si>
  <si>
    <t>REAR PLATE - 22943013</t>
  </si>
  <si>
    <t>MB003676Z</t>
  </si>
  <si>
    <t>CJ PEDAL DO FREIO CPL - A9792900718</t>
  </si>
  <si>
    <t>VB000344Z</t>
  </si>
  <si>
    <t>CAB SUSPENSION REAR - 24530277</t>
  </si>
  <si>
    <t>SV001443Z</t>
  </si>
  <si>
    <t>MB002295Z</t>
  </si>
  <si>
    <t>PLATE 2 HOLES - A9585230124</t>
  </si>
  <si>
    <t>MB003533Z</t>
  </si>
  <si>
    <t>CJ BRACO FIX TRANS COMPL - A9583100029</t>
  </si>
  <si>
    <t>SV001284Z</t>
  </si>
  <si>
    <t>CINTA S/PINTURA - CONJ. 3117152</t>
  </si>
  <si>
    <t>MB003545Z</t>
  </si>
  <si>
    <t>ZB SUPORTE DIR DA PORTA - A9587200914</t>
  </si>
  <si>
    <t>SV000212Z</t>
  </si>
  <si>
    <t>BEAM ASSY 2799911</t>
  </si>
  <si>
    <t>SV001583Z</t>
  </si>
  <si>
    <t>MB000294Z</t>
  </si>
  <si>
    <t>SUPORTE DO AMORTECED. DIR. - A9793230424</t>
  </si>
  <si>
    <t>SV000226Z</t>
  </si>
  <si>
    <t>MEMBRO LATERAL ASSY 2673754</t>
  </si>
  <si>
    <t>MB002285Z</t>
  </si>
  <si>
    <t>CONJ. TRAVESSA - A9793100832</t>
  </si>
  <si>
    <t>MB003585Z</t>
  </si>
  <si>
    <t>CONSOLE TANQUE COMBUST - A3844757303</t>
  </si>
  <si>
    <t>MB003670Z</t>
  </si>
  <si>
    <t>CONJUTO SUPORTE - A9585400373</t>
  </si>
  <si>
    <t>MB002401Z</t>
  </si>
  <si>
    <t>BRACKET ADAPTER A9604708283 7416</t>
  </si>
  <si>
    <t>MB002289Z</t>
  </si>
  <si>
    <t>REFORÇO ESQUERDO - A9583172028</t>
  </si>
  <si>
    <t>MB002290Z</t>
  </si>
  <si>
    <t>REFORÇO DIREITO - A9583172128</t>
  </si>
  <si>
    <t>MB003672Z</t>
  </si>
  <si>
    <t>CJ CAVALETE DO PEDAL - A9792901919</t>
  </si>
  <si>
    <t>SV001630Z</t>
  </si>
  <si>
    <t>SV001626Z</t>
  </si>
  <si>
    <t>ME000019Z</t>
  </si>
  <si>
    <t>TRAVESSA - 20831742</t>
  </si>
  <si>
    <t>SV001581Z</t>
  </si>
  <si>
    <t>SV001540Z</t>
  </si>
  <si>
    <t>MB003590Z</t>
  </si>
  <si>
    <t>COBERTURA DO ASSOALHO - A9406830508</t>
  </si>
  <si>
    <t>VW001154Z</t>
  </si>
  <si>
    <t>SUPORTE DIANTEIRO - 23F803549</t>
  </si>
  <si>
    <t>MB003591Z</t>
  </si>
  <si>
    <t>COBERTURA DO ASSOALHO - A9406830608</t>
  </si>
  <si>
    <t>MB003588Z</t>
  </si>
  <si>
    <t>CHAPA DE REFORCO - A6953127360</t>
  </si>
  <si>
    <t>SV001576Z</t>
  </si>
  <si>
    <t>VB000323Z</t>
  </si>
  <si>
    <t>BRACKET - 21695675</t>
  </si>
  <si>
    <t>MB002450Z</t>
  </si>
  <si>
    <t>CONJUNTO DO SUPORTE - A3846100236</t>
  </si>
  <si>
    <t>VB000322Z</t>
  </si>
  <si>
    <t>BRACKET - 21577317</t>
  </si>
  <si>
    <t>SV001624Z</t>
  </si>
  <si>
    <t>MB002451Z</t>
  </si>
  <si>
    <t>TRAVESSA A9603105946</t>
  </si>
  <si>
    <t>MB003536Z</t>
  </si>
  <si>
    <t>CJ CONSOLE SUP - A9583102258</t>
  </si>
  <si>
    <t>SV001633Z</t>
  </si>
  <si>
    <t>VB000169Z</t>
  </si>
  <si>
    <t>SUPORTE - 21028764</t>
  </si>
  <si>
    <t>SV001539Z</t>
  </si>
  <si>
    <t>SV001632Z</t>
  </si>
  <si>
    <t>SV001586Z</t>
  </si>
  <si>
    <t>SV001609Z</t>
  </si>
  <si>
    <t>SV001661Z</t>
  </si>
  <si>
    <t>MB002452Z</t>
  </si>
  <si>
    <t>CONJUNTO SUPORTE A9585203445 7416</t>
  </si>
  <si>
    <t>SV000205Z</t>
  </si>
  <si>
    <t>CONJUNTO SUPORTE DO TANQUE 2601216</t>
  </si>
  <si>
    <t>MB003631Z</t>
  </si>
  <si>
    <t>CALCO - A9604756420 7416</t>
  </si>
  <si>
    <t>MB002437Z</t>
  </si>
  <si>
    <t>ZB CONSOLE RR - A9614900134</t>
  </si>
  <si>
    <t>ME000021Z</t>
  </si>
  <si>
    <t>TRAVESSA - 20832045</t>
  </si>
  <si>
    <t>MB002313Z</t>
  </si>
  <si>
    <t>UPORTE TANQUE - A9584294969</t>
  </si>
  <si>
    <t>SV001604Z</t>
  </si>
  <si>
    <t>MB000413Z</t>
  </si>
  <si>
    <t>CONJ. SUPORTE BOLSA DE AR - A6343203834</t>
  </si>
  <si>
    <t>SV001587Z</t>
  </si>
  <si>
    <t>SV001579Z</t>
  </si>
  <si>
    <t>VB000280Z</t>
  </si>
  <si>
    <t>CONJ SUPORTE - 22196008</t>
  </si>
  <si>
    <t>SV001629Z</t>
  </si>
  <si>
    <t>SV001589Z</t>
  </si>
  <si>
    <t>VB000342Z</t>
  </si>
  <si>
    <t>CONJ. SUPORTE DO TANQUE DE AR - 24441067</t>
  </si>
  <si>
    <t>VW001116Z</t>
  </si>
  <si>
    <t>SUPORTE DIANTEIRO CONJUNTO - 23P803549C</t>
  </si>
  <si>
    <t>SV001631Z</t>
  </si>
  <si>
    <t>SV001647Z</t>
  </si>
  <si>
    <t>SV001608Z</t>
  </si>
  <si>
    <t>SV001553Z</t>
  </si>
  <si>
    <t>SV001616Z</t>
  </si>
  <si>
    <t>SV001585Z</t>
  </si>
  <si>
    <t>SV000211Z</t>
  </si>
  <si>
    <t>FEIXE 2800255</t>
  </si>
  <si>
    <t>MB003573Z</t>
  </si>
  <si>
    <t>ZB CANTO IMPACTO DIR- A9588807970 5900</t>
  </si>
  <si>
    <t>SV000214Z</t>
  </si>
  <si>
    <t>TRASPORT BEAM 2581611</t>
  </si>
  <si>
    <t>VB000241Z</t>
  </si>
  <si>
    <t>SUPORTE - 21774354</t>
  </si>
  <si>
    <t>VB000313Z</t>
  </si>
  <si>
    <t>PLACA - 21009946</t>
  </si>
  <si>
    <t>MB003571Z</t>
  </si>
  <si>
    <t>PARACHOQ CENT INF C/SP - A95888012045900</t>
  </si>
  <si>
    <t>SV001639Z</t>
  </si>
  <si>
    <t>SV001617Z</t>
  </si>
  <si>
    <t>VB000289Z</t>
  </si>
  <si>
    <t>TRAVESSA - 22166460</t>
  </si>
  <si>
    <t>MB003675Z</t>
  </si>
  <si>
    <t>CONJ ESTRUTURA DO SUPORTE A6345000728</t>
  </si>
  <si>
    <t>MB000423Z</t>
  </si>
  <si>
    <t>CONJ. CHAPA DEFLETORA - A3825003335</t>
  </si>
  <si>
    <t>VB000226Z</t>
  </si>
  <si>
    <t>PLACA - 21947042</t>
  </si>
  <si>
    <t>DASHBOARD EXECUTIVO - COMITE AÇO</t>
  </si>
  <si>
    <t>META DA ÁREA</t>
  </si>
  <si>
    <t xml:space="preserve">RETORNO ESPECULADO </t>
  </si>
  <si>
    <t>📊 SAVING VALIDADO POR PILAR</t>
  </si>
  <si>
    <t>Indicador</t>
  </si>
  <si>
    <t>POTENCIAL (R$)</t>
  </si>
  <si>
    <t>MESES</t>
  </si>
  <si>
    <t>SAVING ACUM Estimado por mês</t>
  </si>
  <si>
    <t>TOP 5 – DIADEMA</t>
  </si>
  <si>
    <t xml:space="preserve">Pos </t>
  </si>
  <si>
    <t xml:space="preserve">Valor Potencial </t>
  </si>
  <si>
    <t xml:space="preserve">Projeto </t>
  </si>
  <si>
    <t xml:space="preserve">Descrição </t>
  </si>
  <si>
    <t>TOP 5 – Ferraz</t>
  </si>
  <si>
    <t>TOP 5 – Ferraz São Leopoldo</t>
  </si>
  <si>
    <t>TOP 5 –  Jarinu</t>
  </si>
  <si>
    <t>TOP 5 –  Anchieta</t>
  </si>
  <si>
    <t>DASHBOARD EXECUTIVO - DIRETORIA FINANCEIRA</t>
  </si>
  <si>
    <t xml:space="preserve">Unidade Beneficiada </t>
  </si>
  <si>
    <t>DASHBOARD EXECUTIVO - Head Qualidade &amp; Dir. Industrial JARINU</t>
  </si>
  <si>
    <t>PARÂMETROS E METAS</t>
  </si>
  <si>
    <t>METAS POR UNIDADE</t>
  </si>
  <si>
    <t>ADM</t>
  </si>
  <si>
    <t xml:space="preserve">Diretoria Financeira </t>
  </si>
  <si>
    <t>Definir..</t>
  </si>
  <si>
    <t>Compras:</t>
  </si>
  <si>
    <t>Vendas:</t>
  </si>
  <si>
    <t>META TOTAL:</t>
  </si>
  <si>
    <t>Kaizen - Capital de Giro</t>
  </si>
  <si>
    <t xml:space="preserve">redução de estoque, melhora o caixa mas não o DRE de forma tangível </t>
  </si>
  <si>
    <t>Kaizen - Ganho Recorrente</t>
  </si>
  <si>
    <t>impacto direto e tangível no DRE</t>
  </si>
  <si>
    <t>Kaizen - Custo Evitado</t>
  </si>
  <si>
    <t>Ganho real, mas não reflete diretamente como redução no DRE</t>
  </si>
  <si>
    <t>Logistica</t>
  </si>
  <si>
    <t>Transferência</t>
  </si>
  <si>
    <t>a</t>
  </si>
  <si>
    <t>M@ster</t>
  </si>
  <si>
    <t>\192.168.0.20\Departamentos\</t>
  </si>
  <si>
    <t>\192.168.2.20\Departamentos\</t>
  </si>
  <si>
    <t>\192.168.3.20\Departamentos\</t>
  </si>
  <si>
    <t>\192.168.5.20\Departamentos\</t>
  </si>
  <si>
    <t>r:\</t>
  </si>
  <si>
    <t>\192.168.6.20\Departamentos\</t>
  </si>
  <si>
    <t>Orçamentos</t>
  </si>
  <si>
    <t>custos</t>
  </si>
  <si>
    <t>Engenharia corp</t>
  </si>
  <si>
    <t>Paulo Ribeiro</t>
  </si>
  <si>
    <t>55:15</t>
  </si>
  <si>
    <t>% Departamento Suporte</t>
  </si>
  <si>
    <t>Valora p/ Unidade</t>
  </si>
  <si>
    <t>\\192.168.0.20\Departamentos\Engenharia\0. Kaizen Diadema\6. 2026\01 Janeiro\01 - DA000489AB -Bruno Manachini_Engenharia_Validado 160K\01 - KAIZEN - DA000489AB_Rev00_Bruno Manachini.xlsx</t>
  </si>
  <si>
    <t>B. Manachini / J. Oliveira</t>
  </si>
  <si>
    <t xml:space="preserve">02 - Eficiência uso de eletricidade </t>
  </si>
  <si>
    <t>\\192.168.0.20\DEPARTAMENTOS\Engenharia\0. Kaizen Diadema\6. 2026\02 Fevereiro\09 - Redução de lampadas acessas na fábrica_Eduardo Fajardo\9 - Kaizen Redução de lampadas acessas na fábrica_Eduardo Fajardo.xlsx</t>
  </si>
  <si>
    <t xml:space="preserve">Eficiência iluminamento Interno / Remoção de luminarias defeituosas e redistribuição sem afetar iluminamento </t>
  </si>
  <si>
    <t>\\192.168.5.20\Departamentos\TI\Projetos\Master 2026\03 - Redução de consumo de MP dos blanks com a técnica de corte Wave\Planta Melhoria Blank Wave - Gestão de Projetos REV01.xlsx</t>
  </si>
  <si>
    <t>\\192.168.0.20\DEPARTAMENTOS\Engenharia\0. Kaizen Diadema\6. 2026\02 Fevereiro\17 - Redução do contrato de empilhadeiras_Eduardo Fajardo\17 - Redução de do contrato de empilhadeiras_Eduardo Fajardo.xlsx</t>
  </si>
  <si>
    <t>13/02/2026: Falta validação do time de Controladoria -&gt; Considerados valores líquidos para o resultado.</t>
  </si>
  <si>
    <t>Aumento da eficiência da rua 2, 3, 4 e 8 para 73,4%.</t>
  </si>
  <si>
    <r>
      <t xml:space="preserve">16/02/206: </t>
    </r>
    <r>
      <rPr>
        <b/>
        <sz val="11"/>
        <color theme="1"/>
        <rFont val="Calibri"/>
        <family val="2"/>
        <scheme val="minor"/>
      </rPr>
      <t>Projeto de kaizen número 18 de 2026</t>
    </r>
  </si>
  <si>
    <t>O baseline 570l para cada 1.000 peças vendidas.</t>
  </si>
  <si>
    <t>\\192.168.0.20\departamentos\Engenharia\0. Kaizen Diadema\6. 2026\01 Janeiro\02 - MB2446LA_MB3670LA_MB3671LA_Engenharia_Bruno Manachini\02 - KAIZEN - MB2446LA_MB3670LA_MB3671LA_Rev00_Bruno Manachini.xlsx</t>
  </si>
  <si>
    <t>Projeto de kaizen número 02 de 2026</t>
  </si>
  <si>
    <t>Trazer 2 ferramentas da VW970Z/971Z</t>
  </si>
  <si>
    <r>
      <t xml:space="preserve">14 - REDUÇÃO DE MP </t>
    </r>
    <r>
      <rPr>
        <b/>
        <sz val="11"/>
        <color theme="1"/>
        <rFont val="Calibri"/>
        <family val="2"/>
        <scheme val="minor"/>
      </rPr>
      <t xml:space="preserve">DA000518Z (Anchieta) Código DD - </t>
    </r>
  </si>
  <si>
    <t>\\192.168.0.20\DEPARTAMENTOS\Engenharia\0. Kaizen Diadema\6. 2026\01 Janeiro\04 - DA000518Z_Thiago Cardoso_Engenharia\4 - KAIZEN DA000518Z.xlsx</t>
  </si>
  <si>
    <t>Aumentar a largura da bobina de 1100 para 1250, eliminando sobra (retalho)</t>
  </si>
  <si>
    <t>\\192.168.0.20\DEPARTAMENTOS\Engenharia\0. Kaizen Diadema\6. 2026\01 Janeiro\05 - Kaizem - Botões BI - MANUAL_Rafael Almeida_Ferramentaria\5 - Kaizem - Botões BI - MANUAL_Rev00.xlsx</t>
  </si>
  <si>
    <t>17 -MB003537LB_MB003538LB</t>
  </si>
  <si>
    <t>\\192.168.0.20\DEPARTAMENTOS\Engenharia\0. Kaizen Diadema\6. 2026\02 Fevereiro\13 - MB003537LB_MB003538LB - Bruno Manachini_Engenharia\13 - KAIZEN - MB003537LB_MB003538LB_Rev00_Bruno Manachini.xlsx</t>
  </si>
  <si>
    <t>18 - Venda de Embalagens</t>
  </si>
  <si>
    <t>R:\Deptos\Engenharia\0. Kaizen Diadema\6. 2026\02 Fevereiro\19 - Redução de refugo em relação ao budget_Rodrigo Larrubia\19 - Redução de refugo em relação ao budget 2026.xlsx</t>
  </si>
  <si>
    <t>05/02/2026 - O objetivo é reduzir o custo médio mensal previsto no budget, para um custo de 0,2% em relação ao faturamento. Budget prevê R$442K. Se ficarmos anaixo de 0,2% do faturamento (R$360K), o potencial de ganho é R$82K</t>
  </si>
  <si>
    <t>\\192.168.0.20\DEPARTAMENTOS\Engenharia\0. Kaizen Diadema\6. 2026\02 Fevereiro\14 - MB003537LA_MB003538LA - Bruno Manachini_Engenharia_Validado\14 - KAIZEN - MB003537LA_MB003538LA_Rev00_Bruno Manachini.xlsx</t>
  </si>
  <si>
    <t>R:\Deptos\Engenharia\0. Kaizen Diadema\6. 2026\02 Fevereiro\16 - VW000581Z_VW000582Z - Amauri Mantuan\16 - KAIZEN - Redução do peso bruto VW000581Z  VW000582Z_Rev00_B. Manachini.xlsx</t>
  </si>
  <si>
    <r>
      <t>17/02/2026:</t>
    </r>
    <r>
      <rPr>
        <b/>
        <sz val="11"/>
        <color theme="1"/>
        <rFont val="Calibri"/>
        <family val="2"/>
        <scheme val="minor"/>
      </rPr>
      <t xml:space="preserve"> </t>
    </r>
    <r>
      <rPr>
        <b/>
        <sz val="11"/>
        <rFont val="Calibri"/>
        <family val="2"/>
        <scheme val="minor"/>
      </rPr>
      <t>Projeto de kaizen número 16 de 2026</t>
    </r>
    <r>
      <rPr>
        <sz val="11"/>
        <color theme="1"/>
        <rFont val="Calibri"/>
        <family val="2"/>
        <scheme val="minor"/>
      </rPr>
      <t xml:space="preserve">. Enviado 16/02/2026 para validação da controladoria. </t>
    </r>
  </si>
  <si>
    <t>Reunião Fast Response</t>
  </si>
  <si>
    <t>Reunião diaria de produção</t>
  </si>
  <si>
    <t>Reunião diaria de passagem de turno</t>
  </si>
  <si>
    <t>Reunião mensal de gestão da produção</t>
  </si>
  <si>
    <t>Reunião diaria de produto não conforme</t>
  </si>
  <si>
    <t>Form.682 Quadro hora/hora</t>
  </si>
  <si>
    <t>PLR</t>
  </si>
  <si>
    <t>Esta peça está na DSL</t>
  </si>
  <si>
    <t>SQDCM</t>
  </si>
  <si>
    <t>Form.121 Indicadores de SGI</t>
  </si>
  <si>
    <t>Quadro de Aviso Padronizado</t>
  </si>
  <si>
    <t>Acompanhamento de OEE</t>
  </si>
  <si>
    <t>Acompanhamento de SCRAP</t>
  </si>
  <si>
    <t>Acompanhamento de SETUP</t>
  </si>
  <si>
    <t>Form. 104 - Indicadores e Ata de Analise Critica</t>
  </si>
  <si>
    <t xml:space="preserve">Form.370 - Fast Response Itens Críticos </t>
  </si>
  <si>
    <t>Form. 015 – Lista de Presença Resposta Rápida</t>
  </si>
  <si>
    <t>Form. 506 Open Issues List</t>
  </si>
  <si>
    <t>Ordem de produção</t>
  </si>
  <si>
    <t>Form 075 registro de inspeção</t>
  </si>
  <si>
    <t>Form 532-Relátorio de produção</t>
  </si>
  <si>
    <t>Form 085 identificação do processo-etiqueta azul</t>
  </si>
  <si>
    <t>Form 441-Identificação do produto aprovado</t>
  </si>
  <si>
    <t>Form 032-Identificação de produto suspeito</t>
  </si>
  <si>
    <t>Form 149-Identificação de amostra de produto (try-out)</t>
  </si>
  <si>
    <t>Form 093 - Etiqueta "Solicitação de ensaio"</t>
  </si>
  <si>
    <t>Etiqueta de beneficiamento</t>
  </si>
  <si>
    <t>Etiqueta de RASTREABILIDADE DO PRODUTO/COMPONENTE</t>
  </si>
  <si>
    <t xml:space="preserve">Form. 87 - PLANO DE CONTROLE </t>
  </si>
  <si>
    <t>Form. 87 - PLANO DE CONTROLE DE CARACTERÍSTICAS ESPECIAIS (RIP "S")</t>
  </si>
  <si>
    <t>Form. 647 - INSTRUÇÃO DE TRABALHO</t>
  </si>
  <si>
    <t>Form.513 EPS - ESPECIFICAÇÃO DOS PROCESSOS DE SOLDA</t>
  </si>
  <si>
    <t>Acompanhamento de Eficiencia de mão de obra</t>
  </si>
  <si>
    <t>Plano Mestre de Produtividade</t>
  </si>
  <si>
    <t>Projetos Estratégicos: OEE, SCRAP, SMED, Eficiência MOD</t>
  </si>
  <si>
    <t>Programa 5S</t>
  </si>
  <si>
    <t>Matriz de versatilidade</t>
  </si>
  <si>
    <t>Form 080-Registro de Parametros de Processo.xlsx</t>
  </si>
  <si>
    <t>Form 048-Retrabalho/Reparo</t>
  </si>
  <si>
    <t>Form. 410 – CHECK LIST DE SETUP E FIM DE PRODUÇÃO – ESTAMPARIA</t>
  </si>
  <si>
    <t>Form. 411 – CHECK LIST DE SETUP E FIM DE PRODUÇÃO – SOLDA</t>
  </si>
  <si>
    <t>FORM 224 – CHECK LIST DE SETUP E FIM DE PRODUÇÃO – OUTROS PROCESSOS</t>
  </si>
  <si>
    <t>IT 8.7.1.7 – 033 PLANO DE REAÇÃO</t>
  </si>
  <si>
    <t>Programa FIFO</t>
  </si>
  <si>
    <t>Alocação de mão de obra</t>
  </si>
  <si>
    <t>Form. 477 – REGISTRO DE ALARMES E ESCALONAMENTO</t>
  </si>
  <si>
    <t>Form. 148 – IDENTIFICAÇÃO DE RETALHOS</t>
  </si>
  <si>
    <t>Form. 030 –  CHECK LIST TPM E PLANO DE MANUTENÇÃO (TPM)</t>
  </si>
  <si>
    <t>KPI (Indicador de Performance)</t>
  </si>
  <si>
    <t>Como Medir</t>
  </si>
  <si>
    <t>Margem de Contribuição (VA)</t>
  </si>
  <si>
    <t>(Receita Líquida - Custos Variáveis) / Receita Líquida</t>
  </si>
  <si>
    <t>Valor (R$) do Scrap / Custo Total da Produção</t>
  </si>
  <si>
    <t>OEE (Overall Equipment Effectiveness)</t>
  </si>
  <si>
    <t>Disponibilidade x Performance x Qualidade</t>
  </si>
  <si>
    <t>Eficiência de Mão de Obra (Eficiência de MO)</t>
  </si>
  <si>
    <t>Horas Padrão / Horas Apontadas</t>
  </si>
  <si>
    <t>MTTR (Tempo Médio para Reparo)</t>
  </si>
  <si>
    <t>Horas</t>
  </si>
  <si>
    <t>Tempo Total de Reparo / Número de falhas</t>
  </si>
  <si>
    <t>MTBF(Tempo Médio entre Falhas)</t>
  </si>
  <si>
    <t>Tempo Total Operando / Número de falhas</t>
  </si>
  <si>
    <t>PPM (Partes por Milhão)</t>
  </si>
  <si>
    <t>PPM</t>
  </si>
  <si>
    <t>(Nº de Peças Defeituosas / Total de Peças Produzidas) x 1.000.000</t>
  </si>
  <si>
    <t>Custo da Não Qualidade (CONC)</t>
  </si>
  <si>
    <t>Refugo	+ Horas extras + Fretes extras + Notas de Debito (Contabilizado) / Receita líquida (Sucata + Transferência + Produto)</t>
  </si>
  <si>
    <t>Taxa de Frequência de Acidentes (TFA)</t>
  </si>
  <si>
    <t>Taxa</t>
  </si>
  <si>
    <t>(Nº de Acidentes com Afastamento x 1.000.000) / HHT</t>
  </si>
  <si>
    <t>% Conformidade do Processo vs. POC</t>
  </si>
  <si>
    <t>Auditorias de processo comparando o consumo real vs. POC</t>
  </si>
  <si>
    <t>Auditoria semanal do preenchimento de formulários e reuniões.</t>
  </si>
  <si>
    <t>DASHBOARD EXECUTIVO - COMPRAS</t>
  </si>
  <si>
    <t>RETORNO PREVISTO (total)</t>
  </si>
  <si>
    <t>Retorno Previsto até hoje</t>
  </si>
  <si>
    <t xml:space="preserve">📋 Unidades Beneficiadas </t>
  </si>
  <si>
    <t xml:space="preserve">Diadema </t>
  </si>
  <si>
    <t>Multi Unidades</t>
  </si>
  <si>
    <t xml:space="preserve">  </t>
  </si>
  <si>
    <t xml:space="preserve"> IDEIAS DE KAIZENS E PROJETOS DE REDUÇÃO DE CUSTOS</t>
  </si>
  <si>
    <t>JE0425</t>
  </si>
  <si>
    <t>Negociação Produtos Pré tratamento</t>
  </si>
  <si>
    <t>\\DDSRVFILE\departamentos\Compras\GESTAO DEPARTAMENTO SUPRIMENTOS\27-PROJETOS\JE0425\JE0425 - Produtos Pré Tratamento.xlsx</t>
  </si>
  <si>
    <t>JEAN</t>
  </si>
  <si>
    <t>DN0825</t>
  </si>
  <si>
    <t>Redução de custo Porca 73189 da curva A</t>
  </si>
  <si>
    <t>\\DDSRVFILE\departamentos\Compras\GESTAO DEPARTAMENTO SUPRIMENTOS\27-PROJETOS\DN0825\DN825 - PORCA 73189.xlsx</t>
  </si>
  <si>
    <t>DIOGO</t>
  </si>
  <si>
    <t>DN0126</t>
  </si>
  <si>
    <t>SRM Componentes</t>
  </si>
  <si>
    <t>\\DDSRVFILE\departamentos\Compras\GESTAO DEPARTAMENTO SUPRIMENTOS\27-PROJETOS\DN0126\DN0126 - SRM Componentes.xlsx</t>
  </si>
  <si>
    <t>DN0625</t>
  </si>
  <si>
    <t>Unificação itens de Distribuição Fixadores.</t>
  </si>
  <si>
    <t>\\DDSRVFILE\departamentos\Compras\GESTAO DEPARTAMENTO SUPRIMENTOS\27-PROJETOS\DN0625\DN625 - RESOURCING ITENS PARA WURTH.xlsx</t>
  </si>
  <si>
    <t>JE0325</t>
  </si>
  <si>
    <t>Redução de custo Abrasivos Curva A Ferraz</t>
  </si>
  <si>
    <t>\\DDSRVFILE\departamentos\Compras\GESTAO DEPARTAMENTO SUPRIMENTOS\27-PROJETOS\JE0325\JE0325 - Abrasivos Curva A Ferraz.xlsx</t>
  </si>
  <si>
    <t>EF0126</t>
  </si>
  <si>
    <t>Substituição Plano Médico - São Leopoldo</t>
  </si>
  <si>
    <t>\\DDSRVFILE\departamentos\Compras\GESTAO DEPARTAMENTO SUPRIMENTOS\27-PROJETOS\EF0126\EF0126_Substituição Plano Médico -DSL.xlsx</t>
  </si>
  <si>
    <t>ELENICE</t>
  </si>
  <si>
    <t>EF0226</t>
  </si>
  <si>
    <t>Mão de Obra Terceirizada</t>
  </si>
  <si>
    <t>\\DDSRVFILE\departamentos\Compras\GESTAO DEPARTAMENTO SUPRIMENTOS\27-PROJETOS\EF0226\EF00226_ MO.xlsx</t>
  </si>
  <si>
    <t>EF0326</t>
  </si>
  <si>
    <t>Recuperação de valores - Energia Elétrica</t>
  </si>
  <si>
    <t>\\DDSRVFILE\departamentos\Compras\GESTAO DEPARTAMENTO SUPRIMENTOS\27-PROJETOS\EF0326\EF0326_Energia eletrica.xlsx</t>
  </si>
  <si>
    <t>EF0426</t>
  </si>
  <si>
    <t>Recuperação de valores - Água</t>
  </si>
  <si>
    <t>\\DDSRVFILE\departamentos\Compras\GESTAO DEPARTAMENTO SUPRIMENTOS\27-PROJETOS\EF0426\Projetos_EF0426_ Agua recuperação de valores.xlsx</t>
  </si>
  <si>
    <t>DN1125</t>
  </si>
  <si>
    <t>Resourcing Pino Esférico GM Lipos p/ Maxdel</t>
  </si>
  <si>
    <t>\\DDSRVFILE\departamentos\Compras\GESTAO DEPARTAMENTO SUPRIMENTOS\27-PROJETOS\DN1125\DN1125 - Resourcing Pino Esférico GM.xlsx</t>
  </si>
  <si>
    <t>DN1525</t>
  </si>
  <si>
    <t>Resourcing Maletas Man (Mercante para Cartec)</t>
  </si>
  <si>
    <t>\\DDSRVFILE\departamentos\Compras\GESTAO DEPARTAMENTO SUPRIMENTOS\27-PROJETOS\DN1525\DN1525 - Resourcing Tubos Mercante para Cartec.xlsx</t>
  </si>
  <si>
    <t>JE0825</t>
  </si>
  <si>
    <t>Troca de fonte do arame de solda de Belgo para Gerdau</t>
  </si>
  <si>
    <t>\\DDSRVFILE\departamentos\Compras\GESTAO DEPARTAMENTO SUPRIMENTOS\27-PROJETOS\JE0825\JE0825 - Arame de Solda.xlsx</t>
  </si>
  <si>
    <t>JE0126</t>
  </si>
  <si>
    <t>Testes e troca do fornecedor de insumos de usinagem</t>
  </si>
  <si>
    <t>\\DDSRVFILE\departamentos\Compras\GESTAO DEPARTAMENTO SUPRIMENTOS\27-PROJETOS\JE0126\JE0126 - Troca fornecedor usinagem.xlsx</t>
  </si>
  <si>
    <t>ES0126</t>
  </si>
  <si>
    <t>Mudança de Modalidade Gerador Anchieta</t>
  </si>
  <si>
    <t>\\DDSRVFILE\departamentos\Compras\GESTAO DEPARTAMENTO SUPRIMENTOS\27-PROJETOS\ES0126\ES0126 - LOCAÇÃO GERADOR.xlsx</t>
  </si>
  <si>
    <t>ERALDO</t>
  </si>
  <si>
    <t>EF0526</t>
  </si>
  <si>
    <t>Modalidade Tarifária</t>
  </si>
  <si>
    <t>\\DDSRVFILE\departamentos\Compras\GESTAO DEPARTAMENTO SUPRIMENTOS\27-PROJETOS\EF0526\Projetos_EF0526_ Mod Tarifária.xlsx</t>
  </si>
  <si>
    <t>VH1325</t>
  </si>
  <si>
    <t>Viabilizar Material Alternativo de Menor Custo para Utilização na Carcaça da Scania</t>
  </si>
  <si>
    <t>\\DDSRVFILE\departamentos\Compras\GESTAO DEPARTAMENTO SUPRIMENTOS\27-PROJETOS\VH1325\VH1325-Viabilizar material alternativo Carcaça Scania.xlsx</t>
  </si>
  <si>
    <t>VITOR</t>
  </si>
  <si>
    <t>VH0125</t>
  </si>
  <si>
    <t>Viabilizar itens Usiminas via Gonvarri-Full Service</t>
  </si>
  <si>
    <t>\\DDSRVFILE\departamentos\Compras\GESTAO DEPARTAMENTO SUPRIMENTOS\27-PROJETOS\VH0125\VH0125-Gonvarri itens Usiminas.xlsx</t>
  </si>
  <si>
    <t>AG0125</t>
  </si>
  <si>
    <t>Estudo de viabilidade compressores</t>
  </si>
  <si>
    <t>\\DDSRVFILE\departamentos\Compras\GESTAO DEPARTAMENTO SUPRIMENTOS\27-PROJETOS\AG0125\AG0125-Compressores.xlsx</t>
  </si>
  <si>
    <t>ALINE</t>
  </si>
  <si>
    <t>EF0325</t>
  </si>
  <si>
    <t>Desenvolvimento novos modelos de planos médicos</t>
  </si>
  <si>
    <t>\\DDSRVFILE\departamentos\Compras\GESTAO DEPARTAMENTO SUPRIMENTOS\27-PROJETOS\EF0325\EF0325_Novos Modelos Planos Médicos.xlsx</t>
  </si>
  <si>
    <t>AG0225</t>
  </si>
  <si>
    <t>Estudo de viabilidade lixadeiras</t>
  </si>
  <si>
    <t>\\DDSRVFILE\departamentos\Compras\GESTAO DEPARTAMENTO SUPRIMENTOS\27-PROJETOS\AG0225\AG0225-Lixadeiras.xlsx</t>
  </si>
  <si>
    <t>LJ0225</t>
  </si>
  <si>
    <t>Projeto DANA - Mudança de CH para BQ</t>
  </si>
  <si>
    <t>\\DDSRVFILE\departamentos\Compras\GESTAO DEPARTAMENTO SUPRIMENTOS\27-PROJETOS\LJ0225\LJ0225 - Projeto DANA - mudança de CH para BQ.xlsx</t>
  </si>
  <si>
    <t>LUCAS</t>
  </si>
  <si>
    <t>DN0526</t>
  </si>
  <si>
    <t>Negociação Boellhoff
85290 - PORCA QUADRADA SOLDA PROJEÇÃO - M5</t>
  </si>
  <si>
    <t>R:\Deptos\Compras\GESTAO DEPARTAMENTO SUPRIMENTOS\27-PROJETOS\DN0526\DN0526 - NEGOCIAÇÃO 85290 (BOELLHOFF).xlsx</t>
  </si>
  <si>
    <t>JE0125</t>
  </si>
  <si>
    <t>Troca de fonte fita zebrada e etiqueta litografada</t>
  </si>
  <si>
    <t>\\DDSRVFILE\departamentos\Compras\GESTAO DEPARTAMENTO SUPRIMENTOS\27-PROJETOS\JE0125\JE0125-Fita Zebrada e Etiqueta Litografada.xlsx</t>
  </si>
  <si>
    <t>JE0625</t>
  </si>
  <si>
    <t>Unificação óleos utilizados nas plantas</t>
  </si>
  <si>
    <t>\\DDSRVFILE\departamentos\Compras\GESTAO DEPARTAMENTO SUPRIMENTOS\27-PROJETOS\JE0625\JE0625 - Unificação óleos de processo.xlsx</t>
  </si>
  <si>
    <t>JE0725</t>
  </si>
  <si>
    <t>BID carimbos industriais</t>
  </si>
  <si>
    <t>\\DDSRVFILE\departamentos\Compras\GESTAO DEPARTAMENTO SUPRIMENTOS\27-PROJETOS\JE0725\JE0725 - PR Carimbos.xlsx</t>
  </si>
  <si>
    <t>JE0925</t>
  </si>
  <si>
    <t>BID eletrodos de solda</t>
  </si>
  <si>
    <t>\\DDSRVFILE\departamentos\Compras\GESTAO DEPARTAMENTO SUPRIMENTOS\27-PROJETOS\JE0925\JE0925 - Eletrodos.xlsx</t>
  </si>
  <si>
    <t>JE1125</t>
  </si>
  <si>
    <t>BID complementar punções Jarinu</t>
  </si>
  <si>
    <t>\\DDSRVFILE\departamentos\Compras\GESTAO DEPARTAMENTO SUPRIMENTOS\27-PROJETOS\JE1125\JE1125 - Punções Jarinu.xlsx</t>
  </si>
  <si>
    <t>JE1225</t>
  </si>
  <si>
    <t>BID tampões pintura Anchieta</t>
  </si>
  <si>
    <t>\\DDSRVFILE\departamentos\Compras\GESTAO DEPARTAMENTO SUPRIMENTOS\27-PROJETOS\JE1225\JE1225 - BID Tampões Pintura Anchieta.xlsx</t>
  </si>
  <si>
    <t>JE0226</t>
  </si>
  <si>
    <t>BID consumíveis laser</t>
  </si>
  <si>
    <t>\\DDSRVFILE\departamentos\Compras\GESTAO DEPARTAMENTO SUPRIMENTOS\27-PROJETOS\JE0226\JE0226 - BID Consumíveis Laser.xlsx</t>
  </si>
  <si>
    <t>JE0326</t>
  </si>
  <si>
    <t>Troca fornecedor decapagem gancheiras Ferraz</t>
  </si>
  <si>
    <t>\\DDSRVFILE\departamentos\Compras\GESTAO DEPARTAMENTO SUPRIMENTOS\27-PROJETOS\JE0326\JE0326 - Troca fornecedor decapagem gancheiras.xlsx</t>
  </si>
  <si>
    <t>JE0426</t>
  </si>
  <si>
    <t>Troca da fonte de arame de solda para China</t>
  </si>
  <si>
    <t>\\DDSRVFILE\departamentos\Compras\GESTAO DEPARTAMENTO SUPRIMENTOS\27-PROJETOS\JE0426\JE0426 - Fornecimento arame de solda China.xlsx</t>
  </si>
  <si>
    <t>LJ0126</t>
  </si>
  <si>
    <t>Redução MP Viga Banana</t>
  </si>
  <si>
    <t>\\DDSRVFILE\Rede_Geral\Deptos\Compras\GESTAO DEPARTAMENTO SUPRIMENTOS\27-PROJETOS\LJ0126\LJ0126 - Negociação item Viga Banana.xlsx</t>
  </si>
  <si>
    <t>DN0425</t>
  </si>
  <si>
    <t>Resourcing Hasmman para Metalac</t>
  </si>
  <si>
    <t>\\DDSRVFILE\Rede_Geral\Deptos\Compras\GESTAO DEPARTAMENTO SUPRIMENTOS\27-PROJETOS\DN0425\DN425 - PARAF 48002 (HASSMANN PARA METALAC).xlsx</t>
  </si>
  <si>
    <t>CR0125</t>
  </si>
  <si>
    <t>Negociação de preços materiais carcaça Dana</t>
  </si>
  <si>
    <t>\\DDSRVFILE\Rede_Geral\Deptos\Compras\GESTAO DEPARTAMENTO SUPRIMENTOS\27-PROJETOS\CR0125\CR0125-Renegociação CG - DANA.xlsx</t>
  </si>
  <si>
    <t>VH0126</t>
  </si>
  <si>
    <t>Conseguir Ex tarifário Ferramentas Saga</t>
  </si>
  <si>
    <t>\\DDSRVFILE\Rede_Geral\Deptos\Compras\GESTAO DEPARTAMENTO SUPRIMENTOS\27-PROJETOS\VH0126\VH0126-Ex tarifário SAGA.xlsx</t>
  </si>
  <si>
    <t>VH0226</t>
  </si>
  <si>
    <t>Estratégia comercial com as Usinas</t>
  </si>
  <si>
    <t>\\DDSRVFILE\Rede_Geral\Deptos\Compras\GESTAO DEPARTAMENTO SUPRIMENTOS\27-PROJETOS\VH0226\VH0226-Estratégia Comercial Usinas.xlsx</t>
  </si>
  <si>
    <t>DN0426</t>
  </si>
  <si>
    <t>Negociação Porca Bollhoff 15341 Saga</t>
  </si>
  <si>
    <t>\\DDSRVFILE\Rede_Geral\Deptos\Compras\GESTAO DEPARTAMENTO SUPRIMENTOS\27-PROJETOS\DN0426\DN0426 - NEGOCIAÇÃO PORCA 15341.xlsx</t>
  </si>
  <si>
    <t>LJ0226</t>
  </si>
  <si>
    <t>Projeto DANA - Fornecimento MTL</t>
  </si>
  <si>
    <t>R:\Deptos\Compras\GESTAO DEPARTAMENTO SUPRIMENTOS\27-PROJETOS\LJ0226\LJ0226 - PROJETO DANA - FORNECIMENTO MTL.xlsx</t>
  </si>
  <si>
    <t>EF0626</t>
  </si>
  <si>
    <t>Destinação Borra Plasma Ferraz</t>
  </si>
  <si>
    <t>R:\Deptos\Compras\GESTAO DEPARTAMENTO SUPRIMENTOS\27-PROJETOS\EF0626\Projetos_EF0626_ Borra Plasma Ferraz.xlsx</t>
  </si>
  <si>
    <t>TS0126</t>
  </si>
  <si>
    <t>Ex Tarifário Transfer Norda</t>
  </si>
  <si>
    <t>R:\Deptos\Compras\GESTAO DEPARTAMENTO SUPRIMENTOS\27-PROJETOS\TS0126\TS0126-Ex-tarifário - Transfer.xlsx</t>
  </si>
  <si>
    <t>THIAGO</t>
  </si>
  <si>
    <t>LJ0726</t>
  </si>
  <si>
    <t>Redução Itens Mercedes</t>
  </si>
  <si>
    <t>R:\Deptos\Compras\GESTAO DEPARTAMENTO SUPRIMENTOS\27-PROJETOS\LJ0726\LJ0127 - USIMINAS - REDUÇÃO DE ITENS MBB.xlsx</t>
  </si>
  <si>
    <t>DN0726</t>
  </si>
  <si>
    <t>Negociação TCC00690/691</t>
  </si>
  <si>
    <t>\\DDSRVFILE01\Departamentos\Compras\GESTAO DEPARTAMENTO SUPRIMENTOS\27-PROJETOS\DN0726\DN0726 -Negociação TCC00690-691.xlsx</t>
  </si>
  <si>
    <t>TS0226</t>
  </si>
  <si>
    <t>Locação de Compressores</t>
  </si>
  <si>
    <t>\\DDSRVFILE01\Departamentos\Compras\GESTAO DEPARTAMENTO SUPRIMENTOS\27-PROJETOS\TS0226\TS0226-Compressores.xlsx</t>
  </si>
  <si>
    <t>DN0226</t>
  </si>
  <si>
    <t>Negociação Mercante (Laser)</t>
  </si>
  <si>
    <t>R:\Deptos\Compras\GESTAO DEPARTAMENTO SUPRIMENTOS\27-PROJETOS\DN0226\DN0226 - Negociação Mercante (Corte a Laser).xlsx</t>
  </si>
  <si>
    <t>JE0526</t>
  </si>
  <si>
    <t>BID Fita Alta Temp 3M + Anti-Slip 3M</t>
  </si>
  <si>
    <t>R:\Deptos\Compras\GESTAO DEPARTAMENTO SUPRIMENTOS\27-PROJETOS\JE0526\JE0526 - BID Fita Alta Temp 3M + Anti-Slip 3M.xlsx</t>
  </si>
  <si>
    <t>JE0626</t>
  </si>
  <si>
    <t>BID Poliuretano Expansivo</t>
  </si>
  <si>
    <t>R:\Deptos\Compras\GESTAO DEPARTAMENTO SUPRIMENTOS\27-PROJETOS\JE0626\JE0626 - BID Poliuretano Expansivo.xlsx</t>
  </si>
  <si>
    <t>DN0826</t>
  </si>
  <si>
    <t>Nacionalização RIBE - 
Item 75640 (Pino Rebite M6 x 16)</t>
  </si>
  <si>
    <t>R:\Deptos\Compras\GESTAO DEPARTAMENTO SUPRIMENTOS\27-PROJETOS\DN0826\DN0826 - NACIONALIZAÇÃO RIBE - 75640 (PINO REBITE M6 X 16).xlsx</t>
  </si>
  <si>
    <t>TS0326</t>
  </si>
  <si>
    <t>Venda de Equipamentos</t>
  </si>
  <si>
    <t>R:\Deptos\Compras\GESTAO DEPARTAMENTO SUPRIMENTOS\27-PROJETOS\TS0326\TS0326-Venda Máquinas.xlsx</t>
  </si>
  <si>
    <t>TS0426</t>
  </si>
  <si>
    <t>ULTRASOM</t>
  </si>
  <si>
    <t>R:\Deptos\Compras\GESTAO DEPARTAMENTO SUPRIMENTOS\27-PROJETOS\TS0426\TS0426- Ultrasom.xlsx</t>
  </si>
  <si>
    <t>DASHBOARD EXECUTIVO - VENDAS</t>
  </si>
  <si>
    <t>Meta Executiva</t>
  </si>
  <si>
    <t>RETORNO PREVISTO (Meta Executiva)</t>
  </si>
  <si>
    <t>PREVISTO 2026 (Meta Executiva)</t>
  </si>
  <si>
    <t>💰 RETORNO VALIDADO (Meta Executivo)</t>
  </si>
  <si>
    <t>💰 RETORNO REAL (Meta Executivo)</t>
  </si>
  <si>
    <t>Realinhamentos e Negociações</t>
  </si>
  <si>
    <t>Negociações que permitam acrescentar R$ 10M ao faturamento</t>
  </si>
  <si>
    <t>Marcos Possari</t>
  </si>
  <si>
    <t>Materia Prima - Desenvolvimento</t>
  </si>
  <si>
    <t xml:space="preserve">Validação de Materia Prima de Compra na China para o Projeto SAGA </t>
  </si>
  <si>
    <t>Ivan Polidoro</t>
  </si>
  <si>
    <t xml:space="preserve">Negócios Ganhos refletem receita futura </t>
  </si>
  <si>
    <t xml:space="preserve">Meta Executiva </t>
  </si>
  <si>
    <t>Redução de 16mm no Passo de corte de Blank entre as peças.</t>
  </si>
  <si>
    <t xml:space="preserve">Ivan Polidoro / Sidnei </t>
  </si>
  <si>
    <t>Ivan Polidoro / Sidnei</t>
  </si>
  <si>
    <t>Blank ZigZag - Carcaças de Ferraz</t>
  </si>
  <si>
    <t>Elisson / Polidoro</t>
  </si>
  <si>
    <t>impactos 2026 e 2027</t>
  </si>
  <si>
    <t>Marcelo Carlos/Ivan/Sidnei/Izaias</t>
  </si>
  <si>
    <t>proj2 - Boca de fogão Volvo</t>
  </si>
  <si>
    <t>Desmagnetizador</t>
  </si>
  <si>
    <t>DASHBOARD EXECUTIVO - CORPORATIVO</t>
  </si>
  <si>
    <t>São leopolso</t>
  </si>
  <si>
    <t>Geral</t>
  </si>
  <si>
    <t>G.Auditado</t>
  </si>
  <si>
    <t>Fase 01</t>
  </si>
  <si>
    <t>Fase 02</t>
  </si>
  <si>
    <t>Fase 03</t>
  </si>
  <si>
    <t>S.Leopoldo</t>
  </si>
  <si>
    <t>Raking Unidades</t>
  </si>
  <si>
    <t>Até Agora</t>
  </si>
  <si>
    <t>Projeto</t>
  </si>
  <si>
    <t>status</t>
  </si>
  <si>
    <t>Status  de Custos</t>
  </si>
  <si>
    <t>1º retorno previsto</t>
  </si>
  <si>
    <t>Previsto 2026</t>
  </si>
  <si>
    <t>Previsto até o momento</t>
  </si>
  <si>
    <t>Nº</t>
  </si>
  <si>
    <t>Retorno Real até o momento</t>
  </si>
  <si>
    <t>SL</t>
  </si>
  <si>
    <t>projeto</t>
  </si>
  <si>
    <t>Retorno previsto</t>
  </si>
  <si>
    <t>Controle de Indicadores</t>
  </si>
  <si>
    <t xml:space="preserve">Mantido </t>
  </si>
  <si>
    <t>Sergio (Nova ordem)</t>
  </si>
  <si>
    <t>antes</t>
  </si>
  <si>
    <t>MAURICIO (Nova ordem)</t>
  </si>
  <si>
    <t>Nova ordem</t>
  </si>
  <si>
    <t>Categoria</t>
  </si>
  <si>
    <t>Segurança Meio ambiente</t>
  </si>
  <si>
    <t>Ti</t>
  </si>
  <si>
    <t>RH</t>
  </si>
  <si>
    <t>(#02) - Ordem de produção</t>
  </si>
  <si>
    <t>(#03) - Matriz de versatilidade</t>
  </si>
  <si>
    <t>(#04) - IT 8.7.1.7 – 033 PLANO DE REAÇÃO</t>
  </si>
  <si>
    <t xml:space="preserve">(#05) - Form. 87 - PLANO DE CONTROLE </t>
  </si>
  <si>
    <t>(#06) - Form. 647 - INSTRUÇÃO DE TRABALHO</t>
  </si>
  <si>
    <t>Grupo Delga</t>
  </si>
  <si>
    <t>(#07) - Form.682 Quadro hora/hora</t>
  </si>
  <si>
    <t>Peso %</t>
  </si>
  <si>
    <t xml:space="preserve">(#0X) - #30+#22+#27+#26 = Identificação de material aprovado </t>
  </si>
  <si>
    <t xml:space="preserve">(#08) - Identificação de material aprovado </t>
  </si>
  <si>
    <t>(#09) - Form 032-Identificação de produto suspeito</t>
  </si>
  <si>
    <t>(#10) - Form 075 registro de inspeção</t>
  </si>
  <si>
    <t>(#11) - SQDCM</t>
  </si>
  <si>
    <t xml:space="preserve">Responsavel </t>
  </si>
  <si>
    <t>Data de Termino</t>
  </si>
  <si>
    <t>LJ0426</t>
  </si>
  <si>
    <t>LJ0526</t>
  </si>
  <si>
    <t>MIGRAÇÃO ITENS USIMINAS PARA ARCELOR</t>
  </si>
  <si>
    <t>MIGRAÇÃO ITENS CSN/USIMINAS PARA GERDAU</t>
  </si>
  <si>
    <t>R:\Deptos\Compras\GESTAO DEPARTAMENTO SUPRIMENTOS\27-PROJETOS\LJ0426\Migração de itens Usiminas para Arcelor.xlsx</t>
  </si>
  <si>
    <t>R:\Deptos\Compras\GESTAO DEPARTAMENTO SUPRIMENTOS\27-PROJETOS\LJ0526\LJ0526 MIGRAÇÃO DE ITENS CSN E USIMINAS PARA GERDAU - .xlsx</t>
  </si>
  <si>
    <t>26-Aumento de produtividade na LINHA SCHULER</t>
  </si>
  <si>
    <t xml:space="preserve">Ajuste de avanço e recuo dos braços mecânico de retirada de peças da linha SCHULER.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</si>
</sst>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8" formatCode="&quot;R$&quot;\ #,##0.00;[Red]\-&quot;R$&quot;\ #,##0.00"/>
    <numFmt numFmtId="44" formatCode="_-&quot;R$&quot;\ * #,##0.00_-;\-&quot;R$&quot;\ * #,##0.00_-;_-&quot;R$&quot;\ * &quot;-&quot;??_-;_-@_-"/>
    <numFmt numFmtId="43" formatCode="_-* #,##0.00_-;\-* #,##0.00_-;_-* &quot;-&quot;??_-;_-@_-"/>
    <numFmt numFmtId="164" formatCode="\R\$\ #,##0"/>
    <numFmt numFmtId="165" formatCode="0.0%"/>
    <numFmt numFmtId="166" formatCode="_-&quot;R$&quot;\ * #,##0_-;\-&quot;R$&quot;\ * #,##0_-;_-&quot;R$&quot;\ * &quot;-&quot;??_-;_-@_-"/>
    <numFmt numFmtId="167" formatCode="[$-F400]h:mm:ss\ AM/PM"/>
    <numFmt numFmtId="168" formatCode="_-&quot;R$&quot;\ * #,##0.000_-;\-&quot;R$&quot;\ * #,##0.000_-;_-&quot;R$&quot;\ * &quot;-&quot;??_-;_-@_-"/>
    <numFmt numFmtId="169" formatCode="[h]:mm:ss;@"/>
    <numFmt numFmtId="170" formatCode="_-[$R$-416]\ * #,##0.00_-;\-[$R$-416]\ * #,##0.00_-;_-[$R$-416]\ * &quot;-&quot;??_-;_-@_-"/>
    <numFmt numFmtId="171" formatCode="mmmm\,\ yyyy;@"/>
    <numFmt numFmtId="172" formatCode="0.0"/>
    <numFmt numFmtId="173" formatCode="mmmm"/>
    <numFmt numFmtId="174" formatCode="_(&quot;R$ &quot;* #,##0.00_);_(&quot;R$ &quot;* \(#,##0.00\);_(&quot;R$ &quot;* &quot;-&quot;??_);_(@_)"/>
    <numFmt numFmtId="175" formatCode="&quot;R$&quot;\ #,##0.00"/>
    <numFmt numFmtId="176" formatCode="_-&quot;R$&quot;\ * #,##0.0000_-;\-&quot;R$&quot;\ * #,##0.0000_-;_-&quot;R$&quot;\ * &quot;-&quot;??_-;_-@_-"/>
    <numFmt numFmtId="177" formatCode="_(&quot;R$ &quot;* #,##0_);_(&quot;R$ &quot;* \(#,##0\);_(&quot;R$ &quot;* &quot;-&quot;??_);_(@_)"/>
  </numFmts>
  <fonts count="155" x14ac:knownFonts="1">
    <font>
      <sz val="11"/>
      <color theme="1"/>
      <name val="Calibri"/>
      <family val="2"/>
      <scheme val="minor"/>
    </font>
    <font>
      <sz val="11"/>
      <color theme="1"/>
      <name val="Calibri"/>
      <family val="2"/>
      <scheme val="minor"/>
    </font>
    <font>
      <b/>
      <sz val="20"/>
      <color rgb="FF000099"/>
      <name val="Calibri"/>
      <family val="2"/>
    </font>
    <font>
      <b/>
      <sz val="14"/>
      <color rgb="FFFFFFFF"/>
      <name val="Calibri"/>
      <family val="2"/>
    </font>
    <font>
      <b/>
      <sz val="10"/>
      <name val="Calibri"/>
      <family val="2"/>
    </font>
    <font>
      <b/>
      <sz val="16"/>
      <color rgb="FF000099"/>
      <name val="Calibri"/>
      <family val="2"/>
    </font>
    <font>
      <b/>
      <sz val="12"/>
      <color rgb="FFFFFFFF"/>
      <name val="Calibri"/>
      <family val="2"/>
    </font>
    <font>
      <b/>
      <sz val="11"/>
      <name val="Calibri"/>
      <family val="2"/>
    </font>
    <font>
      <b/>
      <sz val="9"/>
      <name val="Calibri"/>
      <family val="2"/>
    </font>
    <font>
      <b/>
      <sz val="14"/>
      <name val="Calibri"/>
      <family val="2"/>
    </font>
    <font>
      <sz val="11"/>
      <color theme="1"/>
      <name val="Calibri"/>
      <family val="2"/>
      <scheme val="minor"/>
    </font>
    <font>
      <b/>
      <sz val="11"/>
      <color theme="0"/>
      <name val="Calibri"/>
      <family val="2"/>
      <scheme val="minor"/>
    </font>
    <font>
      <sz val="8"/>
      <name val="Calibri"/>
      <family val="2"/>
      <scheme val="minor"/>
    </font>
    <font>
      <b/>
      <sz val="12"/>
      <color rgb="FFFFFFFF"/>
      <name val="Calibri"/>
      <family val="2"/>
      <scheme val="minor"/>
    </font>
    <font>
      <sz val="11"/>
      <color rgb="FF000000"/>
      <name val="Calibri"/>
      <family val="2"/>
      <scheme val="minor"/>
    </font>
    <font>
      <sz val="10"/>
      <color theme="1"/>
      <name val="Calibri"/>
      <family val="2"/>
      <scheme val="minor"/>
    </font>
    <font>
      <b/>
      <sz val="11"/>
      <color theme="1"/>
      <name val="Calibri"/>
      <family val="2"/>
      <scheme val="minor"/>
    </font>
    <font>
      <b/>
      <sz val="10"/>
      <color rgb="FF404040"/>
      <name val="Calibri"/>
      <family val="2"/>
    </font>
    <font>
      <b/>
      <sz val="10"/>
      <color rgb="FFFFFFFF"/>
      <name val="Calibri"/>
      <family val="2"/>
    </font>
    <font>
      <b/>
      <sz val="26"/>
      <color rgb="FF1F4E79"/>
      <name val="Calibri"/>
      <family val="2"/>
    </font>
    <font>
      <b/>
      <sz val="26"/>
      <color rgb="FFFFC000"/>
      <name val="Calibri"/>
      <family val="2"/>
    </font>
    <font>
      <b/>
      <sz val="26"/>
      <color rgb="FF2E75B6"/>
      <name val="Calibri"/>
      <family val="2"/>
    </font>
    <font>
      <sz val="11"/>
      <color rgb="FF2E75B6"/>
      <name val="Calibri"/>
      <family val="2"/>
    </font>
    <font>
      <b/>
      <sz val="11"/>
      <color rgb="FF00B050"/>
      <name val="Calibri"/>
      <family val="2"/>
    </font>
    <font>
      <b/>
      <sz val="14"/>
      <color rgb="FFFFC000"/>
      <name val="Calibri"/>
      <family val="2"/>
    </font>
    <font>
      <b/>
      <sz val="26"/>
      <color rgb="FF00B050"/>
      <name val="Calibri"/>
      <family val="2"/>
    </font>
    <font>
      <b/>
      <sz val="28"/>
      <color rgb="FF00B050"/>
      <name val="Calibri"/>
      <family val="2"/>
    </font>
    <font>
      <b/>
      <sz val="11"/>
      <color rgb="FFFFFFFF"/>
      <name val="Calibri"/>
      <family val="2"/>
    </font>
    <font>
      <b/>
      <sz val="24"/>
      <color rgb="FFFFFFFF"/>
      <name val="Calibri"/>
      <family val="2"/>
    </font>
    <font>
      <b/>
      <sz val="26"/>
      <color theme="3" tint="0.39997558519241921"/>
      <name val="Calibri"/>
      <family val="2"/>
    </font>
    <font>
      <b/>
      <sz val="10"/>
      <color theme="0"/>
      <name val="Calibri"/>
      <family val="2"/>
    </font>
    <font>
      <u/>
      <sz val="11"/>
      <color theme="10"/>
      <name val="Calibri"/>
      <family val="2"/>
      <scheme val="minor"/>
    </font>
    <font>
      <b/>
      <sz val="16"/>
      <color rgb="FFFFFFFF"/>
      <name val="Calibri"/>
      <family val="2"/>
    </font>
    <font>
      <sz val="9"/>
      <color theme="1"/>
      <name val="Calibri"/>
      <family val="2"/>
      <scheme val="minor"/>
    </font>
    <font>
      <sz val="12"/>
      <color theme="1"/>
      <name val="Calibri"/>
      <family val="2"/>
      <scheme val="minor"/>
    </font>
    <font>
      <b/>
      <sz val="24"/>
      <color theme="3" tint="0.39997558519241921"/>
      <name val="Calibri"/>
      <family val="2"/>
      <scheme val="minor"/>
    </font>
    <font>
      <b/>
      <sz val="12"/>
      <color theme="3" tint="-0.249977111117893"/>
      <name val="Calibri"/>
      <family val="2"/>
      <scheme val="minor"/>
    </font>
    <font>
      <b/>
      <sz val="11"/>
      <color theme="0"/>
      <name val="Calibri"/>
      <family val="2"/>
    </font>
    <font>
      <b/>
      <sz val="10"/>
      <color rgb="FF002060"/>
      <name val="Calibri"/>
      <family val="2"/>
    </font>
    <font>
      <b/>
      <sz val="10"/>
      <color theme="1" tint="4.9989318521683403E-2"/>
      <name val="Calibri"/>
      <family val="2"/>
    </font>
    <font>
      <b/>
      <sz val="11"/>
      <color theme="1" tint="4.9989318521683403E-2"/>
      <name val="Calibri"/>
      <family val="2"/>
    </font>
    <font>
      <b/>
      <sz val="12"/>
      <color rgb="FF002060"/>
      <name val="Calibri"/>
      <family val="2"/>
    </font>
    <font>
      <b/>
      <sz val="12"/>
      <color theme="1" tint="4.9989318521683403E-2"/>
      <name val="Calibri"/>
      <family val="2"/>
    </font>
    <font>
      <b/>
      <sz val="48"/>
      <color rgb="FFFFFFFF"/>
      <name val="Calibri"/>
      <family val="2"/>
    </font>
    <font>
      <sz val="48"/>
      <color theme="1"/>
      <name val="Calibri"/>
      <family val="2"/>
      <scheme val="minor"/>
    </font>
    <font>
      <b/>
      <sz val="28"/>
      <color rgb="FF1F4E79"/>
      <name val="Calibri"/>
      <family val="2"/>
    </font>
    <font>
      <sz val="11"/>
      <color theme="0"/>
      <name val="Calibri"/>
      <family val="2"/>
      <scheme val="minor"/>
    </font>
    <font>
      <u/>
      <sz val="11"/>
      <color theme="0"/>
      <name val="Calibri"/>
      <family val="2"/>
      <scheme val="minor"/>
    </font>
    <font>
      <sz val="20"/>
      <color theme="1"/>
      <name val="Calibri"/>
      <family val="2"/>
      <scheme val="minor"/>
    </font>
    <font>
      <b/>
      <sz val="12"/>
      <color theme="1"/>
      <name val="Calibri"/>
      <family val="2"/>
      <scheme val="minor"/>
    </font>
    <font>
      <b/>
      <sz val="16"/>
      <color rgb="FF000099"/>
      <name val="Calibri"/>
      <family val="2"/>
      <scheme val="minor"/>
    </font>
    <font>
      <sz val="11"/>
      <color rgb="FFFF0000"/>
      <name val="Calibri"/>
      <family val="2"/>
      <scheme val="minor"/>
    </font>
    <font>
      <b/>
      <sz val="11"/>
      <color rgb="FF00B050"/>
      <name val="Calibri"/>
      <family val="2"/>
      <scheme val="minor"/>
    </font>
    <font>
      <u/>
      <sz val="11"/>
      <color theme="1"/>
      <name val="Calibri"/>
      <family val="2"/>
      <scheme val="minor"/>
    </font>
    <font>
      <b/>
      <sz val="8"/>
      <color theme="1" tint="4.9989318521683403E-2"/>
      <name val="Calibri"/>
      <family val="2"/>
    </font>
    <font>
      <sz val="11"/>
      <color rgb="FF00B050"/>
      <name val="Calibri"/>
      <family val="2"/>
      <scheme val="minor"/>
    </font>
    <font>
      <b/>
      <sz val="9"/>
      <color indexed="81"/>
      <name val="Segoe UI"/>
      <family val="2"/>
    </font>
    <font>
      <sz val="9"/>
      <color indexed="81"/>
      <name val="Segoe UI"/>
      <family val="2"/>
    </font>
    <font>
      <sz val="11"/>
      <name val="Calibri"/>
      <family val="2"/>
      <scheme val="minor"/>
    </font>
    <font>
      <i/>
      <sz val="11"/>
      <color theme="5" tint="-0.249977111117893"/>
      <name val="Calibri"/>
      <family val="2"/>
      <scheme val="minor"/>
    </font>
    <font>
      <i/>
      <sz val="11"/>
      <color rgb="FFC00000"/>
      <name val="Calibri"/>
      <family val="2"/>
      <scheme val="minor"/>
    </font>
    <font>
      <b/>
      <sz val="12"/>
      <name val="Calibri"/>
      <family val="2"/>
    </font>
    <font>
      <sz val="11"/>
      <color rgb="FF002060"/>
      <name val="Calibri"/>
      <family val="2"/>
      <scheme val="minor"/>
    </font>
    <font>
      <sz val="12"/>
      <color rgb="FF002060"/>
      <name val="Calibri"/>
      <family val="2"/>
      <scheme val="minor"/>
    </font>
    <font>
      <b/>
      <sz val="12"/>
      <color rgb="FF002060"/>
      <name val="Calibri"/>
      <family val="2"/>
      <scheme val="minor"/>
    </font>
    <font>
      <b/>
      <sz val="14"/>
      <color theme="1"/>
      <name val="Calibri"/>
      <family val="2"/>
      <scheme val="minor"/>
    </font>
    <font>
      <sz val="10"/>
      <color rgb="FF002060"/>
      <name val="Calibri"/>
      <family val="2"/>
      <scheme val="minor"/>
    </font>
    <font>
      <sz val="9"/>
      <color rgb="FFFF0000"/>
      <name val="Calibri"/>
      <family val="2"/>
    </font>
    <font>
      <b/>
      <sz val="11"/>
      <name val="Calibri"/>
      <family val="2"/>
      <scheme val="minor"/>
    </font>
    <font>
      <b/>
      <sz val="11"/>
      <color theme="3"/>
      <name val="Calibri"/>
      <family val="2"/>
      <scheme val="minor"/>
    </font>
    <font>
      <b/>
      <sz val="11"/>
      <color rgb="FFFF0000"/>
      <name val="Calibri"/>
      <family val="2"/>
      <scheme val="minor"/>
    </font>
    <font>
      <sz val="11"/>
      <color theme="3"/>
      <name val="Calibri"/>
      <family val="2"/>
      <scheme val="minor"/>
    </font>
    <font>
      <sz val="10"/>
      <color indexed="81"/>
      <name val="Segoe UI"/>
      <family val="2"/>
    </font>
    <font>
      <sz val="14"/>
      <color theme="1"/>
      <name val="Calibri"/>
      <family val="2"/>
      <scheme val="minor"/>
    </font>
    <font>
      <b/>
      <sz val="14"/>
      <color rgb="FF00B050"/>
      <name val="Calibri"/>
      <family val="2"/>
    </font>
    <font>
      <b/>
      <sz val="14"/>
      <color rgb="FF404040"/>
      <name val="Calibri"/>
      <family val="2"/>
    </font>
    <font>
      <b/>
      <u/>
      <sz val="11"/>
      <color theme="1"/>
      <name val="Calibri"/>
      <family val="2"/>
      <scheme val="minor"/>
    </font>
    <font>
      <b/>
      <u/>
      <sz val="11"/>
      <color rgb="FFC00000"/>
      <name val="Calibri"/>
      <family val="2"/>
      <scheme val="minor"/>
    </font>
    <font>
      <b/>
      <sz val="11"/>
      <color rgb="FFC00000"/>
      <name val="Calibri"/>
      <family val="2"/>
      <scheme val="minor"/>
    </font>
    <font>
      <sz val="11"/>
      <color rgb="FFC00000"/>
      <name val="Calibri"/>
      <family val="2"/>
      <scheme val="minor"/>
    </font>
    <font>
      <b/>
      <sz val="26"/>
      <color theme="9" tint="0.39997558519241921"/>
      <name val="Calibri"/>
      <family val="2"/>
    </font>
    <font>
      <sz val="11"/>
      <name val="Calibri"/>
      <family val="2"/>
    </font>
    <font>
      <b/>
      <sz val="11"/>
      <color rgb="FF0000FF"/>
      <name val="Calibri"/>
      <family val="2"/>
      <scheme val="minor"/>
    </font>
    <font>
      <b/>
      <u/>
      <sz val="9"/>
      <name val="Calibri"/>
      <family val="2"/>
    </font>
    <font>
      <u/>
      <sz val="8"/>
      <color rgb="FF0000FF"/>
      <name val="Calibri"/>
      <family val="2"/>
      <scheme val="minor"/>
    </font>
    <font>
      <b/>
      <sz val="10"/>
      <color rgb="FF002060"/>
      <name val="Calibri"/>
      <family val="2"/>
      <scheme val="minor"/>
    </font>
    <font>
      <b/>
      <sz val="10"/>
      <color rgb="FF000099"/>
      <name val="Calibri"/>
      <family val="2"/>
    </font>
    <font>
      <b/>
      <sz val="12"/>
      <color rgb="FF000099"/>
      <name val="Calibri"/>
      <family val="2"/>
    </font>
    <font>
      <b/>
      <sz val="11"/>
      <color rgb="FF002060"/>
      <name val="Calibri"/>
      <family val="2"/>
      <scheme val="minor"/>
    </font>
    <font>
      <sz val="10"/>
      <name val="Calibri"/>
      <family val="2"/>
    </font>
    <font>
      <u/>
      <sz val="11"/>
      <color rgb="FFFF0000"/>
      <name val="Calibri"/>
      <family val="2"/>
      <scheme val="minor"/>
    </font>
    <font>
      <b/>
      <sz val="12"/>
      <color theme="0"/>
      <name val="Calibri"/>
      <family val="2"/>
      <scheme val="minor"/>
    </font>
    <font>
      <sz val="11"/>
      <color rgb="FF000000"/>
      <name val="Aptos Narrow"/>
      <family val="2"/>
    </font>
    <font>
      <u/>
      <sz val="11"/>
      <name val="Calibri"/>
      <family val="2"/>
      <scheme val="minor"/>
    </font>
    <font>
      <sz val="9"/>
      <color theme="1"/>
      <name val="Segoe UI"/>
      <family val="2"/>
    </font>
    <font>
      <u/>
      <sz val="12"/>
      <color rgb="FF002060"/>
      <name val="Calibri"/>
      <family val="2"/>
      <scheme val="minor"/>
    </font>
    <font>
      <sz val="10"/>
      <color rgb="FFFF0000"/>
      <name val="Calibri"/>
      <family val="2"/>
      <scheme val="minor"/>
    </font>
    <font>
      <b/>
      <sz val="11"/>
      <color theme="9" tint="-0.249977111117893"/>
      <name val="Calibri"/>
      <family val="2"/>
      <scheme val="minor"/>
    </font>
    <font>
      <sz val="11"/>
      <color theme="9" tint="-0.249977111117893"/>
      <name val="Calibri"/>
      <family val="2"/>
      <scheme val="minor"/>
    </font>
    <font>
      <b/>
      <i/>
      <sz val="11"/>
      <color theme="9" tint="-0.249977111117893"/>
      <name val="Calibri"/>
      <family val="2"/>
      <scheme val="minor"/>
    </font>
    <font>
      <b/>
      <strike/>
      <sz val="11"/>
      <color theme="9" tint="0.39997558519241921"/>
      <name val="Calibri"/>
      <family val="2"/>
      <scheme val="minor"/>
    </font>
    <font>
      <strike/>
      <sz val="11"/>
      <color theme="9" tint="0.39997558519241921"/>
      <name val="Calibri"/>
      <family val="2"/>
      <scheme val="minor"/>
    </font>
    <font>
      <strike/>
      <u/>
      <sz val="11"/>
      <color theme="9" tint="0.39997558519241921"/>
      <name val="Calibri"/>
      <family val="2"/>
      <scheme val="minor"/>
    </font>
    <font>
      <sz val="11.5"/>
      <color theme="1"/>
      <name val="Calibri"/>
      <family val="2"/>
      <scheme val="minor"/>
    </font>
    <font>
      <u/>
      <sz val="10"/>
      <color theme="10"/>
      <name val="Arial"/>
      <family val="2"/>
    </font>
    <font>
      <sz val="10"/>
      <name val="Arial"/>
      <family val="2"/>
    </font>
    <font>
      <sz val="10"/>
      <color theme="1"/>
      <name val="Arial"/>
      <family val="2"/>
    </font>
    <font>
      <sz val="10"/>
      <name val="Arial Narrow"/>
      <family val="2"/>
    </font>
    <font>
      <sz val="11"/>
      <color indexed="8"/>
      <name val="Calibri"/>
      <family val="2"/>
    </font>
    <font>
      <b/>
      <sz val="11"/>
      <color rgb="FF92D050"/>
      <name val="Calibri"/>
      <family val="2"/>
      <scheme val="minor"/>
    </font>
    <font>
      <b/>
      <sz val="10"/>
      <color rgb="FFFF0000"/>
      <name val="Calibri"/>
      <family val="2"/>
      <scheme val="minor"/>
    </font>
    <font>
      <sz val="10"/>
      <color rgb="FF00B050"/>
      <name val="Calibri"/>
      <family val="2"/>
      <scheme val="minor"/>
    </font>
    <font>
      <sz val="10"/>
      <color theme="9" tint="-0.249977111117893"/>
      <name val="Calibri"/>
      <family val="2"/>
      <scheme val="minor"/>
    </font>
    <font>
      <i/>
      <sz val="10"/>
      <color theme="7"/>
      <name val="Calibri"/>
      <family val="2"/>
      <scheme val="minor"/>
    </font>
    <font>
      <b/>
      <i/>
      <sz val="10"/>
      <color theme="7"/>
      <name val="Calibri"/>
      <family val="2"/>
      <scheme val="minor"/>
    </font>
    <font>
      <b/>
      <sz val="10"/>
      <color theme="9"/>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u/>
      <sz val="10"/>
      <color rgb="FF002060"/>
      <name val="Calibri"/>
      <family val="2"/>
      <scheme val="minor"/>
    </font>
    <font>
      <sz val="11"/>
      <color theme="9"/>
      <name val="Calibri"/>
      <family val="2"/>
      <scheme val="minor"/>
    </font>
    <font>
      <u/>
      <sz val="11"/>
      <color theme="9"/>
      <name val="Calibri"/>
      <family val="2"/>
      <scheme val="minor"/>
    </font>
    <font>
      <sz val="10"/>
      <color theme="1" tint="4.9989318521683403E-2"/>
      <name val="Calibri"/>
      <family val="2"/>
      <scheme val="minor"/>
    </font>
    <font>
      <b/>
      <sz val="11"/>
      <color theme="1" tint="4.9989318521683403E-2"/>
      <name val="Calibri"/>
      <family val="2"/>
      <scheme val="minor"/>
    </font>
    <font>
      <strike/>
      <sz val="11"/>
      <color theme="1"/>
      <name val="Calibri"/>
      <family val="2"/>
      <scheme val="minor"/>
    </font>
    <font>
      <strike/>
      <u/>
      <sz val="11"/>
      <color rgb="FFFF0000"/>
      <name val="Calibri"/>
      <family val="2"/>
      <scheme val="minor"/>
    </font>
    <font>
      <b/>
      <strike/>
      <sz val="11"/>
      <color theme="1"/>
      <name val="Calibri"/>
      <family val="2"/>
      <scheme val="minor"/>
    </font>
    <font>
      <strike/>
      <sz val="11"/>
      <color theme="3"/>
      <name val="Calibri"/>
      <family val="2"/>
      <scheme val="minor"/>
    </font>
    <font>
      <strike/>
      <u/>
      <sz val="11"/>
      <color theme="3"/>
      <name val="Calibri"/>
      <family val="2"/>
      <scheme val="minor"/>
    </font>
    <font>
      <b/>
      <i/>
      <sz val="11"/>
      <color theme="1"/>
      <name val="Calibri"/>
      <family val="2"/>
      <scheme val="minor"/>
    </font>
    <font>
      <b/>
      <sz val="12"/>
      <color rgb="FF00B050"/>
      <name val="Calibri"/>
      <family val="2"/>
    </font>
    <font>
      <sz val="11"/>
      <color rgb="FF000000"/>
      <name val="Calibri"/>
      <family val="2"/>
    </font>
    <font>
      <u/>
      <sz val="11"/>
      <color rgb="FF0000FF"/>
      <name val="Calibri"/>
      <family val="2"/>
      <scheme val="minor"/>
    </font>
    <font>
      <sz val="12"/>
      <color rgb="FFFF0000"/>
      <name val="Calibri"/>
      <family val="2"/>
      <scheme val="minor"/>
    </font>
    <font>
      <b/>
      <sz val="20"/>
      <color rgb="FFFFFFFF"/>
      <name val="Calibri"/>
      <family val="2"/>
    </font>
    <font>
      <b/>
      <sz val="20"/>
      <color theme="1"/>
      <name val="Calibri"/>
      <family val="2"/>
      <scheme val="minor"/>
    </font>
    <font>
      <b/>
      <sz val="11"/>
      <color theme="9"/>
      <name val="Calibri"/>
      <family val="2"/>
      <scheme val="minor"/>
    </font>
    <font>
      <b/>
      <sz val="9"/>
      <color indexed="81"/>
      <name val="Tahoma"/>
      <family val="2"/>
    </font>
    <font>
      <sz val="9"/>
      <color indexed="81"/>
      <name val="Tahoma"/>
      <family val="2"/>
    </font>
    <font>
      <b/>
      <sz val="10"/>
      <color rgb="FF00B050"/>
      <name val="Calibri"/>
      <family val="2"/>
    </font>
    <font>
      <b/>
      <sz val="12"/>
      <color rgb="FF00B050"/>
      <name val="Calibri"/>
      <family val="2"/>
      <scheme val="minor"/>
    </font>
    <font>
      <sz val="12"/>
      <color rgb="FFFFFFFF"/>
      <name val="Calibri"/>
      <family val="2"/>
    </font>
    <font>
      <sz val="11"/>
      <color theme="1"/>
      <name val="Aptos Display"/>
      <family val="2"/>
    </font>
    <font>
      <sz val="10"/>
      <name val="Aptos Display"/>
      <family val="2"/>
    </font>
    <font>
      <strike/>
      <sz val="11"/>
      <color rgb="FF000000"/>
      <name val="Calibri"/>
      <family val="2"/>
      <scheme val="minor"/>
    </font>
    <font>
      <b/>
      <sz val="10"/>
      <color rgb="FF00B050"/>
      <name val="Aptos Narrow"/>
      <family val="2"/>
    </font>
    <font>
      <b/>
      <sz val="11"/>
      <color theme="5" tint="-0.249977111117893"/>
      <name val="Calibri"/>
      <family val="2"/>
      <scheme val="minor"/>
    </font>
    <font>
      <sz val="11"/>
      <color theme="5" tint="-0.249977111117893"/>
      <name val="Calibri"/>
      <family val="2"/>
      <scheme val="minor"/>
    </font>
    <font>
      <sz val="11"/>
      <color rgb="FFCCECFF"/>
      <name val="Calibri"/>
      <family val="2"/>
      <scheme val="minor"/>
    </font>
    <font>
      <u/>
      <sz val="8"/>
      <color theme="10"/>
      <name val="Calibri"/>
      <family val="2"/>
      <scheme val="minor"/>
    </font>
    <font>
      <sz val="14"/>
      <name val="Arial"/>
      <family val="2"/>
    </font>
    <font>
      <sz val="8"/>
      <color rgb="FF000000"/>
      <name val="Segoe UI"/>
      <family val="2"/>
    </font>
    <font>
      <b/>
      <u/>
      <sz val="11"/>
      <color rgb="FF009900"/>
      <name val="Calibri"/>
      <family val="2"/>
      <scheme val="minor"/>
    </font>
    <font>
      <b/>
      <sz val="11"/>
      <color rgb="FF009900"/>
      <name val="Calibri"/>
      <family val="2"/>
      <scheme val="minor"/>
    </font>
    <font>
      <b/>
      <u val="singleAccounting"/>
      <sz val="11"/>
      <color rgb="FF009900"/>
      <name val="Calibri"/>
      <family val="2"/>
      <scheme val="minor"/>
    </font>
  </fonts>
  <fills count="69">
    <fill>
      <patternFill patternType="none"/>
    </fill>
    <fill>
      <patternFill patternType="gray125"/>
    </fill>
    <fill>
      <patternFill patternType="solid">
        <fgColor rgb="FF000099"/>
        <bgColor rgb="FF000099"/>
      </patternFill>
    </fill>
    <fill>
      <patternFill patternType="solid">
        <fgColor rgb="FFCCD7FF"/>
        <bgColor rgb="FFCCD7FF"/>
      </patternFill>
    </fill>
    <fill>
      <patternFill patternType="solid">
        <fgColor rgb="FF00994C"/>
        <bgColor rgb="FF00994C"/>
      </patternFill>
    </fill>
    <fill>
      <patternFill patternType="solid">
        <fgColor rgb="FFDC3545"/>
        <bgColor rgb="FFDC3545"/>
      </patternFill>
    </fill>
    <fill>
      <patternFill patternType="solid">
        <fgColor theme="3" tint="0.79998168889431442"/>
        <bgColor indexed="64"/>
      </patternFill>
    </fill>
    <fill>
      <patternFill patternType="solid">
        <fgColor theme="3" tint="0.79998168889431442"/>
        <bgColor rgb="FFCCD7FF"/>
      </patternFill>
    </fill>
    <fill>
      <patternFill patternType="solid">
        <fgColor theme="0" tint="-4.9989318521683403E-2"/>
        <bgColor indexed="64"/>
      </patternFill>
    </fill>
    <fill>
      <patternFill patternType="solid">
        <fgColor rgb="FF000099"/>
        <bgColor indexed="64"/>
      </patternFill>
    </fill>
    <fill>
      <patternFill patternType="solid">
        <fgColor theme="0"/>
        <bgColor indexed="64"/>
      </patternFill>
    </fill>
    <fill>
      <patternFill patternType="solid">
        <fgColor theme="4" tint="0.79998168889431442"/>
        <bgColor indexed="64"/>
      </patternFill>
    </fill>
    <fill>
      <patternFill patternType="solid">
        <fgColor rgb="FF1F4E79"/>
        <bgColor rgb="FF1F4E79"/>
      </patternFill>
    </fill>
    <fill>
      <patternFill patternType="solid">
        <fgColor rgb="FF2E75B6"/>
        <bgColor rgb="FF2E75B6"/>
      </patternFill>
    </fill>
    <fill>
      <patternFill patternType="solid">
        <fgColor rgb="FFF2F2F2"/>
        <bgColor rgb="FFF2F2F2"/>
      </patternFill>
    </fill>
    <fill>
      <patternFill patternType="solid">
        <fgColor rgb="FFFFEB9C"/>
        <bgColor rgb="FFFFEB9C"/>
      </patternFill>
    </fill>
    <fill>
      <patternFill patternType="solid">
        <fgColor rgb="FF00B050"/>
        <bgColor rgb="FF00B050"/>
      </patternFill>
    </fill>
    <fill>
      <patternFill patternType="solid">
        <fgColor theme="8" tint="0.79998168889431442"/>
        <bgColor indexed="64"/>
      </patternFill>
    </fill>
    <fill>
      <patternFill patternType="solid">
        <fgColor rgb="FFFFFF99"/>
        <bgColor indexed="64"/>
      </patternFill>
    </fill>
    <fill>
      <patternFill patternType="solid">
        <fgColor rgb="FFFFCC99"/>
        <bgColor indexed="64"/>
      </patternFill>
    </fill>
    <fill>
      <patternFill patternType="solid">
        <fgColor theme="3" tint="0.39997558519241921"/>
        <bgColor rgb="FF00B050"/>
      </patternFill>
    </fill>
    <fill>
      <patternFill patternType="solid">
        <fgColor theme="4" tint="0.79998168889431442"/>
        <bgColor rgb="FFF2F2F2"/>
      </patternFill>
    </fill>
    <fill>
      <patternFill patternType="solid">
        <fgColor theme="0"/>
        <bgColor rgb="FFF2F2F2"/>
      </patternFill>
    </fill>
    <fill>
      <patternFill patternType="solid">
        <fgColor theme="3" tint="0.39997558519241921"/>
        <bgColor indexed="64"/>
      </patternFill>
    </fill>
    <fill>
      <patternFill patternType="solid">
        <fgColor theme="0"/>
        <bgColor rgb="FF1F4E79"/>
      </patternFill>
    </fill>
    <fill>
      <patternFill patternType="solid">
        <fgColor rgb="FF000099"/>
        <bgColor rgb="FF1F4E79"/>
      </patternFill>
    </fill>
    <fill>
      <patternFill patternType="solid">
        <fgColor rgb="FF000099"/>
        <bgColor rgb="FFF2F2F2"/>
      </patternFill>
    </fill>
    <fill>
      <patternFill patternType="solid">
        <fgColor theme="3" tint="0.59999389629810485"/>
        <bgColor rgb="FFF2F2F2"/>
      </patternFill>
    </fill>
    <fill>
      <patternFill patternType="solid">
        <fgColor theme="4" tint="0.79998168889431442"/>
        <bgColor theme="4" tint="0.79998168889431442"/>
      </patternFill>
    </fill>
    <fill>
      <patternFill patternType="solid">
        <fgColor theme="9" tint="0.79998168889431442"/>
        <bgColor rgb="FFCCD7FF"/>
      </patternFill>
    </fill>
    <fill>
      <patternFill patternType="solid">
        <fgColor theme="4" tint="0.79998168889431442"/>
        <bgColor rgb="FF00B050"/>
      </patternFill>
    </fill>
    <fill>
      <patternFill patternType="solid">
        <fgColor theme="2"/>
        <bgColor rgb="FF00B050"/>
      </patternFill>
    </fill>
    <fill>
      <patternFill patternType="solid">
        <fgColor theme="2"/>
        <bgColor rgb="FFF2F2F2"/>
      </patternFill>
    </fill>
    <fill>
      <patternFill patternType="solid">
        <fgColor theme="4" tint="0.59999389629810485"/>
        <bgColor rgb="FF00B050"/>
      </patternFill>
    </fill>
    <fill>
      <patternFill patternType="solid">
        <fgColor theme="4" tint="0.59999389629810485"/>
        <bgColor rgb="FFF2F2F2"/>
      </patternFill>
    </fill>
    <fill>
      <patternFill patternType="solid">
        <fgColor theme="3" tint="0.59999389629810485"/>
        <bgColor rgb="FF00B050"/>
      </patternFill>
    </fill>
    <fill>
      <patternFill patternType="solid">
        <fgColor theme="0"/>
        <bgColor rgb="FF000099"/>
      </patternFill>
    </fill>
    <fill>
      <patternFill patternType="solid">
        <fgColor rgb="FFFFFFFF"/>
        <bgColor rgb="FF000000"/>
      </patternFill>
    </fill>
    <fill>
      <patternFill patternType="solid">
        <fgColor rgb="FFCCD7FF"/>
        <bgColor indexed="64"/>
      </patternFill>
    </fill>
    <fill>
      <patternFill patternType="solid">
        <fgColor theme="6" tint="0.79998168889431442"/>
        <bgColor rgb="FFFFEB9C"/>
      </patternFill>
    </fill>
    <fill>
      <patternFill patternType="solid">
        <fgColor theme="6" tint="0.79998168889431442"/>
        <bgColor indexed="64"/>
      </patternFill>
    </fill>
    <fill>
      <patternFill patternType="solid">
        <fgColor rgb="FFC5D9F1"/>
        <bgColor rgb="FF000000"/>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39997558519241921"/>
        <bgColor rgb="FF000099"/>
      </patternFill>
    </fill>
    <fill>
      <patternFill patternType="solid">
        <fgColor theme="9" tint="0.59999389629810485"/>
        <bgColor rgb="FFFFEB9C"/>
      </patternFill>
    </fill>
    <fill>
      <patternFill patternType="gray0625">
        <fgColor theme="4"/>
        <bgColor rgb="FF1F4E79"/>
      </patternFill>
    </fill>
    <fill>
      <patternFill patternType="gray0625">
        <fgColor theme="4"/>
        <bgColor rgb="FFF2F2F2"/>
      </patternFill>
    </fill>
    <fill>
      <patternFill patternType="gray0625">
        <fgColor theme="4"/>
        <bgColor theme="8" tint="0.79998168889431442"/>
      </patternFill>
    </fill>
    <fill>
      <patternFill patternType="gray0625">
        <fgColor theme="4"/>
        <bgColor rgb="FFFFFF99"/>
      </patternFill>
    </fill>
    <fill>
      <patternFill patternType="gray0625">
        <fgColor theme="4"/>
        <bgColor rgb="FFFFCC99"/>
      </patternFill>
    </fill>
    <fill>
      <patternFill patternType="gray0625">
        <fgColor theme="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000000"/>
      </patternFill>
    </fill>
    <fill>
      <patternFill patternType="solid">
        <fgColor theme="4"/>
        <bgColor indexed="64"/>
      </patternFill>
    </fill>
    <fill>
      <patternFill patternType="solid">
        <fgColor theme="3"/>
        <bgColor indexed="64"/>
      </patternFill>
    </fill>
    <fill>
      <patternFill patternType="solid">
        <fgColor theme="2" tint="-9.9978637043366805E-2"/>
        <bgColor indexed="64"/>
      </patternFill>
    </fill>
    <fill>
      <patternFill patternType="solid">
        <fgColor rgb="FFF2F2F2"/>
        <bgColor rgb="FF000000"/>
      </patternFill>
    </fill>
    <fill>
      <patternFill patternType="solid">
        <fgColor theme="9"/>
        <bgColor indexed="64"/>
      </patternFill>
    </fill>
    <fill>
      <patternFill patternType="solid">
        <fgColor theme="1" tint="0.499984740745262"/>
        <bgColor indexed="64"/>
      </patternFill>
    </fill>
    <fill>
      <patternFill patternType="solid">
        <fgColor theme="3" tint="0.749992370372631"/>
        <bgColor indexed="64"/>
      </patternFill>
    </fill>
    <fill>
      <patternFill patternType="solid">
        <fgColor rgb="FF00B050"/>
        <bgColor rgb="FFF2F2F2"/>
      </patternFill>
    </fill>
    <fill>
      <patternFill patternType="solid">
        <fgColor rgb="FFFF99FF"/>
        <bgColor indexed="64"/>
      </patternFill>
    </fill>
    <fill>
      <patternFill patternType="solid">
        <fgColor rgb="FFDCE6F1"/>
        <bgColor rgb="FFDCE6F1"/>
      </patternFill>
    </fill>
    <fill>
      <patternFill patternType="solid">
        <fgColor rgb="FFFFC000"/>
        <bgColor indexed="64"/>
      </patternFill>
    </fill>
  </fills>
  <borders count="11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theme="3" tint="0.39994506668294322"/>
      </top>
      <bottom style="thin">
        <color theme="3" tint="0.39994506668294322"/>
      </bottom>
      <diagonal/>
    </border>
    <border>
      <left style="thin">
        <color theme="3" tint="0.59996337778862885"/>
      </left>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right/>
      <top style="thin">
        <color theme="3" tint="0.59996337778862885"/>
      </top>
      <bottom style="thin">
        <color theme="3" tint="0.59996337778862885"/>
      </bottom>
      <diagonal/>
    </border>
    <border>
      <left/>
      <right/>
      <top/>
      <bottom style="thin">
        <color theme="3" tint="0.59996337778862885"/>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bottom style="thin">
        <color theme="3" tint="0.39994506668294322"/>
      </bottom>
      <diagonal/>
    </border>
    <border>
      <left style="thin">
        <color theme="3" tint="0.39994506668294322"/>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1454817346722"/>
      </left>
      <right/>
      <top/>
      <bottom/>
      <diagonal/>
    </border>
    <border>
      <left style="thick">
        <color theme="3" tint="0.39994506668294322"/>
      </left>
      <right/>
      <top/>
      <bottom/>
      <diagonal/>
    </border>
    <border>
      <left/>
      <right style="thick">
        <color theme="3" tint="0.39994506668294322"/>
      </right>
      <top/>
      <bottom/>
      <diagonal/>
    </border>
    <border>
      <left/>
      <right/>
      <top style="thick">
        <color theme="3" tint="0.39991454817346722"/>
      </top>
      <bottom/>
      <diagonal/>
    </border>
    <border>
      <left/>
      <right/>
      <top/>
      <bottom style="thick">
        <color theme="3" tint="0.39991454817346722"/>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theme="3" tint="0.39994506668294322"/>
      </left>
      <right/>
      <top/>
      <bottom/>
      <diagonal/>
    </border>
    <border>
      <left style="thin">
        <color theme="3" tint="0.39985351115451523"/>
      </left>
      <right style="thin">
        <color theme="3" tint="0.39985351115451523"/>
      </right>
      <top style="thin">
        <color theme="3" tint="0.39985351115451523"/>
      </top>
      <bottom/>
      <diagonal/>
    </border>
    <border>
      <left style="thin">
        <color theme="3" tint="0.39985351115451523"/>
      </left>
      <right style="thin">
        <color theme="3" tint="0.39985351115451523"/>
      </right>
      <top/>
      <bottom style="thin">
        <color theme="3" tint="0.39985351115451523"/>
      </bottom>
      <diagonal/>
    </border>
    <border>
      <left style="thin">
        <color theme="3" tint="0.39985351115451523"/>
      </left>
      <right/>
      <top style="thin">
        <color theme="3" tint="0.39985351115451523"/>
      </top>
      <bottom style="thin">
        <color theme="3" tint="0.39985351115451523"/>
      </bottom>
      <diagonal/>
    </border>
    <border>
      <left/>
      <right/>
      <top style="thin">
        <color theme="3" tint="0.39985351115451523"/>
      </top>
      <bottom style="thin">
        <color theme="3" tint="0.39985351115451523"/>
      </bottom>
      <diagonal/>
    </border>
    <border>
      <left/>
      <right style="thin">
        <color theme="3" tint="0.39985351115451523"/>
      </right>
      <top style="thin">
        <color theme="3" tint="0.39985351115451523"/>
      </top>
      <bottom style="thin">
        <color theme="3" tint="0.39985351115451523"/>
      </bottom>
      <diagonal/>
    </border>
    <border>
      <left/>
      <right style="thin">
        <color theme="3" tint="0.39985351115451523"/>
      </right>
      <top/>
      <bottom/>
      <diagonal/>
    </border>
    <border>
      <left style="thick">
        <color theme="3" tint="0.39991454817346722"/>
      </left>
      <right/>
      <top style="thick">
        <color theme="3" tint="0.39991454817346722"/>
      </top>
      <bottom/>
      <diagonal/>
    </border>
    <border>
      <left/>
      <right style="thick">
        <color theme="3" tint="0.39991454817346722"/>
      </right>
      <top style="thick">
        <color theme="3" tint="0.39991454817346722"/>
      </top>
      <bottom/>
      <diagonal/>
    </border>
    <border>
      <left style="thick">
        <color theme="3" tint="0.39991454817346722"/>
      </left>
      <right/>
      <top/>
      <bottom style="thick">
        <color theme="3" tint="0.39991454817346722"/>
      </bottom>
      <diagonal/>
    </border>
    <border>
      <left/>
      <right style="thick">
        <color theme="3" tint="0.39991454817346722"/>
      </right>
      <top/>
      <bottom style="thick">
        <color theme="3" tint="0.39991454817346722"/>
      </bottom>
      <diagonal/>
    </border>
    <border>
      <left style="thin">
        <color auto="1"/>
      </left>
      <right style="thin">
        <color auto="1"/>
      </right>
      <top style="thin">
        <color theme="4" tint="0.39997558519241921"/>
      </top>
      <bottom style="thin">
        <color auto="1"/>
      </bottom>
      <diagonal/>
    </border>
    <border>
      <left style="thin">
        <color theme="3" tint="0.39985351115451523"/>
      </left>
      <right style="thin">
        <color theme="3" tint="0.39985351115451523"/>
      </right>
      <top/>
      <bottom/>
      <diagonal/>
    </border>
    <border>
      <left style="thin">
        <color theme="3" tint="0.39994506668294322"/>
      </left>
      <right/>
      <top/>
      <bottom style="thin">
        <color theme="3" tint="0.39994506668294322"/>
      </bottom>
      <diagonal/>
    </border>
    <border>
      <left/>
      <right/>
      <top/>
      <bottom style="thin">
        <color theme="3" tint="0.39985351115451523"/>
      </bottom>
      <diagonal/>
    </border>
    <border>
      <left style="thick">
        <color theme="3" tint="0.39994506668294322"/>
      </left>
      <right/>
      <top style="thick">
        <color theme="3" tint="0.39994506668294322"/>
      </top>
      <bottom/>
      <diagonal/>
    </border>
    <border>
      <left/>
      <right/>
      <top style="thick">
        <color theme="3" tint="0.39994506668294322"/>
      </top>
      <bottom/>
      <diagonal/>
    </border>
    <border>
      <left/>
      <right style="thick">
        <color theme="3" tint="0.39994506668294322"/>
      </right>
      <top style="thick">
        <color theme="3" tint="0.39994506668294322"/>
      </top>
      <bottom/>
      <diagonal/>
    </border>
    <border>
      <left/>
      <right style="thin">
        <color theme="3" tint="0.59996337778862885"/>
      </right>
      <top style="thin">
        <color theme="3" tint="0.59996337778862885"/>
      </top>
      <bottom style="thin">
        <color theme="3" tint="0.59996337778862885"/>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1454817346722"/>
      </left>
      <right/>
      <top style="thin">
        <color theme="3" tint="0.39991454817346722"/>
      </top>
      <bottom style="thin">
        <color theme="3" tint="0.39991454817346722"/>
      </bottom>
      <diagonal/>
    </border>
    <border>
      <left style="thin">
        <color auto="1"/>
      </left>
      <right/>
      <top/>
      <bottom style="thin">
        <color auto="1"/>
      </bottom>
      <diagonal/>
    </border>
    <border>
      <left style="thin">
        <color auto="1"/>
      </left>
      <right/>
      <top style="thin">
        <color auto="1"/>
      </top>
      <bottom style="thin">
        <color indexed="64"/>
      </bottom>
      <diagonal/>
    </border>
    <border>
      <left style="thin">
        <color auto="1"/>
      </left>
      <right/>
      <top style="thin">
        <color theme="4" tint="0.39997558519241921"/>
      </top>
      <bottom style="thin">
        <color auto="1"/>
      </bottom>
      <diagonal/>
    </border>
    <border>
      <left style="thin">
        <color theme="3" tint="0.39985351115451523"/>
      </left>
      <right/>
      <top/>
      <bottom/>
      <diagonal/>
    </border>
    <border>
      <left style="thin">
        <color theme="3" tint="0.39985351115451523"/>
      </left>
      <right/>
      <top style="thin">
        <color theme="3" tint="0.39985351115451523"/>
      </top>
      <bottom/>
      <diagonal/>
    </border>
    <border>
      <left/>
      <right style="thin">
        <color theme="3" tint="0.39985351115451523"/>
      </right>
      <top style="thin">
        <color theme="3" tint="0.39985351115451523"/>
      </top>
      <bottom/>
      <diagonal/>
    </border>
    <border>
      <left style="thin">
        <color theme="3" tint="0.39991454817346722"/>
      </left>
      <right style="thin">
        <color theme="3" tint="0.39994506668294322"/>
      </right>
      <top style="thin">
        <color theme="3" tint="0.39994506668294322"/>
      </top>
      <bottom style="thin">
        <color theme="3" tint="0.39994506668294322"/>
      </bottom>
      <diagonal/>
    </border>
    <border>
      <left style="thin">
        <color theme="3" tint="0.39988402966399123"/>
      </left>
      <right style="thin">
        <color theme="3" tint="0.39988402966399123"/>
      </right>
      <top style="thin">
        <color theme="3" tint="0.39988402966399123"/>
      </top>
      <bottom/>
      <diagonal/>
    </border>
    <border>
      <left/>
      <right style="thin">
        <color theme="3" tint="0.39988402966399123"/>
      </right>
      <top style="thin">
        <color theme="3" tint="0.39988402966399123"/>
      </top>
      <bottom style="thin">
        <color theme="3" tint="0.39988402966399123"/>
      </bottom>
      <diagonal/>
    </border>
    <border>
      <left style="thin">
        <color theme="3" tint="0.39991454817346722"/>
      </left>
      <right style="thin">
        <color theme="3" tint="0.39994506668294322"/>
      </right>
      <top style="thin">
        <color theme="3" tint="0.39991454817346722"/>
      </top>
      <bottom style="thin">
        <color theme="3" tint="0.39991454817346722"/>
      </bottom>
      <diagonal/>
    </border>
    <border>
      <left style="thin">
        <color theme="3" tint="0.39994506668294322"/>
      </left>
      <right style="thin">
        <color theme="3" tint="0.39994506668294322"/>
      </right>
      <top style="thin">
        <color theme="3" tint="0.39991454817346722"/>
      </top>
      <bottom style="thin">
        <color theme="3" tint="0.39991454817346722"/>
      </bottom>
      <diagonal/>
    </border>
    <border>
      <left style="thin">
        <color theme="3" tint="0.39994506668294322"/>
      </left>
      <right style="thin">
        <color theme="3" tint="0.39991454817346722"/>
      </right>
      <top style="thin">
        <color theme="3" tint="0.39991454817346722"/>
      </top>
      <bottom style="thin">
        <color theme="3" tint="0.39991454817346722"/>
      </bottom>
      <diagonal/>
    </border>
    <border>
      <left style="thin">
        <color theme="3" tint="0.399914548173467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style="thin">
        <color theme="3" tint="0.39991454817346722"/>
      </left>
      <right style="thin">
        <color theme="3" tint="0.39994506668294322"/>
      </right>
      <top style="thin">
        <color theme="3" tint="0.39994506668294322"/>
      </top>
      <bottom style="thin">
        <color theme="3" tint="0.399914548173467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style="thin">
        <color theme="3" tint="0.39988402966399123"/>
      </left>
      <right/>
      <top style="thin">
        <color theme="3" tint="0.39988402966399123"/>
      </top>
      <bottom style="thin">
        <color theme="3" tint="0.39988402966399123"/>
      </bottom>
      <diagonal/>
    </border>
    <border>
      <left style="thin">
        <color theme="3" tint="0.39994506668294322"/>
      </left>
      <right style="thin">
        <color theme="3" tint="0.39994506668294322"/>
      </right>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right style="thin">
        <color theme="3" tint="0.39994506668294322"/>
      </right>
      <top/>
      <bottom/>
      <diagonal/>
    </border>
    <border>
      <left/>
      <right style="thin">
        <color theme="3" tint="0.39994506668294322"/>
      </right>
      <top/>
      <bottom style="thin">
        <color theme="3" tint="0.39994506668294322"/>
      </bottom>
      <diagonal/>
    </border>
    <border>
      <left/>
      <right style="thin">
        <color theme="3" tint="0.39991454817346722"/>
      </right>
      <top style="thin">
        <color theme="3" tint="0.39994506668294322"/>
      </top>
      <bottom/>
      <diagonal/>
    </border>
    <border>
      <left/>
      <right style="thin">
        <color theme="3" tint="0.39991454817346722"/>
      </right>
      <top/>
      <bottom/>
      <diagonal/>
    </border>
    <border>
      <left/>
      <right style="thin">
        <color theme="3" tint="0.39991454817346722"/>
      </right>
      <top/>
      <bottom style="thin">
        <color theme="3" tint="0.39994506668294322"/>
      </bottom>
      <diagonal/>
    </border>
    <border>
      <left style="thin">
        <color theme="3" tint="0.39991454817346722"/>
      </left>
      <right/>
      <top style="thin">
        <color theme="3" tint="0.39991454817346722"/>
      </top>
      <bottom/>
      <diagonal/>
    </border>
    <border>
      <left/>
      <right style="thin">
        <color theme="3" tint="0.39991454817346722"/>
      </right>
      <top style="thin">
        <color theme="3" tint="0.39991454817346722"/>
      </top>
      <bottom/>
      <diagonal/>
    </border>
    <border>
      <left style="thin">
        <color theme="3" tint="0.39991454817346722"/>
      </left>
      <right/>
      <top/>
      <bottom style="thin">
        <color theme="3" tint="0.39991454817346722"/>
      </bottom>
      <diagonal/>
    </border>
    <border>
      <left/>
      <right style="thin">
        <color theme="3" tint="0.39991454817346722"/>
      </right>
      <top/>
      <bottom style="thin">
        <color theme="3" tint="0.39991454817346722"/>
      </bottom>
      <diagonal/>
    </border>
    <border>
      <left/>
      <right/>
      <top style="thin">
        <color theme="3" tint="0.39991454817346722"/>
      </top>
      <bottom/>
      <diagonal/>
    </border>
    <border>
      <left/>
      <right/>
      <top/>
      <bottom style="thin">
        <color theme="3" tint="0.39991454817346722"/>
      </bottom>
      <diagonal/>
    </border>
    <border>
      <left style="thin">
        <color theme="3" tint="0.39988402966399123"/>
      </left>
      <right/>
      <top/>
      <bottom style="thin">
        <color theme="3" tint="0.39988402966399123"/>
      </bottom>
      <diagonal/>
    </border>
    <border>
      <left/>
      <right style="thin">
        <color theme="3" tint="0.39988402966399123"/>
      </right>
      <top/>
      <bottom style="thin">
        <color theme="3" tint="0.39988402966399123"/>
      </bottom>
      <diagonal/>
    </border>
    <border>
      <left style="thin">
        <color theme="3" tint="0.39988402966399123"/>
      </left>
      <right style="thin">
        <color theme="3" tint="0.39988402966399123"/>
      </right>
      <top/>
      <bottom style="thin">
        <color theme="3" tint="0.39988402966399123"/>
      </bottom>
      <diagonal/>
    </border>
    <border>
      <left/>
      <right/>
      <top style="thin">
        <color theme="3" tint="0.39988402966399123"/>
      </top>
      <bottom style="thin">
        <color theme="3" tint="0.39988402966399123"/>
      </bottom>
      <diagonal/>
    </border>
    <border>
      <left style="thin">
        <color theme="3" tint="0.59996337778862885"/>
      </left>
      <right/>
      <top/>
      <bottom/>
      <diagonal/>
    </border>
    <border>
      <left style="thin">
        <color rgb="FF8DB4E2"/>
      </left>
      <right style="thin">
        <color rgb="FF8DB4E2"/>
      </right>
      <top style="thin">
        <color rgb="FF8DB4E2"/>
      </top>
      <bottom style="thin">
        <color rgb="FF8DB4E2"/>
      </bottom>
      <diagonal/>
    </border>
    <border>
      <left style="thin">
        <color rgb="FF8DB4E2"/>
      </left>
      <right style="thin">
        <color rgb="FF8DB4E2"/>
      </right>
      <top/>
      <bottom style="thin">
        <color rgb="FF8DB4E2"/>
      </bottom>
      <diagonal/>
    </border>
    <border>
      <left/>
      <right/>
      <top style="thin">
        <color auto="1"/>
      </top>
      <bottom/>
      <diagonal/>
    </border>
    <border>
      <left style="thin">
        <color theme="3" tint="0.39973143711661124"/>
      </left>
      <right/>
      <top style="thin">
        <color theme="3" tint="0.39973143711661124"/>
      </top>
      <bottom style="thin">
        <color theme="3" tint="0.39973143711661124"/>
      </bottom>
      <diagonal/>
    </border>
    <border>
      <left/>
      <right/>
      <top style="thin">
        <color theme="3" tint="0.39973143711661124"/>
      </top>
      <bottom style="thin">
        <color theme="3" tint="0.39973143711661124"/>
      </bottom>
      <diagonal/>
    </border>
    <border>
      <left/>
      <right style="thin">
        <color theme="3" tint="0.39973143711661124"/>
      </right>
      <top style="thin">
        <color theme="3" tint="0.39973143711661124"/>
      </top>
      <bottom style="thin">
        <color theme="3" tint="0.39973143711661124"/>
      </bottom>
      <diagonal/>
    </border>
    <border>
      <left/>
      <right/>
      <top style="thin">
        <color theme="3" tint="0.39991454817346722"/>
      </top>
      <bottom style="thin">
        <color theme="3" tint="0.39991454817346722"/>
      </bottom>
      <diagonal/>
    </border>
    <border>
      <left style="thin">
        <color theme="3" tint="0.39994506668294322"/>
      </left>
      <right style="thin">
        <color theme="3" tint="0.39994506668294322"/>
      </right>
      <top/>
      <bottom/>
      <diagonal/>
    </border>
    <border>
      <left style="thin">
        <color theme="3" tint="0.39973143711661124"/>
      </left>
      <right/>
      <top/>
      <bottom/>
      <diagonal/>
    </border>
    <border>
      <left style="thin">
        <color theme="3" tint="0.39991454817346722"/>
      </left>
      <right/>
      <top style="thin">
        <color theme="3" tint="0.39994506668294322"/>
      </top>
      <bottom style="thin">
        <color theme="3" tint="0.39991454817346722"/>
      </bottom>
      <diagonal/>
    </border>
    <border>
      <left/>
      <right style="thin">
        <color theme="3" tint="0.39988402966399123"/>
      </right>
      <top style="thin">
        <color theme="3" tint="0.39994506668294322"/>
      </top>
      <bottom style="thin">
        <color theme="3" tint="0.39991454817346722"/>
      </bottom>
      <diagonal/>
    </border>
    <border>
      <left style="thin">
        <color theme="3" tint="0.39994506668294322"/>
      </left>
      <right/>
      <top style="thin">
        <color theme="3" tint="0.39973143711661124"/>
      </top>
      <bottom style="thin">
        <color theme="3" tint="0.39994506668294322"/>
      </bottom>
      <diagonal/>
    </border>
    <border>
      <left/>
      <right/>
      <top style="thin">
        <color theme="3" tint="0.39973143711661124"/>
      </top>
      <bottom style="thin">
        <color theme="3" tint="0.39994506668294322"/>
      </bottom>
      <diagonal/>
    </border>
    <border>
      <left/>
      <right style="thin">
        <color theme="3" tint="0.39994506668294322"/>
      </right>
      <top style="thin">
        <color theme="3" tint="0.39973143711661124"/>
      </top>
      <bottom style="thin">
        <color theme="3" tint="0.39994506668294322"/>
      </bottom>
      <diagonal/>
    </border>
    <border>
      <left style="double">
        <color theme="3" tint="0.39991454817346722"/>
      </left>
      <right/>
      <top/>
      <bottom style="thin">
        <color theme="3" tint="0.39994506668294322"/>
      </bottom>
      <diagonal/>
    </border>
    <border>
      <left style="double">
        <color theme="3" tint="0.39991454817346722"/>
      </left>
      <right style="thin">
        <color theme="3" tint="0.39994506668294322"/>
      </right>
      <top style="thin">
        <color theme="3" tint="0.39994506668294322"/>
      </top>
      <bottom style="thin">
        <color theme="3" tint="0.39994506668294322"/>
      </bottom>
      <diagonal/>
    </border>
    <border>
      <left style="double">
        <color theme="3" tint="0.59996337778862885"/>
      </left>
      <right/>
      <top/>
      <bottom/>
      <diagonal/>
    </border>
    <border>
      <left style="double">
        <color theme="3" tint="0.59996337778862885"/>
      </left>
      <right style="thin">
        <color theme="3" tint="0.39985351115451523"/>
      </right>
      <top style="thin">
        <color theme="3" tint="0.39985351115451523"/>
      </top>
      <bottom/>
      <diagonal/>
    </border>
    <border>
      <left style="double">
        <color theme="3" tint="0.59996337778862885"/>
      </left>
      <right style="thin">
        <color theme="3" tint="0.39985351115451523"/>
      </right>
      <top/>
      <bottom style="thin">
        <color theme="3" tint="0.39985351115451523"/>
      </bottom>
      <diagonal/>
    </border>
    <border>
      <left style="thin">
        <color auto="1"/>
      </left>
      <right/>
      <top style="thin">
        <color auto="1"/>
      </top>
      <bottom/>
      <diagonal/>
    </border>
    <border>
      <left style="thin">
        <color rgb="FF8DB4E2"/>
      </left>
      <right style="thin">
        <color rgb="FF8DB4E2"/>
      </right>
      <top style="thin">
        <color rgb="FF8DB4E2"/>
      </top>
      <bottom/>
      <diagonal/>
    </border>
    <border>
      <left style="thin">
        <color auto="1"/>
      </left>
      <right style="thin">
        <color auto="1"/>
      </right>
      <top/>
      <bottom/>
      <diagonal/>
    </border>
    <border>
      <left style="double">
        <color theme="3" tint="0.59996337778862885"/>
      </left>
      <right/>
      <top/>
      <bottom style="thin">
        <color theme="3" tint="0.39985351115451523"/>
      </bottom>
      <diagonal/>
    </border>
    <border>
      <left/>
      <right style="double">
        <color theme="3" tint="0.59996337778862885"/>
      </right>
      <top/>
      <bottom style="thin">
        <color theme="3" tint="0.39994506668294322"/>
      </bottom>
      <diagonal/>
    </border>
    <border>
      <left style="double">
        <color theme="3" tint="0.59996337778862885"/>
      </left>
      <right style="double">
        <color theme="3" tint="0.59996337778862885"/>
      </right>
      <top style="thin">
        <color theme="3" tint="0.39985351115451523"/>
      </top>
      <bottom/>
      <diagonal/>
    </border>
    <border>
      <left style="double">
        <color theme="3" tint="0.59996337778862885"/>
      </left>
      <right style="double">
        <color theme="3" tint="0.59996337778862885"/>
      </right>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39988402966399123"/>
      </right>
      <top style="thin">
        <color theme="3" tint="0.39988402966399123"/>
      </top>
      <bottom/>
      <diagonal/>
    </border>
    <border>
      <left style="thin">
        <color rgb="FF0000FF"/>
      </left>
      <right/>
      <top style="thin">
        <color rgb="FF0000FF"/>
      </top>
      <bottom/>
      <diagonal/>
    </border>
    <border>
      <left/>
      <right/>
      <top style="thin">
        <color rgb="FF0000FF"/>
      </top>
      <bottom/>
      <diagonal/>
    </border>
    <border>
      <left/>
      <right style="thin">
        <color rgb="FF0000FF"/>
      </right>
      <top style="thin">
        <color rgb="FF0000FF"/>
      </top>
      <bottom/>
      <diagonal/>
    </border>
    <border>
      <left style="thin">
        <color rgb="FF0000FF"/>
      </left>
      <right/>
      <top/>
      <bottom/>
      <diagonal/>
    </border>
    <border>
      <left/>
      <right style="thin">
        <color rgb="FF0000FF"/>
      </right>
      <top/>
      <bottom/>
      <diagonal/>
    </border>
    <border>
      <left style="thin">
        <color rgb="FF0000FF"/>
      </left>
      <right/>
      <top/>
      <bottom style="thin">
        <color rgb="FF0000FF"/>
      </bottom>
      <diagonal/>
    </border>
    <border>
      <left/>
      <right/>
      <top/>
      <bottom style="thin">
        <color rgb="FF0000FF"/>
      </bottom>
      <diagonal/>
    </border>
    <border>
      <left/>
      <right style="thin">
        <color rgb="FF0000FF"/>
      </right>
      <top/>
      <bottom style="thin">
        <color rgb="FF0000FF"/>
      </bottom>
      <diagonal/>
    </border>
  </borders>
  <cellStyleXfs count="21">
    <xf numFmtId="0" fontId="0" fillId="0" borderId="0"/>
    <xf numFmtId="44" fontId="10" fillId="0" borderId="0" applyFont="0" applyFill="0" applyBorder="0" applyAlignment="0" applyProtection="0"/>
    <xf numFmtId="9" fontId="10"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04" fillId="0" borderId="0" applyNumberFormat="0" applyFill="0" applyBorder="0" applyAlignment="0" applyProtection="0"/>
    <xf numFmtId="44" fontId="10" fillId="0" borderId="0" applyFont="0" applyFill="0" applyBorder="0" applyAlignment="0" applyProtection="0"/>
    <xf numFmtId="174" fontId="105" fillId="0" borderId="0" applyFont="0" applyFill="0" applyBorder="0" applyAlignment="0" applyProtection="0"/>
    <xf numFmtId="0" fontId="105" fillId="0" borderId="0"/>
    <xf numFmtId="0" fontId="105" fillId="0" borderId="0"/>
    <xf numFmtId="0" fontId="10" fillId="0" borderId="0"/>
    <xf numFmtId="0" fontId="105" fillId="0" borderId="0"/>
    <xf numFmtId="0" fontId="10" fillId="0" borderId="0"/>
    <xf numFmtId="0" fontId="105" fillId="0" borderId="0"/>
    <xf numFmtId="0" fontId="106" fillId="0" borderId="0"/>
    <xf numFmtId="9" fontId="107" fillId="0" borderId="0" applyFont="0" applyFill="0" applyBorder="0" applyAlignment="0" applyProtection="0"/>
    <xf numFmtId="9" fontId="108" fillId="0" borderId="0" applyFont="0" applyFill="0" applyBorder="0" applyAlignment="0" applyProtection="0"/>
    <xf numFmtId="9" fontId="10" fillId="0" borderId="0" applyFont="0" applyFill="0" applyBorder="0" applyAlignment="0" applyProtection="0"/>
    <xf numFmtId="9" fontId="105" fillId="0" borderId="0" applyFont="0" applyFill="0" applyBorder="0" applyAlignment="0" applyProtection="0"/>
    <xf numFmtId="43" fontId="108" fillId="0" borderId="0" applyFont="0" applyFill="0" applyBorder="0" applyAlignment="0" applyProtection="0"/>
    <xf numFmtId="43" fontId="105" fillId="0" borderId="0" applyFont="0" applyFill="0" applyBorder="0" applyAlignment="0" applyProtection="0"/>
  </cellStyleXfs>
  <cellXfs count="1761">
    <xf numFmtId="0" fontId="0" fillId="0" borderId="0" xfId="0"/>
    <xf numFmtId="0" fontId="4" fillId="3" borderId="1" xfId="0" applyFont="1" applyFill="1" applyBorder="1"/>
    <xf numFmtId="0" fontId="0" fillId="0" borderId="1" xfId="0" applyBorder="1"/>
    <xf numFmtId="9" fontId="0" fillId="0" borderId="1" xfId="0" applyNumberFormat="1" applyBorder="1"/>
    <xf numFmtId="0" fontId="7" fillId="0" borderId="1" xfId="0" applyFont="1" applyBorder="1"/>
    <xf numFmtId="0" fontId="8" fillId="3" borderId="1" xfId="0" applyFont="1" applyFill="1" applyBorder="1"/>
    <xf numFmtId="164" fontId="0" fillId="0" borderId="0" xfId="0" applyNumberFormat="1"/>
    <xf numFmtId="0" fontId="8" fillId="3" borderId="1" xfId="0" applyFont="1" applyFill="1" applyBorder="1" applyAlignment="1">
      <alignment horizontal="center" vertical="center" wrapText="1"/>
    </xf>
    <xf numFmtId="0" fontId="5" fillId="0" borderId="0" xfId="0" applyFont="1"/>
    <xf numFmtId="0" fontId="7" fillId="0" borderId="0" xfId="0" applyFont="1"/>
    <xf numFmtId="164" fontId="9" fillId="0" borderId="0" xfId="0" applyNumberFormat="1" applyFont="1"/>
    <xf numFmtId="44" fontId="0" fillId="0" borderId="1" xfId="1" applyFont="1" applyBorder="1"/>
    <xf numFmtId="44" fontId="7" fillId="0" borderId="1" xfId="1" applyFont="1" applyBorder="1"/>
    <xf numFmtId="0" fontId="13" fillId="2"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17" fillId="14" borderId="15" xfId="0" applyFont="1" applyFill="1" applyBorder="1" applyAlignment="1">
      <alignment horizontal="center"/>
    </xf>
    <xf numFmtId="0" fontId="0" fillId="0" borderId="15" xfId="0" applyBorder="1"/>
    <xf numFmtId="0" fontId="0" fillId="0" borderId="15" xfId="0" applyBorder="1" applyAlignment="1">
      <alignment horizontal="center"/>
    </xf>
    <xf numFmtId="164" fontId="0" fillId="0" borderId="15" xfId="0" applyNumberFormat="1" applyBorder="1"/>
    <xf numFmtId="9" fontId="22" fillId="10" borderId="15" xfId="0" applyNumberFormat="1" applyFont="1" applyFill="1" applyBorder="1"/>
    <xf numFmtId="0" fontId="0" fillId="10" borderId="0" xfId="0" applyFill="1"/>
    <xf numFmtId="0" fontId="0" fillId="17" borderId="15" xfId="0" applyFill="1" applyBorder="1"/>
    <xf numFmtId="0" fontId="0" fillId="18" borderId="15" xfId="0" applyFill="1" applyBorder="1"/>
    <xf numFmtId="0" fontId="0" fillId="19" borderId="15" xfId="0" applyFill="1" applyBorder="1"/>
    <xf numFmtId="0" fontId="16" fillId="17" borderId="15" xfId="0" applyFont="1" applyFill="1" applyBorder="1" applyAlignment="1">
      <alignment horizontal="center" vertical="center"/>
    </xf>
    <xf numFmtId="0" fontId="16" fillId="18" borderId="15" xfId="0" applyFont="1" applyFill="1" applyBorder="1" applyAlignment="1">
      <alignment horizontal="center" vertical="center"/>
    </xf>
    <xf numFmtId="0" fontId="16" fillId="19" borderId="15" xfId="0" applyFont="1" applyFill="1" applyBorder="1" applyAlignment="1">
      <alignment horizontal="center" vertical="center"/>
    </xf>
    <xf numFmtId="0" fontId="0" fillId="10" borderId="22" xfId="0" applyFill="1" applyBorder="1"/>
    <xf numFmtId="0" fontId="24" fillId="10" borderId="22" xfId="0" applyFont="1" applyFill="1" applyBorder="1" applyAlignment="1">
      <alignment horizontal="center"/>
    </xf>
    <xf numFmtId="0" fontId="0" fillId="10" borderId="0" xfId="0" applyFill="1" applyAlignment="1">
      <alignment horizontal="center" vertical="center"/>
    </xf>
    <xf numFmtId="164" fontId="23" fillId="10" borderId="15" xfId="0" applyNumberFormat="1" applyFont="1" applyFill="1" applyBorder="1"/>
    <xf numFmtId="9" fontId="0" fillId="10" borderId="0" xfId="2" applyFont="1" applyFill="1"/>
    <xf numFmtId="165" fontId="0" fillId="10" borderId="0" xfId="2" applyNumberFormat="1" applyFont="1" applyFill="1"/>
    <xf numFmtId="0" fontId="16" fillId="10" borderId="22" xfId="0" applyFont="1" applyFill="1" applyBorder="1"/>
    <xf numFmtId="0" fontId="34" fillId="10" borderId="22" xfId="0" applyFont="1" applyFill="1" applyBorder="1" applyAlignment="1">
      <alignment horizontal="center" vertical="center" wrapText="1"/>
    </xf>
    <xf numFmtId="165" fontId="35" fillId="10" borderId="22" xfId="0" applyNumberFormat="1" applyFont="1" applyFill="1" applyBorder="1" applyAlignment="1">
      <alignment horizontal="center" vertical="center"/>
    </xf>
    <xf numFmtId="0" fontId="0" fillId="10" borderId="21" xfId="0" applyFill="1" applyBorder="1"/>
    <xf numFmtId="0" fontId="16" fillId="10" borderId="21" xfId="0" applyFont="1" applyFill="1" applyBorder="1"/>
    <xf numFmtId="0" fontId="34" fillId="10" borderId="21" xfId="0" applyFont="1" applyFill="1" applyBorder="1" applyAlignment="1">
      <alignment horizontal="center" vertical="center" wrapText="1"/>
    </xf>
    <xf numFmtId="165" fontId="35" fillId="10" borderId="21" xfId="0" applyNumberFormat="1" applyFont="1" applyFill="1" applyBorder="1" applyAlignment="1">
      <alignment horizontal="center" vertical="center"/>
    </xf>
    <xf numFmtId="0" fontId="24" fillId="10" borderId="21" xfId="0" applyFont="1" applyFill="1" applyBorder="1" applyAlignment="1">
      <alignment horizontal="center"/>
    </xf>
    <xf numFmtId="0" fontId="33" fillId="10" borderId="21" xfId="0" applyFont="1" applyFill="1" applyBorder="1" applyAlignment="1">
      <alignment horizontal="center" vertical="center"/>
    </xf>
    <xf numFmtId="9" fontId="33" fillId="10" borderId="21" xfId="2" applyFont="1" applyFill="1" applyBorder="1" applyAlignment="1">
      <alignment horizontal="center" vertical="center"/>
    </xf>
    <xf numFmtId="0" fontId="0" fillId="10" borderId="41" xfId="0" applyFill="1" applyBorder="1"/>
    <xf numFmtId="0" fontId="0" fillId="10" borderId="42" xfId="0" applyFill="1" applyBorder="1"/>
    <xf numFmtId="0" fontId="0" fillId="10" borderId="43" xfId="0" applyFill="1" applyBorder="1"/>
    <xf numFmtId="0" fontId="0" fillId="9" borderId="34" xfId="0" applyFill="1" applyBorder="1" applyProtection="1">
      <protection locked="0"/>
    </xf>
    <xf numFmtId="0" fontId="0" fillId="10" borderId="0" xfId="0" applyFill="1" applyProtection="1">
      <protection locked="0"/>
    </xf>
    <xf numFmtId="0" fontId="0" fillId="0" borderId="15" xfId="0" applyBorder="1" applyProtection="1">
      <protection locked="0"/>
    </xf>
    <xf numFmtId="0" fontId="17" fillId="14" borderId="15" xfId="0" applyFont="1" applyFill="1" applyBorder="1" applyAlignment="1" applyProtection="1">
      <alignment horizontal="center"/>
      <protection locked="0"/>
    </xf>
    <xf numFmtId="0" fontId="0" fillId="0" borderId="15" xfId="0" applyBorder="1" applyAlignment="1" applyProtection="1">
      <alignment horizontal="center"/>
      <protection locked="0"/>
    </xf>
    <xf numFmtId="9" fontId="0" fillId="0" borderId="15" xfId="2" applyFont="1" applyBorder="1" applyAlignment="1" applyProtection="1">
      <alignment horizontal="center"/>
      <protection locked="0"/>
    </xf>
    <xf numFmtId="9" fontId="22" fillId="10" borderId="15" xfId="0" applyNumberFormat="1" applyFont="1" applyFill="1" applyBorder="1" applyProtection="1">
      <protection locked="0"/>
    </xf>
    <xf numFmtId="0" fontId="0" fillId="17" borderId="15" xfId="0" applyFill="1" applyBorder="1" applyProtection="1">
      <protection locked="0"/>
    </xf>
    <xf numFmtId="0" fontId="16" fillId="17" borderId="15" xfId="0" applyFont="1" applyFill="1" applyBorder="1" applyAlignment="1" applyProtection="1">
      <alignment horizontal="center" vertical="center"/>
      <protection locked="0"/>
    </xf>
    <xf numFmtId="0" fontId="0" fillId="18" borderId="15" xfId="0" applyFill="1" applyBorder="1" applyProtection="1">
      <protection locked="0"/>
    </xf>
    <xf numFmtId="0" fontId="33" fillId="6" borderId="25" xfId="0" applyFont="1" applyFill="1" applyBorder="1" applyAlignment="1" applyProtection="1">
      <alignment horizontal="left"/>
      <protection locked="0"/>
    </xf>
    <xf numFmtId="0" fontId="33" fillId="6" borderId="25" xfId="0" applyFont="1" applyFill="1" applyBorder="1" applyAlignment="1" applyProtection="1">
      <alignment horizontal="center" vertical="center"/>
      <protection locked="0"/>
    </xf>
    <xf numFmtId="0" fontId="33" fillId="10" borderId="25" xfId="0" applyFont="1" applyFill="1" applyBorder="1" applyAlignment="1" applyProtection="1">
      <alignment horizontal="left"/>
      <protection locked="0"/>
    </xf>
    <xf numFmtId="0" fontId="0" fillId="10" borderId="0" xfId="0" applyFill="1" applyAlignment="1" applyProtection="1">
      <alignment horizontal="center"/>
      <protection locked="0"/>
    </xf>
    <xf numFmtId="9" fontId="0" fillId="0" borderId="15" xfId="2" applyFont="1" applyBorder="1" applyAlignment="1" applyProtection="1">
      <alignment horizontal="center"/>
    </xf>
    <xf numFmtId="164" fontId="23" fillId="0" borderId="15" xfId="0" applyNumberFormat="1" applyFont="1" applyBorder="1"/>
    <xf numFmtId="0" fontId="0" fillId="0" borderId="0" xfId="0" applyProtection="1">
      <protection locked="0"/>
    </xf>
    <xf numFmtId="0" fontId="6" fillId="2" borderId="0" xfId="0" applyFont="1" applyFill="1" applyProtection="1">
      <protection locked="0"/>
    </xf>
    <xf numFmtId="0" fontId="8" fillId="3" borderId="9" xfId="0"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8" fillId="29" borderId="6" xfId="0" applyFont="1" applyFill="1" applyBorder="1" applyAlignment="1" applyProtection="1">
      <alignment horizontal="center" vertical="center" wrapText="1"/>
      <protection locked="0"/>
    </xf>
    <xf numFmtId="0" fontId="0" fillId="0" borderId="7" xfId="0" applyBorder="1" applyProtection="1">
      <protection locked="0"/>
    </xf>
    <xf numFmtId="0" fontId="0" fillId="0" borderId="1" xfId="0" applyBorder="1" applyProtection="1">
      <protection locked="0"/>
    </xf>
    <xf numFmtId="0" fontId="0" fillId="0" borderId="6" xfId="0" applyBorder="1" applyProtection="1">
      <protection locked="0"/>
    </xf>
    <xf numFmtId="0" fontId="0" fillId="0" borderId="6" xfId="0" applyBorder="1" applyAlignment="1" applyProtection="1">
      <alignment horizontal="right"/>
      <protection locked="0"/>
    </xf>
    <xf numFmtId="0" fontId="0" fillId="28" borderId="37" xfId="0" applyFill="1" applyBorder="1" applyProtection="1">
      <protection locked="0"/>
    </xf>
    <xf numFmtId="10" fontId="0" fillId="0" borderId="1" xfId="0" applyNumberFormat="1" applyBorder="1" applyAlignment="1" applyProtection="1">
      <alignment horizontal="right"/>
      <protection locked="0"/>
    </xf>
    <xf numFmtId="0" fontId="0" fillId="28" borderId="1" xfId="0" applyFill="1" applyBorder="1" applyProtection="1">
      <protection locked="0"/>
    </xf>
    <xf numFmtId="20" fontId="0" fillId="0" borderId="1" xfId="0" applyNumberFormat="1" applyBorder="1" applyAlignment="1" applyProtection="1">
      <alignment horizontal="right" vertical="center" wrapText="1"/>
      <protection locked="0"/>
    </xf>
    <xf numFmtId="3" fontId="0" fillId="0" borderId="1" xfId="0" applyNumberFormat="1" applyBorder="1" applyAlignment="1" applyProtection="1">
      <alignment horizontal="right"/>
      <protection locked="0"/>
    </xf>
    <xf numFmtId="0" fontId="0" fillId="0" borderId="1" xfId="0" applyBorder="1" applyAlignment="1" applyProtection="1">
      <alignment horizontal="right"/>
      <protection locked="0"/>
    </xf>
    <xf numFmtId="9" fontId="0" fillId="0" borderId="1" xfId="0" applyNumberFormat="1" applyBorder="1" applyAlignment="1" applyProtection="1">
      <alignment horizontal="right"/>
      <protection locked="0"/>
    </xf>
    <xf numFmtId="9" fontId="0" fillId="0" borderId="1" xfId="0" applyNumberFormat="1" applyBorder="1" applyProtection="1">
      <protection locked="0"/>
    </xf>
    <xf numFmtId="0" fontId="0" fillId="0" borderId="8" xfId="0" applyBorder="1" applyProtection="1">
      <protection locked="0"/>
    </xf>
    <xf numFmtId="0" fontId="0" fillId="0" borderId="5" xfId="0" applyBorder="1" applyProtection="1">
      <protection locked="0"/>
    </xf>
    <xf numFmtId="0" fontId="0" fillId="0" borderId="0" xfId="0" applyAlignment="1" applyProtection="1">
      <alignment horizontal="center" vertical="center" wrapText="1"/>
      <protection locked="0"/>
    </xf>
    <xf numFmtId="0" fontId="6" fillId="2" borderId="4" xfId="0" applyFont="1" applyFill="1" applyBorder="1" applyAlignment="1" applyProtection="1">
      <alignment horizontal="left"/>
      <protection locked="0"/>
    </xf>
    <xf numFmtId="0" fontId="11" fillId="9" borderId="0" xfId="0" applyFont="1" applyFill="1" applyAlignment="1" applyProtection="1">
      <alignment horizontal="center"/>
      <protection locked="0"/>
    </xf>
    <xf numFmtId="0" fontId="8" fillId="3" borderId="1" xfId="0" applyFont="1" applyFill="1" applyBorder="1" applyAlignment="1" applyProtection="1">
      <alignment horizontal="center" vertical="center" wrapText="1"/>
      <protection locked="0"/>
    </xf>
    <xf numFmtId="17" fontId="0" fillId="6" borderId="1" xfId="0" applyNumberFormat="1" applyFill="1" applyBorder="1" applyAlignment="1" applyProtection="1">
      <alignment horizontal="center" vertical="center" wrapText="1"/>
      <protection locked="0"/>
    </xf>
    <xf numFmtId="0" fontId="8" fillId="7" borderId="1" xfId="0" applyFont="1" applyFill="1" applyBorder="1" applyAlignment="1" applyProtection="1">
      <alignment horizontal="center" vertical="center" wrapText="1"/>
      <protection locked="0"/>
    </xf>
    <xf numFmtId="0" fontId="0" fillId="8" borderId="1" xfId="1" applyNumberFormat="1" applyFont="1" applyFill="1" applyBorder="1" applyAlignment="1" applyProtection="1">
      <alignment horizontal="left" vertical="center"/>
      <protection locked="0"/>
    </xf>
    <xf numFmtId="44" fontId="0" fillId="8" borderId="1" xfId="1" applyFont="1" applyFill="1" applyBorder="1" applyAlignment="1" applyProtection="1">
      <alignment horizontal="left" vertical="center"/>
      <protection locked="0"/>
    </xf>
    <xf numFmtId="44" fontId="0" fillId="11" borderId="1" xfId="1" applyFont="1" applyFill="1" applyBorder="1" applyAlignment="1" applyProtection="1">
      <alignment horizontal="left" vertical="center"/>
      <protection locked="0"/>
    </xf>
    <xf numFmtId="44" fontId="0" fillId="8" borderId="1" xfId="1" applyFont="1" applyFill="1" applyBorder="1" applyAlignment="1" applyProtection="1">
      <alignment horizontal="center" vertical="center"/>
      <protection locked="0"/>
    </xf>
    <xf numFmtId="9" fontId="0" fillId="8" borderId="1" xfId="2" applyFont="1" applyFill="1" applyBorder="1" applyAlignment="1" applyProtection="1">
      <alignment horizontal="center" vertical="center"/>
      <protection locked="0"/>
    </xf>
    <xf numFmtId="0" fontId="0" fillId="8" borderId="1" xfId="0" applyFill="1" applyBorder="1" applyAlignment="1" applyProtection="1">
      <alignment horizontal="left" vertical="center"/>
      <protection locked="0"/>
    </xf>
    <xf numFmtId="0" fontId="0" fillId="0" borderId="1" xfId="1" applyNumberFormat="1" applyFont="1" applyBorder="1" applyAlignment="1" applyProtection="1">
      <alignment horizontal="left" vertical="center"/>
      <protection locked="0"/>
    </xf>
    <xf numFmtId="44" fontId="0" fillId="0" borderId="1" xfId="1" applyFont="1" applyBorder="1" applyAlignment="1" applyProtection="1">
      <alignment horizontal="left" vertical="center"/>
      <protection locked="0"/>
    </xf>
    <xf numFmtId="44" fontId="0" fillId="0" borderId="1" xfId="1" applyFont="1" applyBorder="1" applyAlignment="1" applyProtection="1">
      <alignment horizontal="center" vertical="center"/>
      <protection locked="0"/>
    </xf>
    <xf numFmtId="9" fontId="0" fillId="0" borderId="1" xfId="2"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8" borderId="1" xfId="0" applyFill="1" applyBorder="1" applyAlignment="1" applyProtection="1">
      <alignment horizontal="left" vertical="center" wrapText="1"/>
      <protection locked="0"/>
    </xf>
    <xf numFmtId="0" fontId="6" fillId="2" borderId="0" xfId="0" applyFont="1" applyFill="1" applyAlignment="1" applyProtection="1">
      <alignment horizontal="center" vertical="center"/>
      <protection locked="0"/>
    </xf>
    <xf numFmtId="0" fontId="6" fillId="2" borderId="14" xfId="0" applyFont="1" applyFill="1" applyBorder="1" applyProtection="1">
      <protection locked="0"/>
    </xf>
    <xf numFmtId="0" fontId="6" fillId="2" borderId="0" xfId="0" applyFont="1" applyFill="1" applyAlignment="1" applyProtection="1">
      <alignment horizontal="center"/>
      <protection locked="0"/>
    </xf>
    <xf numFmtId="9" fontId="6" fillId="2" borderId="0" xfId="2" applyFont="1" applyFill="1" applyBorder="1" applyAlignment="1" applyProtection="1">
      <alignment horizontal="left" vertical="center"/>
      <protection locked="0"/>
    </xf>
    <xf numFmtId="0" fontId="0" fillId="6" borderId="0" xfId="0" applyFill="1" applyAlignment="1" applyProtection="1">
      <alignment horizontal="center"/>
      <protection locked="0"/>
    </xf>
    <xf numFmtId="9" fontId="6" fillId="2" borderId="0" xfId="2" applyFont="1" applyFill="1" applyBorder="1" applyAlignment="1" applyProtection="1">
      <alignment horizontal="center" vertical="center"/>
      <protection locked="0"/>
    </xf>
    <xf numFmtId="0" fontId="0" fillId="8" borderId="12" xfId="0" applyFill="1" applyBorder="1" applyProtection="1">
      <protection locked="0"/>
    </xf>
    <xf numFmtId="0" fontId="0" fillId="8" borderId="12" xfId="0" applyFill="1" applyBorder="1" applyAlignment="1" applyProtection="1">
      <alignment horizontal="center" vertical="center"/>
      <protection locked="0"/>
    </xf>
    <xf numFmtId="9" fontId="0" fillId="8" borderId="12" xfId="2" applyFont="1" applyFill="1" applyBorder="1" applyAlignment="1" applyProtection="1">
      <alignment horizontal="center" vertical="center"/>
      <protection locked="0"/>
    </xf>
    <xf numFmtId="0" fontId="0" fillId="10" borderId="12" xfId="0" applyFill="1" applyBorder="1" applyProtection="1">
      <protection locked="0"/>
    </xf>
    <xf numFmtId="0" fontId="0" fillId="10" borderId="12" xfId="0" applyFill="1" applyBorder="1" applyAlignment="1" applyProtection="1">
      <alignment horizontal="center" vertical="center"/>
      <protection locked="0"/>
    </xf>
    <xf numFmtId="9" fontId="0" fillId="10" borderId="12" xfId="2" applyFont="1" applyFill="1" applyBorder="1" applyAlignment="1" applyProtection="1">
      <alignment horizontal="center" vertical="center"/>
      <protection locked="0"/>
    </xf>
    <xf numFmtId="0" fontId="0" fillId="0" borderId="0" xfId="0" applyAlignment="1" applyProtection="1">
      <alignment horizontal="center"/>
      <protection locked="0"/>
    </xf>
    <xf numFmtId="0" fontId="15" fillId="10" borderId="13" xfId="0" applyFont="1" applyFill="1" applyBorder="1" applyAlignment="1" applyProtection="1">
      <alignment horizontal="left" vertical="center"/>
      <protection locked="0"/>
    </xf>
    <xf numFmtId="9" fontId="32" fillId="2" borderId="0" xfId="2" applyFont="1" applyFill="1" applyBorder="1" applyAlignment="1" applyProtection="1">
      <alignment horizontal="center" vertical="center"/>
      <protection locked="0"/>
    </xf>
    <xf numFmtId="9" fontId="0" fillId="0" borderId="0" xfId="2" applyFont="1" applyProtection="1">
      <protection locked="0"/>
    </xf>
    <xf numFmtId="0" fontId="0" fillId="8" borderId="1" xfId="1" applyNumberFormat="1" applyFont="1" applyFill="1" applyBorder="1" applyAlignment="1" applyProtection="1">
      <alignment horizontal="left" vertical="center" wrapText="1"/>
      <protection locked="0"/>
    </xf>
    <xf numFmtId="44" fontId="0" fillId="8" borderId="1" xfId="1" applyFont="1" applyFill="1" applyBorder="1" applyAlignment="1" applyProtection="1">
      <alignment horizontal="left" vertical="center" wrapText="1"/>
      <protection locked="0"/>
    </xf>
    <xf numFmtId="44" fontId="0" fillId="11" borderId="1" xfId="1" applyFont="1" applyFill="1" applyBorder="1" applyAlignment="1" applyProtection="1">
      <alignment horizontal="left" vertical="center" wrapText="1"/>
      <protection locked="0"/>
    </xf>
    <xf numFmtId="44" fontId="0" fillId="8" borderId="1" xfId="1" applyFont="1" applyFill="1" applyBorder="1" applyAlignment="1" applyProtection="1">
      <alignment horizontal="center" vertical="center" wrapText="1"/>
      <protection locked="0"/>
    </xf>
    <xf numFmtId="9" fontId="0" fillId="8" borderId="1" xfId="2" applyFont="1" applyFill="1" applyBorder="1" applyAlignment="1" applyProtection="1">
      <alignment horizontal="center" vertical="center" wrapText="1"/>
      <protection locked="0"/>
    </xf>
    <xf numFmtId="0" fontId="0" fillId="0" borderId="0" xfId="0" applyAlignment="1" applyProtection="1">
      <alignment wrapText="1"/>
      <protection locked="0"/>
    </xf>
    <xf numFmtId="0" fontId="0" fillId="0" borderId="1" xfId="1" applyNumberFormat="1" applyFont="1" applyBorder="1" applyAlignment="1" applyProtection="1">
      <alignment horizontal="left" vertical="center" wrapText="1"/>
      <protection locked="0"/>
    </xf>
    <xf numFmtId="44" fontId="0" fillId="0" borderId="1" xfId="1" applyFont="1" applyBorder="1" applyAlignment="1" applyProtection="1">
      <alignment horizontal="left" vertical="center" wrapText="1"/>
      <protection locked="0"/>
    </xf>
    <xf numFmtId="44" fontId="0" fillId="0" borderId="1" xfId="1" applyFont="1" applyBorder="1" applyAlignment="1" applyProtection="1">
      <alignment horizontal="center" vertical="center" wrapText="1"/>
      <protection locked="0"/>
    </xf>
    <xf numFmtId="9" fontId="0" fillId="0" borderId="1" xfId="2" applyFont="1"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30" fillId="26" borderId="19" xfId="0" applyFont="1" applyFill="1" applyBorder="1" applyAlignment="1" applyProtection="1">
      <alignment horizontal="center" vertical="center"/>
      <protection locked="0"/>
    </xf>
    <xf numFmtId="0" fontId="37" fillId="26" borderId="19" xfId="0" applyFont="1" applyFill="1" applyBorder="1" applyAlignment="1" applyProtection="1">
      <alignment horizontal="center" vertical="center"/>
      <protection locked="0"/>
    </xf>
    <xf numFmtId="0" fontId="38" fillId="14" borderId="45" xfId="0" applyFont="1" applyFill="1" applyBorder="1" applyAlignment="1" applyProtection="1">
      <alignment horizontal="center" vertical="center"/>
      <protection locked="0"/>
    </xf>
    <xf numFmtId="0" fontId="39" fillId="15" borderId="45" xfId="0" applyFont="1" applyFill="1" applyBorder="1" applyAlignment="1" applyProtection="1">
      <alignment horizontal="left" vertical="center"/>
      <protection locked="0"/>
    </xf>
    <xf numFmtId="0" fontId="40" fillId="16" borderId="45" xfId="0" applyFont="1" applyFill="1" applyBorder="1" applyAlignment="1" applyProtection="1">
      <alignment horizontal="left" vertical="center"/>
      <protection locked="0"/>
    </xf>
    <xf numFmtId="0" fontId="39" fillId="21" borderId="45" xfId="0" applyFont="1" applyFill="1" applyBorder="1" applyAlignment="1" applyProtection="1">
      <alignment horizontal="left" vertical="center"/>
      <protection locked="0"/>
    </xf>
    <xf numFmtId="0" fontId="40" fillId="32" borderId="45" xfId="0" applyFont="1" applyFill="1" applyBorder="1" applyAlignment="1" applyProtection="1">
      <alignment horizontal="left" vertical="center"/>
      <protection locked="0"/>
    </xf>
    <xf numFmtId="0" fontId="40" fillId="34" borderId="45" xfId="0" applyFont="1" applyFill="1" applyBorder="1" applyAlignment="1" applyProtection="1">
      <alignment horizontal="left" vertical="center"/>
      <protection locked="0"/>
    </xf>
    <xf numFmtId="0" fontId="40" fillId="27" borderId="45" xfId="0" applyFont="1" applyFill="1" applyBorder="1" applyAlignment="1" applyProtection="1">
      <alignment horizontal="left" vertical="center"/>
      <protection locked="0"/>
    </xf>
    <xf numFmtId="44" fontId="41" fillId="14" borderId="45" xfId="1" applyFont="1" applyFill="1" applyBorder="1" applyAlignment="1" applyProtection="1">
      <alignment horizontal="center" vertical="center"/>
      <protection locked="0"/>
    </xf>
    <xf numFmtId="44" fontId="41" fillId="14" borderId="46" xfId="1" applyFont="1" applyFill="1" applyBorder="1" applyAlignment="1" applyProtection="1">
      <alignment horizontal="center" vertical="center"/>
      <protection locked="0"/>
    </xf>
    <xf numFmtId="44" fontId="41" fillId="14" borderId="25" xfId="1" applyFont="1" applyFill="1" applyBorder="1" applyAlignment="1" applyProtection="1">
      <alignment horizontal="center" vertical="center"/>
      <protection locked="0"/>
    </xf>
    <xf numFmtId="44" fontId="42" fillId="15" borderId="45" xfId="1" applyFont="1" applyFill="1" applyBorder="1" applyAlignment="1" applyProtection="1">
      <alignment horizontal="center" vertical="center"/>
      <protection locked="0"/>
    </xf>
    <xf numFmtId="44" fontId="42" fillId="15" borderId="46" xfId="1" applyFont="1" applyFill="1" applyBorder="1" applyAlignment="1" applyProtection="1">
      <alignment horizontal="center" vertical="center"/>
      <protection locked="0"/>
    </xf>
    <xf numFmtId="44" fontId="42" fillId="15" borderId="25" xfId="1" applyFont="1" applyFill="1" applyBorder="1" applyAlignment="1" applyProtection="1">
      <alignment horizontal="center" vertical="center"/>
      <protection locked="0"/>
    </xf>
    <xf numFmtId="44" fontId="42" fillId="16" borderId="45" xfId="1" applyFont="1" applyFill="1" applyBorder="1" applyAlignment="1" applyProtection="1">
      <alignment horizontal="center" vertical="center"/>
      <protection locked="0"/>
    </xf>
    <xf numFmtId="44" fontId="42" fillId="16" borderId="46" xfId="1" applyFont="1" applyFill="1" applyBorder="1" applyAlignment="1" applyProtection="1">
      <alignment horizontal="center" vertical="center"/>
      <protection locked="0"/>
    </xf>
    <xf numFmtId="44" fontId="42" fillId="16" borderId="25" xfId="1" applyFont="1" applyFill="1" applyBorder="1" applyAlignment="1" applyProtection="1">
      <alignment horizontal="center" vertical="center"/>
      <protection locked="0"/>
    </xf>
    <xf numFmtId="0" fontId="42" fillId="31" borderId="45" xfId="1" applyNumberFormat="1" applyFont="1" applyFill="1" applyBorder="1" applyAlignment="1" applyProtection="1">
      <alignment horizontal="center" vertical="center"/>
      <protection locked="0"/>
    </xf>
    <xf numFmtId="0" fontId="42" fillId="31" borderId="46" xfId="1" applyNumberFormat="1" applyFont="1" applyFill="1" applyBorder="1" applyAlignment="1" applyProtection="1">
      <alignment horizontal="center" vertical="center"/>
      <protection locked="0"/>
    </xf>
    <xf numFmtId="0" fontId="42" fillId="31" borderId="25" xfId="1" applyNumberFormat="1" applyFont="1" applyFill="1" applyBorder="1" applyAlignment="1" applyProtection="1">
      <alignment horizontal="center" vertical="center"/>
      <protection locked="0"/>
    </xf>
    <xf numFmtId="9" fontId="42" fillId="33" borderId="45" xfId="2" applyFont="1" applyFill="1" applyBorder="1" applyAlignment="1" applyProtection="1">
      <alignment horizontal="center" vertical="center"/>
      <protection locked="0"/>
    </xf>
    <xf numFmtId="0" fontId="34" fillId="10" borderId="0" xfId="0" applyFont="1" applyFill="1" applyProtection="1">
      <protection locked="0"/>
    </xf>
    <xf numFmtId="9" fontId="42" fillId="35" borderId="45" xfId="2" applyFont="1" applyFill="1" applyBorder="1" applyAlignment="1" applyProtection="1">
      <alignment horizontal="center" vertical="center"/>
      <protection locked="0"/>
    </xf>
    <xf numFmtId="14" fontId="0" fillId="0" borderId="1" xfId="0" applyNumberFormat="1" applyBorder="1" applyAlignment="1" applyProtection="1">
      <alignment horizontal="left" vertical="center"/>
      <protection locked="0"/>
    </xf>
    <xf numFmtId="17" fontId="0" fillId="6" borderId="15" xfId="0" applyNumberFormat="1" applyFill="1" applyBorder="1" applyAlignment="1" applyProtection="1">
      <alignment horizontal="center" vertical="center" wrapText="1"/>
      <protection locked="0"/>
    </xf>
    <xf numFmtId="44" fontId="0" fillId="6" borderId="15" xfId="1" applyFont="1" applyFill="1" applyBorder="1" applyProtection="1">
      <protection locked="0"/>
    </xf>
    <xf numFmtId="17" fontId="0" fillId="10" borderId="15" xfId="0" applyNumberFormat="1" applyFill="1" applyBorder="1" applyAlignment="1" applyProtection="1">
      <alignment horizontal="center" vertical="center" wrapText="1"/>
      <protection locked="0"/>
    </xf>
    <xf numFmtId="44" fontId="0" fillId="10" borderId="15" xfId="1" applyFont="1" applyFill="1" applyBorder="1" applyProtection="1">
      <protection locked="0"/>
    </xf>
    <xf numFmtId="0" fontId="6" fillId="2" borderId="0" xfId="2" applyNumberFormat="1" applyFont="1" applyFill="1" applyBorder="1" applyAlignment="1" applyProtection="1">
      <alignment horizontal="center" vertical="center"/>
      <protection locked="0"/>
    </xf>
    <xf numFmtId="0" fontId="0" fillId="28" borderId="49" xfId="0" applyFill="1" applyBorder="1" applyProtection="1">
      <protection locked="0"/>
    </xf>
    <xf numFmtId="0" fontId="0" fillId="0" borderId="48" xfId="0" applyBorder="1" applyProtection="1">
      <protection locked="0"/>
    </xf>
    <xf numFmtId="0" fontId="0" fillId="28" borderId="48" xfId="0" applyFill="1" applyBorder="1" applyProtection="1">
      <protection locked="0"/>
    </xf>
    <xf numFmtId="2" fontId="0" fillId="6" borderId="15" xfId="0" applyNumberFormat="1" applyFill="1" applyBorder="1" applyAlignment="1" applyProtection="1">
      <alignment horizontal="center" vertical="center" wrapText="1"/>
      <protection locked="0"/>
    </xf>
    <xf numFmtId="1" fontId="0" fillId="6" borderId="15" xfId="0" applyNumberFormat="1" applyFill="1" applyBorder="1" applyAlignment="1" applyProtection="1">
      <alignment horizontal="center" vertical="center" wrapText="1"/>
      <protection locked="0"/>
    </xf>
    <xf numFmtId="2" fontId="0" fillId="10" borderId="15" xfId="0" applyNumberFormat="1" applyFill="1" applyBorder="1" applyAlignment="1" applyProtection="1">
      <alignment horizontal="center" vertical="center" wrapText="1"/>
      <protection locked="0"/>
    </xf>
    <xf numFmtId="1" fontId="0" fillId="10" borderId="15" xfId="0" applyNumberFormat="1" applyFill="1" applyBorder="1" applyAlignment="1" applyProtection="1">
      <alignment horizontal="center" vertical="center" wrapText="1"/>
      <protection locked="0"/>
    </xf>
    <xf numFmtId="1" fontId="0" fillId="10" borderId="15" xfId="1" applyNumberFormat="1" applyFont="1" applyFill="1" applyBorder="1" applyAlignment="1" applyProtection="1">
      <alignment horizontal="center"/>
      <protection locked="0"/>
    </xf>
    <xf numFmtId="0" fontId="6" fillId="24" borderId="22" xfId="0" applyFont="1" applyFill="1" applyBorder="1" applyAlignment="1">
      <alignment horizontal="center" vertical="center"/>
    </xf>
    <xf numFmtId="0" fontId="6" fillId="24" borderId="21" xfId="0" applyFont="1" applyFill="1" applyBorder="1" applyAlignment="1">
      <alignment horizontal="center" vertical="center"/>
    </xf>
    <xf numFmtId="0" fontId="7" fillId="0" borderId="15" xfId="0" applyFont="1" applyBorder="1" applyProtection="1">
      <protection locked="0"/>
    </xf>
    <xf numFmtId="0" fontId="7" fillId="0" borderId="15" xfId="0" applyFont="1" applyBorder="1" applyAlignment="1" applyProtection="1">
      <alignment horizontal="center"/>
      <protection locked="0"/>
    </xf>
    <xf numFmtId="0" fontId="4" fillId="10" borderId="0" xfId="0" applyFont="1" applyFill="1" applyProtection="1">
      <protection locked="0"/>
    </xf>
    <xf numFmtId="0" fontId="7" fillId="0" borderId="15" xfId="0" applyFont="1" applyBorder="1"/>
    <xf numFmtId="0" fontId="7" fillId="0" borderId="15" xfId="0" applyFont="1" applyBorder="1" applyAlignment="1">
      <alignment horizontal="center"/>
    </xf>
    <xf numFmtId="9" fontId="7" fillId="0" borderId="15" xfId="0" applyNumberFormat="1" applyFont="1" applyBorder="1" applyAlignment="1">
      <alignment horizontal="center"/>
    </xf>
    <xf numFmtId="0" fontId="8" fillId="29" borderId="47" xfId="0" applyFont="1" applyFill="1" applyBorder="1" applyAlignment="1" applyProtection="1">
      <alignment horizontal="center" vertical="center" wrapText="1"/>
      <protection locked="0"/>
    </xf>
    <xf numFmtId="0" fontId="7" fillId="10" borderId="15" xfId="0" applyFont="1" applyFill="1" applyBorder="1"/>
    <xf numFmtId="0" fontId="7" fillId="10" borderId="15" xfId="0" applyFont="1" applyFill="1" applyBorder="1" applyAlignment="1">
      <alignment horizontal="center"/>
    </xf>
    <xf numFmtId="9" fontId="7" fillId="10" borderId="15" xfId="0" applyNumberFormat="1" applyFont="1" applyFill="1" applyBorder="1" applyAlignment="1">
      <alignment horizontal="center"/>
    </xf>
    <xf numFmtId="0" fontId="4" fillId="10" borderId="0" xfId="0" applyFont="1" applyFill="1"/>
    <xf numFmtId="0" fontId="0" fillId="10" borderId="35" xfId="0" applyFill="1" applyBorder="1"/>
    <xf numFmtId="0" fontId="0" fillId="10" borderId="24" xfId="0" applyFill="1" applyBorder="1"/>
    <xf numFmtId="0" fontId="0" fillId="10" borderId="36" xfId="0" applyFill="1" applyBorder="1"/>
    <xf numFmtId="9" fontId="6" fillId="2" borderId="0" xfId="2" applyFont="1" applyFill="1" applyAlignment="1" applyProtection="1">
      <alignment horizontal="left" vertical="center"/>
      <protection locked="0"/>
    </xf>
    <xf numFmtId="9" fontId="0" fillId="8" borderId="11" xfId="2" applyFont="1" applyFill="1" applyBorder="1" applyAlignment="1" applyProtection="1">
      <alignment horizontal="center" vertical="center"/>
      <protection locked="0"/>
    </xf>
    <xf numFmtId="9" fontId="0" fillId="10" borderId="11" xfId="2" applyFont="1" applyFill="1" applyBorder="1" applyAlignment="1" applyProtection="1">
      <alignment horizontal="center" vertical="center"/>
      <protection locked="0"/>
    </xf>
    <xf numFmtId="9" fontId="0" fillId="8" borderId="5" xfId="2" applyFont="1" applyFill="1" applyBorder="1" applyAlignment="1" applyProtection="1">
      <alignment horizontal="center" vertical="center" wrapText="1"/>
      <protection locked="0"/>
    </xf>
    <xf numFmtId="9" fontId="0" fillId="8" borderId="6" xfId="2" applyFont="1" applyFill="1" applyBorder="1" applyAlignment="1" applyProtection="1">
      <alignment horizontal="center" vertical="center" wrapText="1"/>
      <protection locked="0"/>
    </xf>
    <xf numFmtId="0" fontId="31" fillId="0" borderId="5" xfId="3" applyBorder="1" applyProtection="1">
      <protection locked="0"/>
    </xf>
    <xf numFmtId="0" fontId="0" fillId="0" borderId="1" xfId="0" quotePrefix="1" applyBorder="1" applyAlignment="1" applyProtection="1">
      <alignment horizontal="center"/>
      <protection locked="0"/>
    </xf>
    <xf numFmtId="10" fontId="16" fillId="0" borderId="0" xfId="0" applyNumberFormat="1" applyFont="1" applyProtection="1">
      <protection locked="0"/>
    </xf>
    <xf numFmtId="165" fontId="0" fillId="0" borderId="0" xfId="2" applyNumberFormat="1" applyFont="1" applyProtection="1">
      <protection locked="0"/>
    </xf>
    <xf numFmtId="10" fontId="0" fillId="0" borderId="0" xfId="0" applyNumberFormat="1" applyProtection="1">
      <protection locked="0"/>
    </xf>
    <xf numFmtId="10" fontId="0" fillId="0" borderId="0" xfId="2" applyNumberFormat="1" applyFont="1" applyProtection="1">
      <protection locked="0"/>
    </xf>
    <xf numFmtId="9" fontId="0" fillId="0" borderId="15" xfId="2" applyFont="1" applyBorder="1" applyAlignment="1">
      <alignment horizontal="center"/>
    </xf>
    <xf numFmtId="1" fontId="0" fillId="0" borderId="1" xfId="0" applyNumberFormat="1" applyBorder="1" applyAlignment="1" applyProtection="1">
      <alignment horizontal="right" vertical="center" wrapText="1"/>
      <protection locked="0"/>
    </xf>
    <xf numFmtId="166" fontId="16" fillId="17" borderId="15" xfId="1" applyNumberFormat="1" applyFont="1" applyFill="1" applyBorder="1"/>
    <xf numFmtId="166" fontId="16" fillId="18" borderId="15" xfId="1" applyNumberFormat="1" applyFont="1" applyFill="1" applyBorder="1" applyAlignment="1">
      <alignment horizontal="center" vertical="center"/>
    </xf>
    <xf numFmtId="166" fontId="16" fillId="19" borderId="15" xfId="1" applyNumberFormat="1" applyFont="1" applyFill="1" applyBorder="1" applyAlignment="1">
      <alignment horizontal="center" vertical="center"/>
    </xf>
    <xf numFmtId="165" fontId="42" fillId="33" borderId="45" xfId="2" applyNumberFormat="1" applyFont="1" applyFill="1"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6" xfId="0" applyBorder="1" applyAlignment="1" applyProtection="1">
      <alignment horizontal="center"/>
      <protection locked="0"/>
    </xf>
    <xf numFmtId="10" fontId="0" fillId="0" borderId="1" xfId="0" applyNumberFormat="1" applyBorder="1" applyAlignment="1" applyProtection="1">
      <alignment horizontal="center"/>
      <protection locked="0"/>
    </xf>
    <xf numFmtId="3" fontId="0" fillId="0" borderId="1" xfId="0" applyNumberFormat="1" applyBorder="1" applyAlignment="1" applyProtection="1">
      <alignment horizontal="center"/>
      <protection locked="0"/>
    </xf>
    <xf numFmtId="9" fontId="0" fillId="0" borderId="1" xfId="0" applyNumberFormat="1" applyBorder="1" applyAlignment="1" applyProtection="1">
      <alignment horizontal="center"/>
      <protection locked="0"/>
    </xf>
    <xf numFmtId="0" fontId="0" fillId="0" borderId="5" xfId="0" applyBorder="1" applyAlignment="1" applyProtection="1">
      <alignment horizontal="center"/>
      <protection locked="0"/>
    </xf>
    <xf numFmtId="167" fontId="0" fillId="0" borderId="1" xfId="0" applyNumberFormat="1" applyBorder="1" applyAlignment="1" applyProtection="1">
      <alignment horizontal="center"/>
      <protection locked="0"/>
    </xf>
    <xf numFmtId="0" fontId="11" fillId="9" borderId="4" xfId="0" applyFont="1" applyFill="1" applyBorder="1" applyAlignment="1" applyProtection="1">
      <alignment horizontal="center"/>
      <protection locked="0"/>
    </xf>
    <xf numFmtId="0" fontId="0" fillId="10" borderId="12" xfId="0" applyFill="1" applyBorder="1" applyAlignment="1" applyProtection="1">
      <alignment horizontal="center"/>
      <protection locked="0"/>
    </xf>
    <xf numFmtId="9" fontId="0" fillId="0" borderId="5" xfId="2" applyFont="1" applyBorder="1" applyAlignment="1" applyProtection="1">
      <alignment horizontal="center" vertical="center" wrapText="1"/>
      <protection locked="0"/>
    </xf>
    <xf numFmtId="9" fontId="0" fillId="0" borderId="6" xfId="2" applyFont="1" applyBorder="1" applyAlignment="1" applyProtection="1">
      <alignment horizontal="center" vertical="center" wrapText="1"/>
      <protection locked="0"/>
    </xf>
    <xf numFmtId="0" fontId="6" fillId="2" borderId="4" xfId="0" applyFont="1" applyFill="1" applyBorder="1" applyProtection="1">
      <protection locked="0"/>
    </xf>
    <xf numFmtId="0" fontId="11" fillId="9" borderId="4" xfId="0" applyFont="1" applyFill="1" applyBorder="1" applyProtection="1">
      <protection locked="0"/>
    </xf>
    <xf numFmtId="0" fontId="47" fillId="0" borderId="0" xfId="3" applyFont="1"/>
    <xf numFmtId="44" fontId="0" fillId="0" borderId="15" xfId="1" applyFont="1" applyBorder="1" applyAlignment="1">
      <alignment horizontal="center"/>
    </xf>
    <xf numFmtId="0" fontId="0" fillId="11" borderId="15" xfId="0" applyFill="1" applyBorder="1" applyAlignment="1">
      <alignment horizontal="center"/>
    </xf>
    <xf numFmtId="0" fontId="17" fillId="34" borderId="15" xfId="0" applyFont="1" applyFill="1" applyBorder="1" applyAlignment="1" applyProtection="1">
      <alignment horizontal="center"/>
      <protection locked="0"/>
    </xf>
    <xf numFmtId="0" fontId="17" fillId="34" borderId="17" xfId="0" applyFont="1" applyFill="1" applyBorder="1" applyAlignment="1" applyProtection="1">
      <alignment horizontal="center"/>
      <protection locked="0"/>
    </xf>
    <xf numFmtId="0" fontId="33" fillId="10" borderId="55" xfId="0" applyFont="1" applyFill="1" applyBorder="1" applyAlignment="1" applyProtection="1">
      <alignment horizontal="left"/>
      <protection locked="0"/>
    </xf>
    <xf numFmtId="0" fontId="33" fillId="11" borderId="55" xfId="0" applyFont="1" applyFill="1" applyBorder="1" applyAlignment="1" applyProtection="1">
      <alignment horizontal="left"/>
      <protection locked="0"/>
    </xf>
    <xf numFmtId="0" fontId="7" fillId="0" borderId="56" xfId="0" applyFont="1" applyBorder="1" applyProtection="1">
      <protection locked="0"/>
    </xf>
    <xf numFmtId="0" fontId="7" fillId="0" borderId="57" xfId="0" applyFont="1" applyBorder="1" applyAlignment="1" applyProtection="1">
      <alignment horizontal="center"/>
      <protection locked="0"/>
    </xf>
    <xf numFmtId="44" fontId="23" fillId="0" borderId="57" xfId="1" applyFont="1" applyBorder="1" applyAlignment="1" applyProtection="1">
      <alignment horizontal="center" vertical="center"/>
      <protection locked="0"/>
    </xf>
    <xf numFmtId="9" fontId="7" fillId="0" borderId="58" xfId="0" applyNumberFormat="1" applyFont="1" applyBorder="1" applyAlignment="1">
      <alignment horizontal="center"/>
    </xf>
    <xf numFmtId="0" fontId="17" fillId="34" borderId="53" xfId="0" applyFont="1" applyFill="1" applyBorder="1" applyAlignment="1" applyProtection="1">
      <alignment horizontal="center"/>
      <protection locked="0"/>
    </xf>
    <xf numFmtId="0" fontId="0" fillId="0" borderId="53" xfId="0" applyBorder="1" applyProtection="1">
      <protection locked="0"/>
    </xf>
    <xf numFmtId="0" fontId="0" fillId="11" borderId="53" xfId="0" applyFill="1" applyBorder="1" applyProtection="1">
      <protection locked="0"/>
    </xf>
    <xf numFmtId="0" fontId="6" fillId="25" borderId="25" xfId="0" applyFont="1" applyFill="1" applyBorder="1" applyAlignment="1" applyProtection="1">
      <alignment horizontal="center" vertical="center"/>
      <protection locked="0"/>
    </xf>
    <xf numFmtId="0" fontId="0" fillId="17" borderId="25" xfId="0" applyFill="1" applyBorder="1" applyProtection="1">
      <protection locked="0"/>
    </xf>
    <xf numFmtId="0" fontId="0" fillId="17" borderId="25" xfId="0" applyFill="1" applyBorder="1" applyAlignment="1" applyProtection="1">
      <alignment horizontal="center"/>
      <protection locked="0"/>
    </xf>
    <xf numFmtId="9" fontId="33" fillId="10" borderId="25" xfId="2" applyFont="1" applyFill="1" applyBorder="1" applyAlignment="1" applyProtection="1">
      <alignment horizontal="center" vertical="center"/>
      <protection locked="0"/>
    </xf>
    <xf numFmtId="0" fontId="0" fillId="18" borderId="25" xfId="0" applyFill="1" applyBorder="1" applyProtection="1">
      <protection locked="0"/>
    </xf>
    <xf numFmtId="0" fontId="0" fillId="18" borderId="25" xfId="0" applyFill="1" applyBorder="1" applyAlignment="1" applyProtection="1">
      <alignment horizontal="center"/>
      <protection locked="0"/>
    </xf>
    <xf numFmtId="9" fontId="33" fillId="11" borderId="25" xfId="2" applyFont="1" applyFill="1" applyBorder="1" applyAlignment="1" applyProtection="1">
      <alignment horizontal="center" vertical="center"/>
      <protection locked="0"/>
    </xf>
    <xf numFmtId="0" fontId="0" fillId="19" borderId="25" xfId="0" applyFill="1" applyBorder="1"/>
    <xf numFmtId="0" fontId="0" fillId="19" borderId="25" xfId="0" applyFill="1" applyBorder="1" applyAlignment="1">
      <alignment horizontal="center"/>
    </xf>
    <xf numFmtId="0" fontId="46" fillId="0" borderId="0" xfId="0" applyFont="1"/>
    <xf numFmtId="0" fontId="0" fillId="0" borderId="0" xfId="0" applyAlignment="1">
      <alignment horizontal="left"/>
    </xf>
    <xf numFmtId="44" fontId="0" fillId="0" borderId="0" xfId="1" applyFont="1"/>
    <xf numFmtId="0" fontId="6" fillId="2" borderId="14" xfId="0" applyFont="1" applyFill="1" applyBorder="1" applyAlignment="1" applyProtection="1">
      <alignment horizontal="left"/>
      <protection locked="0"/>
    </xf>
    <xf numFmtId="8" fontId="0" fillId="0" borderId="0" xfId="1" applyNumberFormat="1" applyFont="1"/>
    <xf numFmtId="0" fontId="0" fillId="0" borderId="0" xfId="0" applyAlignment="1">
      <alignment vertical="center" textRotation="90"/>
    </xf>
    <xf numFmtId="0" fontId="0" fillId="10" borderId="0" xfId="0" applyFill="1" applyAlignment="1" applyProtection="1">
      <alignment horizontal="left"/>
      <protection locked="0"/>
    </xf>
    <xf numFmtId="44" fontId="0" fillId="10" borderId="0" xfId="0" applyNumberFormat="1" applyFill="1" applyProtection="1">
      <protection locked="0"/>
    </xf>
    <xf numFmtId="0" fontId="0" fillId="10" borderId="15" xfId="0" applyFill="1" applyBorder="1" applyAlignment="1" applyProtection="1">
      <alignment horizontal="center" vertical="center"/>
      <protection locked="0"/>
    </xf>
    <xf numFmtId="0" fontId="49" fillId="0" borderId="0" xfId="0" applyFont="1" applyProtection="1">
      <protection locked="0"/>
    </xf>
    <xf numFmtId="0" fontId="49" fillId="11" borderId="64" xfId="0" applyFont="1" applyFill="1" applyBorder="1" applyAlignment="1" applyProtection="1">
      <alignment horizontal="center" vertical="center"/>
      <protection locked="0"/>
    </xf>
    <xf numFmtId="0" fontId="49" fillId="11" borderId="64" xfId="0" applyFont="1" applyFill="1" applyBorder="1" applyAlignment="1">
      <alignment horizontal="center" vertical="center"/>
    </xf>
    <xf numFmtId="0" fontId="6" fillId="36" borderId="14" xfId="0" applyFont="1" applyFill="1" applyBorder="1" applyProtection="1">
      <protection locked="0"/>
    </xf>
    <xf numFmtId="0" fontId="6" fillId="36" borderId="0" xfId="0" applyFont="1" applyFill="1" applyAlignment="1" applyProtection="1">
      <alignment horizontal="center"/>
      <protection locked="0"/>
    </xf>
    <xf numFmtId="0" fontId="0" fillId="10" borderId="0" xfId="0" applyFill="1" applyAlignment="1" applyProtection="1">
      <alignment horizontal="center" vertical="center" wrapText="1"/>
      <protection locked="0"/>
    </xf>
    <xf numFmtId="9" fontId="0" fillId="10" borderId="15" xfId="2" applyFont="1" applyFill="1" applyBorder="1" applyAlignment="1" applyProtection="1">
      <alignment horizontal="center" vertical="center"/>
      <protection locked="0"/>
    </xf>
    <xf numFmtId="164" fontId="0" fillId="0" borderId="15" xfId="0" applyNumberFormat="1" applyBorder="1" applyProtection="1">
      <protection locked="0"/>
    </xf>
    <xf numFmtId="166" fontId="16" fillId="17" borderId="15" xfId="1" applyNumberFormat="1" applyFont="1" applyFill="1" applyBorder="1" applyProtection="1">
      <protection locked="0"/>
    </xf>
    <xf numFmtId="0" fontId="16" fillId="18" borderId="15" xfId="0" applyFont="1" applyFill="1" applyBorder="1" applyAlignment="1" applyProtection="1">
      <alignment horizontal="center" vertical="center"/>
      <protection locked="0"/>
    </xf>
    <xf numFmtId="166" fontId="16" fillId="18" borderId="15" xfId="1" applyNumberFormat="1" applyFont="1" applyFill="1" applyBorder="1" applyAlignment="1" applyProtection="1">
      <alignment horizontal="center" vertical="center"/>
      <protection locked="0"/>
    </xf>
    <xf numFmtId="0" fontId="0" fillId="19" borderId="15" xfId="0" applyFill="1" applyBorder="1" applyProtection="1">
      <protection locked="0"/>
    </xf>
    <xf numFmtId="0" fontId="16" fillId="19" borderId="15" xfId="0" applyFont="1" applyFill="1" applyBorder="1" applyAlignment="1" applyProtection="1">
      <alignment horizontal="center" vertical="center"/>
      <protection locked="0"/>
    </xf>
    <xf numFmtId="166" fontId="16" fillId="19" borderId="15" xfId="1" applyNumberFormat="1" applyFont="1" applyFill="1" applyBorder="1" applyAlignment="1" applyProtection="1">
      <alignment horizontal="center" vertical="center"/>
      <protection locked="0"/>
    </xf>
    <xf numFmtId="164" fontId="23" fillId="0" borderId="15" xfId="0" applyNumberFormat="1" applyFont="1" applyBorder="1" applyProtection="1">
      <protection locked="0"/>
    </xf>
    <xf numFmtId="0" fontId="0" fillId="0" borderId="15" xfId="0" applyBorder="1" applyAlignment="1">
      <alignment horizontal="left"/>
    </xf>
    <xf numFmtId="0" fontId="7" fillId="0" borderId="15" xfId="0" applyFont="1" applyBorder="1" applyAlignment="1">
      <alignment horizontal="left"/>
    </xf>
    <xf numFmtId="0" fontId="6" fillId="2" borderId="0" xfId="0" applyFont="1" applyFill="1" applyAlignment="1" applyProtection="1">
      <alignment horizontal="left"/>
      <protection locked="0"/>
    </xf>
    <xf numFmtId="0" fontId="8" fillId="3" borderId="6" xfId="0" applyFont="1" applyFill="1" applyBorder="1" applyAlignment="1" applyProtection="1">
      <alignment horizontal="left" vertical="center" wrapText="1"/>
      <protection locked="0"/>
    </xf>
    <xf numFmtId="0" fontId="0" fillId="0" borderId="1" xfId="0" applyBorder="1" applyAlignment="1" applyProtection="1">
      <alignment horizontal="left"/>
      <protection locked="0"/>
    </xf>
    <xf numFmtId="0" fontId="0" fillId="0" borderId="5" xfId="0" applyBorder="1" applyAlignment="1" applyProtection="1">
      <alignment horizontal="left"/>
      <protection locked="0"/>
    </xf>
    <xf numFmtId="0" fontId="0" fillId="0" borderId="0" xfId="0" applyAlignment="1" applyProtection="1">
      <alignment horizontal="left"/>
      <protection locked="0"/>
    </xf>
    <xf numFmtId="0" fontId="8" fillId="3" borderId="1" xfId="0" applyFont="1" applyFill="1" applyBorder="1" applyAlignment="1" applyProtection="1">
      <alignment horizontal="left" vertical="center" wrapText="1"/>
      <protection locked="0"/>
    </xf>
    <xf numFmtId="0" fontId="0" fillId="6" borderId="0" xfId="0" applyFill="1" applyAlignment="1" applyProtection="1">
      <alignment horizontal="left"/>
      <protection locked="0"/>
    </xf>
    <xf numFmtId="0" fontId="0" fillId="10" borderId="0" xfId="0" applyFill="1" applyAlignment="1" applyProtection="1">
      <alignment vertical="top"/>
      <protection locked="0"/>
    </xf>
    <xf numFmtId="0" fontId="6" fillId="2" borderId="0" xfId="0" applyFont="1" applyFill="1" applyAlignment="1" applyProtection="1">
      <alignment vertical="top"/>
      <protection locked="0"/>
    </xf>
    <xf numFmtId="0" fontId="8" fillId="3" borderId="6" xfId="0" applyFont="1" applyFill="1" applyBorder="1" applyAlignment="1" applyProtection="1">
      <alignment vertical="top" wrapText="1"/>
      <protection locked="0"/>
    </xf>
    <xf numFmtId="0" fontId="0" fillId="0" borderId="1" xfId="0" applyBorder="1" applyAlignment="1" applyProtection="1">
      <alignment vertical="top"/>
      <protection locked="0"/>
    </xf>
    <xf numFmtId="0" fontId="0" fillId="0" borderId="5" xfId="0" applyBorder="1" applyAlignment="1" applyProtection="1">
      <alignment vertical="top"/>
      <protection locked="0"/>
    </xf>
    <xf numFmtId="0" fontId="0" fillId="0" borderId="0" xfId="0" applyAlignment="1" applyProtection="1">
      <alignment vertical="top"/>
      <protection locked="0"/>
    </xf>
    <xf numFmtId="0" fontId="6" fillId="2" borderId="4" xfId="0" applyFont="1" applyFill="1" applyBorder="1" applyAlignment="1" applyProtection="1">
      <alignment vertical="top"/>
      <protection locked="0"/>
    </xf>
    <xf numFmtId="0" fontId="8" fillId="3" borderId="1" xfId="0" applyFont="1" applyFill="1" applyBorder="1" applyAlignment="1" applyProtection="1">
      <alignment vertical="top" wrapText="1"/>
      <protection locked="0"/>
    </xf>
    <xf numFmtId="0" fontId="48" fillId="10" borderId="0" xfId="0" applyFont="1" applyFill="1" applyAlignment="1">
      <alignment vertical="center"/>
    </xf>
    <xf numFmtId="168" fontId="0" fillId="0" borderId="0" xfId="1" applyNumberFormat="1" applyFont="1"/>
    <xf numFmtId="9" fontId="0" fillId="0" borderId="1" xfId="2" applyFont="1" applyBorder="1" applyAlignment="1" applyProtection="1">
      <alignment horizontal="right"/>
      <protection locked="0"/>
    </xf>
    <xf numFmtId="9" fontId="0" fillId="6" borderId="15" xfId="2" applyFont="1" applyFill="1" applyBorder="1" applyAlignment="1" applyProtection="1">
      <alignment horizontal="center" vertical="center"/>
      <protection locked="0"/>
    </xf>
    <xf numFmtId="0" fontId="0" fillId="6" borderId="15" xfId="0" applyFill="1" applyBorder="1" applyAlignment="1" applyProtection="1">
      <alignment horizontal="center" vertical="center"/>
      <protection locked="0"/>
    </xf>
    <xf numFmtId="46" fontId="0" fillId="0" borderId="1" xfId="0" applyNumberFormat="1" applyBorder="1" applyProtection="1">
      <protection locked="0"/>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8" fillId="38" borderId="1" xfId="0" applyFont="1" applyFill="1" applyBorder="1" applyAlignment="1" applyProtection="1">
      <alignment horizontal="center" vertical="center" wrapText="1"/>
      <protection locked="0"/>
    </xf>
    <xf numFmtId="17" fontId="0" fillId="38" borderId="1" xfId="0" applyNumberFormat="1" applyFill="1" applyBorder="1" applyAlignment="1" applyProtection="1">
      <alignment horizontal="center" vertical="center" wrapText="1"/>
      <protection locked="0"/>
    </xf>
    <xf numFmtId="17" fontId="33" fillId="38" borderId="1" xfId="0" applyNumberFormat="1" applyFont="1" applyFill="1" applyBorder="1" applyAlignment="1" applyProtection="1">
      <alignment horizontal="center" vertical="center" wrapText="1"/>
      <protection locked="0"/>
    </xf>
    <xf numFmtId="21" fontId="0" fillId="0" borderId="1" xfId="0" applyNumberFormat="1" applyBorder="1" applyAlignment="1" applyProtection="1">
      <alignment horizontal="right" vertical="center" wrapText="1"/>
      <protection locked="0"/>
    </xf>
    <xf numFmtId="21" fontId="0" fillId="0" borderId="1" xfId="0" applyNumberFormat="1" applyBorder="1" applyProtection="1">
      <protection locked="0"/>
    </xf>
    <xf numFmtId="169" fontId="0" fillId="0" borderId="1" xfId="0" applyNumberFormat="1" applyBorder="1" applyProtection="1">
      <protection locked="0"/>
    </xf>
    <xf numFmtId="0" fontId="0" fillId="17" borderId="15" xfId="0" applyFill="1" applyBorder="1" applyAlignment="1">
      <alignment horizontal="center"/>
    </xf>
    <xf numFmtId="0" fontId="0" fillId="18" borderId="15" xfId="0" applyFill="1" applyBorder="1" applyAlignment="1">
      <alignment horizontal="center"/>
    </xf>
    <xf numFmtId="0" fontId="0" fillId="19" borderId="15" xfId="0" applyFill="1" applyBorder="1" applyAlignment="1">
      <alignment horizontal="center"/>
    </xf>
    <xf numFmtId="165" fontId="0" fillId="0" borderId="6" xfId="2" applyNumberFormat="1" applyFont="1" applyBorder="1" applyAlignment="1" applyProtection="1">
      <alignment horizontal="center"/>
      <protection locked="0"/>
    </xf>
    <xf numFmtId="165" fontId="0" fillId="0" borderId="1" xfId="0" applyNumberFormat="1" applyBorder="1" applyAlignment="1" applyProtection="1">
      <alignment horizontal="center"/>
      <protection locked="0"/>
    </xf>
    <xf numFmtId="0" fontId="0" fillId="8" borderId="12" xfId="0" applyFill="1" applyBorder="1" applyAlignment="1" applyProtection="1">
      <alignment horizontal="center"/>
      <protection locked="0"/>
    </xf>
    <xf numFmtId="9" fontId="0" fillId="10" borderId="0" xfId="2" applyFont="1" applyFill="1" applyAlignment="1" applyProtection="1">
      <alignment horizontal="center"/>
      <protection locked="0"/>
    </xf>
    <xf numFmtId="9" fontId="0" fillId="8" borderId="0" xfId="2" applyFont="1" applyFill="1" applyAlignment="1" applyProtection="1">
      <alignment horizontal="center"/>
      <protection locked="0"/>
    </xf>
    <xf numFmtId="46" fontId="0" fillId="0" borderId="1" xfId="0" applyNumberFormat="1" applyBorder="1" applyAlignment="1" applyProtection="1">
      <alignment horizontal="center"/>
      <protection locked="0"/>
    </xf>
    <xf numFmtId="21" fontId="0" fillId="0" borderId="1" xfId="0" applyNumberFormat="1" applyBorder="1" applyAlignment="1" applyProtection="1">
      <alignment horizontal="center"/>
      <protection locked="0"/>
    </xf>
    <xf numFmtId="9" fontId="0" fillId="0" borderId="1" xfId="2" applyFont="1" applyBorder="1" applyAlignment="1" applyProtection="1">
      <alignment horizontal="center"/>
      <protection locked="0"/>
    </xf>
    <xf numFmtId="0" fontId="17" fillId="14" borderId="15" xfId="0" applyFont="1" applyFill="1" applyBorder="1"/>
    <xf numFmtId="0" fontId="16" fillId="17" borderId="15" xfId="0" applyFont="1" applyFill="1" applyBorder="1" applyAlignment="1">
      <alignment vertical="center"/>
    </xf>
    <xf numFmtId="0" fontId="16" fillId="18" borderId="15" xfId="0" applyFont="1" applyFill="1" applyBorder="1" applyAlignment="1">
      <alignment vertical="center"/>
    </xf>
    <xf numFmtId="0" fontId="16" fillId="19" borderId="15" xfId="0" applyFont="1" applyFill="1" applyBorder="1" applyAlignment="1">
      <alignment vertical="center"/>
    </xf>
    <xf numFmtId="0" fontId="0" fillId="8" borderId="12" xfId="0" applyFill="1" applyBorder="1" applyAlignment="1" applyProtection="1">
      <alignment vertical="center"/>
      <protection locked="0"/>
    </xf>
    <xf numFmtId="0" fontId="0" fillId="10" borderId="12" xfId="0" applyFill="1" applyBorder="1" applyAlignment="1" applyProtection="1">
      <alignment vertical="center"/>
      <protection locked="0"/>
    </xf>
    <xf numFmtId="0" fontId="39" fillId="39" borderId="45" xfId="0" applyFont="1" applyFill="1" applyBorder="1" applyAlignment="1" applyProtection="1">
      <alignment horizontal="left" vertical="center"/>
      <protection locked="0"/>
    </xf>
    <xf numFmtId="44" fontId="42" fillId="39" borderId="45" xfId="1" applyFont="1" applyFill="1" applyBorder="1" applyAlignment="1" applyProtection="1">
      <alignment horizontal="center" vertical="center"/>
      <protection locked="0"/>
    </xf>
    <xf numFmtId="44" fontId="42" fillId="39" borderId="46" xfId="1" applyFont="1" applyFill="1" applyBorder="1" applyAlignment="1" applyProtection="1">
      <alignment horizontal="center" vertical="center"/>
      <protection locked="0"/>
    </xf>
    <xf numFmtId="44" fontId="42" fillId="39" borderId="25" xfId="1" applyFont="1" applyFill="1" applyBorder="1" applyAlignment="1" applyProtection="1">
      <alignment horizontal="center" vertical="center"/>
      <protection locked="0"/>
    </xf>
    <xf numFmtId="44" fontId="0" fillId="8" borderId="1" xfId="1" applyFont="1" applyFill="1" applyBorder="1" applyAlignment="1" applyProtection="1">
      <alignment horizontal="left" vertical="center"/>
    </xf>
    <xf numFmtId="44" fontId="0" fillId="11" borderId="1" xfId="1" applyFont="1" applyFill="1" applyBorder="1" applyAlignment="1" applyProtection="1">
      <alignment horizontal="left" vertical="center"/>
    </xf>
    <xf numFmtId="44" fontId="0" fillId="8" borderId="1" xfId="1" applyFont="1" applyFill="1" applyBorder="1" applyAlignment="1" applyProtection="1">
      <alignment horizontal="center" vertical="center"/>
    </xf>
    <xf numFmtId="44" fontId="0" fillId="0" borderId="1" xfId="1" applyFont="1" applyBorder="1" applyAlignment="1" applyProtection="1">
      <alignment horizontal="left" vertical="center"/>
    </xf>
    <xf numFmtId="44" fontId="0" fillId="0" borderId="1" xfId="1" applyFont="1" applyBorder="1" applyAlignment="1" applyProtection="1">
      <alignment horizontal="center" vertical="center"/>
    </xf>
    <xf numFmtId="0" fontId="31" fillId="0" borderId="0" xfId="3" applyProtection="1">
      <protection locked="0"/>
    </xf>
    <xf numFmtId="20" fontId="0" fillId="0" borderId="1" xfId="0" applyNumberFormat="1" applyBorder="1" applyAlignment="1" applyProtection="1">
      <alignment horizontal="center" vertical="center" wrapText="1"/>
      <protection locked="0"/>
    </xf>
    <xf numFmtId="46" fontId="0" fillId="0" borderId="1" xfId="0" applyNumberFormat="1" applyBorder="1" applyAlignment="1" applyProtection="1">
      <alignment horizontal="center" vertical="center" wrapText="1"/>
      <protection locked="0"/>
    </xf>
    <xf numFmtId="20" fontId="0" fillId="0" borderId="1" xfId="0" applyNumberFormat="1" applyBorder="1" applyAlignment="1" applyProtection="1">
      <alignment horizontal="center"/>
      <protection locked="0"/>
    </xf>
    <xf numFmtId="165" fontId="0" fillId="0" borderId="1" xfId="2" applyNumberFormat="1" applyFont="1" applyBorder="1" applyAlignment="1" applyProtection="1">
      <alignment horizontal="center"/>
      <protection locked="0"/>
    </xf>
    <xf numFmtId="44" fontId="0" fillId="0" borderId="1" xfId="1" applyFont="1" applyBorder="1" applyAlignment="1" applyProtection="1">
      <alignment horizontal="center"/>
      <protection locked="0"/>
    </xf>
    <xf numFmtId="0" fontId="0" fillId="10" borderId="0" xfId="0" applyFill="1" applyAlignment="1" applyProtection="1">
      <alignment horizontal="center" vertical="center"/>
      <protection locked="0"/>
    </xf>
    <xf numFmtId="14" fontId="0" fillId="10" borderId="0" xfId="0" applyNumberFormat="1" applyFill="1" applyAlignment="1" applyProtection="1">
      <alignment horizontal="center" vertical="center"/>
      <protection locked="0"/>
    </xf>
    <xf numFmtId="9" fontId="0" fillId="10" borderId="0" xfId="2" applyFont="1" applyFill="1" applyAlignment="1" applyProtection="1">
      <alignment horizontal="center" vertical="center"/>
      <protection locked="0"/>
    </xf>
    <xf numFmtId="1" fontId="0" fillId="10" borderId="0" xfId="2" applyNumberFormat="1" applyFont="1" applyFill="1" applyAlignment="1" applyProtection="1">
      <alignment horizontal="center" vertical="center"/>
      <protection locked="0"/>
    </xf>
    <xf numFmtId="0" fontId="0" fillId="10" borderId="7" xfId="0" applyFill="1" applyBorder="1" applyProtection="1">
      <protection locked="0"/>
    </xf>
    <xf numFmtId="0" fontId="0" fillId="10" borderId="1" xfId="0" applyFill="1" applyBorder="1" applyProtection="1">
      <protection locked="0"/>
    </xf>
    <xf numFmtId="49" fontId="0" fillId="0" borderId="1" xfId="0" applyNumberFormat="1" applyBorder="1" applyAlignment="1" applyProtection="1">
      <alignment horizontal="center" vertical="center" wrapText="1"/>
      <protection locked="0"/>
    </xf>
    <xf numFmtId="10" fontId="0" fillId="0" borderId="6" xfId="0" applyNumberFormat="1" applyBorder="1" applyAlignment="1" applyProtection="1">
      <alignment horizontal="center" vertical="center"/>
      <protection locked="0"/>
    </xf>
    <xf numFmtId="0" fontId="0" fillId="28" borderId="37" xfId="0" applyFill="1" applyBorder="1" applyAlignment="1" applyProtection="1">
      <alignment horizontal="center" vertical="center"/>
      <protection locked="0"/>
    </xf>
    <xf numFmtId="10"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0" borderId="1"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16" fillId="10" borderId="13" xfId="0" applyFont="1" applyFill="1" applyBorder="1" applyProtection="1">
      <protection locked="0"/>
    </xf>
    <xf numFmtId="0" fontId="0" fillId="8" borderId="0" xfId="0" applyFill="1" applyAlignment="1" applyProtection="1">
      <alignment horizontal="center"/>
      <protection locked="0"/>
    </xf>
    <xf numFmtId="0" fontId="0" fillId="6" borderId="0" xfId="0" applyFill="1" applyAlignment="1" applyProtection="1">
      <alignment horizontal="center" vertical="center"/>
      <protection locked="0"/>
    </xf>
    <xf numFmtId="0" fontId="0" fillId="8" borderId="0" xfId="0" applyFill="1" applyAlignment="1" applyProtection="1">
      <alignment horizontal="center" vertical="center"/>
      <protection locked="0"/>
    </xf>
    <xf numFmtId="9" fontId="0" fillId="8" borderId="0" xfId="2" applyFont="1" applyFill="1" applyAlignment="1" applyProtection="1">
      <alignment horizontal="center" vertical="center"/>
      <protection locked="0"/>
    </xf>
    <xf numFmtId="0" fontId="15" fillId="6" borderId="13" xfId="0" applyFont="1" applyFill="1" applyBorder="1" applyAlignment="1" applyProtection="1">
      <alignment horizontal="left" vertical="center"/>
      <protection locked="0"/>
    </xf>
    <xf numFmtId="0" fontId="16" fillId="6" borderId="13" xfId="0" applyFont="1" applyFill="1" applyBorder="1" applyProtection="1">
      <protection locked="0"/>
    </xf>
    <xf numFmtId="9" fontId="0" fillId="10" borderId="0" xfId="0" applyNumberFormat="1" applyFill="1" applyAlignment="1" applyProtection="1">
      <alignment horizontal="center"/>
      <protection locked="0"/>
    </xf>
    <xf numFmtId="9" fontId="0" fillId="8" borderId="0" xfId="0" applyNumberFormat="1" applyFill="1" applyAlignment="1" applyProtection="1">
      <alignment horizontal="center"/>
      <protection locked="0"/>
    </xf>
    <xf numFmtId="9" fontId="0" fillId="10" borderId="0" xfId="0" applyNumberFormat="1" applyFill="1" applyAlignment="1" applyProtection="1">
      <alignment horizontal="center" vertical="center"/>
      <protection locked="0"/>
    </xf>
    <xf numFmtId="0" fontId="0" fillId="10" borderId="12" xfId="0" applyFill="1" applyBorder="1" applyAlignment="1">
      <alignment horizontal="center" vertical="center"/>
    </xf>
    <xf numFmtId="0" fontId="15" fillId="8" borderId="13" xfId="0" applyFont="1" applyFill="1" applyBorder="1" applyAlignment="1" applyProtection="1">
      <alignment horizontal="left" vertical="center"/>
      <protection locked="0"/>
    </xf>
    <xf numFmtId="0" fontId="15" fillId="8" borderId="13" xfId="0" applyFont="1" applyFill="1" applyBorder="1" applyAlignment="1" applyProtection="1">
      <alignment vertical="center"/>
      <protection locked="0"/>
    </xf>
    <xf numFmtId="0" fontId="16" fillId="8" borderId="13" xfId="0" applyFont="1" applyFill="1" applyBorder="1" applyProtection="1">
      <protection locked="0"/>
    </xf>
    <xf numFmtId="0" fontId="0" fillId="8" borderId="12" xfId="0" applyFill="1" applyBorder="1" applyAlignment="1">
      <alignment horizontal="center" vertical="center"/>
    </xf>
    <xf numFmtId="0" fontId="7" fillId="10" borderId="0" xfId="0" applyFont="1" applyFill="1"/>
    <xf numFmtId="0" fontId="7" fillId="10" borderId="0" xfId="0" applyFont="1" applyFill="1" applyAlignment="1">
      <alignment horizontal="center"/>
    </xf>
    <xf numFmtId="164" fontId="23" fillId="10" borderId="0" xfId="0" applyNumberFormat="1" applyFont="1" applyFill="1"/>
    <xf numFmtId="9" fontId="7" fillId="0" borderId="0" xfId="0" applyNumberFormat="1" applyFont="1" applyAlignment="1">
      <alignment horizontal="center"/>
    </xf>
    <xf numFmtId="0" fontId="0" fillId="10" borderId="0" xfId="0" applyFill="1" applyAlignment="1" applyProtection="1">
      <alignment horizontal="left" vertical="center"/>
      <protection locked="0"/>
    </xf>
    <xf numFmtId="0" fontId="51" fillId="8" borderId="12" xfId="0" applyFont="1" applyFill="1" applyBorder="1" applyAlignment="1">
      <alignment horizontal="center" vertical="center"/>
    </xf>
    <xf numFmtId="0" fontId="51" fillId="10" borderId="12" xfId="0" applyFont="1" applyFill="1" applyBorder="1" applyAlignment="1">
      <alignment horizontal="center" vertical="center"/>
    </xf>
    <xf numFmtId="0" fontId="55" fillId="8" borderId="12" xfId="0" applyFont="1" applyFill="1" applyBorder="1" applyAlignment="1">
      <alignment horizontal="center" vertical="center"/>
    </xf>
    <xf numFmtId="0" fontId="55" fillId="10" borderId="12" xfId="0" applyFont="1" applyFill="1" applyBorder="1" applyAlignment="1">
      <alignment horizontal="center" vertical="center"/>
    </xf>
    <xf numFmtId="0" fontId="0" fillId="0" borderId="82" xfId="0" applyBorder="1" applyAlignment="1" applyProtection="1">
      <alignment horizontal="left" vertical="center"/>
      <protection locked="0"/>
    </xf>
    <xf numFmtId="0" fontId="0" fillId="8" borderId="0" xfId="0" applyFill="1" applyAlignment="1" applyProtection="1">
      <alignment horizontal="left" vertical="center"/>
      <protection locked="0"/>
    </xf>
    <xf numFmtId="14" fontId="0" fillId="8" borderId="0" xfId="0" applyNumberFormat="1" applyFill="1" applyAlignment="1" applyProtection="1">
      <alignment horizontal="center" vertical="center"/>
      <protection locked="0"/>
    </xf>
    <xf numFmtId="0" fontId="16" fillId="8" borderId="1" xfId="0" applyFont="1" applyFill="1" applyBorder="1" applyAlignment="1" applyProtection="1">
      <alignment horizontal="left" vertical="center"/>
      <protection locked="0"/>
    </xf>
    <xf numFmtId="0" fontId="16" fillId="0" borderId="1" xfId="0" applyFont="1" applyBorder="1" applyAlignment="1" applyProtection="1">
      <alignment horizontal="left" vertical="center"/>
      <protection locked="0"/>
    </xf>
    <xf numFmtId="10" fontId="0" fillId="0" borderId="0" xfId="0" applyNumberFormat="1"/>
    <xf numFmtId="0" fontId="51" fillId="10" borderId="12" xfId="0" applyFont="1" applyFill="1" applyBorder="1" applyProtection="1">
      <protection locked="0"/>
    </xf>
    <xf numFmtId="165" fontId="32" fillId="2" borderId="0" xfId="2" applyNumberFormat="1" applyFont="1" applyFill="1" applyBorder="1" applyAlignment="1" applyProtection="1">
      <alignment horizontal="center" vertical="center"/>
      <protection locked="0"/>
    </xf>
    <xf numFmtId="20" fontId="0" fillId="0" borderId="1" xfId="0" applyNumberFormat="1" applyBorder="1" applyAlignment="1" applyProtection="1">
      <alignment horizontal="center" vertical="center"/>
      <protection locked="0"/>
    </xf>
    <xf numFmtId="0" fontId="0" fillId="10" borderId="12" xfId="0" applyFill="1" applyBorder="1" applyAlignment="1" applyProtection="1">
      <alignment horizontal="left" vertical="center"/>
      <protection locked="0"/>
    </xf>
    <xf numFmtId="0" fontId="31" fillId="8" borderId="12" xfId="3" applyFill="1" applyBorder="1" applyProtection="1">
      <protection locked="0"/>
    </xf>
    <xf numFmtId="0" fontId="31" fillId="10" borderId="12" xfId="3" applyFill="1" applyBorder="1" applyProtection="1">
      <protection locked="0"/>
    </xf>
    <xf numFmtId="0" fontId="0" fillId="10" borderId="1" xfId="0" applyFill="1" applyBorder="1" applyAlignment="1" applyProtection="1">
      <alignment horizontal="center"/>
      <protection locked="0"/>
    </xf>
    <xf numFmtId="0" fontId="32" fillId="2" borderId="0" xfId="0" applyFont="1" applyFill="1" applyAlignment="1" applyProtection="1">
      <alignment horizontal="center" vertical="center"/>
      <protection locked="0"/>
    </xf>
    <xf numFmtId="0" fontId="61" fillId="3" borderId="1" xfId="0" applyFont="1" applyFill="1" applyBorder="1" applyAlignment="1" applyProtection="1">
      <alignment horizontal="center" vertical="center" wrapText="1"/>
      <protection locked="0"/>
    </xf>
    <xf numFmtId="0" fontId="62" fillId="10" borderId="15" xfId="0" applyFont="1" applyFill="1" applyBorder="1" applyAlignment="1" applyProtection="1">
      <alignment horizontal="center"/>
      <protection locked="0"/>
    </xf>
    <xf numFmtId="44" fontId="62" fillId="10" borderId="15" xfId="0" applyNumberFormat="1" applyFont="1" applyFill="1" applyBorder="1" applyProtection="1">
      <protection locked="0"/>
    </xf>
    <xf numFmtId="9" fontId="62" fillId="10" borderId="15" xfId="2" applyFont="1" applyFill="1" applyBorder="1" applyAlignment="1" applyProtection="1">
      <alignment horizontal="center"/>
      <protection locked="0"/>
    </xf>
    <xf numFmtId="9" fontId="62" fillId="10" borderId="15" xfId="2" applyFont="1" applyFill="1" applyBorder="1" applyAlignment="1" applyProtection="1">
      <alignment horizontal="center" vertical="center"/>
      <protection locked="0"/>
    </xf>
    <xf numFmtId="9" fontId="63" fillId="10" borderId="15" xfId="2" applyFont="1" applyFill="1" applyBorder="1" applyAlignment="1" applyProtection="1">
      <alignment horizontal="center" vertical="center"/>
      <protection locked="0"/>
    </xf>
    <xf numFmtId="0" fontId="62" fillId="6" borderId="15" xfId="0" applyFont="1" applyFill="1" applyBorder="1" applyAlignment="1" applyProtection="1">
      <alignment horizontal="center"/>
      <protection locked="0"/>
    </xf>
    <xf numFmtId="44" fontId="62" fillId="6" borderId="15" xfId="0" applyNumberFormat="1" applyFont="1" applyFill="1" applyBorder="1" applyProtection="1">
      <protection locked="0"/>
    </xf>
    <xf numFmtId="9" fontId="62" fillId="6" borderId="15" xfId="2" applyFont="1" applyFill="1" applyBorder="1" applyAlignment="1" applyProtection="1">
      <alignment horizontal="center"/>
      <protection locked="0"/>
    </xf>
    <xf numFmtId="9" fontId="62" fillId="6" borderId="15" xfId="2" applyFont="1" applyFill="1" applyBorder="1" applyAlignment="1" applyProtection="1">
      <alignment horizontal="center" vertical="center"/>
      <protection locked="0"/>
    </xf>
    <xf numFmtId="9" fontId="63" fillId="6" borderId="15" xfId="2" applyFont="1" applyFill="1" applyBorder="1" applyAlignment="1" applyProtection="1">
      <alignment horizontal="center" vertical="center"/>
      <protection locked="0"/>
    </xf>
    <xf numFmtId="0" fontId="64" fillId="11" borderId="64" xfId="0" applyFont="1" applyFill="1" applyBorder="1" applyAlignment="1" applyProtection="1">
      <alignment horizontal="center" vertical="center"/>
      <protection locked="0"/>
    </xf>
    <xf numFmtId="9" fontId="64" fillId="10" borderId="15" xfId="2" applyFont="1" applyFill="1" applyBorder="1" applyAlignment="1" applyProtection="1">
      <alignment horizontal="center" vertical="center"/>
      <protection locked="0"/>
    </xf>
    <xf numFmtId="9" fontId="64" fillId="6" borderId="15" xfId="2" applyFont="1" applyFill="1" applyBorder="1" applyAlignment="1" applyProtection="1">
      <alignment horizontal="center" vertical="center"/>
      <protection locked="0"/>
    </xf>
    <xf numFmtId="0" fontId="17" fillId="14" borderId="15" xfId="0" applyFont="1" applyFill="1" applyBorder="1" applyAlignment="1">
      <alignment horizontal="center" vertical="center"/>
    </xf>
    <xf numFmtId="0" fontId="64" fillId="11" borderId="64" xfId="0" applyFont="1" applyFill="1" applyBorder="1" applyAlignment="1" applyProtection="1">
      <alignment horizontal="center" vertical="center" wrapText="1"/>
      <protection locked="0"/>
    </xf>
    <xf numFmtId="0" fontId="14" fillId="0" borderId="0" xfId="0" applyFont="1"/>
    <xf numFmtId="0" fontId="0" fillId="0" borderId="15" xfId="0" applyBorder="1" applyAlignment="1">
      <alignment horizontal="center" vertical="center"/>
    </xf>
    <xf numFmtId="9" fontId="0" fillId="0" borderId="15" xfId="2" applyFont="1" applyBorder="1" applyAlignment="1" applyProtection="1">
      <alignment horizontal="center" vertical="center"/>
    </xf>
    <xf numFmtId="0" fontId="7" fillId="0" borderId="15" xfId="0" applyFont="1" applyBorder="1" applyAlignment="1">
      <alignment horizontal="center" vertical="center"/>
    </xf>
    <xf numFmtId="9" fontId="7" fillId="0" borderId="15" xfId="0" applyNumberFormat="1" applyFont="1" applyBorder="1" applyAlignment="1">
      <alignment horizontal="center" vertical="center"/>
    </xf>
    <xf numFmtId="164" fontId="0" fillId="0" borderId="15" xfId="0" applyNumberFormat="1" applyBorder="1" applyAlignment="1">
      <alignment horizontal="center" vertical="center"/>
    </xf>
    <xf numFmtId="9" fontId="22" fillId="10" borderId="15" xfId="0" applyNumberFormat="1" applyFont="1" applyFill="1" applyBorder="1" applyAlignment="1">
      <alignment horizontal="center" vertical="center"/>
    </xf>
    <xf numFmtId="164" fontId="23" fillId="0" borderId="15" xfId="0" applyNumberFormat="1" applyFont="1" applyBorder="1" applyAlignment="1">
      <alignment horizontal="center" vertical="center"/>
    </xf>
    <xf numFmtId="0" fontId="6" fillId="2" borderId="1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protection locked="0"/>
    </xf>
    <xf numFmtId="0" fontId="62" fillId="10" borderId="15" xfId="0" applyFont="1" applyFill="1" applyBorder="1" applyAlignment="1" applyProtection="1">
      <alignment horizontal="left"/>
      <protection locked="0"/>
    </xf>
    <xf numFmtId="0" fontId="62" fillId="6" borderId="15" xfId="0" applyFont="1" applyFill="1" applyBorder="1" applyAlignment="1" applyProtection="1">
      <alignment horizontal="left"/>
      <protection locked="0"/>
    </xf>
    <xf numFmtId="0" fontId="66" fillId="10" borderId="15" xfId="2" applyNumberFormat="1" applyFont="1" applyFill="1" applyBorder="1" applyAlignment="1" applyProtection="1">
      <alignment horizontal="left"/>
      <protection locked="0"/>
    </xf>
    <xf numFmtId="0" fontId="66" fillId="6" borderId="15" xfId="2" applyNumberFormat="1" applyFont="1" applyFill="1" applyBorder="1" applyAlignment="1" applyProtection="1">
      <alignment horizontal="left"/>
      <protection locked="0"/>
    </xf>
    <xf numFmtId="165" fontId="62" fillId="10" borderId="15" xfId="2" applyNumberFormat="1" applyFont="1" applyFill="1" applyBorder="1" applyAlignment="1" applyProtection="1">
      <alignment horizontal="center" vertical="center"/>
      <protection locked="0"/>
    </xf>
    <xf numFmtId="165" fontId="62" fillId="6" borderId="15" xfId="2" applyNumberFormat="1" applyFont="1" applyFill="1" applyBorder="1" applyAlignment="1" applyProtection="1">
      <alignment horizontal="center" vertical="center"/>
      <protection locked="0"/>
    </xf>
    <xf numFmtId="44" fontId="62" fillId="10" borderId="15" xfId="1" applyFont="1" applyFill="1" applyBorder="1" applyProtection="1">
      <protection locked="0"/>
    </xf>
    <xf numFmtId="44" fontId="62" fillId="6" borderId="15" xfId="1" applyFont="1" applyFill="1" applyBorder="1" applyProtection="1">
      <protection locked="0"/>
    </xf>
    <xf numFmtId="44" fontId="62" fillId="6" borderId="15" xfId="0" applyNumberFormat="1" applyFont="1" applyFill="1" applyBorder="1" applyAlignment="1" applyProtection="1">
      <alignment horizontal="left"/>
      <protection locked="0"/>
    </xf>
    <xf numFmtId="44" fontId="62" fillId="10" borderId="15" xfId="0" applyNumberFormat="1" applyFont="1" applyFill="1" applyBorder="1" applyAlignment="1" applyProtection="1">
      <alignment horizontal="left"/>
      <protection locked="0"/>
    </xf>
    <xf numFmtId="0" fontId="67" fillId="3" borderId="6" xfId="0" applyFont="1" applyFill="1" applyBorder="1" applyAlignment="1" applyProtection="1">
      <alignment horizontal="center" vertical="center" wrapText="1"/>
      <protection locked="0"/>
    </xf>
    <xf numFmtId="46" fontId="0" fillId="11" borderId="1" xfId="0" applyNumberFormat="1" applyFill="1" applyBorder="1" applyAlignment="1" applyProtection="1">
      <alignment horizontal="center"/>
      <protection locked="0"/>
    </xf>
    <xf numFmtId="0" fontId="0" fillId="40" borderId="15" xfId="0" applyFill="1" applyBorder="1"/>
    <xf numFmtId="0" fontId="16" fillId="40" borderId="15" xfId="0" applyFont="1" applyFill="1" applyBorder="1" applyAlignment="1">
      <alignment horizontal="center" vertical="center"/>
    </xf>
    <xf numFmtId="166" fontId="16" fillId="40" borderId="15" xfId="1" applyNumberFormat="1" applyFont="1" applyFill="1" applyBorder="1"/>
    <xf numFmtId="0" fontId="0" fillId="43" borderId="15" xfId="0" applyFill="1" applyBorder="1"/>
    <xf numFmtId="0" fontId="16" fillId="43" borderId="15" xfId="0" applyFont="1" applyFill="1" applyBorder="1" applyAlignment="1">
      <alignment horizontal="center" vertical="center"/>
    </xf>
    <xf numFmtId="166" fontId="16" fillId="43" borderId="15" xfId="1" applyNumberFormat="1" applyFont="1" applyFill="1" applyBorder="1"/>
    <xf numFmtId="0" fontId="0" fillId="42" borderId="15" xfId="0" applyFill="1" applyBorder="1"/>
    <xf numFmtId="0" fontId="16" fillId="42" borderId="15" xfId="0" applyFont="1" applyFill="1" applyBorder="1" applyAlignment="1">
      <alignment horizontal="center" vertical="center"/>
    </xf>
    <xf numFmtId="166" fontId="16" fillId="42" borderId="15" xfId="1" applyNumberFormat="1" applyFont="1" applyFill="1" applyBorder="1"/>
    <xf numFmtId="0" fontId="0" fillId="44" borderId="15" xfId="0" applyFill="1" applyBorder="1"/>
    <xf numFmtId="0" fontId="16" fillId="44" borderId="15" xfId="0" applyFont="1" applyFill="1" applyBorder="1" applyAlignment="1">
      <alignment horizontal="center" vertical="center"/>
    </xf>
    <xf numFmtId="166" fontId="16" fillId="44" borderId="15" xfId="1" applyNumberFormat="1" applyFont="1" applyFill="1" applyBorder="1"/>
    <xf numFmtId="0" fontId="0" fillId="11" borderId="15" xfId="0" applyFill="1" applyBorder="1"/>
    <xf numFmtId="0" fontId="16" fillId="11" borderId="15" xfId="0" applyFont="1" applyFill="1" applyBorder="1" applyAlignment="1">
      <alignment horizontal="center" vertical="center"/>
    </xf>
    <xf numFmtId="166" fontId="16" fillId="11" borderId="15" xfId="1" applyNumberFormat="1" applyFont="1" applyFill="1" applyBorder="1"/>
    <xf numFmtId="0" fontId="0" fillId="45" borderId="15" xfId="0" applyFill="1" applyBorder="1"/>
    <xf numFmtId="0" fontId="16" fillId="45" borderId="15" xfId="0" applyFont="1" applyFill="1" applyBorder="1" applyAlignment="1">
      <alignment horizontal="center" vertical="center"/>
    </xf>
    <xf numFmtId="166" fontId="16" fillId="45" borderId="15" xfId="1" applyNumberFormat="1" applyFont="1" applyFill="1" applyBorder="1"/>
    <xf numFmtId="0" fontId="66" fillId="10" borderId="15" xfId="2" applyNumberFormat="1" applyFont="1" applyFill="1" applyBorder="1" applyAlignment="1" applyProtection="1">
      <alignment horizontal="left" vertical="center"/>
      <protection locked="0"/>
    </xf>
    <xf numFmtId="0" fontId="66" fillId="6" borderId="15" xfId="2" applyNumberFormat="1" applyFont="1" applyFill="1" applyBorder="1" applyAlignment="1" applyProtection="1">
      <alignment horizontal="left" vertical="center"/>
      <protection locked="0"/>
    </xf>
    <xf numFmtId="0" fontId="0" fillId="0" borderId="0" xfId="0" applyAlignment="1">
      <alignment vertical="center" wrapText="1"/>
    </xf>
    <xf numFmtId="0" fontId="31" fillId="0" borderId="0" xfId="3"/>
    <xf numFmtId="0" fontId="62" fillId="6" borderId="19" xfId="0" applyFont="1" applyFill="1" applyBorder="1" applyAlignment="1" applyProtection="1">
      <alignment horizontal="center"/>
      <protection locked="0"/>
    </xf>
    <xf numFmtId="0" fontId="62" fillId="6" borderId="19" xfId="0" applyFont="1" applyFill="1" applyBorder="1" applyAlignment="1" applyProtection="1">
      <alignment horizontal="left"/>
      <protection locked="0"/>
    </xf>
    <xf numFmtId="44" fontId="62" fillId="6" borderId="19" xfId="0" applyNumberFormat="1" applyFont="1" applyFill="1" applyBorder="1" applyProtection="1">
      <protection locked="0"/>
    </xf>
    <xf numFmtId="44" fontId="69" fillId="46" borderId="25" xfId="1" applyFont="1" applyFill="1" applyBorder="1" applyAlignment="1" applyProtection="1">
      <protection locked="0"/>
    </xf>
    <xf numFmtId="44" fontId="0" fillId="11" borderId="62" xfId="1" applyFont="1" applyFill="1" applyBorder="1" applyAlignment="1">
      <alignment horizontal="center"/>
    </xf>
    <xf numFmtId="10" fontId="70" fillId="0" borderId="6" xfId="0" applyNumberFormat="1" applyFont="1" applyBorder="1" applyAlignment="1" applyProtection="1">
      <alignment horizontal="center" vertical="center"/>
      <protection locked="0"/>
    </xf>
    <xf numFmtId="10" fontId="70" fillId="0" borderId="1" xfId="0" applyNumberFormat="1" applyFont="1" applyBorder="1" applyAlignment="1" applyProtection="1">
      <alignment horizontal="center" vertical="center"/>
      <protection locked="0"/>
    </xf>
    <xf numFmtId="0" fontId="70" fillId="0" borderId="1" xfId="0" applyFont="1" applyBorder="1" applyAlignment="1" applyProtection="1">
      <alignment horizontal="center" vertical="center"/>
      <protection locked="0"/>
    </xf>
    <xf numFmtId="0" fontId="70" fillId="10" borderId="12" xfId="0" applyFont="1" applyFill="1" applyBorder="1" applyProtection="1">
      <protection locked="0"/>
    </xf>
    <xf numFmtId="0" fontId="70" fillId="8" borderId="12" xfId="0" applyFont="1" applyFill="1" applyBorder="1" applyProtection="1">
      <protection locked="0"/>
    </xf>
    <xf numFmtId="1" fontId="16" fillId="40" borderId="15" xfId="1" applyNumberFormat="1" applyFont="1" applyFill="1" applyBorder="1" applyAlignment="1">
      <alignment horizontal="center" vertical="center"/>
    </xf>
    <xf numFmtId="1" fontId="16" fillId="43" borderId="15" xfId="1" applyNumberFormat="1" applyFont="1" applyFill="1" applyBorder="1" applyAlignment="1">
      <alignment horizontal="center" vertical="center"/>
    </xf>
    <xf numFmtId="1" fontId="16" fillId="42" borderId="15" xfId="1" applyNumberFormat="1" applyFont="1" applyFill="1" applyBorder="1" applyAlignment="1">
      <alignment horizontal="center" vertical="center"/>
    </xf>
    <xf numFmtId="1" fontId="16" fillId="44" borderId="15" xfId="1" applyNumberFormat="1" applyFont="1" applyFill="1" applyBorder="1" applyAlignment="1">
      <alignment horizontal="center" vertical="center"/>
    </xf>
    <xf numFmtId="1" fontId="16" fillId="11" borderId="15" xfId="1" applyNumberFormat="1" applyFont="1" applyFill="1" applyBorder="1" applyAlignment="1">
      <alignment horizontal="center" vertical="center"/>
    </xf>
    <xf numFmtId="1" fontId="16" fillId="45" borderId="15" xfId="1" applyNumberFormat="1" applyFont="1" applyFill="1" applyBorder="1" applyAlignment="1">
      <alignment horizontal="center" vertical="center"/>
    </xf>
    <xf numFmtId="166" fontId="16" fillId="40" borderId="15" xfId="1" applyNumberFormat="1" applyFont="1" applyFill="1" applyBorder="1" applyAlignment="1">
      <alignment horizontal="center"/>
    </xf>
    <xf numFmtId="166" fontId="16" fillId="43" borderId="15" xfId="1" applyNumberFormat="1" applyFont="1" applyFill="1" applyBorder="1" applyAlignment="1">
      <alignment horizontal="center"/>
    </xf>
    <xf numFmtId="166" fontId="16" fillId="42" borderId="15" xfId="1" applyNumberFormat="1" applyFont="1" applyFill="1" applyBorder="1" applyAlignment="1">
      <alignment horizontal="center"/>
    </xf>
    <xf numFmtId="166" fontId="16" fillId="44" borderId="15" xfId="1" applyNumberFormat="1" applyFont="1" applyFill="1" applyBorder="1" applyAlignment="1">
      <alignment horizontal="center"/>
    </xf>
    <xf numFmtId="166" fontId="16" fillId="11" borderId="15" xfId="1" applyNumberFormat="1" applyFont="1" applyFill="1" applyBorder="1" applyAlignment="1">
      <alignment horizontal="center"/>
    </xf>
    <xf numFmtId="166" fontId="16" fillId="45" borderId="15" xfId="1" applyNumberFormat="1" applyFont="1" applyFill="1" applyBorder="1" applyAlignment="1">
      <alignment horizontal="center"/>
    </xf>
    <xf numFmtId="0" fontId="0" fillId="40" borderId="15" xfId="0" applyFill="1" applyBorder="1" applyAlignment="1">
      <alignment horizontal="left"/>
    </xf>
    <xf numFmtId="0" fontId="0" fillId="43" borderId="15" xfId="0" applyFill="1" applyBorder="1" applyAlignment="1">
      <alignment horizontal="left"/>
    </xf>
    <xf numFmtId="0" fontId="0" fillId="42" borderId="15" xfId="0" applyFill="1" applyBorder="1" applyAlignment="1">
      <alignment horizontal="left"/>
    </xf>
    <xf numFmtId="0" fontId="0" fillId="44" borderId="15" xfId="0" applyFill="1" applyBorder="1" applyAlignment="1">
      <alignment horizontal="left"/>
    </xf>
    <xf numFmtId="0" fontId="0" fillId="11" borderId="15" xfId="0" applyFill="1" applyBorder="1" applyAlignment="1">
      <alignment horizontal="left"/>
    </xf>
    <xf numFmtId="0" fontId="0" fillId="45" borderId="15" xfId="0" applyFill="1" applyBorder="1" applyAlignment="1">
      <alignment horizontal="left"/>
    </xf>
    <xf numFmtId="0" fontId="70" fillId="10" borderId="12" xfId="0" applyFont="1" applyFill="1" applyBorder="1" applyAlignment="1" applyProtection="1">
      <alignment horizontal="center" vertical="center"/>
      <protection locked="0"/>
    </xf>
    <xf numFmtId="9" fontId="70" fillId="10" borderId="11" xfId="2" applyFont="1" applyFill="1" applyBorder="1" applyAlignment="1" applyProtection="1">
      <alignment horizontal="center" vertical="center"/>
      <protection locked="0"/>
    </xf>
    <xf numFmtId="0" fontId="70" fillId="8" borderId="12" xfId="0" applyFont="1" applyFill="1" applyBorder="1" applyAlignment="1" applyProtection="1">
      <alignment horizontal="center" vertical="center"/>
      <protection locked="0"/>
    </xf>
    <xf numFmtId="9" fontId="70" fillId="8" borderId="11" xfId="2" applyFont="1" applyFill="1" applyBorder="1" applyAlignment="1" applyProtection="1">
      <alignment horizontal="center" vertical="center"/>
      <protection locked="0"/>
    </xf>
    <xf numFmtId="0" fontId="70" fillId="10" borderId="0" xfId="0" applyFont="1" applyFill="1" applyProtection="1">
      <protection locked="0"/>
    </xf>
    <xf numFmtId="44" fontId="71" fillId="10" borderId="15" xfId="0" applyNumberFormat="1" applyFont="1" applyFill="1" applyBorder="1" applyProtection="1">
      <protection locked="0"/>
    </xf>
    <xf numFmtId="44" fontId="71" fillId="6" borderId="15" xfId="0" applyNumberFormat="1" applyFont="1" applyFill="1" applyBorder="1" applyProtection="1">
      <protection locked="0"/>
    </xf>
    <xf numFmtId="0" fontId="8" fillId="3" borderId="1" xfId="0" applyFont="1" applyFill="1" applyBorder="1" applyAlignment="1" applyProtection="1">
      <alignment horizontal="left" vertical="center" wrapText="1" indent="1"/>
      <protection locked="0"/>
    </xf>
    <xf numFmtId="44" fontId="58" fillId="0" borderId="1" xfId="1" applyFont="1" applyBorder="1" applyAlignment="1" applyProtection="1">
      <alignment horizontal="left" vertical="center"/>
    </xf>
    <xf numFmtId="44" fontId="0" fillId="6" borderId="1" xfId="1" applyFont="1" applyFill="1" applyBorder="1" applyAlignment="1" applyProtection="1">
      <alignment horizontal="left" vertical="center"/>
      <protection locked="0"/>
    </xf>
    <xf numFmtId="0" fontId="14" fillId="0" borderId="1" xfId="0" applyFont="1" applyBorder="1" applyAlignment="1" applyProtection="1">
      <alignment horizontal="center" vertical="center"/>
      <protection locked="0"/>
    </xf>
    <xf numFmtId="0" fontId="6" fillId="2" borderId="4" xfId="0" applyFont="1" applyFill="1" applyBorder="1" applyAlignment="1" applyProtection="1">
      <alignment horizontal="center"/>
      <protection locked="0"/>
    </xf>
    <xf numFmtId="9" fontId="6" fillId="2" borderId="0" xfId="2" applyFont="1" applyFill="1" applyAlignment="1" applyProtection="1">
      <alignment horizontal="center" vertical="center"/>
      <protection locked="0"/>
    </xf>
    <xf numFmtId="0" fontId="6" fillId="2" borderId="0" xfId="2" applyNumberFormat="1" applyFont="1" applyFill="1" applyAlignment="1" applyProtection="1">
      <alignment horizontal="center" vertical="center"/>
      <protection locked="0"/>
    </xf>
    <xf numFmtId="0" fontId="58" fillId="0" borderId="12" xfId="0" applyFont="1" applyBorder="1" applyAlignment="1" applyProtection="1">
      <alignment horizontal="center" vertical="center"/>
      <protection locked="0"/>
    </xf>
    <xf numFmtId="0" fontId="24" fillId="10" borderId="0" xfId="0" applyFont="1" applyFill="1" applyProtection="1">
      <protection locked="0"/>
    </xf>
    <xf numFmtId="0" fontId="11" fillId="23" borderId="0" xfId="0" applyFont="1" applyFill="1" applyAlignment="1" applyProtection="1">
      <alignment horizontal="center"/>
      <protection locked="0"/>
    </xf>
    <xf numFmtId="44" fontId="0" fillId="10" borderId="0" xfId="1" applyFont="1" applyFill="1" applyAlignment="1" applyProtection="1">
      <alignment horizontal="center"/>
      <protection locked="0"/>
    </xf>
    <xf numFmtId="44" fontId="0" fillId="6" borderId="0" xfId="1" applyFont="1" applyFill="1" applyAlignment="1" applyProtection="1">
      <alignment horizontal="center"/>
      <protection locked="0"/>
    </xf>
    <xf numFmtId="0" fontId="31" fillId="10" borderId="0" xfId="3" applyFill="1" applyProtection="1">
      <protection locked="0"/>
    </xf>
    <xf numFmtId="10" fontId="58" fillId="0" borderId="1" xfId="0" applyNumberFormat="1" applyFont="1" applyBorder="1" applyAlignment="1" applyProtection="1">
      <alignment horizontal="center" vertical="center"/>
      <protection locked="0"/>
    </xf>
    <xf numFmtId="9" fontId="0" fillId="8" borderId="1" xfId="2" applyFont="1" applyFill="1" applyBorder="1" applyAlignment="1" applyProtection="1">
      <alignment horizontal="center" vertical="center"/>
    </xf>
    <xf numFmtId="9" fontId="0" fillId="0" borderId="1" xfId="2" applyFont="1" applyBorder="1" applyAlignment="1" applyProtection="1">
      <alignment horizontal="center" vertical="center"/>
    </xf>
    <xf numFmtId="44" fontId="16" fillId="8" borderId="1" xfId="1" applyFont="1" applyFill="1" applyBorder="1" applyAlignment="1" applyProtection="1">
      <alignment horizontal="left" vertical="center"/>
      <protection locked="0"/>
    </xf>
    <xf numFmtId="9" fontId="0" fillId="8" borderId="1" xfId="2" applyFont="1" applyFill="1" applyBorder="1" applyAlignment="1">
      <alignment horizontal="center" vertical="center"/>
    </xf>
    <xf numFmtId="9" fontId="0" fillId="0" borderId="1" xfId="2" applyFont="1" applyBorder="1" applyAlignment="1">
      <alignment horizontal="center" vertical="center"/>
    </xf>
    <xf numFmtId="44" fontId="0" fillId="0" borderId="1" xfId="1" applyFont="1" applyBorder="1" applyAlignment="1">
      <alignment horizontal="left" vertical="center"/>
    </xf>
    <xf numFmtId="172" fontId="0" fillId="0" borderId="1" xfId="0" applyNumberFormat="1" applyBorder="1" applyAlignment="1" applyProtection="1">
      <alignment horizontal="center"/>
      <protection locked="0"/>
    </xf>
    <xf numFmtId="165" fontId="0" fillId="0" borderId="6" xfId="0" applyNumberFormat="1" applyBorder="1" applyAlignment="1" applyProtection="1">
      <alignment horizontal="center"/>
      <protection locked="0"/>
    </xf>
    <xf numFmtId="164" fontId="0" fillId="0" borderId="1" xfId="0" applyNumberFormat="1" applyBorder="1" applyProtection="1">
      <protection locked="0"/>
    </xf>
    <xf numFmtId="0" fontId="73" fillId="0" borderId="15" xfId="0" applyFont="1" applyBorder="1"/>
    <xf numFmtId="0" fontId="73" fillId="0" borderId="15" xfId="0" applyFont="1" applyBorder="1" applyAlignment="1">
      <alignment horizontal="center"/>
    </xf>
    <xf numFmtId="164" fontId="73" fillId="0" borderId="15" xfId="0" applyNumberFormat="1" applyFont="1" applyBorder="1"/>
    <xf numFmtId="0" fontId="9" fillId="0" borderId="15" xfId="0" applyFont="1" applyBorder="1"/>
    <xf numFmtId="0" fontId="9" fillId="0" borderId="15" xfId="0" applyFont="1" applyBorder="1" applyAlignment="1">
      <alignment horizontal="center"/>
    </xf>
    <xf numFmtId="164" fontId="74" fillId="0" borderId="15" xfId="0" applyNumberFormat="1" applyFont="1" applyBorder="1"/>
    <xf numFmtId="0" fontId="75" fillId="14" borderId="15" xfId="0" applyFont="1" applyFill="1" applyBorder="1" applyAlignment="1">
      <alignment horizontal="center"/>
    </xf>
    <xf numFmtId="0" fontId="73" fillId="17" borderId="15" xfId="0" applyFont="1" applyFill="1" applyBorder="1"/>
    <xf numFmtId="0" fontId="65" fillId="17" borderId="15" xfId="0" applyFont="1" applyFill="1" applyBorder="1" applyAlignment="1">
      <alignment horizontal="center" vertical="center"/>
    </xf>
    <xf numFmtId="0" fontId="73" fillId="18" borderId="15" xfId="0" applyFont="1" applyFill="1" applyBorder="1"/>
    <xf numFmtId="0" fontId="65" fillId="18" borderId="15" xfId="0" applyFont="1" applyFill="1" applyBorder="1" applyAlignment="1">
      <alignment horizontal="center" vertical="center"/>
    </xf>
    <xf numFmtId="0" fontId="73" fillId="19" borderId="15" xfId="0" applyFont="1" applyFill="1" applyBorder="1"/>
    <xf numFmtId="0" fontId="65" fillId="19" borderId="15" xfId="0" applyFont="1" applyFill="1" applyBorder="1" applyAlignment="1">
      <alignment horizontal="center" vertical="center"/>
    </xf>
    <xf numFmtId="0" fontId="51" fillId="8" borderId="12" xfId="0" applyFont="1" applyFill="1" applyBorder="1" applyAlignment="1" applyProtection="1">
      <alignment horizontal="center" vertical="center"/>
      <protection locked="0"/>
    </xf>
    <xf numFmtId="17" fontId="0" fillId="6" borderId="15" xfId="0" applyNumberFormat="1" applyFill="1" applyBorder="1" applyAlignment="1" applyProtection="1">
      <alignment horizontal="left" vertical="center" wrapText="1"/>
      <protection locked="0"/>
    </xf>
    <xf numFmtId="17" fontId="0" fillId="10" borderId="15" xfId="0" applyNumberFormat="1" applyFill="1" applyBorder="1" applyAlignment="1" applyProtection="1">
      <alignment horizontal="left" vertical="center" wrapText="1"/>
      <protection locked="0"/>
    </xf>
    <xf numFmtId="1" fontId="0" fillId="6" borderId="15" xfId="0" applyNumberFormat="1" applyFill="1" applyBorder="1" applyAlignment="1" applyProtection="1">
      <alignment horizontal="left" vertical="center" wrapText="1"/>
      <protection locked="0"/>
    </xf>
    <xf numFmtId="44" fontId="0" fillId="6" borderId="15" xfId="1" applyFont="1" applyFill="1" applyBorder="1" applyAlignment="1" applyProtection="1">
      <alignment horizontal="center" vertical="center" wrapText="1"/>
      <protection locked="0"/>
    </xf>
    <xf numFmtId="0" fontId="17" fillId="15" borderId="15" xfId="0" applyFont="1" applyFill="1" applyBorder="1" applyAlignment="1">
      <alignment horizontal="center" vertical="center"/>
    </xf>
    <xf numFmtId="164" fontId="19" fillId="0" borderId="15" xfId="0" applyNumberFormat="1" applyFont="1" applyBorder="1" applyAlignment="1">
      <alignment horizontal="center" vertical="center"/>
    </xf>
    <xf numFmtId="164" fontId="20" fillId="0" borderId="15" xfId="0" applyNumberFormat="1" applyFont="1" applyBorder="1" applyAlignment="1">
      <alignment horizontal="center" vertical="center"/>
    </xf>
    <xf numFmtId="0" fontId="17" fillId="48" borderId="17" xfId="0" applyFont="1" applyFill="1" applyBorder="1" applyAlignment="1">
      <alignment horizontal="center" vertical="center"/>
    </xf>
    <xf numFmtId="164" fontId="80" fillId="0" borderId="17" xfId="0" applyNumberFormat="1" applyFont="1" applyBorder="1" applyAlignment="1">
      <alignment horizontal="center" vertical="center"/>
    </xf>
    <xf numFmtId="0" fontId="17" fillId="15" borderId="15" xfId="0" applyFont="1" applyFill="1" applyBorder="1" applyAlignment="1" applyProtection="1">
      <alignment horizontal="center" vertical="center"/>
      <protection locked="0"/>
    </xf>
    <xf numFmtId="0" fontId="81" fillId="10" borderId="15" xfId="0" applyFont="1" applyFill="1" applyBorder="1"/>
    <xf numFmtId="3" fontId="58" fillId="0" borderId="1" xfId="0" applyNumberFormat="1" applyFont="1" applyBorder="1" applyAlignment="1" applyProtection="1">
      <alignment horizontal="center" vertical="center"/>
      <protection locked="0"/>
    </xf>
    <xf numFmtId="44" fontId="62" fillId="6" borderId="17" xfId="0" applyNumberFormat="1" applyFont="1" applyFill="1" applyBorder="1" applyAlignment="1" applyProtection="1">
      <alignment horizontal="left"/>
      <protection locked="0"/>
    </xf>
    <xf numFmtId="44" fontId="62" fillId="6" borderId="10" xfId="0" applyNumberFormat="1" applyFont="1" applyFill="1" applyBorder="1" applyAlignment="1" applyProtection="1">
      <alignment horizontal="left"/>
      <protection locked="0"/>
    </xf>
    <xf numFmtId="44" fontId="62" fillId="6" borderId="18" xfId="0" applyNumberFormat="1" applyFont="1" applyFill="1" applyBorder="1" applyAlignment="1" applyProtection="1">
      <alignment horizontal="left"/>
      <protection locked="0"/>
    </xf>
    <xf numFmtId="44" fontId="62" fillId="10" borderId="17" xfId="0" applyNumberFormat="1" applyFont="1" applyFill="1" applyBorder="1" applyAlignment="1" applyProtection="1">
      <alignment horizontal="left"/>
      <protection locked="0"/>
    </xf>
    <xf numFmtId="44" fontId="62" fillId="10" borderId="10" xfId="0" applyNumberFormat="1" applyFont="1" applyFill="1" applyBorder="1" applyAlignment="1" applyProtection="1">
      <alignment horizontal="left"/>
      <protection locked="0"/>
    </xf>
    <xf numFmtId="44" fontId="62" fillId="10" borderId="18" xfId="0" applyNumberFormat="1" applyFont="1" applyFill="1" applyBorder="1" applyAlignment="1" applyProtection="1">
      <alignment horizontal="left"/>
      <protection locked="0"/>
    </xf>
    <xf numFmtId="0" fontId="0" fillId="28" borderId="1" xfId="0" applyFill="1" applyBorder="1" applyAlignment="1">
      <alignment horizontal="center" vertical="center"/>
    </xf>
    <xf numFmtId="0" fontId="0" fillId="0" borderId="1" xfId="0" applyBorder="1" applyAlignment="1">
      <alignment horizontal="center" vertical="center"/>
    </xf>
    <xf numFmtId="0" fontId="0" fillId="11" borderId="1" xfId="0" applyFill="1" applyBorder="1" applyAlignment="1" applyProtection="1">
      <alignment horizontal="center" vertical="center"/>
      <protection locked="0"/>
    </xf>
    <xf numFmtId="0" fontId="8" fillId="3" borderId="47" xfId="0" applyFont="1" applyFill="1" applyBorder="1" applyAlignment="1" applyProtection="1">
      <alignment horizontal="center" vertical="center" wrapText="1"/>
      <protection locked="0"/>
    </xf>
    <xf numFmtId="0" fontId="0" fillId="28" borderId="6" xfId="0" applyFill="1" applyBorder="1" applyAlignment="1">
      <alignment horizontal="center" vertical="center"/>
    </xf>
    <xf numFmtId="0" fontId="8" fillId="29" borderId="1" xfId="0" applyFont="1" applyFill="1" applyBorder="1" applyAlignment="1" applyProtection="1">
      <alignment horizontal="center" vertical="center" wrapText="1"/>
      <protection locked="0"/>
    </xf>
    <xf numFmtId="0" fontId="83" fillId="3" borderId="6" xfId="0" applyFont="1" applyFill="1" applyBorder="1" applyAlignment="1" applyProtection="1">
      <alignment horizontal="center" vertical="center" wrapText="1"/>
      <protection locked="0"/>
    </xf>
    <xf numFmtId="44" fontId="0" fillId="0" borderId="0" xfId="0" applyNumberFormat="1" applyProtection="1">
      <protection locked="0"/>
    </xf>
    <xf numFmtId="173" fontId="66" fillId="10" borderId="15" xfId="2" applyNumberFormat="1" applyFont="1" applyFill="1" applyBorder="1" applyAlignment="1" applyProtection="1">
      <alignment horizontal="center" vertical="center"/>
      <protection locked="0"/>
    </xf>
    <xf numFmtId="173" fontId="66" fillId="6" borderId="15" xfId="2" applyNumberFormat="1" applyFont="1" applyFill="1" applyBorder="1" applyAlignment="1" applyProtection="1">
      <alignment horizontal="center" vertical="center"/>
      <protection locked="0"/>
    </xf>
    <xf numFmtId="44" fontId="0" fillId="10" borderId="1" xfId="1" applyFont="1" applyFill="1" applyBorder="1" applyAlignment="1" applyProtection="1">
      <alignment horizontal="left" vertical="center"/>
    </xf>
    <xf numFmtId="44" fontId="0" fillId="10" borderId="1" xfId="1" applyFont="1" applyFill="1" applyBorder="1" applyAlignment="1" applyProtection="1">
      <alignment horizontal="left" vertical="center"/>
      <protection locked="0"/>
    </xf>
    <xf numFmtId="173" fontId="85" fillId="10" borderId="15" xfId="2" applyNumberFormat="1" applyFont="1" applyFill="1" applyBorder="1" applyAlignment="1" applyProtection="1">
      <alignment horizontal="center" vertical="center"/>
      <protection locked="0"/>
    </xf>
    <xf numFmtId="173" fontId="85" fillId="6" borderId="15" xfId="2" applyNumberFormat="1" applyFont="1" applyFill="1" applyBorder="1" applyAlignment="1" applyProtection="1">
      <alignment horizontal="center" vertical="center"/>
      <protection locked="0"/>
    </xf>
    <xf numFmtId="0" fontId="0" fillId="0" borderId="1" xfId="0" quotePrefix="1" applyBorder="1" applyAlignment="1" applyProtection="1">
      <alignment horizontal="center" vertical="center"/>
      <protection locked="0"/>
    </xf>
    <xf numFmtId="44" fontId="0" fillId="8" borderId="15" xfId="1" applyFont="1" applyFill="1" applyBorder="1" applyProtection="1">
      <protection locked="0"/>
    </xf>
    <xf numFmtId="0" fontId="86" fillId="35" borderId="15" xfId="0" applyFont="1" applyFill="1" applyBorder="1" applyAlignment="1" applyProtection="1">
      <alignment vertical="center"/>
      <protection locked="0"/>
    </xf>
    <xf numFmtId="44" fontId="87" fillId="35" borderId="15" xfId="1" applyFont="1" applyFill="1" applyBorder="1" applyAlignment="1" applyProtection="1">
      <alignment vertical="center"/>
      <protection locked="0"/>
    </xf>
    <xf numFmtId="0" fontId="70" fillId="10" borderId="13" xfId="0" applyFont="1" applyFill="1" applyBorder="1" applyProtection="1">
      <protection locked="0"/>
    </xf>
    <xf numFmtId="0" fontId="70" fillId="8" borderId="13" xfId="0" applyFont="1" applyFill="1" applyBorder="1" applyProtection="1">
      <protection locked="0"/>
    </xf>
    <xf numFmtId="0" fontId="64" fillId="11" borderId="39" xfId="0" applyFont="1" applyFill="1" applyBorder="1" applyAlignment="1" applyProtection="1">
      <alignment horizontal="center" vertical="center" wrapText="1"/>
      <protection locked="0"/>
    </xf>
    <xf numFmtId="44" fontId="88" fillId="10" borderId="15" xfId="0" applyNumberFormat="1" applyFont="1" applyFill="1" applyBorder="1" applyProtection="1">
      <protection locked="0"/>
    </xf>
    <xf numFmtId="44" fontId="88" fillId="6" borderId="15" xfId="0" applyNumberFormat="1" applyFont="1" applyFill="1" applyBorder="1" applyProtection="1">
      <protection locked="0"/>
    </xf>
    <xf numFmtId="44" fontId="88" fillId="6" borderId="19" xfId="0" applyNumberFormat="1" applyFont="1" applyFill="1" applyBorder="1" applyProtection="1">
      <protection locked="0"/>
    </xf>
    <xf numFmtId="44" fontId="69" fillId="46" borderId="25" xfId="1" applyFont="1" applyFill="1" applyBorder="1" applyProtection="1">
      <protection locked="0"/>
    </xf>
    <xf numFmtId="0" fontId="89" fillId="0" borderId="1" xfId="0" applyFont="1" applyBorder="1" applyAlignment="1" applyProtection="1">
      <alignment horizontal="left"/>
      <protection locked="0"/>
    </xf>
    <xf numFmtId="9" fontId="32" fillId="2" borderId="0" xfId="2" applyFont="1" applyFill="1" applyBorder="1" applyAlignment="1" applyProtection="1">
      <alignment horizontal="left" vertical="center"/>
      <protection locked="0"/>
    </xf>
    <xf numFmtId="0" fontId="89" fillId="8" borderId="1" xfId="0" applyFont="1" applyFill="1" applyBorder="1" applyAlignment="1" applyProtection="1">
      <alignment horizontal="left"/>
      <protection locked="0"/>
    </xf>
    <xf numFmtId="0" fontId="89" fillId="0" borderId="48" xfId="0" applyFont="1" applyBorder="1" applyAlignment="1" applyProtection="1">
      <alignment horizontal="left"/>
      <protection locked="0"/>
    </xf>
    <xf numFmtId="0" fontId="89" fillId="8" borderId="48" xfId="0" applyFont="1" applyFill="1" applyBorder="1" applyAlignment="1" applyProtection="1">
      <alignment horizontal="left"/>
      <protection locked="0"/>
    </xf>
    <xf numFmtId="0" fontId="0" fillId="0" borderId="0" xfId="0" applyAlignment="1" applyProtection="1">
      <alignment horizontal="left" vertical="center"/>
      <protection locked="0"/>
    </xf>
    <xf numFmtId="0" fontId="17" fillId="14" borderId="17" xfId="0" applyFont="1" applyFill="1" applyBorder="1" applyAlignment="1" applyProtection="1">
      <alignment horizontal="center"/>
      <protection locked="0"/>
    </xf>
    <xf numFmtId="166" fontId="16" fillId="17" borderId="17" xfId="1" applyNumberFormat="1" applyFont="1" applyFill="1" applyBorder="1" applyProtection="1">
      <protection locked="0"/>
    </xf>
    <xf numFmtId="166" fontId="16" fillId="18" borderId="17" xfId="1" applyNumberFormat="1" applyFont="1" applyFill="1" applyBorder="1" applyAlignment="1" applyProtection="1">
      <alignment horizontal="center" vertical="center"/>
      <protection locked="0"/>
    </xf>
    <xf numFmtId="166" fontId="16" fillId="19" borderId="17" xfId="1" applyNumberFormat="1" applyFont="1" applyFill="1" applyBorder="1" applyAlignment="1" applyProtection="1">
      <alignment horizontal="center" vertical="center"/>
      <protection locked="0"/>
    </xf>
    <xf numFmtId="0" fontId="0" fillId="10" borderId="0" xfId="0" applyFill="1" applyAlignment="1">
      <alignment horizontal="center"/>
    </xf>
    <xf numFmtId="0" fontId="0" fillId="0" borderId="6" xfId="0" applyBorder="1" applyAlignment="1" applyProtection="1">
      <alignment horizontal="center" vertical="top"/>
      <protection locked="0"/>
    </xf>
    <xf numFmtId="0" fontId="0" fillId="0" borderId="1" xfId="0" applyBorder="1" applyAlignment="1" applyProtection="1">
      <alignment horizontal="center" vertical="top"/>
      <protection locked="0"/>
    </xf>
    <xf numFmtId="0" fontId="7" fillId="0" borderId="0" xfId="0" applyFont="1" applyProtection="1">
      <protection locked="0"/>
    </xf>
    <xf numFmtId="0" fontId="7" fillId="0" borderId="0" xfId="0" applyFont="1" applyAlignment="1" applyProtection="1">
      <alignment horizontal="center"/>
      <protection locked="0"/>
    </xf>
    <xf numFmtId="44" fontId="23" fillId="0" borderId="0" xfId="1" applyFont="1" applyBorder="1" applyAlignment="1" applyProtection="1">
      <alignment horizontal="center" vertical="center"/>
      <protection locked="0"/>
    </xf>
    <xf numFmtId="0" fontId="0" fillId="11" borderId="61" xfId="0" applyFill="1" applyBorder="1" applyProtection="1">
      <protection locked="0"/>
    </xf>
    <xf numFmtId="0" fontId="0" fillId="11" borderId="62" xfId="0" applyFill="1" applyBorder="1" applyAlignment="1">
      <alignment horizontal="center"/>
    </xf>
    <xf numFmtId="0" fontId="31" fillId="10" borderId="0" xfId="3" applyFill="1" applyAlignment="1" applyProtection="1">
      <alignment horizontal="center"/>
      <protection locked="0"/>
    </xf>
    <xf numFmtId="0" fontId="69" fillId="46" borderId="46" xfId="0" applyFont="1" applyFill="1" applyBorder="1" applyAlignment="1" applyProtection="1">
      <alignment horizontal="center"/>
      <protection locked="0"/>
    </xf>
    <xf numFmtId="0" fontId="69" fillId="46" borderId="89" xfId="0" applyFont="1" applyFill="1" applyBorder="1" applyAlignment="1" applyProtection="1">
      <alignment horizontal="center"/>
      <protection locked="0"/>
    </xf>
    <xf numFmtId="44" fontId="51" fillId="0" borderId="1" xfId="1" applyFont="1" applyBorder="1" applyAlignment="1" applyProtection="1">
      <alignment horizontal="left" vertical="center"/>
    </xf>
    <xf numFmtId="44" fontId="51" fillId="8" borderId="1" xfId="1" applyFont="1" applyFill="1" applyBorder="1" applyAlignment="1" applyProtection="1">
      <alignment horizontal="left" vertical="center"/>
    </xf>
    <xf numFmtId="44" fontId="0" fillId="18" borderId="1" xfId="1" applyFont="1" applyFill="1" applyBorder="1" applyAlignment="1" applyProtection="1">
      <alignment horizontal="left" vertical="center"/>
    </xf>
    <xf numFmtId="0" fontId="0" fillId="10" borderId="1" xfId="1" applyNumberFormat="1" applyFont="1" applyFill="1" applyBorder="1" applyAlignment="1" applyProtection="1">
      <alignment horizontal="left" vertical="center"/>
      <protection locked="0"/>
    </xf>
    <xf numFmtId="0" fontId="17" fillId="50" borderId="15" xfId="0" applyFont="1" applyFill="1" applyBorder="1" applyAlignment="1">
      <alignment horizontal="center"/>
    </xf>
    <xf numFmtId="166" fontId="16" fillId="52" borderId="15" xfId="1" applyNumberFormat="1" applyFont="1" applyFill="1" applyBorder="1" applyAlignment="1">
      <alignment horizontal="center" vertical="center"/>
    </xf>
    <xf numFmtId="166" fontId="16" fillId="53" borderId="15" xfId="1" applyNumberFormat="1" applyFont="1" applyFill="1" applyBorder="1" applyAlignment="1">
      <alignment horizontal="center" vertical="center"/>
    </xf>
    <xf numFmtId="0" fontId="17" fillId="14" borderId="17" xfId="0" applyFont="1" applyFill="1" applyBorder="1" applyAlignment="1">
      <alignment horizontal="center"/>
    </xf>
    <xf numFmtId="166" fontId="16" fillId="18" borderId="17" xfId="1" applyNumberFormat="1" applyFont="1" applyFill="1" applyBorder="1" applyAlignment="1">
      <alignment horizontal="center" vertical="center"/>
    </xf>
    <xf numFmtId="166" fontId="16" fillId="19" borderId="17" xfId="1" applyNumberFormat="1" applyFont="1" applyFill="1" applyBorder="1" applyAlignment="1">
      <alignment horizontal="center" vertical="center"/>
    </xf>
    <xf numFmtId="0" fontId="17" fillId="50" borderId="98" xfId="0" applyFont="1" applyFill="1" applyBorder="1" applyAlignment="1">
      <alignment horizontal="center"/>
    </xf>
    <xf numFmtId="0" fontId="75" fillId="14" borderId="17" xfId="0" applyFont="1" applyFill="1" applyBorder="1" applyAlignment="1">
      <alignment horizontal="center"/>
    </xf>
    <xf numFmtId="166" fontId="65" fillId="17" borderId="17" xfId="1" applyNumberFormat="1" applyFont="1" applyFill="1" applyBorder="1"/>
    <xf numFmtId="166" fontId="65" fillId="18" borderId="17" xfId="1" applyNumberFormat="1" applyFont="1" applyFill="1" applyBorder="1" applyAlignment="1">
      <alignment horizontal="center" vertical="center"/>
    </xf>
    <xf numFmtId="166" fontId="65" fillId="19" borderId="17" xfId="1" applyNumberFormat="1" applyFont="1" applyFill="1" applyBorder="1" applyAlignment="1">
      <alignment horizontal="center" vertical="center"/>
    </xf>
    <xf numFmtId="10" fontId="0" fillId="0" borderId="1" xfId="0" applyNumberFormat="1" applyBorder="1" applyProtection="1">
      <protection locked="0"/>
    </xf>
    <xf numFmtId="20" fontId="0" fillId="0" borderId="1" xfId="0" applyNumberFormat="1" applyBorder="1" applyProtection="1">
      <protection locked="0"/>
    </xf>
    <xf numFmtId="0" fontId="0" fillId="0" borderId="5" xfId="0" applyBorder="1" applyAlignment="1" applyProtection="1">
      <alignment horizontal="center" vertical="center" wrapText="1"/>
      <protection locked="0"/>
    </xf>
    <xf numFmtId="0" fontId="0" fillId="28" borderId="5" xfId="0" applyFill="1" applyBorder="1" applyProtection="1">
      <protection locked="0"/>
    </xf>
    <xf numFmtId="0" fontId="0" fillId="28" borderId="102" xfId="0" applyFill="1" applyBorder="1" applyProtection="1">
      <protection locked="0"/>
    </xf>
    <xf numFmtId="4" fontId="0" fillId="0" borderId="1" xfId="0" applyNumberFormat="1" applyBorder="1" applyProtection="1">
      <protection locked="0"/>
    </xf>
    <xf numFmtId="44" fontId="0" fillId="8" borderId="1" xfId="1" applyFont="1" applyFill="1" applyBorder="1" applyAlignment="1">
      <alignment horizontal="left" vertical="center"/>
    </xf>
    <xf numFmtId="9" fontId="6" fillId="2" borderId="0" xfId="2" applyFont="1" applyFill="1" applyBorder="1" applyAlignment="1" applyProtection="1">
      <alignment vertical="center"/>
      <protection locked="0"/>
    </xf>
    <xf numFmtId="165" fontId="64" fillId="10" borderId="15" xfId="2" applyNumberFormat="1" applyFont="1" applyFill="1" applyBorder="1" applyAlignment="1" applyProtection="1">
      <alignment horizontal="center" vertical="center"/>
      <protection locked="0"/>
    </xf>
    <xf numFmtId="165" fontId="64" fillId="6" borderId="15" xfId="2" applyNumberFormat="1" applyFont="1" applyFill="1" applyBorder="1" applyAlignment="1" applyProtection="1">
      <alignment horizontal="center" vertical="center"/>
      <protection locked="0"/>
    </xf>
    <xf numFmtId="0" fontId="6" fillId="47" borderId="4" xfId="0" applyFont="1" applyFill="1" applyBorder="1" applyAlignment="1" applyProtection="1">
      <alignment horizontal="center"/>
      <protection locked="0"/>
    </xf>
    <xf numFmtId="0" fontId="0" fillId="0" borderId="0" xfId="0" applyAlignment="1">
      <alignment horizontal="center"/>
    </xf>
    <xf numFmtId="171" fontId="65" fillId="0" borderId="85" xfId="0" applyNumberFormat="1" applyFont="1" applyBorder="1" applyAlignment="1" applyProtection="1">
      <alignment vertical="center"/>
      <protection locked="0"/>
    </xf>
    <xf numFmtId="171" fontId="65" fillId="0" borderId="0" xfId="0" applyNumberFormat="1" applyFont="1" applyAlignment="1" applyProtection="1">
      <alignment vertical="center"/>
      <protection locked="0"/>
    </xf>
    <xf numFmtId="0" fontId="48" fillId="0" borderId="0" xfId="0" applyFont="1" applyAlignment="1">
      <alignment vertical="center"/>
    </xf>
    <xf numFmtId="44" fontId="0" fillId="10" borderId="0" xfId="1" applyFont="1" applyFill="1"/>
    <xf numFmtId="0" fontId="91" fillId="23" borderId="12" xfId="0" applyFont="1" applyFill="1" applyBorder="1" applyAlignment="1">
      <alignment horizontal="center"/>
    </xf>
    <xf numFmtId="0" fontId="0" fillId="10" borderId="12" xfId="0" applyFill="1" applyBorder="1" applyAlignment="1">
      <alignment horizontal="center"/>
    </xf>
    <xf numFmtId="44" fontId="0" fillId="10" borderId="12" xfId="1" applyFont="1" applyFill="1" applyBorder="1"/>
    <xf numFmtId="44" fontId="0" fillId="10" borderId="12" xfId="0" applyNumberFormat="1" applyFill="1" applyBorder="1"/>
    <xf numFmtId="0" fontId="0" fillId="11" borderId="12" xfId="0" applyFill="1" applyBorder="1" applyAlignment="1">
      <alignment horizontal="center"/>
    </xf>
    <xf numFmtId="44" fontId="0" fillId="11" borderId="12" xfId="1" applyFont="1" applyFill="1" applyBorder="1"/>
    <xf numFmtId="44" fontId="0" fillId="11" borderId="12" xfId="0" applyNumberFormat="1" applyFill="1" applyBorder="1"/>
    <xf numFmtId="44" fontId="91" fillId="23" borderId="12" xfId="1" applyFont="1" applyFill="1" applyBorder="1"/>
    <xf numFmtId="0" fontId="91" fillId="23" borderId="44" xfId="0" applyFont="1" applyFill="1" applyBorder="1" applyAlignment="1">
      <alignment horizontal="center"/>
    </xf>
    <xf numFmtId="0" fontId="0" fillId="10" borderId="44" xfId="0" applyFill="1" applyBorder="1" applyAlignment="1">
      <alignment horizontal="left" vertical="center"/>
    </xf>
    <xf numFmtId="0" fontId="0" fillId="11" borderId="44" xfId="0" applyFill="1" applyBorder="1" applyAlignment="1">
      <alignment horizontal="left" vertical="center"/>
    </xf>
    <xf numFmtId="0" fontId="0" fillId="10" borderId="12" xfId="0" applyFill="1" applyBorder="1" applyAlignment="1">
      <alignment horizontal="left" vertical="center"/>
    </xf>
    <xf numFmtId="0" fontId="16" fillId="18" borderId="17" xfId="1" applyNumberFormat="1" applyFont="1" applyFill="1" applyBorder="1" applyAlignment="1">
      <alignment horizontal="center" vertical="center"/>
    </xf>
    <xf numFmtId="0" fontId="16" fillId="19" borderId="17" xfId="1" applyNumberFormat="1" applyFont="1" applyFill="1" applyBorder="1" applyAlignment="1">
      <alignment horizontal="center" vertical="center"/>
    </xf>
    <xf numFmtId="0" fontId="16" fillId="51" borderId="98" xfId="0" applyFont="1" applyFill="1" applyBorder="1" applyAlignment="1">
      <alignment horizontal="center" vertical="center"/>
    </xf>
    <xf numFmtId="0" fontId="16" fillId="52" borderId="98" xfId="0" applyFont="1" applyFill="1" applyBorder="1" applyAlignment="1">
      <alignment horizontal="center" vertical="center"/>
    </xf>
    <xf numFmtId="0" fontId="16" fillId="53" borderId="98" xfId="0" applyFont="1" applyFill="1" applyBorder="1" applyAlignment="1">
      <alignment horizontal="center" vertical="center"/>
    </xf>
    <xf numFmtId="0" fontId="0" fillId="17" borderId="15" xfId="0" applyFill="1" applyBorder="1" applyAlignment="1">
      <alignment vertical="center"/>
    </xf>
    <xf numFmtId="0" fontId="16" fillId="17" borderId="17" xfId="1" applyNumberFormat="1" applyFont="1" applyFill="1" applyBorder="1" applyAlignment="1">
      <alignment horizontal="center" vertical="center"/>
    </xf>
    <xf numFmtId="166" fontId="16" fillId="17" borderId="17" xfId="1" applyNumberFormat="1" applyFont="1" applyFill="1" applyBorder="1" applyAlignment="1">
      <alignment vertical="center"/>
    </xf>
    <xf numFmtId="0" fontId="0" fillId="51" borderId="98" xfId="0" applyFill="1" applyBorder="1" applyAlignment="1">
      <alignment vertical="center"/>
    </xf>
    <xf numFmtId="166" fontId="16" fillId="51" borderId="15" xfId="1" applyNumberFormat="1" applyFont="1" applyFill="1" applyBorder="1" applyAlignment="1">
      <alignment vertical="center"/>
    </xf>
    <xf numFmtId="0" fontId="0" fillId="18" borderId="15" xfId="0" applyFill="1" applyBorder="1" applyAlignment="1">
      <alignment vertical="center"/>
    </xf>
    <xf numFmtId="0" fontId="0" fillId="52" borderId="98" xfId="0" applyFill="1" applyBorder="1" applyAlignment="1">
      <alignment vertical="center"/>
    </xf>
    <xf numFmtId="0" fontId="0" fillId="19" borderId="15" xfId="0" applyFill="1" applyBorder="1" applyAlignment="1">
      <alignment vertical="center"/>
    </xf>
    <xf numFmtId="0" fontId="0" fillId="53" borderId="98" xfId="0" applyFill="1" applyBorder="1" applyAlignment="1">
      <alignment vertical="center"/>
    </xf>
    <xf numFmtId="0" fontId="0" fillId="0" borderId="1" xfId="0" quotePrefix="1" applyBorder="1" applyAlignment="1" applyProtection="1">
      <alignment horizontal="left" vertical="center"/>
      <protection locked="0"/>
    </xf>
    <xf numFmtId="165" fontId="0" fillId="0" borderId="1" xfId="2" applyNumberFormat="1" applyFont="1" applyBorder="1" applyAlignment="1" applyProtection="1">
      <alignment horizontal="center" indent="1"/>
      <protection locked="0"/>
    </xf>
    <xf numFmtId="9" fontId="33" fillId="11" borderId="0" xfId="2" applyFont="1" applyFill="1" applyBorder="1" applyAlignment="1" applyProtection="1">
      <alignment horizontal="center" vertical="center"/>
      <protection locked="0"/>
    </xf>
    <xf numFmtId="0" fontId="0" fillId="0" borderId="1" xfId="1" applyNumberFormat="1" applyFont="1" applyFill="1" applyBorder="1" applyAlignment="1" applyProtection="1">
      <alignment horizontal="left" vertical="center"/>
      <protection locked="0"/>
    </xf>
    <xf numFmtId="9" fontId="0" fillId="0" borderId="1" xfId="2" applyFont="1" applyFill="1" applyBorder="1" applyAlignment="1" applyProtection="1">
      <alignment horizontal="center" vertical="center"/>
      <protection locked="0"/>
    </xf>
    <xf numFmtId="44" fontId="0" fillId="0" borderId="1" xfId="1" applyFont="1" applyFill="1" applyBorder="1" applyAlignment="1" applyProtection="1">
      <alignment horizontal="left" vertical="center"/>
    </xf>
    <xf numFmtId="4" fontId="0" fillId="0" borderId="1" xfId="0" applyNumberFormat="1" applyBorder="1" applyAlignment="1" applyProtection="1">
      <alignment horizontal="right" vertical="center"/>
      <protection locked="0"/>
    </xf>
    <xf numFmtId="9" fontId="0" fillId="0" borderId="6" xfId="0" applyNumberFormat="1" applyBorder="1" applyProtection="1">
      <protection locked="0"/>
    </xf>
    <xf numFmtId="0" fontId="0" fillId="10" borderId="0" xfId="0" applyFill="1" applyAlignment="1" applyProtection="1">
      <alignment horizontal="center" wrapText="1"/>
      <protection locked="0"/>
    </xf>
    <xf numFmtId="0" fontId="0" fillId="10" borderId="0" xfId="0" applyFill="1" applyAlignment="1" applyProtection="1">
      <alignment horizontal="left" wrapText="1"/>
      <protection locked="0"/>
    </xf>
    <xf numFmtId="0" fontId="0" fillId="10" borderId="0" xfId="0" applyFill="1" applyAlignment="1" applyProtection="1">
      <alignment wrapText="1"/>
      <protection locked="0"/>
    </xf>
    <xf numFmtId="44" fontId="0" fillId="42" borderId="1" xfId="1" applyFont="1" applyFill="1" applyBorder="1" applyAlignment="1" applyProtection="1">
      <alignment horizontal="left" vertical="center"/>
    </xf>
    <xf numFmtId="0" fontId="94" fillId="10" borderId="0" xfId="0" applyFont="1" applyFill="1" applyAlignment="1">
      <alignment vertical="center" wrapText="1"/>
    </xf>
    <xf numFmtId="0" fontId="94" fillId="10" borderId="0" xfId="0" applyFont="1" applyFill="1" applyAlignment="1">
      <alignment wrapText="1"/>
    </xf>
    <xf numFmtId="0" fontId="0" fillId="10" borderId="0" xfId="0" applyFill="1" applyAlignment="1">
      <alignment vertical="center" wrapText="1"/>
    </xf>
    <xf numFmtId="9" fontId="95" fillId="10" borderId="15" xfId="2" applyFont="1" applyFill="1" applyBorder="1" applyAlignment="1" applyProtection="1">
      <alignment horizontal="center" vertical="center"/>
      <protection locked="0"/>
    </xf>
    <xf numFmtId="44" fontId="51" fillId="10" borderId="1" xfId="1" applyFont="1" applyFill="1" applyBorder="1" applyAlignment="1" applyProtection="1">
      <alignment horizontal="left" vertical="center"/>
    </xf>
    <xf numFmtId="44" fontId="70" fillId="8" borderId="1" xfId="1" applyFont="1" applyFill="1" applyBorder="1" applyAlignment="1" applyProtection="1">
      <alignment horizontal="left" vertical="center"/>
    </xf>
    <xf numFmtId="44" fontId="70" fillId="10" borderId="1" xfId="1" applyFont="1" applyFill="1" applyBorder="1" applyAlignment="1" applyProtection="1">
      <alignment horizontal="left" vertical="center"/>
      <protection locked="0"/>
    </xf>
    <xf numFmtId="44" fontId="53" fillId="10" borderId="1" xfId="1" applyFont="1" applyFill="1" applyBorder="1" applyAlignment="1" applyProtection="1">
      <alignment horizontal="left" vertical="center"/>
      <protection locked="0"/>
    </xf>
    <xf numFmtId="14" fontId="58" fillId="10" borderId="0" xfId="0" applyNumberFormat="1" applyFont="1" applyFill="1" applyAlignment="1" applyProtection="1">
      <alignment horizontal="center" vertical="center"/>
      <protection locked="0"/>
    </xf>
    <xf numFmtId="14" fontId="58" fillId="8" borderId="0" xfId="0" applyNumberFormat="1" applyFont="1" applyFill="1" applyAlignment="1" applyProtection="1">
      <alignment horizontal="center" vertical="center"/>
      <protection locked="0"/>
    </xf>
    <xf numFmtId="3" fontId="0" fillId="0" borderId="1" xfId="0" applyNumberFormat="1" applyBorder="1" applyProtection="1">
      <protection locked="0"/>
    </xf>
    <xf numFmtId="0" fontId="15" fillId="0" borderId="13" xfId="0" applyFont="1" applyBorder="1" applyAlignment="1" applyProtection="1">
      <alignment horizontal="left" vertical="center"/>
      <protection locked="0"/>
    </xf>
    <xf numFmtId="0" fontId="15" fillId="0" borderId="13" xfId="0" applyFont="1" applyBorder="1" applyAlignment="1" applyProtection="1">
      <alignment vertical="center"/>
      <protection locked="0"/>
    </xf>
    <xf numFmtId="0" fontId="52" fillId="10" borderId="12" xfId="0" applyFont="1" applyFill="1" applyBorder="1" applyAlignment="1" applyProtection="1">
      <alignment horizontal="center" vertical="center"/>
      <protection locked="0"/>
    </xf>
    <xf numFmtId="0" fontId="15" fillId="10" borderId="13" xfId="0" applyFont="1" applyFill="1" applyBorder="1" applyProtection="1">
      <protection locked="0"/>
    </xf>
    <xf numFmtId="0" fontId="15" fillId="6" borderId="13" xfId="0" applyFont="1" applyFill="1" applyBorder="1" applyProtection="1">
      <protection locked="0"/>
    </xf>
    <xf numFmtId="0" fontId="0" fillId="0" borderId="48"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8" fillId="3" borderId="104" xfId="0" applyFont="1" applyFill="1" applyBorder="1" applyAlignment="1" applyProtection="1">
      <alignment horizontal="center" vertical="center" wrapText="1"/>
      <protection locked="0"/>
    </xf>
    <xf numFmtId="0" fontId="53" fillId="0" borderId="0" xfId="0" applyFont="1" applyAlignment="1" applyProtection="1">
      <alignment horizontal="center" vertical="center"/>
      <protection locked="0"/>
    </xf>
    <xf numFmtId="0" fontId="31" fillId="10" borderId="0" xfId="3" applyFill="1" applyAlignment="1" applyProtection="1">
      <alignment horizontal="center" vertical="center"/>
      <protection locked="0"/>
    </xf>
    <xf numFmtId="0" fontId="55" fillId="10" borderId="0" xfId="0" applyFont="1" applyFill="1" applyProtection="1">
      <protection locked="0"/>
    </xf>
    <xf numFmtId="164" fontId="0" fillId="10" borderId="0" xfId="0" applyNumberFormat="1" applyFill="1" applyProtection="1">
      <protection locked="0"/>
    </xf>
    <xf numFmtId="14" fontId="68" fillId="10" borderId="0" xfId="0" applyNumberFormat="1" applyFont="1" applyFill="1" applyAlignment="1" applyProtection="1">
      <alignment horizontal="center" vertical="center"/>
      <protection locked="0"/>
    </xf>
    <xf numFmtId="0" fontId="16" fillId="0" borderId="13" xfId="0" applyFont="1" applyBorder="1" applyProtection="1">
      <protection locked="0"/>
    </xf>
    <xf numFmtId="9" fontId="0" fillId="0" borderId="6" xfId="2" applyFont="1" applyBorder="1" applyAlignment="1" applyProtection="1">
      <alignment horizontal="center"/>
      <protection locked="0"/>
    </xf>
    <xf numFmtId="44" fontId="0" fillId="55" borderId="1" xfId="1" applyFont="1" applyFill="1" applyBorder="1" applyAlignment="1" applyProtection="1">
      <alignment horizontal="left" vertical="center"/>
    </xf>
    <xf numFmtId="0" fontId="52" fillId="8" borderId="12" xfId="0" applyFont="1" applyFill="1" applyBorder="1" applyAlignment="1" applyProtection="1">
      <alignment horizontal="center" vertical="center"/>
      <protection locked="0"/>
    </xf>
    <xf numFmtId="3" fontId="14" fillId="0" borderId="1" xfId="0" applyNumberFormat="1" applyFont="1" applyBorder="1" applyAlignment="1" applyProtection="1">
      <alignment horizontal="center" vertical="center"/>
      <protection locked="0"/>
    </xf>
    <xf numFmtId="165" fontId="42" fillId="30" borderId="45" xfId="2" applyNumberFormat="1" applyFont="1" applyFill="1" applyBorder="1" applyAlignment="1" applyProtection="1">
      <alignment horizontal="center" vertical="center"/>
      <protection locked="0"/>
    </xf>
    <xf numFmtId="165" fontId="42" fillId="30" borderId="46" xfId="2" applyNumberFormat="1" applyFont="1" applyFill="1" applyBorder="1" applyAlignment="1" applyProtection="1">
      <alignment horizontal="center" vertical="center"/>
      <protection locked="0"/>
    </xf>
    <xf numFmtId="165" fontId="42" fillId="30" borderId="25" xfId="2" applyNumberFormat="1" applyFont="1" applyFill="1" applyBorder="1" applyAlignment="1" applyProtection="1">
      <alignment horizontal="center" vertical="center"/>
      <protection locked="0"/>
    </xf>
    <xf numFmtId="2" fontId="0" fillId="0" borderId="1" xfId="0" applyNumberFormat="1" applyBorder="1" applyAlignment="1" applyProtection="1">
      <alignment horizontal="right"/>
      <protection locked="0"/>
    </xf>
    <xf numFmtId="2" fontId="0" fillId="0" borderId="1" xfId="0" applyNumberFormat="1" applyBorder="1" applyProtection="1">
      <protection locked="0"/>
    </xf>
    <xf numFmtId="10" fontId="0" fillId="0" borderId="6" xfId="2" applyNumberFormat="1" applyFont="1" applyBorder="1" applyAlignment="1" applyProtection="1">
      <alignment horizontal="left"/>
      <protection locked="0"/>
    </xf>
    <xf numFmtId="10" fontId="0" fillId="0" borderId="6" xfId="0" applyNumberFormat="1" applyBorder="1" applyAlignment="1" applyProtection="1">
      <alignment horizontal="left"/>
      <protection locked="0"/>
    </xf>
    <xf numFmtId="10" fontId="0" fillId="28" borderId="37" xfId="0" applyNumberFormat="1" applyFill="1" applyBorder="1" applyAlignment="1" applyProtection="1">
      <alignment horizontal="left"/>
      <protection locked="0"/>
    </xf>
    <xf numFmtId="0" fontId="0" fillId="0" borderId="6" xfId="0" applyBorder="1" applyAlignment="1" applyProtection="1">
      <alignment horizontal="left"/>
      <protection locked="0"/>
    </xf>
    <xf numFmtId="10" fontId="0" fillId="0" borderId="6" xfId="0" applyNumberFormat="1" applyBorder="1" applyAlignment="1" applyProtection="1">
      <alignment horizontal="left" vertical="center"/>
      <protection locked="0"/>
    </xf>
    <xf numFmtId="10" fontId="0" fillId="0" borderId="1" xfId="2" applyNumberFormat="1" applyFont="1" applyBorder="1" applyAlignment="1" applyProtection="1">
      <alignment horizontal="left"/>
      <protection locked="0"/>
    </xf>
    <xf numFmtId="10" fontId="0" fillId="0" borderId="1" xfId="0" applyNumberFormat="1" applyBorder="1" applyAlignment="1" applyProtection="1">
      <alignment horizontal="left"/>
      <protection locked="0"/>
    </xf>
    <xf numFmtId="8" fontId="0" fillId="0" borderId="1" xfId="0" applyNumberFormat="1" applyBorder="1" applyAlignment="1" applyProtection="1">
      <alignment horizontal="left" vertical="center"/>
      <protection locked="0"/>
    </xf>
    <xf numFmtId="10" fontId="0" fillId="28" borderId="1" xfId="0" applyNumberFormat="1" applyFill="1" applyBorder="1" applyAlignment="1" applyProtection="1">
      <alignment horizontal="left"/>
      <protection locked="0"/>
    </xf>
    <xf numFmtId="10" fontId="0" fillId="0" borderId="1" xfId="0" applyNumberFormat="1" applyBorder="1" applyAlignment="1" applyProtection="1">
      <alignment horizontal="left" vertical="center"/>
      <protection locked="0"/>
    </xf>
    <xf numFmtId="0" fontId="53" fillId="0" borderId="1" xfId="0" applyFont="1" applyBorder="1" applyAlignment="1" applyProtection="1">
      <alignment horizontal="left" vertical="center"/>
      <protection locked="0"/>
    </xf>
    <xf numFmtId="20" fontId="0" fillId="0" borderId="1" xfId="0" applyNumberFormat="1" applyBorder="1" applyAlignment="1" applyProtection="1">
      <alignment horizontal="left"/>
      <protection locked="0"/>
    </xf>
    <xf numFmtId="46" fontId="0" fillId="0" borderId="1" xfId="0" applyNumberFormat="1" applyBorder="1" applyAlignment="1" applyProtection="1">
      <alignment horizontal="left" vertical="center" wrapText="1"/>
      <protection locked="0"/>
    </xf>
    <xf numFmtId="169" fontId="0" fillId="0" borderId="1" xfId="0" applyNumberFormat="1" applyBorder="1" applyAlignment="1" applyProtection="1">
      <alignment horizontal="left"/>
      <protection locked="0"/>
    </xf>
    <xf numFmtId="46" fontId="0" fillId="0" borderId="1" xfId="0" applyNumberFormat="1" applyBorder="1" applyAlignment="1" applyProtection="1">
      <alignment horizontal="left" vertical="center"/>
      <protection locked="0"/>
    </xf>
    <xf numFmtId="20" fontId="0" fillId="0" borderId="1" xfId="0" applyNumberFormat="1" applyBorder="1" applyAlignment="1" applyProtection="1">
      <alignment horizontal="left" vertical="center" wrapText="1"/>
      <protection locked="0"/>
    </xf>
    <xf numFmtId="20" fontId="0" fillId="28" borderId="1" xfId="0" applyNumberFormat="1" applyFill="1" applyBorder="1" applyAlignment="1" applyProtection="1">
      <alignment horizontal="left"/>
      <protection locked="0"/>
    </xf>
    <xf numFmtId="20" fontId="0" fillId="0" borderId="1" xfId="0" applyNumberFormat="1" applyBorder="1" applyAlignment="1" applyProtection="1">
      <alignment horizontal="left" vertical="center"/>
      <protection locked="0"/>
    </xf>
    <xf numFmtId="44" fontId="0" fillId="0" borderId="1" xfId="1" applyFont="1" applyBorder="1" applyAlignment="1" applyProtection="1">
      <alignment horizontal="left"/>
      <protection locked="0"/>
    </xf>
    <xf numFmtId="170" fontId="53" fillId="0" borderId="1" xfId="0" applyNumberFormat="1" applyFont="1" applyBorder="1" applyAlignment="1" applyProtection="1">
      <alignment horizontal="left"/>
      <protection locked="0"/>
    </xf>
    <xf numFmtId="170" fontId="0" fillId="0" borderId="1" xfId="0" applyNumberFormat="1" applyBorder="1" applyAlignment="1" applyProtection="1">
      <alignment horizontal="left"/>
      <protection locked="0"/>
    </xf>
    <xf numFmtId="170" fontId="0" fillId="28" borderId="1" xfId="0" applyNumberFormat="1" applyFill="1" applyBorder="1" applyAlignment="1" applyProtection="1">
      <alignment horizontal="left"/>
      <protection locked="0"/>
    </xf>
    <xf numFmtId="3" fontId="0" fillId="0" borderId="1" xfId="0" applyNumberFormat="1" applyBorder="1" applyAlignment="1" applyProtection="1">
      <alignment horizontal="left"/>
      <protection locked="0"/>
    </xf>
    <xf numFmtId="3" fontId="0" fillId="0" borderId="1" xfId="0" applyNumberFormat="1" applyBorder="1" applyAlignment="1" applyProtection="1">
      <alignment horizontal="left" vertical="center"/>
      <protection locked="0"/>
    </xf>
    <xf numFmtId="4" fontId="0" fillId="0" borderId="1" xfId="0" applyNumberFormat="1" applyBorder="1" applyAlignment="1" applyProtection="1">
      <alignment horizontal="left"/>
      <protection locked="0"/>
    </xf>
    <xf numFmtId="0" fontId="0" fillId="28" borderId="1" xfId="0" applyFill="1" applyBorder="1" applyAlignment="1" applyProtection="1">
      <alignment horizontal="left"/>
      <protection locked="0"/>
    </xf>
    <xf numFmtId="9" fontId="0" fillId="0" borderId="1" xfId="0" applyNumberFormat="1" applyBorder="1" applyAlignment="1" applyProtection="1">
      <alignment horizontal="left"/>
      <protection locked="0"/>
    </xf>
    <xf numFmtId="9" fontId="0" fillId="28" borderId="1" xfId="0" applyNumberFormat="1" applyFill="1" applyBorder="1" applyAlignment="1" applyProtection="1">
      <alignment horizontal="left"/>
      <protection locked="0"/>
    </xf>
    <xf numFmtId="9" fontId="0" fillId="0" borderId="1" xfId="0" applyNumberFormat="1" applyBorder="1" applyAlignment="1" applyProtection="1">
      <alignment horizontal="left" vertical="center"/>
      <protection locked="0"/>
    </xf>
    <xf numFmtId="46" fontId="0" fillId="0" borderId="1" xfId="0" applyNumberFormat="1" applyBorder="1" applyAlignment="1" applyProtection="1">
      <alignment horizontal="left"/>
      <protection locked="0"/>
    </xf>
    <xf numFmtId="46" fontId="0" fillId="28" borderId="1" xfId="0" applyNumberFormat="1" applyFill="1" applyBorder="1" applyAlignment="1" applyProtection="1">
      <alignment horizontal="left"/>
      <protection locked="0"/>
    </xf>
    <xf numFmtId="21" fontId="0" fillId="0" borderId="1" xfId="0" applyNumberFormat="1" applyBorder="1" applyAlignment="1" applyProtection="1">
      <alignment horizontal="left"/>
      <protection locked="0"/>
    </xf>
    <xf numFmtId="0" fontId="53" fillId="0" borderId="1" xfId="0" applyFont="1" applyBorder="1" applyAlignment="1" applyProtection="1">
      <alignment horizontal="left"/>
      <protection locked="0"/>
    </xf>
    <xf numFmtId="0" fontId="15" fillId="56" borderId="13" xfId="0" applyFont="1" applyFill="1" applyBorder="1" applyAlignment="1" applyProtection="1">
      <alignment horizontal="left" vertical="center"/>
      <protection locked="0"/>
    </xf>
    <xf numFmtId="0" fontId="15" fillId="56" borderId="13" xfId="0" applyFont="1" applyFill="1" applyBorder="1" applyProtection="1">
      <protection locked="0"/>
    </xf>
    <xf numFmtId="0" fontId="16" fillId="56" borderId="13" xfId="0" applyFont="1" applyFill="1" applyBorder="1" applyProtection="1">
      <protection locked="0"/>
    </xf>
    <xf numFmtId="165" fontId="63" fillId="10" borderId="15" xfId="2" applyNumberFormat="1" applyFont="1" applyFill="1" applyBorder="1" applyAlignment="1" applyProtection="1">
      <alignment horizontal="center" vertical="center"/>
      <protection locked="0"/>
    </xf>
    <xf numFmtId="165" fontId="63" fillId="6" borderId="15" xfId="2" applyNumberFormat="1" applyFont="1" applyFill="1" applyBorder="1" applyAlignment="1" applyProtection="1">
      <alignment horizontal="center" vertical="center"/>
      <protection locked="0"/>
    </xf>
    <xf numFmtId="0" fontId="0" fillId="28" borderId="7" xfId="0" applyFill="1" applyBorder="1" applyAlignment="1">
      <alignment horizontal="center" vertical="center"/>
    </xf>
    <xf numFmtId="44" fontId="58" fillId="10" borderId="1" xfId="1" applyFont="1" applyFill="1" applyBorder="1" applyAlignment="1" applyProtection="1">
      <alignment horizontal="left" vertical="center"/>
    </xf>
    <xf numFmtId="0" fontId="0" fillId="10" borderId="11" xfId="0" applyFill="1" applyBorder="1" applyAlignment="1" applyProtection="1">
      <alignment horizontal="left" vertical="center"/>
      <protection locked="0"/>
    </xf>
    <xf numFmtId="0" fontId="0" fillId="10" borderId="13" xfId="0" applyFill="1" applyBorder="1" applyAlignment="1" applyProtection="1">
      <alignment horizontal="left" vertical="center"/>
      <protection locked="0"/>
    </xf>
    <xf numFmtId="0" fontId="0" fillId="10" borderId="44" xfId="0" applyFill="1" applyBorder="1" applyAlignment="1" applyProtection="1">
      <alignment horizontal="left" vertical="center"/>
      <protection locked="0"/>
    </xf>
    <xf numFmtId="0" fontId="0" fillId="8" borderId="11" xfId="0" applyFill="1" applyBorder="1" applyAlignment="1" applyProtection="1">
      <alignment horizontal="left" vertical="center"/>
      <protection locked="0"/>
    </xf>
    <xf numFmtId="0" fontId="0" fillId="8" borderId="13" xfId="0" applyFill="1" applyBorder="1" applyAlignment="1" applyProtection="1">
      <alignment horizontal="left" vertical="center"/>
      <protection locked="0"/>
    </xf>
    <xf numFmtId="0" fontId="0" fillId="8" borderId="44" xfId="0" applyFill="1" applyBorder="1" applyAlignment="1" applyProtection="1">
      <alignment horizontal="left" vertical="center"/>
      <protection locked="0"/>
    </xf>
    <xf numFmtId="44" fontId="70" fillId="10" borderId="1" xfId="1" applyFont="1" applyFill="1" applyBorder="1" applyAlignment="1" applyProtection="1">
      <alignment horizontal="left" vertical="center"/>
    </xf>
    <xf numFmtId="0" fontId="15" fillId="10" borderId="13" xfId="0" applyFont="1" applyFill="1" applyBorder="1" applyAlignment="1" applyProtection="1">
      <alignment horizontal="center"/>
      <protection locked="0"/>
    </xf>
    <xf numFmtId="0" fontId="15" fillId="8" borderId="13" xfId="0" applyFont="1" applyFill="1" applyBorder="1" applyAlignment="1" applyProtection="1">
      <alignment horizontal="center"/>
      <protection locked="0"/>
    </xf>
    <xf numFmtId="0" fontId="15" fillId="0" borderId="13" xfId="0" applyFont="1" applyBorder="1" applyAlignment="1" applyProtection="1">
      <alignment horizontal="center"/>
      <protection locked="0"/>
    </xf>
    <xf numFmtId="0" fontId="15" fillId="10" borderId="13" xfId="0" applyFont="1" applyFill="1" applyBorder="1" applyAlignment="1" applyProtection="1">
      <alignment horizontal="center" vertical="center"/>
      <protection locked="0"/>
    </xf>
    <xf numFmtId="0" fontId="15" fillId="8" borderId="13" xfId="0" applyFont="1" applyFill="1" applyBorder="1" applyAlignment="1" applyProtection="1">
      <alignment horizontal="center" vertical="center"/>
      <protection locked="0"/>
    </xf>
    <xf numFmtId="0" fontId="15" fillId="0" borderId="13" xfId="0" applyFont="1" applyBorder="1" applyAlignment="1" applyProtection="1">
      <alignment horizontal="center" vertical="center"/>
      <protection locked="0"/>
    </xf>
    <xf numFmtId="0" fontId="110" fillId="10" borderId="13" xfId="0" applyFont="1" applyFill="1" applyBorder="1" applyAlignment="1" applyProtection="1">
      <alignment horizontal="left" vertical="center"/>
      <protection locked="0"/>
    </xf>
    <xf numFmtId="0" fontId="110" fillId="8" borderId="13" xfId="0" applyFont="1" applyFill="1" applyBorder="1" applyAlignment="1" applyProtection="1">
      <alignment vertical="center"/>
      <protection locked="0"/>
    </xf>
    <xf numFmtId="0" fontId="110" fillId="8" borderId="13" xfId="0" applyFont="1" applyFill="1" applyBorder="1" applyAlignment="1" applyProtection="1">
      <alignment horizontal="left" vertical="center"/>
      <protection locked="0"/>
    </xf>
    <xf numFmtId="0" fontId="111" fillId="10" borderId="13" xfId="0" applyFont="1" applyFill="1" applyBorder="1" applyAlignment="1" applyProtection="1">
      <alignment horizontal="left" vertical="center"/>
      <protection locked="0"/>
    </xf>
    <xf numFmtId="0" fontId="111" fillId="8" borderId="13" xfId="0" applyFont="1" applyFill="1" applyBorder="1" applyAlignment="1" applyProtection="1">
      <alignment vertical="center"/>
      <protection locked="0"/>
    </xf>
    <xf numFmtId="0" fontId="112" fillId="8" borderId="13" xfId="0" applyFont="1" applyFill="1" applyBorder="1" applyAlignment="1" applyProtection="1">
      <alignment vertical="center"/>
      <protection locked="0"/>
    </xf>
    <xf numFmtId="0" fontId="112" fillId="10" borderId="13" xfId="0" applyFont="1" applyFill="1" applyBorder="1" applyAlignment="1" applyProtection="1">
      <alignment horizontal="left" vertical="center"/>
      <protection locked="0"/>
    </xf>
    <xf numFmtId="0" fontId="113" fillId="8" borderId="13" xfId="0" applyFont="1" applyFill="1" applyBorder="1" applyAlignment="1" applyProtection="1">
      <alignment vertical="center"/>
      <protection locked="0"/>
    </xf>
    <xf numFmtId="0" fontId="113" fillId="10" borderId="13" xfId="0" applyFont="1" applyFill="1" applyBorder="1" applyAlignment="1" applyProtection="1">
      <alignment horizontal="left" vertical="center"/>
      <protection locked="0"/>
    </xf>
    <xf numFmtId="0" fontId="114" fillId="8" borderId="13" xfId="0" applyFont="1" applyFill="1" applyBorder="1" applyAlignment="1" applyProtection="1">
      <alignment vertical="center"/>
      <protection locked="0"/>
    </xf>
    <xf numFmtId="0" fontId="115" fillId="8" borderId="13" xfId="0" applyFont="1" applyFill="1" applyBorder="1" applyAlignment="1" applyProtection="1">
      <alignment horizontal="center" vertical="center"/>
      <protection locked="0"/>
    </xf>
    <xf numFmtId="0" fontId="111" fillId="10" borderId="13" xfId="0" applyFont="1" applyFill="1" applyBorder="1" applyAlignment="1" applyProtection="1">
      <alignment vertical="center"/>
      <protection locked="0"/>
    </xf>
    <xf numFmtId="0" fontId="116" fillId="10" borderId="13" xfId="0" applyFont="1" applyFill="1" applyBorder="1" applyAlignment="1" applyProtection="1">
      <alignment horizontal="left" vertical="center"/>
      <protection locked="0"/>
    </xf>
    <xf numFmtId="0" fontId="116" fillId="11" borderId="13" xfId="0" applyFont="1" applyFill="1" applyBorder="1" applyAlignment="1" applyProtection="1">
      <alignment horizontal="left" vertical="center"/>
      <protection locked="0"/>
    </xf>
    <xf numFmtId="0" fontId="116" fillId="10" borderId="13" xfId="0" applyFont="1" applyFill="1" applyBorder="1" applyAlignment="1" applyProtection="1">
      <alignment horizontal="center" vertical="center"/>
      <protection locked="0"/>
    </xf>
    <xf numFmtId="0" fontId="116" fillId="11" borderId="13" xfId="0" applyFont="1" applyFill="1" applyBorder="1" applyAlignment="1" applyProtection="1">
      <alignment horizontal="center" vertical="center"/>
      <protection locked="0"/>
    </xf>
    <xf numFmtId="44" fontId="0" fillId="0" borderId="1" xfId="1" applyFont="1" applyBorder="1" applyProtection="1">
      <protection locked="0"/>
    </xf>
    <xf numFmtId="0" fontId="117" fillId="11" borderId="13" xfId="0" applyFont="1" applyFill="1" applyBorder="1" applyAlignment="1" applyProtection="1">
      <alignment horizontal="center" vertical="center"/>
      <protection locked="0"/>
    </xf>
    <xf numFmtId="44" fontId="0" fillId="40" borderId="1" xfId="1" applyFont="1" applyFill="1" applyBorder="1" applyAlignment="1" applyProtection="1">
      <alignment horizontal="left" vertical="center"/>
    </xf>
    <xf numFmtId="0" fontId="6" fillId="2" borderId="0" xfId="0" applyFont="1" applyFill="1" applyAlignment="1" applyProtection="1">
      <alignment horizontal="center" vertical="center" wrapText="1"/>
      <protection locked="0"/>
    </xf>
    <xf numFmtId="0" fontId="118" fillId="59" borderId="0" xfId="0" applyFont="1" applyFill="1" applyAlignment="1">
      <alignment horizontal="center" vertical="center"/>
    </xf>
    <xf numFmtId="9" fontId="118" fillId="59" borderId="0" xfId="2" applyFont="1" applyFill="1" applyAlignment="1">
      <alignment horizontal="center" vertical="center"/>
    </xf>
    <xf numFmtId="0" fontId="58" fillId="8" borderId="12" xfId="0" applyFont="1" applyFill="1" applyBorder="1" applyAlignment="1" applyProtection="1">
      <alignment horizontal="center" vertical="center"/>
      <protection locked="0"/>
    </xf>
    <xf numFmtId="44" fontId="31" fillId="10" borderId="17" xfId="4" applyNumberFormat="1" applyFill="1" applyBorder="1" applyAlignment="1" applyProtection="1">
      <alignment horizontal="left"/>
      <protection locked="0"/>
    </xf>
    <xf numFmtId="0" fontId="119" fillId="10" borderId="15" xfId="2" applyNumberFormat="1" applyFont="1" applyFill="1" applyBorder="1" applyAlignment="1" applyProtection="1">
      <alignment horizontal="left"/>
      <protection locked="0"/>
    </xf>
    <xf numFmtId="0" fontId="0" fillId="0" borderId="12" xfId="0" applyBorder="1" applyAlignment="1" applyProtection="1">
      <alignment horizontal="center" vertical="center"/>
      <protection locked="0"/>
    </xf>
    <xf numFmtId="0" fontId="0" fillId="10" borderId="0" xfId="0" applyFill="1" applyAlignment="1" applyProtection="1">
      <alignment horizontal="left" vertical="center" wrapText="1"/>
      <protection locked="0"/>
    </xf>
    <xf numFmtId="0" fontId="16" fillId="11" borderId="13" xfId="0" applyFont="1" applyFill="1" applyBorder="1" applyProtection="1">
      <protection locked="0"/>
    </xf>
    <xf numFmtId="0" fontId="16" fillId="10" borderId="12" xfId="0" applyFont="1" applyFill="1" applyBorder="1" applyAlignment="1" applyProtection="1">
      <alignment horizontal="center" vertical="center"/>
      <protection locked="0"/>
    </xf>
    <xf numFmtId="0" fontId="15" fillId="11" borderId="13" xfId="0" applyFont="1" applyFill="1" applyBorder="1" applyAlignment="1" applyProtection="1">
      <alignment vertical="center"/>
      <protection locked="0"/>
    </xf>
    <xf numFmtId="0" fontId="15" fillId="11" borderId="13" xfId="0" applyFont="1" applyFill="1" applyBorder="1" applyAlignment="1" applyProtection="1">
      <alignment horizontal="center" vertical="center"/>
      <protection locked="0"/>
    </xf>
    <xf numFmtId="0" fontId="16" fillId="11" borderId="12" xfId="0" applyFont="1" applyFill="1" applyBorder="1" applyAlignment="1" applyProtection="1">
      <alignment horizontal="center" vertical="center"/>
      <protection locked="0"/>
    </xf>
    <xf numFmtId="0" fontId="0" fillId="11" borderId="0" xfId="0" applyFill="1" applyAlignment="1" applyProtection="1">
      <alignment horizontal="left" vertical="center"/>
      <protection locked="0"/>
    </xf>
    <xf numFmtId="0" fontId="0" fillId="11" borderId="0" xfId="0" applyFill="1" applyAlignment="1" applyProtection="1">
      <alignment horizontal="center"/>
      <protection locked="0"/>
    </xf>
    <xf numFmtId="9" fontId="0" fillId="11" borderId="0" xfId="2" applyFont="1" applyFill="1" applyAlignment="1" applyProtection="1">
      <alignment horizontal="center"/>
      <protection locked="0"/>
    </xf>
    <xf numFmtId="9" fontId="0" fillId="11" borderId="0" xfId="0" applyNumberFormat="1" applyFill="1" applyAlignment="1" applyProtection="1">
      <alignment horizontal="center"/>
      <protection locked="0"/>
    </xf>
    <xf numFmtId="0" fontId="92" fillId="37" borderId="103" xfId="0" applyFont="1" applyFill="1" applyBorder="1" applyAlignment="1" applyProtection="1">
      <alignment horizontal="center"/>
      <protection locked="0"/>
    </xf>
    <xf numFmtId="0" fontId="0" fillId="6" borderId="12" xfId="0" applyFill="1" applyBorder="1" applyAlignment="1" applyProtection="1">
      <alignment horizontal="center" vertical="center"/>
      <protection locked="0"/>
    </xf>
    <xf numFmtId="0" fontId="92" fillId="41" borderId="103" xfId="0" applyFont="1" applyFill="1" applyBorder="1" applyAlignment="1" applyProtection="1">
      <alignment horizontal="center"/>
      <protection locked="0"/>
    </xf>
    <xf numFmtId="0" fontId="92" fillId="37" borderId="83" xfId="0" applyFont="1" applyFill="1" applyBorder="1" applyAlignment="1" applyProtection="1">
      <alignment horizontal="center"/>
      <protection locked="0"/>
    </xf>
    <xf numFmtId="0" fontId="92" fillId="41" borderId="84" xfId="0" applyFont="1" applyFill="1" applyBorder="1" applyAlignment="1" applyProtection="1">
      <alignment horizontal="center"/>
      <protection locked="0"/>
    </xf>
    <xf numFmtId="0" fontId="92" fillId="37" borderId="84" xfId="0" applyFont="1" applyFill="1" applyBorder="1" applyAlignment="1" applyProtection="1">
      <alignment horizontal="center"/>
      <protection locked="0"/>
    </xf>
    <xf numFmtId="0" fontId="0" fillId="56" borderId="12" xfId="0" applyFill="1" applyBorder="1" applyAlignment="1" applyProtection="1">
      <alignment horizontal="center" vertical="center"/>
      <protection locked="0"/>
    </xf>
    <xf numFmtId="0" fontId="92" fillId="57" borderId="84" xfId="0" applyFont="1" applyFill="1" applyBorder="1" applyAlignment="1" applyProtection="1">
      <alignment horizontal="center"/>
      <protection locked="0"/>
    </xf>
    <xf numFmtId="0" fontId="0" fillId="11" borderId="0" xfId="0" applyFill="1" applyAlignment="1" applyProtection="1">
      <alignment horizontal="center" vertical="center"/>
      <protection locked="0"/>
    </xf>
    <xf numFmtId="9" fontId="0" fillId="11" borderId="0" xfId="2" applyFont="1" applyFill="1" applyAlignment="1" applyProtection="1">
      <alignment horizontal="center" vertical="center"/>
      <protection locked="0"/>
    </xf>
    <xf numFmtId="9" fontId="0" fillId="11" borderId="0" xfId="0" applyNumberFormat="1" applyFill="1" applyAlignment="1" applyProtection="1">
      <alignment horizontal="center" vertical="center"/>
      <protection locked="0"/>
    </xf>
    <xf numFmtId="14" fontId="0" fillId="11" borderId="0" xfId="0" applyNumberFormat="1" applyFill="1" applyAlignment="1" applyProtection="1">
      <alignment horizontal="center" vertical="center"/>
      <protection locked="0"/>
    </xf>
    <xf numFmtId="14" fontId="68" fillId="11" borderId="0" xfId="0" applyNumberFormat="1" applyFont="1" applyFill="1" applyAlignment="1" applyProtection="1">
      <alignment horizontal="center" vertical="center"/>
      <protection locked="0"/>
    </xf>
    <xf numFmtId="10" fontId="33" fillId="10" borderId="25" xfId="0" applyNumberFormat="1" applyFont="1" applyFill="1" applyBorder="1" applyAlignment="1" applyProtection="1">
      <alignment horizontal="center" vertical="center"/>
      <protection locked="0"/>
    </xf>
    <xf numFmtId="10" fontId="33" fillId="11" borderId="25" xfId="2" applyNumberFormat="1" applyFont="1" applyFill="1" applyBorder="1" applyAlignment="1" applyProtection="1">
      <alignment horizontal="center" vertical="center"/>
      <protection locked="0"/>
    </xf>
    <xf numFmtId="44" fontId="0" fillId="40" borderId="1" xfId="1" applyFont="1" applyFill="1" applyBorder="1" applyAlignment="1">
      <alignment horizontal="left" vertical="center"/>
    </xf>
    <xf numFmtId="14" fontId="0" fillId="8" borderId="1" xfId="0" applyNumberFormat="1" applyFill="1" applyBorder="1" applyAlignment="1" applyProtection="1">
      <alignment horizontal="left" vertical="center"/>
      <protection locked="0"/>
    </xf>
    <xf numFmtId="165" fontId="0" fillId="0" borderId="1" xfId="0" applyNumberFormat="1" applyBorder="1" applyAlignment="1" applyProtection="1">
      <alignment horizontal="center" vertical="center"/>
      <protection locked="0"/>
    </xf>
    <xf numFmtId="165" fontId="0" fillId="0" borderId="6" xfId="0" applyNumberFormat="1" applyBorder="1" applyAlignment="1" applyProtection="1">
      <alignment horizontal="center" vertical="center"/>
      <protection locked="0"/>
    </xf>
    <xf numFmtId="165" fontId="58" fillId="0" borderId="6" xfId="0" applyNumberFormat="1" applyFont="1" applyBorder="1" applyAlignment="1" applyProtection="1">
      <alignment horizontal="center" vertical="center"/>
      <protection locked="0"/>
    </xf>
    <xf numFmtId="44" fontId="58" fillId="8" borderId="1" xfId="1" applyFont="1" applyFill="1" applyBorder="1" applyAlignment="1" applyProtection="1">
      <alignment horizontal="left" vertical="center"/>
    </xf>
    <xf numFmtId="44" fontId="58" fillId="8" borderId="1" xfId="1" applyFont="1" applyFill="1" applyBorder="1" applyAlignment="1">
      <alignment horizontal="left" vertical="center"/>
    </xf>
    <xf numFmtId="44" fontId="70" fillId="55" borderId="1" xfId="1" applyFont="1" applyFill="1" applyBorder="1" applyAlignment="1" applyProtection="1">
      <alignment horizontal="left" vertical="center"/>
    </xf>
    <xf numFmtId="0" fontId="70" fillId="11" borderId="12" xfId="0" applyFont="1" applyFill="1" applyBorder="1" applyAlignment="1" applyProtection="1">
      <alignment horizontal="center" vertical="center"/>
      <protection locked="0"/>
    </xf>
    <xf numFmtId="0" fontId="70" fillId="10" borderId="0" xfId="0" applyFont="1" applyFill="1" applyAlignment="1" applyProtection="1">
      <alignment horizontal="center" vertical="center"/>
      <protection locked="0"/>
    </xf>
    <xf numFmtId="1" fontId="70" fillId="10" borderId="0" xfId="2" applyNumberFormat="1" applyFont="1" applyFill="1" applyAlignment="1" applyProtection="1">
      <alignment horizontal="center" vertical="center"/>
      <protection locked="0"/>
    </xf>
    <xf numFmtId="9" fontId="70" fillId="10" borderId="0" xfId="2" applyFont="1" applyFill="1" applyAlignment="1" applyProtection="1">
      <alignment horizontal="center" vertical="center"/>
      <protection locked="0"/>
    </xf>
    <xf numFmtId="0" fontId="96" fillId="11" borderId="13" xfId="0" applyFont="1" applyFill="1" applyBorder="1" applyAlignment="1" applyProtection="1">
      <alignment vertical="center"/>
      <protection locked="0"/>
    </xf>
    <xf numFmtId="0" fontId="70" fillId="11" borderId="13" xfId="0" applyFont="1" applyFill="1" applyBorder="1" applyProtection="1">
      <protection locked="0"/>
    </xf>
    <xf numFmtId="0" fontId="96" fillId="11" borderId="13" xfId="0" applyFont="1" applyFill="1" applyBorder="1" applyAlignment="1" applyProtection="1">
      <alignment horizontal="center" vertical="center"/>
      <protection locked="0"/>
    </xf>
    <xf numFmtId="0" fontId="96" fillId="10" borderId="13" xfId="0" applyFont="1" applyFill="1" applyBorder="1" applyAlignment="1" applyProtection="1">
      <alignment horizontal="left" vertical="center"/>
      <protection locked="0"/>
    </xf>
    <xf numFmtId="0" fontId="96" fillId="10" borderId="13" xfId="0" applyFont="1" applyFill="1" applyBorder="1" applyAlignment="1" applyProtection="1">
      <alignment horizontal="center" vertical="center"/>
      <protection locked="0"/>
    </xf>
    <xf numFmtId="0" fontId="122" fillId="10" borderId="13" xfId="0" applyFont="1" applyFill="1" applyBorder="1" applyAlignment="1" applyProtection="1">
      <alignment horizontal="left" vertical="center"/>
      <protection locked="0"/>
    </xf>
    <xf numFmtId="0" fontId="123" fillId="10" borderId="13" xfId="0" applyFont="1" applyFill="1" applyBorder="1" applyProtection="1">
      <protection locked="0"/>
    </xf>
    <xf numFmtId="0" fontId="122" fillId="10" borderId="13" xfId="0" applyFont="1" applyFill="1" applyBorder="1" applyAlignment="1" applyProtection="1">
      <alignment horizontal="center" vertical="center"/>
      <protection locked="0"/>
    </xf>
    <xf numFmtId="0" fontId="123" fillId="10" borderId="12" xfId="0" applyFont="1" applyFill="1" applyBorder="1" applyAlignment="1" applyProtection="1">
      <alignment horizontal="center" vertical="center"/>
      <protection locked="0"/>
    </xf>
    <xf numFmtId="44" fontId="71" fillId="10" borderId="15" xfId="1" applyFont="1" applyFill="1" applyBorder="1" applyProtection="1">
      <protection locked="0"/>
    </xf>
    <xf numFmtId="44" fontId="71" fillId="6" borderId="15" xfId="1" applyFont="1" applyFill="1" applyBorder="1" applyProtection="1">
      <protection locked="0"/>
    </xf>
    <xf numFmtId="0" fontId="0" fillId="11" borderId="12" xfId="0" applyFill="1" applyBorder="1" applyAlignment="1" applyProtection="1">
      <alignment horizontal="center" vertical="center"/>
      <protection locked="0"/>
    </xf>
    <xf numFmtId="0" fontId="51" fillId="10" borderId="12" xfId="0" applyFont="1" applyFill="1" applyBorder="1" applyAlignment="1" applyProtection="1">
      <alignment horizontal="center" vertical="center"/>
      <protection locked="0"/>
    </xf>
    <xf numFmtId="175" fontId="0" fillId="0" borderId="1" xfId="2" applyNumberFormat="1" applyFont="1" applyBorder="1" applyAlignment="1" applyProtection="1">
      <alignment horizontal="center"/>
      <protection locked="0"/>
    </xf>
    <xf numFmtId="0" fontId="31" fillId="0" borderId="0" xfId="3" applyAlignment="1" applyProtection="1">
      <alignment horizontal="left" vertical="center"/>
      <protection locked="0"/>
    </xf>
    <xf numFmtId="44" fontId="0" fillId="10" borderId="1" xfId="1" applyFont="1" applyFill="1" applyBorder="1" applyAlignment="1">
      <alignment horizontal="left" vertical="center"/>
    </xf>
    <xf numFmtId="173" fontId="16" fillId="0" borderId="0" xfId="0" applyNumberFormat="1" applyFont="1" applyAlignment="1" applyProtection="1">
      <alignment horizontal="center" vertical="center" wrapText="1"/>
      <protection locked="0"/>
    </xf>
    <xf numFmtId="173" fontId="16" fillId="0" borderId="0" xfId="0" applyNumberFormat="1" applyFont="1" applyAlignment="1" applyProtection="1">
      <alignment horizontal="left" vertical="center" wrapText="1"/>
      <protection locked="0"/>
    </xf>
    <xf numFmtId="10" fontId="48" fillId="10" borderId="0" xfId="0" applyNumberFormat="1" applyFont="1" applyFill="1" applyAlignment="1">
      <alignment vertical="center"/>
    </xf>
    <xf numFmtId="10" fontId="0" fillId="0" borderId="0" xfId="2" applyNumberFormat="1" applyFont="1" applyAlignment="1">
      <alignment horizontal="center"/>
    </xf>
    <xf numFmtId="0" fontId="92" fillId="0" borderId="84" xfId="0" applyFont="1" applyBorder="1" applyAlignment="1" applyProtection="1">
      <alignment horizontal="center"/>
      <protection locked="0"/>
    </xf>
    <xf numFmtId="0" fontId="71" fillId="8" borderId="1" xfId="1" applyNumberFormat="1" applyFont="1" applyFill="1" applyBorder="1" applyAlignment="1" applyProtection="1">
      <alignment horizontal="left" vertical="center"/>
      <protection locked="0"/>
    </xf>
    <xf numFmtId="9" fontId="71" fillId="8" borderId="1" xfId="2" applyFont="1" applyFill="1" applyBorder="1" applyAlignment="1" applyProtection="1">
      <alignment horizontal="center" vertical="center"/>
      <protection locked="0"/>
    </xf>
    <xf numFmtId="44" fontId="71" fillId="8" borderId="1" xfId="1" applyFont="1" applyFill="1" applyBorder="1" applyAlignment="1" applyProtection="1">
      <alignment horizontal="left" vertical="center"/>
    </xf>
    <xf numFmtId="44" fontId="71" fillId="11" borderId="1" xfId="1" applyFont="1" applyFill="1" applyBorder="1" applyAlignment="1" applyProtection="1">
      <alignment horizontal="left" vertical="center"/>
    </xf>
    <xf numFmtId="44" fontId="71" fillId="11" borderId="1" xfId="1" applyFont="1" applyFill="1" applyBorder="1" applyAlignment="1" applyProtection="1">
      <alignment horizontal="left" vertical="center"/>
      <protection locked="0"/>
    </xf>
    <xf numFmtId="44" fontId="71" fillId="8" borderId="1" xfId="1" applyFont="1" applyFill="1" applyBorder="1" applyAlignment="1" applyProtection="1">
      <alignment horizontal="center" vertical="center"/>
      <protection locked="0"/>
    </xf>
    <xf numFmtId="0" fontId="71" fillId="8" borderId="1" xfId="0" applyFont="1" applyFill="1" applyBorder="1" applyAlignment="1" applyProtection="1">
      <alignment horizontal="left" vertical="center" wrapText="1"/>
      <protection locked="0"/>
    </xf>
    <xf numFmtId="0" fontId="71" fillId="0" borderId="0" xfId="0" applyFont="1" applyProtection="1">
      <protection locked="0"/>
    </xf>
    <xf numFmtId="44" fontId="71" fillId="8" borderId="1" xfId="1" applyFont="1" applyFill="1" applyBorder="1" applyAlignment="1" applyProtection="1">
      <alignment horizontal="center" vertical="center"/>
    </xf>
    <xf numFmtId="0" fontId="69" fillId="8" borderId="1" xfId="0" applyFont="1" applyFill="1" applyBorder="1" applyAlignment="1" applyProtection="1">
      <alignment horizontal="left" vertical="center"/>
      <protection locked="0"/>
    </xf>
    <xf numFmtId="44" fontId="0" fillId="0" borderId="1" xfId="1" applyFont="1" applyFill="1" applyBorder="1" applyAlignment="1" applyProtection="1">
      <alignment horizontal="left" vertical="center"/>
      <protection locked="0"/>
    </xf>
    <xf numFmtId="44" fontId="70" fillId="0" borderId="1" xfId="1" applyFont="1" applyFill="1" applyBorder="1" applyAlignment="1" applyProtection="1">
      <alignment horizontal="left" vertical="center"/>
      <protection locked="0"/>
    </xf>
    <xf numFmtId="44" fontId="0" fillId="0" borderId="1" xfId="1" applyFont="1" applyFill="1" applyBorder="1" applyAlignment="1" applyProtection="1">
      <alignment horizontal="center" vertical="center"/>
      <protection locked="0"/>
    </xf>
    <xf numFmtId="44" fontId="0" fillId="0" borderId="1" xfId="1" applyFont="1" applyFill="1" applyBorder="1" applyAlignment="1" applyProtection="1">
      <alignment horizontal="center" vertical="center"/>
    </xf>
    <xf numFmtId="44" fontId="71" fillId="8" borderId="1" xfId="1" applyFont="1" applyFill="1" applyBorder="1" applyAlignment="1">
      <alignment horizontal="left" vertical="center"/>
    </xf>
    <xf numFmtId="165" fontId="130" fillId="30" borderId="45" xfId="2" applyNumberFormat="1" applyFont="1" applyFill="1" applyBorder="1" applyAlignment="1" applyProtection="1">
      <alignment horizontal="center" vertical="center"/>
      <protection locked="0"/>
    </xf>
    <xf numFmtId="9" fontId="131" fillId="61" borderId="1" xfId="0" applyNumberFormat="1" applyFont="1" applyFill="1" applyBorder="1" applyAlignment="1">
      <alignment horizontal="center" vertical="center"/>
    </xf>
    <xf numFmtId="9" fontId="131" fillId="61" borderId="6" xfId="0" applyNumberFormat="1" applyFont="1" applyFill="1" applyBorder="1" applyAlignment="1">
      <alignment horizontal="center" vertical="center"/>
    </xf>
    <xf numFmtId="9" fontId="131" fillId="0" borderId="6" xfId="0" applyNumberFormat="1" applyFont="1" applyBorder="1" applyAlignment="1">
      <alignment horizontal="center" vertical="center"/>
    </xf>
    <xf numFmtId="9" fontId="131" fillId="37" borderId="6" xfId="0" applyNumberFormat="1" applyFont="1" applyFill="1" applyBorder="1" applyAlignment="1">
      <alignment horizontal="center" vertical="center"/>
    </xf>
    <xf numFmtId="0" fontId="131" fillId="0" borderId="6" xfId="0" applyFont="1" applyBorder="1" applyAlignment="1">
      <alignment horizontal="center" vertical="center"/>
    </xf>
    <xf numFmtId="0" fontId="111" fillId="11" borderId="13" xfId="0" applyFont="1" applyFill="1" applyBorder="1" applyAlignment="1" applyProtection="1">
      <alignment vertical="center"/>
      <protection locked="0"/>
    </xf>
    <xf numFmtId="44" fontId="51" fillId="8" borderId="1" xfId="1" applyFont="1" applyFill="1" applyBorder="1" applyAlignment="1">
      <alignment horizontal="left" vertical="center"/>
    </xf>
    <xf numFmtId="44" fontId="0" fillId="56" borderId="1" xfId="1" applyFont="1" applyFill="1" applyBorder="1" applyAlignment="1" applyProtection="1">
      <alignment horizontal="left" vertical="center"/>
    </xf>
    <xf numFmtId="44" fontId="0" fillId="43" borderId="1" xfId="1" applyFont="1" applyFill="1" applyBorder="1" applyAlignment="1" applyProtection="1">
      <alignment horizontal="left" vertical="center"/>
    </xf>
    <xf numFmtId="0" fontId="51" fillId="11" borderId="12" xfId="0" applyFont="1" applyFill="1" applyBorder="1" applyAlignment="1" applyProtection="1">
      <alignment horizontal="center" vertical="center"/>
      <protection locked="0"/>
    </xf>
    <xf numFmtId="0" fontId="132" fillId="10" borderId="0" xfId="0" applyFont="1" applyFill="1" applyProtection="1">
      <protection locked="0"/>
    </xf>
    <xf numFmtId="44" fontId="51" fillId="0" borderId="1" xfId="1" applyFont="1" applyFill="1" applyBorder="1" applyAlignment="1" applyProtection="1">
      <alignment horizontal="left" vertical="center"/>
    </xf>
    <xf numFmtId="16" fontId="0" fillId="0" borderId="0" xfId="0" applyNumberFormat="1"/>
    <xf numFmtId="9" fontId="0" fillId="0" borderId="0" xfId="2" applyFont="1"/>
    <xf numFmtId="9" fontId="51" fillId="0" borderId="0" xfId="2" applyFont="1"/>
    <xf numFmtId="0" fontId="58" fillId="11" borderId="12" xfId="0" applyFont="1" applyFill="1" applyBorder="1" applyAlignment="1" applyProtection="1">
      <alignment horizontal="center" vertical="center"/>
      <protection locked="0"/>
    </xf>
    <xf numFmtId="0" fontId="134" fillId="2" borderId="0" xfId="0" applyFont="1" applyFill="1" applyAlignment="1" applyProtection="1">
      <alignment horizontal="center" vertical="center"/>
      <protection locked="0"/>
    </xf>
    <xf numFmtId="0" fontId="135" fillId="10" borderId="13" xfId="0" applyFont="1" applyFill="1" applyBorder="1" applyAlignment="1" applyProtection="1">
      <alignment horizontal="left" vertical="center"/>
      <protection locked="0"/>
    </xf>
    <xf numFmtId="0" fontId="135" fillId="10" borderId="13" xfId="0" applyFont="1" applyFill="1" applyBorder="1" applyProtection="1">
      <protection locked="0"/>
    </xf>
    <xf numFmtId="0" fontId="135" fillId="10" borderId="12" xfId="0" applyFont="1" applyFill="1" applyBorder="1" applyAlignment="1">
      <alignment horizontal="center" vertical="center"/>
    </xf>
    <xf numFmtId="0" fontId="135" fillId="10" borderId="12" xfId="0" applyFont="1" applyFill="1" applyBorder="1" applyProtection="1">
      <protection locked="0"/>
    </xf>
    <xf numFmtId="0" fontId="135" fillId="8" borderId="13" xfId="0" applyFont="1" applyFill="1" applyBorder="1" applyAlignment="1" applyProtection="1">
      <alignment horizontal="left" vertical="center"/>
      <protection locked="0"/>
    </xf>
    <xf numFmtId="0" fontId="135" fillId="8" borderId="13" xfId="0" applyFont="1" applyFill="1" applyBorder="1" applyAlignment="1" applyProtection="1">
      <alignment vertical="center"/>
      <protection locked="0"/>
    </xf>
    <xf numFmtId="0" fontId="135" fillId="8" borderId="13" xfId="0" applyFont="1" applyFill="1" applyBorder="1" applyProtection="1">
      <protection locked="0"/>
    </xf>
    <xf numFmtId="0" fontId="135" fillId="8" borderId="12" xfId="0" applyFont="1" applyFill="1" applyBorder="1" applyAlignment="1">
      <alignment horizontal="center" vertical="center"/>
    </xf>
    <xf numFmtId="0" fontId="135" fillId="8" borderId="12" xfId="0" applyFont="1" applyFill="1" applyBorder="1" applyProtection="1">
      <protection locked="0"/>
    </xf>
    <xf numFmtId="0" fontId="134" fillId="2" borderId="0" xfId="0" applyFont="1" applyFill="1" applyAlignment="1" applyProtection="1">
      <alignment horizontal="center"/>
      <protection locked="0"/>
    </xf>
    <xf numFmtId="9" fontId="134" fillId="2" borderId="0" xfId="2" applyFont="1" applyFill="1" applyAlignment="1" applyProtection="1">
      <alignment horizontal="center" vertical="center"/>
      <protection locked="0"/>
    </xf>
    <xf numFmtId="0" fontId="6" fillId="25" borderId="99" xfId="0" applyFont="1" applyFill="1" applyBorder="1" applyAlignment="1" applyProtection="1">
      <alignment horizontal="center" vertical="center"/>
      <protection locked="0"/>
    </xf>
    <xf numFmtId="165" fontId="35" fillId="10" borderId="27" xfId="0" applyNumberFormat="1" applyFont="1" applyFill="1" applyBorder="1" applyAlignment="1" applyProtection="1">
      <alignment horizontal="center" vertical="center"/>
      <protection locked="0"/>
    </xf>
    <xf numFmtId="0" fontId="24" fillId="10" borderId="0" xfId="0" applyFont="1" applyFill="1" applyAlignment="1" applyProtection="1">
      <alignment horizontal="center"/>
      <protection locked="0"/>
    </xf>
    <xf numFmtId="0" fontId="17" fillId="14" borderId="15" xfId="0" applyFont="1" applyFill="1" applyBorder="1" applyAlignment="1" applyProtection="1">
      <alignment horizontal="center" vertical="center"/>
      <protection locked="0"/>
    </xf>
    <xf numFmtId="0" fontId="6" fillId="25" borderId="0" xfId="0" applyFont="1" applyFill="1" applyAlignment="1" applyProtection="1">
      <alignment horizontal="center" vertical="center"/>
      <protection locked="0"/>
    </xf>
    <xf numFmtId="0" fontId="6" fillId="12" borderId="16" xfId="0" applyFont="1" applyFill="1" applyBorder="1" applyAlignment="1" applyProtection="1">
      <alignment vertical="center"/>
      <protection locked="0"/>
    </xf>
    <xf numFmtId="0" fontId="6" fillId="25" borderId="59" xfId="0" applyFont="1" applyFill="1" applyBorder="1" applyAlignment="1" applyProtection="1">
      <alignment vertical="center"/>
      <protection locked="0"/>
    </xf>
    <xf numFmtId="0" fontId="6" fillId="25" borderId="60" xfId="0" applyFont="1" applyFill="1" applyBorder="1" applyAlignment="1" applyProtection="1">
      <alignment vertical="center"/>
      <protection locked="0"/>
    </xf>
    <xf numFmtId="9" fontId="0" fillId="64" borderId="15" xfId="2" applyFont="1" applyFill="1" applyBorder="1" applyAlignment="1" applyProtection="1">
      <alignment horizontal="center"/>
    </xf>
    <xf numFmtId="9" fontId="0" fillId="0" borderId="15" xfId="2" applyFont="1" applyBorder="1" applyAlignment="1" applyProtection="1">
      <alignment horizontal="center" vertical="top"/>
    </xf>
    <xf numFmtId="0" fontId="17" fillId="14" borderId="15" xfId="0" applyFont="1" applyFill="1" applyBorder="1" applyAlignment="1">
      <alignment horizontal="left" vertical="center"/>
    </xf>
    <xf numFmtId="0" fontId="16" fillId="0" borderId="0" xfId="0" applyFont="1" applyProtection="1">
      <protection locked="0"/>
    </xf>
    <xf numFmtId="0" fontId="16" fillId="0" borderId="7" xfId="0" applyFont="1" applyBorder="1" applyProtection="1">
      <protection locked="0"/>
    </xf>
    <xf numFmtId="0" fontId="16" fillId="0" borderId="1" xfId="0" applyFont="1" applyBorder="1" applyProtection="1">
      <protection locked="0"/>
    </xf>
    <xf numFmtId="0" fontId="16" fillId="0" borderId="1" xfId="0" applyFont="1" applyBorder="1" applyAlignment="1" applyProtection="1">
      <alignment horizontal="center"/>
      <protection locked="0"/>
    </xf>
    <xf numFmtId="0" fontId="16" fillId="28" borderId="1" xfId="0" applyFont="1" applyFill="1" applyBorder="1" applyProtection="1">
      <protection locked="0"/>
    </xf>
    <xf numFmtId="0" fontId="16" fillId="28" borderId="48" xfId="0" applyFont="1" applyFill="1" applyBorder="1" applyProtection="1">
      <protection locked="0"/>
    </xf>
    <xf numFmtId="0" fontId="16" fillId="10" borderId="0" xfId="0" applyFont="1" applyFill="1" applyProtection="1">
      <protection locked="0"/>
    </xf>
    <xf numFmtId="0" fontId="16" fillId="10" borderId="0" xfId="0" applyFont="1" applyFill="1" applyAlignment="1" applyProtection="1">
      <alignment horizontal="left"/>
      <protection locked="0"/>
    </xf>
    <xf numFmtId="44" fontId="16" fillId="10" borderId="0" xfId="1" applyFont="1" applyFill="1" applyAlignment="1" applyProtection="1">
      <alignment horizontal="center"/>
      <protection locked="0"/>
    </xf>
    <xf numFmtId="44" fontId="0" fillId="0" borderId="6" xfId="1" applyFont="1" applyBorder="1" applyAlignment="1" applyProtection="1">
      <alignment horizontal="center"/>
      <protection locked="0"/>
    </xf>
    <xf numFmtId="10" fontId="0" fillId="0" borderId="6" xfId="0" applyNumberFormat="1" applyBorder="1" applyAlignment="1" applyProtection="1">
      <alignment horizontal="center"/>
      <protection locked="0"/>
    </xf>
    <xf numFmtId="44" fontId="0" fillId="63" borderId="1" xfId="1" applyFont="1" applyFill="1" applyBorder="1" applyAlignment="1">
      <alignment horizontal="left" vertical="center"/>
    </xf>
    <xf numFmtId="44" fontId="0" fillId="63" borderId="1" xfId="1" applyFont="1" applyFill="1" applyBorder="1" applyAlignment="1" applyProtection="1">
      <alignment horizontal="left" vertical="center"/>
    </xf>
    <xf numFmtId="44" fontId="0" fillId="42" borderId="1" xfId="1" applyFont="1" applyFill="1" applyBorder="1" applyAlignment="1">
      <alignment horizontal="left" vertical="center"/>
    </xf>
    <xf numFmtId="44" fontId="70" fillId="8" borderId="1" xfId="1" applyFont="1" applyFill="1" applyBorder="1" applyAlignment="1">
      <alignment horizontal="left" vertical="center"/>
    </xf>
    <xf numFmtId="0" fontId="6" fillId="25" borderId="99" xfId="0" applyFont="1" applyFill="1" applyBorder="1" applyAlignment="1" applyProtection="1">
      <alignment vertical="center"/>
      <protection locked="0"/>
    </xf>
    <xf numFmtId="0" fontId="6" fillId="25" borderId="0" xfId="0" applyFont="1" applyFill="1" applyAlignment="1" applyProtection="1">
      <alignment vertical="center"/>
      <protection locked="0"/>
    </xf>
    <xf numFmtId="44" fontId="136" fillId="8" borderId="1" xfId="1" applyFont="1" applyFill="1" applyBorder="1" applyAlignment="1" applyProtection="1">
      <alignment horizontal="left" vertical="center"/>
    </xf>
    <xf numFmtId="10" fontId="0" fillId="0" borderId="6" xfId="2" applyNumberFormat="1" applyFont="1" applyBorder="1" applyAlignment="1" applyProtection="1">
      <alignment horizontal="center"/>
      <protection locked="0"/>
    </xf>
    <xf numFmtId="165" fontId="0" fillId="0" borderId="1" xfId="0" applyNumberFormat="1" applyBorder="1" applyAlignment="1">
      <alignment horizontal="center"/>
    </xf>
    <xf numFmtId="44" fontId="51" fillId="0" borderId="1" xfId="1" applyFont="1" applyBorder="1" applyAlignment="1">
      <alignment horizontal="left" vertical="center"/>
    </xf>
    <xf numFmtId="10" fontId="0" fillId="11" borderId="6" xfId="0" applyNumberFormat="1" applyFill="1" applyBorder="1" applyProtection="1">
      <protection locked="0"/>
    </xf>
    <xf numFmtId="0" fontId="0" fillId="11" borderId="6" xfId="0" applyFill="1" applyBorder="1" applyAlignment="1" applyProtection="1">
      <alignment horizontal="right"/>
      <protection locked="0"/>
    </xf>
    <xf numFmtId="44" fontId="130" fillId="21" borderId="80" xfId="1" applyFont="1" applyFill="1" applyBorder="1" applyAlignment="1" applyProtection="1">
      <alignment horizontal="center" vertical="center"/>
      <protection locked="0"/>
    </xf>
    <xf numFmtId="44" fontId="130" fillId="22" borderId="80" xfId="1" applyFont="1" applyFill="1" applyBorder="1" applyAlignment="1" applyProtection="1">
      <alignment horizontal="center" vertical="center"/>
      <protection locked="0"/>
    </xf>
    <xf numFmtId="0" fontId="139" fillId="21" borderId="80" xfId="0" applyFont="1" applyFill="1" applyBorder="1" applyAlignment="1" applyProtection="1">
      <alignment horizontal="left" vertical="center"/>
      <protection locked="0"/>
    </xf>
    <xf numFmtId="0" fontId="139" fillId="22" borderId="80" xfId="0" applyFont="1" applyFill="1" applyBorder="1" applyAlignment="1" applyProtection="1">
      <alignment horizontal="left" vertical="center"/>
      <protection locked="0"/>
    </xf>
    <xf numFmtId="21" fontId="0" fillId="10" borderId="1" xfId="0" applyNumberFormat="1" applyFill="1" applyBorder="1" applyProtection="1">
      <protection locked="0"/>
    </xf>
    <xf numFmtId="2" fontId="0" fillId="10" borderId="1" xfId="0" applyNumberFormat="1" applyFill="1" applyBorder="1" applyProtection="1">
      <protection locked="0"/>
    </xf>
    <xf numFmtId="0" fontId="0" fillId="6" borderId="6" xfId="0" applyFill="1" applyBorder="1" applyProtection="1">
      <protection locked="0"/>
    </xf>
    <xf numFmtId="46" fontId="0" fillId="10" borderId="1" xfId="0" applyNumberFormat="1" applyFill="1" applyBorder="1" applyProtection="1">
      <protection locked="0"/>
    </xf>
    <xf numFmtId="4" fontId="0" fillId="10" borderId="1" xfId="0" applyNumberFormat="1" applyFill="1" applyBorder="1" applyProtection="1">
      <protection locked="0"/>
    </xf>
    <xf numFmtId="46" fontId="0" fillId="11" borderId="1" xfId="0" applyNumberFormat="1" applyFill="1" applyBorder="1" applyProtection="1">
      <protection locked="0"/>
    </xf>
    <xf numFmtId="9" fontId="0" fillId="11" borderId="1" xfId="0" applyNumberFormat="1" applyFill="1" applyBorder="1" applyProtection="1">
      <protection locked="0"/>
    </xf>
    <xf numFmtId="20" fontId="0" fillId="11" borderId="1" xfId="0" applyNumberFormat="1" applyFill="1" applyBorder="1" applyProtection="1">
      <protection locked="0"/>
    </xf>
    <xf numFmtId="0" fontId="0" fillId="11" borderId="1" xfId="0" applyFill="1" applyBorder="1" applyProtection="1">
      <protection locked="0"/>
    </xf>
    <xf numFmtId="9" fontId="141" fillId="2" borderId="0" xfId="2" applyFont="1" applyFill="1" applyBorder="1" applyAlignment="1" applyProtection="1">
      <alignment horizontal="left" vertical="center"/>
      <protection locked="0"/>
    </xf>
    <xf numFmtId="0" fontId="0" fillId="8" borderId="11" xfId="0" applyFill="1" applyBorder="1" applyAlignment="1" applyProtection="1">
      <alignment vertical="center"/>
      <protection locked="0"/>
    </xf>
    <xf numFmtId="0" fontId="0" fillId="8" borderId="13" xfId="0" applyFill="1" applyBorder="1" applyAlignment="1" applyProtection="1">
      <alignment vertical="center"/>
      <protection locked="0"/>
    </xf>
    <xf numFmtId="0" fontId="0" fillId="10" borderId="11" xfId="0" applyFill="1" applyBorder="1" applyAlignment="1" applyProtection="1">
      <alignment vertical="center"/>
      <protection locked="0"/>
    </xf>
    <xf numFmtId="0" fontId="0" fillId="10" borderId="13" xfId="0" applyFill="1" applyBorder="1" applyAlignment="1" applyProtection="1">
      <alignment vertical="center"/>
      <protection locked="0"/>
    </xf>
    <xf numFmtId="9" fontId="6" fillId="2" borderId="0" xfId="2" applyFont="1" applyFill="1" applyAlignment="1" applyProtection="1">
      <alignment vertical="center"/>
      <protection locked="0"/>
    </xf>
    <xf numFmtId="9" fontId="142" fillId="8" borderId="12" xfId="2" applyFont="1" applyFill="1" applyBorder="1" applyAlignment="1" applyProtection="1">
      <alignment horizontal="center" vertical="center"/>
      <protection locked="0"/>
    </xf>
    <xf numFmtId="0" fontId="143" fillId="0" borderId="0" xfId="0" applyFont="1" applyAlignment="1">
      <alignment horizontal="center"/>
    </xf>
    <xf numFmtId="9" fontId="142" fillId="0" borderId="12" xfId="2" applyFont="1" applyFill="1" applyBorder="1" applyAlignment="1" applyProtection="1">
      <alignment horizontal="center" vertical="center"/>
      <protection locked="0"/>
    </xf>
    <xf numFmtId="46" fontId="1" fillId="0" borderId="0" xfId="0" applyNumberFormat="1" applyFont="1"/>
    <xf numFmtId="0" fontId="0" fillId="66" borderId="12" xfId="0" applyFill="1" applyBorder="1" applyProtection="1">
      <protection locked="0"/>
    </xf>
    <xf numFmtId="0" fontId="16" fillId="66" borderId="12" xfId="0" applyFont="1" applyFill="1" applyBorder="1" applyProtection="1">
      <protection locked="0"/>
    </xf>
    <xf numFmtId="0" fontId="131" fillId="67" borderId="1" xfId="0" applyFont="1" applyFill="1" applyBorder="1" applyAlignment="1">
      <alignment horizontal="center"/>
    </xf>
    <xf numFmtId="0" fontId="131" fillId="0" borderId="1" xfId="0" applyFont="1" applyBorder="1" applyAlignment="1">
      <alignment horizontal="center"/>
    </xf>
    <xf numFmtId="0" fontId="131" fillId="67" borderId="7" xfId="0" applyFont="1" applyFill="1" applyBorder="1" applyAlignment="1">
      <alignment horizontal="center"/>
    </xf>
    <xf numFmtId="10" fontId="131" fillId="67" borderId="1" xfId="0" applyNumberFormat="1" applyFont="1" applyFill="1" applyBorder="1" applyAlignment="1">
      <alignment horizontal="center" vertical="center"/>
    </xf>
    <xf numFmtId="10" fontId="131" fillId="0" borderId="1" xfId="0" applyNumberFormat="1" applyFont="1" applyBorder="1" applyAlignment="1">
      <alignment horizontal="center" vertical="center"/>
    </xf>
    <xf numFmtId="46" fontId="131" fillId="0" borderId="1" xfId="0" applyNumberFormat="1" applyFont="1" applyBorder="1" applyAlignment="1">
      <alignment horizontal="center" vertical="center"/>
    </xf>
    <xf numFmtId="20" fontId="131" fillId="67" borderId="1" xfId="0" applyNumberFormat="1" applyFont="1" applyFill="1" applyBorder="1" applyAlignment="1">
      <alignment horizontal="center" vertical="center"/>
    </xf>
    <xf numFmtId="3" fontId="131" fillId="0" borderId="1" xfId="0" applyNumberFormat="1" applyFont="1" applyBorder="1" applyAlignment="1">
      <alignment horizontal="center" vertical="center"/>
    </xf>
    <xf numFmtId="3" fontId="131" fillId="67" borderId="1" xfId="0" applyNumberFormat="1" applyFont="1" applyFill="1" applyBorder="1" applyAlignment="1">
      <alignment horizontal="center" vertical="center"/>
    </xf>
    <xf numFmtId="0" fontId="131" fillId="67" borderId="1" xfId="0" applyFont="1" applyFill="1" applyBorder="1" applyAlignment="1">
      <alignment horizontal="center" vertical="center"/>
    </xf>
    <xf numFmtId="0" fontId="131" fillId="0" borderId="1" xfId="0" applyFont="1" applyBorder="1" applyAlignment="1">
      <alignment horizontal="center" vertical="center"/>
    </xf>
    <xf numFmtId="9" fontId="131" fillId="67" borderId="1" xfId="0" applyNumberFormat="1" applyFont="1" applyFill="1" applyBorder="1" applyAlignment="1">
      <alignment horizontal="center" vertical="center"/>
    </xf>
    <xf numFmtId="9" fontId="131" fillId="0" borderId="1" xfId="0" applyNumberFormat="1" applyFont="1" applyBorder="1" applyAlignment="1">
      <alignment horizontal="center" vertical="center"/>
    </xf>
    <xf numFmtId="46" fontId="131" fillId="67" borderId="1" xfId="0" applyNumberFormat="1" applyFont="1" applyFill="1" applyBorder="1" applyAlignment="1">
      <alignment horizontal="center" vertical="center" wrapText="1"/>
    </xf>
    <xf numFmtId="20" fontId="131" fillId="0" borderId="1" xfId="0" applyNumberFormat="1" applyFont="1" applyBorder="1" applyAlignment="1">
      <alignment horizontal="center" vertical="center"/>
    </xf>
    <xf numFmtId="0" fontId="79" fillId="8" borderId="12" xfId="0" applyFont="1" applyFill="1" applyBorder="1" applyProtection="1">
      <protection locked="0"/>
    </xf>
    <xf numFmtId="0" fontId="79" fillId="8" borderId="12" xfId="0" applyFont="1" applyFill="1" applyBorder="1" applyAlignment="1" applyProtection="1">
      <alignment horizontal="center" vertical="center"/>
      <protection locked="0"/>
    </xf>
    <xf numFmtId="9" fontId="79" fillId="8" borderId="11" xfId="2" applyFont="1" applyFill="1" applyBorder="1" applyAlignment="1" applyProtection="1">
      <alignment horizontal="center" vertical="center"/>
      <protection locked="0"/>
    </xf>
    <xf numFmtId="0" fontId="79" fillId="8" borderId="11" xfId="0" applyFont="1" applyFill="1" applyBorder="1" applyAlignment="1" applyProtection="1">
      <alignment horizontal="left" vertical="center"/>
      <protection locked="0"/>
    </xf>
    <xf numFmtId="0" fontId="79" fillId="8" borderId="13" xfId="0" applyFont="1" applyFill="1" applyBorder="1" applyAlignment="1" applyProtection="1">
      <alignment horizontal="left" vertical="center"/>
      <protection locked="0"/>
    </xf>
    <xf numFmtId="0" fontId="79" fillId="8" borderId="44" xfId="0" applyFont="1" applyFill="1" applyBorder="1" applyAlignment="1" applyProtection="1">
      <alignment horizontal="left" vertical="center"/>
      <protection locked="0"/>
    </xf>
    <xf numFmtId="0" fontId="79" fillId="10" borderId="44" xfId="0" applyFont="1" applyFill="1" applyBorder="1" applyAlignment="1" applyProtection="1">
      <alignment horizontal="left" vertical="center"/>
      <protection locked="0"/>
    </xf>
    <xf numFmtId="0" fontId="79" fillId="10" borderId="11" xfId="0" applyFont="1" applyFill="1" applyBorder="1" applyAlignment="1" applyProtection="1">
      <alignment vertical="center"/>
      <protection locked="0"/>
    </xf>
    <xf numFmtId="0" fontId="79" fillId="10" borderId="12" xfId="0" applyFont="1" applyFill="1" applyBorder="1" applyAlignment="1" applyProtection="1">
      <alignment horizontal="center" vertical="center"/>
      <protection locked="0"/>
    </xf>
    <xf numFmtId="9" fontId="79" fillId="10" borderId="11" xfId="2" applyFont="1" applyFill="1" applyBorder="1" applyAlignment="1" applyProtection="1">
      <alignment horizontal="center" vertical="center"/>
      <protection locked="0"/>
    </xf>
    <xf numFmtId="0" fontId="79" fillId="8" borderId="11" xfId="0" applyFont="1" applyFill="1" applyBorder="1" applyAlignment="1" applyProtection="1">
      <alignment vertical="center"/>
      <protection locked="0"/>
    </xf>
    <xf numFmtId="0" fontId="79" fillId="10" borderId="13" xfId="0" applyFont="1" applyFill="1" applyBorder="1" applyAlignment="1" applyProtection="1">
      <alignment horizontal="left" vertical="center"/>
      <protection locked="0"/>
    </xf>
    <xf numFmtId="0" fontId="79" fillId="10" borderId="12" xfId="0" applyFont="1" applyFill="1" applyBorder="1" applyProtection="1">
      <protection locked="0"/>
    </xf>
    <xf numFmtId="44" fontId="1" fillId="17" borderId="25" xfId="1" applyFont="1" applyFill="1" applyBorder="1" applyAlignment="1" applyProtection="1">
      <alignment horizontal="center"/>
      <protection locked="0"/>
    </xf>
    <xf numFmtId="44" fontId="1" fillId="18" borderId="63" xfId="1" applyFont="1" applyFill="1" applyBorder="1" applyAlignment="1" applyProtection="1">
      <alignment horizontal="center"/>
      <protection locked="0"/>
    </xf>
    <xf numFmtId="44" fontId="1" fillId="19" borderId="63" xfId="1" applyFont="1" applyFill="1" applyBorder="1" applyAlignment="1">
      <alignment horizontal="center"/>
    </xf>
    <xf numFmtId="44" fontId="1" fillId="11" borderId="62" xfId="1" applyFont="1" applyFill="1" applyBorder="1" applyAlignment="1">
      <alignment horizontal="center"/>
    </xf>
    <xf numFmtId="44" fontId="1" fillId="8" borderId="1" xfId="1" applyFont="1" applyFill="1" applyBorder="1" applyAlignment="1" applyProtection="1">
      <alignment horizontal="left" vertical="center"/>
    </xf>
    <xf numFmtId="44" fontId="1" fillId="10" borderId="1" xfId="1" applyFont="1" applyFill="1" applyBorder="1" applyAlignment="1" applyProtection="1">
      <alignment horizontal="left" vertical="center"/>
    </xf>
    <xf numFmtId="44" fontId="1" fillId="10" borderId="1" xfId="1" applyFont="1" applyFill="1" applyBorder="1" applyAlignment="1" applyProtection="1">
      <alignment horizontal="left" vertical="center"/>
      <protection locked="0"/>
    </xf>
    <xf numFmtId="0" fontId="0" fillId="8" borderId="44" xfId="0" applyFill="1" applyBorder="1" applyAlignment="1" applyProtection="1">
      <alignment horizontal="center" vertical="center"/>
      <protection locked="0"/>
    </xf>
    <xf numFmtId="0" fontId="0" fillId="10" borderId="11" xfId="0" applyFill="1" applyBorder="1" applyAlignment="1" applyProtection="1">
      <alignment horizontal="center" vertical="center"/>
      <protection locked="0"/>
    </xf>
    <xf numFmtId="0" fontId="0" fillId="10" borderId="44" xfId="0" applyFill="1" applyBorder="1" applyAlignment="1" applyProtection="1">
      <alignment horizontal="center" vertical="center"/>
      <protection locked="0"/>
    </xf>
    <xf numFmtId="44" fontId="70" fillId="10" borderId="1" xfId="1" applyFont="1" applyFill="1" applyBorder="1" applyAlignment="1">
      <alignment horizontal="left" vertical="center"/>
    </xf>
    <xf numFmtId="44" fontId="0" fillId="0" borderId="1" xfId="1" applyFont="1" applyBorder="1" applyAlignment="1">
      <alignment horizontal="center" vertical="center"/>
    </xf>
    <xf numFmtId="0" fontId="0" fillId="10" borderId="109" xfId="0" applyFill="1" applyBorder="1" applyAlignment="1" applyProtection="1">
      <alignment horizontal="center" vertical="center"/>
      <protection locked="0"/>
    </xf>
    <xf numFmtId="0" fontId="70" fillId="0" borderId="1" xfId="0" quotePrefix="1" applyFont="1" applyBorder="1" applyAlignment="1" applyProtection="1">
      <alignment horizontal="left" vertical="center"/>
      <protection locked="0"/>
    </xf>
    <xf numFmtId="9" fontId="70" fillId="0" borderId="1" xfId="2" applyFont="1" applyBorder="1" applyAlignment="1" applyProtection="1">
      <alignment horizontal="center" vertical="center"/>
      <protection locked="0"/>
    </xf>
    <xf numFmtId="0" fontId="70" fillId="0" borderId="1" xfId="0" applyFont="1" applyBorder="1" applyProtection="1">
      <protection locked="0"/>
    </xf>
    <xf numFmtId="9" fontId="0" fillId="8" borderId="12" xfId="2" applyFont="1" applyFill="1" applyBorder="1" applyAlignment="1" applyProtection="1">
      <alignment horizontal="left" vertical="center"/>
      <protection locked="0"/>
    </xf>
    <xf numFmtId="9" fontId="0" fillId="10" borderId="12" xfId="2" applyFont="1" applyFill="1" applyBorder="1" applyAlignment="1" applyProtection="1">
      <alignment horizontal="left" vertical="center"/>
      <protection locked="0"/>
    </xf>
    <xf numFmtId="9" fontId="0" fillId="10" borderId="12" xfId="2" applyFont="1" applyFill="1" applyBorder="1" applyAlignment="1" applyProtection="1">
      <alignment horizontal="left" vertical="center" wrapText="1"/>
      <protection locked="0"/>
    </xf>
    <xf numFmtId="0" fontId="52" fillId="0" borderId="12" xfId="0" applyFont="1" applyBorder="1" applyAlignment="1" applyProtection="1">
      <alignment horizontal="center" vertical="center"/>
      <protection locked="0"/>
    </xf>
    <xf numFmtId="9" fontId="16" fillId="42" borderId="12" xfId="2" applyFont="1" applyFill="1" applyBorder="1" applyAlignment="1" applyProtection="1">
      <alignment horizontal="left" vertical="center"/>
      <protection locked="0"/>
    </xf>
    <xf numFmtId="0" fontId="16" fillId="10" borderId="12" xfId="0" applyFont="1" applyFill="1" applyBorder="1" applyAlignment="1" applyProtection="1">
      <alignment horizontal="left"/>
      <protection locked="0"/>
    </xf>
    <xf numFmtId="0" fontId="16" fillId="8" borderId="12" xfId="0" applyFont="1" applyFill="1" applyBorder="1" applyAlignment="1" applyProtection="1">
      <alignment horizontal="left"/>
      <protection locked="0"/>
    </xf>
    <xf numFmtId="4" fontId="0" fillId="0" borderId="1" xfId="0" applyNumberFormat="1" applyBorder="1" applyAlignment="1" applyProtection="1">
      <alignment horizontal="center"/>
      <protection locked="0"/>
    </xf>
    <xf numFmtId="0" fontId="58" fillId="0" borderId="1" xfId="0" applyFont="1" applyBorder="1" applyAlignment="1" applyProtection="1">
      <alignment horizontal="center"/>
      <protection locked="0"/>
    </xf>
    <xf numFmtId="44" fontId="0" fillId="0" borderId="1" xfId="1" applyFont="1" applyFill="1" applyBorder="1" applyAlignment="1" applyProtection="1">
      <alignment horizontal="center"/>
      <protection locked="0"/>
    </xf>
    <xf numFmtId="9" fontId="0" fillId="10" borderId="0" xfId="2" applyFont="1" applyFill="1" applyProtection="1">
      <protection locked="0"/>
    </xf>
    <xf numFmtId="165" fontId="6" fillId="2" borderId="0" xfId="2" applyNumberFormat="1" applyFont="1" applyFill="1" applyBorder="1" applyAlignment="1" applyProtection="1">
      <alignment horizontal="center" vertical="center"/>
      <protection locked="0"/>
    </xf>
    <xf numFmtId="44" fontId="0" fillId="10" borderId="0" xfId="1" applyFont="1" applyFill="1" applyProtection="1">
      <protection locked="0"/>
    </xf>
    <xf numFmtId="0" fontId="146" fillId="8" borderId="12" xfId="0" applyFont="1" applyFill="1" applyBorder="1" applyProtection="1">
      <protection locked="0"/>
    </xf>
    <xf numFmtId="0" fontId="147" fillId="8" borderId="12" xfId="0" applyFont="1" applyFill="1" applyBorder="1" applyAlignment="1" applyProtection="1">
      <alignment horizontal="center" vertical="center"/>
      <protection locked="0"/>
    </xf>
    <xf numFmtId="9" fontId="147" fillId="8" borderId="12" xfId="2" applyFont="1" applyFill="1" applyBorder="1" applyAlignment="1" applyProtection="1">
      <alignment horizontal="center" vertical="center"/>
      <protection locked="0"/>
    </xf>
    <xf numFmtId="0" fontId="147" fillId="8" borderId="11" xfId="0" applyFont="1" applyFill="1" applyBorder="1" applyAlignment="1" applyProtection="1">
      <alignment vertical="center"/>
      <protection locked="0"/>
    </xf>
    <xf numFmtId="0" fontId="147" fillId="8" borderId="44" xfId="0" applyFont="1" applyFill="1" applyBorder="1" applyAlignment="1" applyProtection="1">
      <alignment vertical="center"/>
      <protection locked="0"/>
    </xf>
    <xf numFmtId="0" fontId="146" fillId="10" borderId="12" xfId="0" applyFont="1" applyFill="1" applyBorder="1" applyProtection="1">
      <protection locked="0"/>
    </xf>
    <xf numFmtId="0" fontId="147" fillId="10" borderId="12" xfId="0" applyFont="1" applyFill="1" applyBorder="1" applyAlignment="1" applyProtection="1">
      <alignment horizontal="center" vertical="center"/>
      <protection locked="0"/>
    </xf>
    <xf numFmtId="9" fontId="147" fillId="10" borderId="12" xfId="2" applyFont="1" applyFill="1" applyBorder="1" applyAlignment="1" applyProtection="1">
      <alignment horizontal="center" vertical="center"/>
      <protection locked="0"/>
    </xf>
    <xf numFmtId="0" fontId="0" fillId="11" borderId="0" xfId="0" applyFill="1" applyProtection="1">
      <protection locked="0"/>
    </xf>
    <xf numFmtId="0" fontId="0" fillId="11" borderId="0" xfId="0" applyFill="1"/>
    <xf numFmtId="44" fontId="0" fillId="11" borderId="0" xfId="1" applyFont="1" applyFill="1" applyBorder="1" applyAlignment="1" applyProtection="1">
      <alignment horizontal="center"/>
      <protection locked="0"/>
    </xf>
    <xf numFmtId="0" fontId="37" fillId="26" borderId="65" xfId="0" applyFont="1" applyFill="1" applyBorder="1" applyAlignment="1" applyProtection="1">
      <alignment horizontal="center" vertical="center"/>
      <protection locked="0"/>
    </xf>
    <xf numFmtId="44" fontId="41" fillId="14" borderId="63" xfId="1" applyFont="1" applyFill="1" applyBorder="1" applyAlignment="1" applyProtection="1">
      <alignment horizontal="center" vertical="center"/>
      <protection locked="0"/>
    </xf>
    <xf numFmtId="44" fontId="42" fillId="15" borderId="63" xfId="1" applyFont="1" applyFill="1" applyBorder="1" applyAlignment="1" applyProtection="1">
      <alignment horizontal="center" vertical="center"/>
      <protection locked="0"/>
    </xf>
    <xf numFmtId="44" fontId="42" fillId="39" borderId="63" xfId="1" applyFont="1" applyFill="1" applyBorder="1" applyAlignment="1" applyProtection="1">
      <alignment horizontal="center" vertical="center"/>
      <protection locked="0"/>
    </xf>
    <xf numFmtId="44" fontId="87" fillId="35" borderId="17" xfId="1" applyFont="1" applyFill="1" applyBorder="1" applyAlignment="1" applyProtection="1">
      <alignment vertical="center"/>
      <protection locked="0"/>
    </xf>
    <xf numFmtId="44" fontId="42" fillId="16" borderId="63" xfId="1" applyFont="1" applyFill="1" applyBorder="1" applyAlignment="1" applyProtection="1">
      <alignment horizontal="center" vertical="center"/>
      <protection locked="0"/>
    </xf>
    <xf numFmtId="165" fontId="42" fillId="30" borderId="63" xfId="2" applyNumberFormat="1" applyFont="1" applyFill="1" applyBorder="1" applyAlignment="1" applyProtection="1">
      <alignment horizontal="center" vertical="center"/>
      <protection locked="0"/>
    </xf>
    <xf numFmtId="0" fontId="42" fillId="31" borderId="63" xfId="1" applyNumberFormat="1" applyFont="1" applyFill="1" applyBorder="1" applyAlignment="1" applyProtection="1">
      <alignment horizontal="center" vertical="center"/>
      <protection locked="0"/>
    </xf>
    <xf numFmtId="0" fontId="33" fillId="11" borderId="110" xfId="0" applyFont="1" applyFill="1" applyBorder="1" applyAlignment="1" applyProtection="1">
      <alignment horizontal="left"/>
      <protection locked="0"/>
    </xf>
    <xf numFmtId="10" fontId="33" fillId="11" borderId="54" xfId="2" applyNumberFormat="1" applyFont="1" applyFill="1" applyBorder="1" applyAlignment="1" applyProtection="1">
      <alignment horizontal="center" vertical="center"/>
      <protection locked="0"/>
    </xf>
    <xf numFmtId="9" fontId="33" fillId="11" borderId="54" xfId="2" applyFont="1" applyFill="1" applyBorder="1" applyAlignment="1" applyProtection="1">
      <alignment horizontal="center" vertical="center"/>
      <protection locked="0"/>
    </xf>
    <xf numFmtId="0" fontId="0" fillId="11" borderId="111" xfId="0" applyFill="1" applyBorder="1" applyProtection="1">
      <protection locked="0"/>
    </xf>
    <xf numFmtId="0" fontId="0" fillId="11" borderId="112" xfId="0" applyFill="1" applyBorder="1" applyProtection="1">
      <protection locked="0"/>
    </xf>
    <xf numFmtId="9" fontId="33" fillId="11" borderId="112" xfId="2" applyFont="1" applyFill="1" applyBorder="1" applyAlignment="1" applyProtection="1">
      <alignment horizontal="center" vertical="center"/>
      <protection locked="0"/>
    </xf>
    <xf numFmtId="9" fontId="33" fillId="11" borderId="113" xfId="2" applyFont="1" applyFill="1" applyBorder="1" applyAlignment="1" applyProtection="1">
      <alignment horizontal="center" vertical="center"/>
      <protection locked="0"/>
    </xf>
    <xf numFmtId="0" fontId="0" fillId="11" borderId="114" xfId="0" applyFill="1" applyBorder="1" applyProtection="1">
      <protection locked="0"/>
    </xf>
    <xf numFmtId="9" fontId="33" fillId="11" borderId="115" xfId="2" applyFont="1" applyFill="1" applyBorder="1" applyAlignment="1" applyProtection="1">
      <alignment horizontal="center" vertical="center"/>
      <protection locked="0"/>
    </xf>
    <xf numFmtId="0" fontId="34" fillId="11" borderId="114" xfId="0" applyFont="1" applyFill="1" applyBorder="1" applyProtection="1">
      <protection locked="0"/>
    </xf>
    <xf numFmtId="0" fontId="34" fillId="11" borderId="116" xfId="0" applyFont="1" applyFill="1" applyBorder="1" applyProtection="1">
      <protection locked="0"/>
    </xf>
    <xf numFmtId="44" fontId="0" fillId="11" borderId="117" xfId="1" applyFont="1" applyFill="1" applyBorder="1" applyAlignment="1" applyProtection="1">
      <alignment horizontal="center"/>
      <protection locked="0"/>
    </xf>
    <xf numFmtId="0" fontId="0" fillId="11" borderId="117" xfId="0" applyFill="1" applyBorder="1" applyProtection="1">
      <protection locked="0"/>
    </xf>
    <xf numFmtId="9" fontId="33" fillId="11" borderId="117" xfId="2" applyFont="1" applyFill="1" applyBorder="1" applyAlignment="1" applyProtection="1">
      <alignment horizontal="center" vertical="center"/>
      <protection locked="0"/>
    </xf>
    <xf numFmtId="9" fontId="33" fillId="11" borderId="118" xfId="2" applyFont="1" applyFill="1" applyBorder="1" applyAlignment="1" applyProtection="1">
      <alignment horizontal="center" vertical="center"/>
      <protection locked="0"/>
    </xf>
    <xf numFmtId="0" fontId="148" fillId="11" borderId="114" xfId="0" applyFont="1" applyFill="1" applyBorder="1" applyProtection="1">
      <protection locked="0"/>
    </xf>
    <xf numFmtId="0" fontId="148" fillId="11" borderId="0" xfId="0" applyFont="1" applyFill="1" applyProtection="1">
      <protection locked="0"/>
    </xf>
    <xf numFmtId="0" fontId="148" fillId="11" borderId="114" xfId="0" applyFont="1" applyFill="1" applyBorder="1" applyAlignment="1" applyProtection="1">
      <alignment horizontal="center"/>
      <protection locked="0"/>
    </xf>
    <xf numFmtId="44" fontId="148" fillId="11" borderId="0" xfId="1" applyFont="1" applyFill="1" applyBorder="1" applyAlignment="1" applyProtection="1">
      <alignment horizontal="center"/>
      <protection locked="0"/>
    </xf>
    <xf numFmtId="0" fontId="68" fillId="10" borderId="12" xfId="0" applyFont="1" applyFill="1" applyBorder="1" applyAlignment="1" applyProtection="1">
      <alignment horizontal="center" vertical="center"/>
      <protection locked="0"/>
    </xf>
    <xf numFmtId="0" fontId="68" fillId="11" borderId="12" xfId="0" applyFont="1" applyFill="1" applyBorder="1" applyAlignment="1" applyProtection="1">
      <alignment horizontal="center" vertical="center"/>
      <protection locked="0"/>
    </xf>
    <xf numFmtId="44" fontId="70" fillId="0" borderId="1" xfId="1" applyFont="1" applyBorder="1" applyAlignment="1">
      <alignment horizontal="left" vertical="center"/>
    </xf>
    <xf numFmtId="44" fontId="62" fillId="0" borderId="15" xfId="1" applyFont="1" applyFill="1" applyBorder="1" applyProtection="1">
      <protection locked="0"/>
    </xf>
    <xf numFmtId="44" fontId="51" fillId="42" borderId="1" xfId="1" applyFont="1" applyFill="1" applyBorder="1" applyAlignment="1" applyProtection="1">
      <alignment horizontal="left" vertical="center"/>
    </xf>
    <xf numFmtId="165" fontId="0" fillId="10" borderId="15" xfId="2" applyNumberFormat="1" applyFont="1" applyFill="1" applyBorder="1" applyAlignment="1" applyProtection="1">
      <alignment horizontal="center" vertical="center"/>
      <protection locked="0"/>
    </xf>
    <xf numFmtId="165" fontId="0" fillId="6" borderId="15" xfId="2" applyNumberFormat="1" applyFont="1" applyFill="1" applyBorder="1" applyAlignment="1" applyProtection="1">
      <alignment horizontal="center" vertical="center"/>
      <protection locked="0"/>
    </xf>
    <xf numFmtId="9" fontId="14" fillId="8" borderId="12" xfId="2" applyFont="1" applyFill="1" applyBorder="1" applyAlignment="1" applyProtection="1">
      <alignment horizontal="center" vertical="center"/>
      <protection locked="0"/>
    </xf>
    <xf numFmtId="0" fontId="85" fillId="10" borderId="15" xfId="2" applyNumberFormat="1" applyFont="1" applyFill="1" applyBorder="1" applyAlignment="1" applyProtection="1">
      <alignment horizontal="center" vertical="center"/>
      <protection locked="0"/>
    </xf>
    <xf numFmtId="46" fontId="0" fillId="0" borderId="1" xfId="0" applyNumberFormat="1" applyBorder="1" applyAlignment="1" applyProtection="1">
      <alignment horizontal="center" vertical="center"/>
      <protection locked="0"/>
    </xf>
    <xf numFmtId="10" fontId="0" fillId="0" borderId="1" xfId="2" applyNumberFormat="1" applyFont="1" applyBorder="1" applyAlignment="1" applyProtection="1">
      <alignment horizontal="center"/>
      <protection locked="0"/>
    </xf>
    <xf numFmtId="0" fontId="16" fillId="0" borderId="12" xfId="0" applyFont="1" applyBorder="1" applyAlignment="1" applyProtection="1">
      <alignment horizontal="center" vertical="center"/>
      <protection locked="0"/>
    </xf>
    <xf numFmtId="44" fontId="0" fillId="0" borderId="1" xfId="1" applyFont="1" applyFill="1" applyBorder="1" applyAlignment="1" applyProtection="1">
      <alignment horizontal="left"/>
      <protection locked="0"/>
    </xf>
    <xf numFmtId="177" fontId="150" fillId="0" borderId="1" xfId="7" applyNumberFormat="1" applyFont="1" applyBorder="1" applyAlignment="1">
      <alignment horizontal="center" vertical="center"/>
    </xf>
    <xf numFmtId="0" fontId="31" fillId="8" borderId="12" xfId="4" applyFill="1" applyBorder="1" applyAlignment="1" applyProtection="1">
      <alignment horizontal="center"/>
      <protection locked="0"/>
    </xf>
    <xf numFmtId="0" fontId="31" fillId="10" borderId="44" xfId="4" applyFill="1" applyBorder="1" applyAlignment="1" applyProtection="1">
      <alignment horizontal="center" vertical="center"/>
      <protection locked="0"/>
    </xf>
    <xf numFmtId="0" fontId="31" fillId="10" borderId="12" xfId="4" applyFill="1" applyBorder="1" applyAlignment="1" applyProtection="1">
      <alignment horizontal="center" vertical="center"/>
      <protection locked="0"/>
    </xf>
    <xf numFmtId="0" fontId="31" fillId="10" borderId="12" xfId="4" applyFill="1" applyBorder="1" applyAlignment="1" applyProtection="1">
      <alignment horizontal="center"/>
      <protection locked="0"/>
    </xf>
    <xf numFmtId="0" fontId="31" fillId="8" borderId="44" xfId="4" applyFill="1"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53" fillId="10" borderId="0" xfId="0" applyFont="1" applyFill="1" applyProtection="1">
      <protection locked="0"/>
    </xf>
    <xf numFmtId="9" fontId="0" fillId="0" borderId="6" xfId="0" applyNumberFormat="1" applyBorder="1" applyAlignment="1" applyProtection="1">
      <alignment horizontal="left"/>
      <protection locked="0"/>
    </xf>
    <xf numFmtId="44" fontId="55" fillId="8" borderId="1" xfId="1" applyFont="1" applyFill="1" applyBorder="1" applyAlignment="1" applyProtection="1">
      <alignment horizontal="left" vertical="center"/>
    </xf>
    <xf numFmtId="44" fontId="55" fillId="10" borderId="1" xfId="1" applyFont="1" applyFill="1" applyBorder="1" applyAlignment="1" applyProtection="1">
      <alignment horizontal="left" vertical="center"/>
    </xf>
    <xf numFmtId="0" fontId="46" fillId="10" borderId="0" xfId="0" applyFont="1" applyFill="1"/>
    <xf numFmtId="0" fontId="46" fillId="10" borderId="0" xfId="0" applyFont="1" applyFill="1" applyProtection="1">
      <protection locked="0"/>
    </xf>
    <xf numFmtId="0" fontId="27" fillId="16" borderId="0" xfId="0" applyFont="1" applyFill="1" applyAlignment="1" applyProtection="1">
      <alignment horizontal="center" vertical="center"/>
      <protection locked="0"/>
    </xf>
    <xf numFmtId="44" fontId="25" fillId="0" borderId="0" xfId="1" applyFont="1" applyBorder="1" applyAlignment="1" applyProtection="1">
      <alignment horizontal="center" vertical="center"/>
      <protection locked="0"/>
    </xf>
    <xf numFmtId="0" fontId="16" fillId="0" borderId="0" xfId="0" applyFont="1"/>
    <xf numFmtId="0" fontId="0" fillId="8" borderId="5" xfId="0" applyFill="1" applyBorder="1" applyAlignment="1" applyProtection="1">
      <alignment horizontal="center" vertical="center"/>
      <protection locked="0"/>
    </xf>
    <xf numFmtId="0" fontId="0" fillId="8" borderId="6" xfId="0" applyFill="1"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8" borderId="5" xfId="0" applyFill="1" applyBorder="1" applyAlignment="1" applyProtection="1">
      <alignment horizontal="center" vertical="center" wrapText="1"/>
      <protection locked="0"/>
    </xf>
    <xf numFmtId="0" fontId="0" fillId="8" borderId="6" xfId="0" applyFill="1" applyBorder="1" applyAlignment="1" applyProtection="1">
      <alignment horizontal="center" vertical="center" wrapText="1"/>
      <protection locked="0"/>
    </xf>
    <xf numFmtId="9" fontId="0" fillId="0" borderId="5" xfId="2" applyFont="1" applyBorder="1" applyAlignment="1" applyProtection="1">
      <alignment horizontal="center" vertical="center"/>
      <protection locked="0"/>
    </xf>
    <xf numFmtId="9" fontId="0" fillId="0" borderId="6" xfId="2" applyFont="1" applyBorder="1" applyAlignment="1" applyProtection="1">
      <alignment horizontal="center" vertical="center"/>
      <protection locked="0"/>
    </xf>
    <xf numFmtId="44" fontId="0" fillId="10" borderId="5" xfId="1" applyFont="1" applyFill="1" applyBorder="1" applyAlignment="1" applyProtection="1">
      <alignment horizontal="center" vertical="center" wrapText="1"/>
      <protection locked="0"/>
    </xf>
    <xf numFmtId="44" fontId="0" fillId="10" borderId="6" xfId="1" applyFont="1" applyFill="1" applyBorder="1" applyAlignment="1" applyProtection="1">
      <alignment horizontal="center" vertical="center" wrapText="1"/>
      <protection locked="0"/>
    </xf>
    <xf numFmtId="44" fontId="0" fillId="8" borderId="5" xfId="1" applyFont="1" applyFill="1" applyBorder="1" applyAlignment="1" applyProtection="1">
      <alignment horizontal="center" vertical="center" wrapText="1"/>
      <protection locked="0"/>
    </xf>
    <xf numFmtId="44" fontId="0" fillId="8" borderId="6" xfId="1" applyFont="1" applyFill="1" applyBorder="1" applyAlignment="1" applyProtection="1">
      <alignment horizontal="center" vertical="center" wrapText="1"/>
      <protection locked="0"/>
    </xf>
    <xf numFmtId="9" fontId="0" fillId="8" borderId="5" xfId="2" applyFont="1" applyFill="1" applyBorder="1" applyAlignment="1" applyProtection="1">
      <alignment horizontal="center" vertical="center" wrapText="1"/>
      <protection locked="0"/>
    </xf>
    <xf numFmtId="9" fontId="0" fillId="8" borderId="6" xfId="2" applyFont="1" applyFill="1" applyBorder="1" applyAlignment="1" applyProtection="1">
      <alignment horizontal="center" vertical="center" wrapText="1"/>
      <protection locked="0"/>
    </xf>
    <xf numFmtId="10" fontId="25" fillId="0" borderId="17" xfId="2" applyNumberFormat="1" applyFont="1" applyBorder="1" applyAlignment="1" applyProtection="1">
      <alignment horizontal="center" vertical="center"/>
    </xf>
    <xf numFmtId="10" fontId="25" fillId="0" borderId="10" xfId="2" applyNumberFormat="1" applyFont="1" applyBorder="1" applyAlignment="1" applyProtection="1">
      <alignment horizontal="center" vertical="center"/>
    </xf>
    <xf numFmtId="10" fontId="25" fillId="0" borderId="18" xfId="2" applyNumberFormat="1" applyFont="1" applyBorder="1" applyAlignment="1" applyProtection="1">
      <alignment horizontal="center" vertical="center"/>
    </xf>
    <xf numFmtId="44" fontId="52" fillId="8" borderId="5" xfId="1" applyFont="1" applyFill="1" applyBorder="1" applyAlignment="1" applyProtection="1">
      <alignment horizontal="center" vertical="center"/>
    </xf>
    <xf numFmtId="44" fontId="0" fillId="8" borderId="6" xfId="1" applyFont="1" applyFill="1" applyBorder="1" applyAlignment="1" applyProtection="1">
      <alignment horizontal="center" vertical="center"/>
    </xf>
    <xf numFmtId="44" fontId="0" fillId="0" borderId="5" xfId="1" applyFont="1" applyBorder="1" applyAlignment="1" applyProtection="1">
      <alignment horizontal="center" vertical="center"/>
    </xf>
    <xf numFmtId="44" fontId="0" fillId="0" borderId="6" xfId="1" applyFont="1" applyBorder="1" applyAlignment="1" applyProtection="1">
      <alignment horizontal="center" vertical="center"/>
    </xf>
    <xf numFmtId="9" fontId="0" fillId="8" borderId="5" xfId="2" applyFont="1" applyFill="1" applyBorder="1" applyAlignment="1" applyProtection="1">
      <alignment horizontal="center" vertical="center"/>
      <protection locked="0"/>
    </xf>
    <xf numFmtId="9" fontId="0" fillId="8" borderId="6" xfId="2" applyFont="1" applyFill="1" applyBorder="1" applyAlignment="1" applyProtection="1">
      <alignment horizontal="center" vertical="center"/>
      <protection locked="0"/>
    </xf>
    <xf numFmtId="0" fontId="6" fillId="12" borderId="16" xfId="0" applyFont="1" applyFill="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0" fillId="8" borderId="5" xfId="1" applyNumberFormat="1" applyFont="1" applyFill="1" applyBorder="1" applyAlignment="1" applyProtection="1">
      <alignment horizontal="center" vertical="center" wrapText="1"/>
      <protection locked="0"/>
    </xf>
    <xf numFmtId="0" fontId="0" fillId="8" borderId="6" xfId="1" applyNumberFormat="1" applyFont="1" applyFill="1" applyBorder="1" applyAlignment="1" applyProtection="1">
      <alignment horizontal="center" vertical="center" wrapText="1"/>
      <protection locked="0"/>
    </xf>
    <xf numFmtId="0" fontId="0" fillId="0" borderId="5" xfId="1" applyNumberFormat="1" applyFont="1" applyBorder="1" applyAlignment="1" applyProtection="1">
      <alignment horizontal="center" vertical="center" wrapText="1"/>
      <protection locked="0"/>
    </xf>
    <xf numFmtId="0" fontId="0" fillId="0" borderId="6" xfId="1" applyNumberFormat="1" applyFont="1" applyBorder="1" applyAlignment="1" applyProtection="1">
      <alignment horizontal="center" vertical="center" wrapText="1"/>
      <protection locked="0"/>
    </xf>
    <xf numFmtId="44" fontId="62" fillId="6" borderId="17" xfId="0" applyNumberFormat="1" applyFont="1" applyFill="1" applyBorder="1" applyAlignment="1" applyProtection="1">
      <alignment horizontal="left"/>
      <protection locked="0"/>
    </xf>
    <xf numFmtId="44" fontId="62" fillId="6" borderId="10" xfId="0" applyNumberFormat="1" applyFont="1" applyFill="1" applyBorder="1" applyAlignment="1" applyProtection="1">
      <alignment horizontal="left"/>
      <protection locked="0"/>
    </xf>
    <xf numFmtId="44" fontId="62" fillId="6" borderId="18" xfId="0" applyNumberFormat="1" applyFont="1" applyFill="1" applyBorder="1" applyAlignment="1" applyProtection="1">
      <alignment horizontal="left"/>
      <protection locked="0"/>
    </xf>
    <xf numFmtId="44" fontId="62" fillId="10" borderId="17" xfId="0" applyNumberFormat="1" applyFont="1" applyFill="1" applyBorder="1" applyAlignment="1" applyProtection="1">
      <alignment horizontal="left"/>
      <protection locked="0"/>
    </xf>
    <xf numFmtId="44" fontId="62" fillId="10" borderId="10" xfId="0" applyNumberFormat="1" applyFont="1" applyFill="1" applyBorder="1" applyAlignment="1" applyProtection="1">
      <alignment horizontal="left"/>
      <protection locked="0"/>
    </xf>
    <xf numFmtId="44" fontId="62" fillId="10" borderId="18" xfId="0" applyNumberFormat="1" applyFont="1" applyFill="1" applyBorder="1" applyAlignment="1" applyProtection="1">
      <alignment horizontal="left"/>
      <protection locked="0"/>
    </xf>
    <xf numFmtId="0" fontId="0" fillId="0" borderId="5" xfId="0" applyBorder="1" applyAlignment="1">
      <alignment horizontal="center" vertical="center"/>
    </xf>
    <xf numFmtId="0" fontId="0" fillId="0" borderId="6" xfId="0" applyBorder="1" applyAlignment="1">
      <alignment horizontal="center" vertical="center"/>
    </xf>
    <xf numFmtId="44" fontId="0" fillId="8" borderId="5" xfId="1" applyFont="1" applyFill="1" applyBorder="1" applyAlignment="1" applyProtection="1">
      <alignment horizontal="center" vertical="center"/>
      <protection locked="0"/>
    </xf>
    <xf numFmtId="44" fontId="0" fillId="8" borderId="6" xfId="1" applyFont="1" applyFill="1" applyBorder="1" applyAlignment="1" applyProtection="1">
      <alignment horizontal="center" vertical="center"/>
      <protection locked="0"/>
    </xf>
    <xf numFmtId="44" fontId="0" fillId="10" borderId="5" xfId="1" applyFont="1" applyFill="1" applyBorder="1" applyAlignment="1" applyProtection="1">
      <alignment horizontal="center" vertical="center"/>
      <protection locked="0"/>
    </xf>
    <xf numFmtId="44" fontId="0" fillId="10" borderId="6" xfId="1" applyFont="1" applyFill="1" applyBorder="1" applyAlignment="1" applyProtection="1">
      <alignment horizontal="center" vertical="center"/>
      <protection locked="0"/>
    </xf>
    <xf numFmtId="164" fontId="26" fillId="0" borderId="15" xfId="0" applyNumberFormat="1" applyFont="1" applyBorder="1" applyAlignment="1">
      <alignment horizontal="center" vertical="center"/>
    </xf>
    <xf numFmtId="0" fontId="69" fillId="46" borderId="46" xfId="0" applyFont="1" applyFill="1" applyBorder="1" applyAlignment="1" applyProtection="1">
      <alignment horizontal="center"/>
      <protection locked="0"/>
    </xf>
    <xf numFmtId="0" fontId="69" fillId="46" borderId="89" xfId="0" applyFont="1" applyFill="1" applyBorder="1" applyAlignment="1" applyProtection="1">
      <alignment horizontal="center"/>
      <protection locked="0"/>
    </xf>
    <xf numFmtId="0" fontId="84" fillId="8" borderId="5" xfId="3" applyFont="1" applyFill="1" applyBorder="1" applyAlignment="1" applyProtection="1">
      <alignment horizontal="left" vertical="center" wrapText="1"/>
      <protection locked="0"/>
    </xf>
    <xf numFmtId="0" fontId="84" fillId="8" borderId="6" xfId="0" applyFont="1" applyFill="1" applyBorder="1" applyAlignment="1" applyProtection="1">
      <alignment horizontal="left" vertical="center" wrapText="1"/>
      <protection locked="0"/>
    </xf>
    <xf numFmtId="0" fontId="84" fillId="0" borderId="5" xfId="0" applyFont="1" applyBorder="1" applyAlignment="1" applyProtection="1">
      <alignment horizontal="left" vertical="center" wrapText="1"/>
      <protection locked="0"/>
    </xf>
    <xf numFmtId="0" fontId="84" fillId="0" borderId="6" xfId="0" applyFont="1" applyBorder="1" applyAlignment="1" applyProtection="1">
      <alignment horizontal="left" vertical="center" wrapText="1"/>
      <protection locked="0"/>
    </xf>
    <xf numFmtId="0" fontId="84" fillId="55" borderId="5" xfId="0" applyFont="1" applyFill="1" applyBorder="1" applyAlignment="1" applyProtection="1">
      <alignment horizontal="left" vertical="center" wrapText="1"/>
      <protection locked="0"/>
    </xf>
    <xf numFmtId="0" fontId="84" fillId="55" borderId="6" xfId="0" applyFont="1" applyFill="1" applyBorder="1" applyAlignment="1" applyProtection="1">
      <alignment horizontal="left" vertical="center" wrapText="1"/>
      <protection locked="0"/>
    </xf>
    <xf numFmtId="0" fontId="84" fillId="8" borderId="5" xfId="0" applyFont="1" applyFill="1" applyBorder="1" applyAlignment="1" applyProtection="1">
      <alignment horizontal="left" vertical="center" wrapText="1"/>
      <protection locked="0"/>
    </xf>
    <xf numFmtId="0" fontId="84" fillId="0" borderId="5" xfId="3" applyFont="1" applyBorder="1" applyAlignment="1" applyProtection="1">
      <alignment horizontal="left" vertical="center" wrapText="1"/>
      <protection locked="0"/>
    </xf>
    <xf numFmtId="0" fontId="84" fillId="43" borderId="5" xfId="0" applyFont="1" applyFill="1" applyBorder="1" applyAlignment="1" applyProtection="1">
      <alignment horizontal="left" vertical="center" wrapText="1"/>
      <protection locked="0"/>
    </xf>
    <xf numFmtId="0" fontId="84" fillId="43" borderId="6" xfId="0" applyFont="1" applyFill="1" applyBorder="1" applyAlignment="1" applyProtection="1">
      <alignment horizontal="left" vertical="center" wrapText="1"/>
      <protection locked="0"/>
    </xf>
    <xf numFmtId="17" fontId="52" fillId="0" borderId="5" xfId="0" applyNumberFormat="1" applyFont="1" applyBorder="1" applyAlignment="1">
      <alignment horizontal="center" vertical="center" wrapText="1"/>
    </xf>
    <xf numFmtId="17" fontId="52" fillId="0" borderId="6" xfId="0" applyNumberFormat="1" applyFont="1" applyBorder="1" applyAlignment="1">
      <alignment horizontal="center" vertical="center" wrapText="1"/>
    </xf>
    <xf numFmtId="0" fontId="0" fillId="10" borderId="5" xfId="0" applyFill="1" applyBorder="1" applyAlignment="1" applyProtection="1">
      <alignment horizontal="center" vertical="center"/>
      <protection locked="0"/>
    </xf>
    <xf numFmtId="0" fontId="0" fillId="10" borderId="6" xfId="0" applyFill="1" applyBorder="1" applyAlignment="1" applyProtection="1">
      <alignment horizontal="center" vertical="center"/>
      <protection locked="0"/>
    </xf>
    <xf numFmtId="0" fontId="0" fillId="0" borderId="5" xfId="0" applyBorder="1" applyAlignment="1" applyProtection="1">
      <alignment vertical="center" wrapText="1"/>
      <protection locked="0"/>
    </xf>
    <xf numFmtId="0" fontId="0" fillId="0" borderId="6" xfId="0" applyBorder="1" applyAlignment="1" applyProtection="1">
      <alignment vertical="center" wrapText="1"/>
      <protection locked="0"/>
    </xf>
    <xf numFmtId="0" fontId="31" fillId="0" borderId="5" xfId="3" applyBorder="1" applyAlignment="1" applyProtection="1">
      <alignment horizontal="left" vertical="center" wrapText="1"/>
      <protection locked="0"/>
    </xf>
    <xf numFmtId="0" fontId="53" fillId="0" borderId="6" xfId="0" applyFont="1" applyBorder="1" applyAlignment="1" applyProtection="1">
      <alignment horizontal="left"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17" fontId="0" fillId="0" borderId="5" xfId="0" applyNumberFormat="1" applyBorder="1" applyAlignment="1" applyProtection="1">
      <alignment horizontal="center" vertical="center" wrapText="1"/>
      <protection locked="0"/>
    </xf>
    <xf numFmtId="17" fontId="0" fillId="0" borderId="6" xfId="0" applyNumberFormat="1" applyBorder="1" applyAlignment="1" applyProtection="1">
      <alignment horizontal="center" vertical="center" wrapText="1"/>
      <protection locked="0"/>
    </xf>
    <xf numFmtId="44" fontId="0" fillId="0" borderId="5" xfId="1" applyFont="1" applyFill="1" applyBorder="1" applyAlignment="1" applyProtection="1">
      <alignment horizontal="center" vertical="center"/>
      <protection locked="0"/>
    </xf>
    <xf numFmtId="44" fontId="0" fillId="0" borderId="6" xfId="1" applyFont="1" applyFill="1" applyBorder="1" applyAlignment="1" applyProtection="1">
      <alignment horizontal="center" vertical="center"/>
      <protection locked="0"/>
    </xf>
    <xf numFmtId="17" fontId="52" fillId="10" borderId="5" xfId="0" applyNumberFormat="1" applyFont="1" applyFill="1" applyBorder="1" applyAlignment="1">
      <alignment horizontal="center" vertical="center" wrapText="1"/>
    </xf>
    <xf numFmtId="17" fontId="0" fillId="10" borderId="6" xfId="0" applyNumberFormat="1" applyFill="1" applyBorder="1" applyAlignment="1">
      <alignment horizontal="center" vertical="center" wrapText="1"/>
    </xf>
    <xf numFmtId="44" fontId="52" fillId="10" borderId="5" xfId="1" applyFont="1" applyFill="1" applyBorder="1" applyAlignment="1" applyProtection="1">
      <alignment horizontal="center" vertical="center"/>
    </xf>
    <xf numFmtId="44" fontId="0" fillId="10" borderId="6" xfId="1" applyFont="1" applyFill="1" applyBorder="1" applyAlignment="1" applyProtection="1">
      <alignment horizontal="center" vertical="center"/>
    </xf>
    <xf numFmtId="173" fontId="16" fillId="0" borderId="5" xfId="0" applyNumberFormat="1" applyFont="1" applyBorder="1" applyAlignment="1" applyProtection="1">
      <alignment horizontal="center" vertical="center" wrapText="1"/>
      <protection locked="0"/>
    </xf>
    <xf numFmtId="173" fontId="16" fillId="0" borderId="6" xfId="0" applyNumberFormat="1"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0" fillId="8" borderId="5" xfId="0" applyFill="1" applyBorder="1" applyAlignment="1" applyProtection="1">
      <alignment vertical="center" wrapText="1"/>
      <protection locked="0"/>
    </xf>
    <xf numFmtId="0" fontId="0" fillId="8" borderId="6" xfId="0" applyFill="1" applyBorder="1" applyAlignment="1" applyProtection="1">
      <alignment vertical="center" wrapText="1"/>
      <protection locked="0"/>
    </xf>
    <xf numFmtId="0" fontId="31" fillId="8" borderId="5" xfId="3" applyFill="1" applyBorder="1" applyAlignment="1" applyProtection="1">
      <alignment horizontal="left" vertical="center" wrapText="1"/>
      <protection locked="0"/>
    </xf>
    <xf numFmtId="0" fontId="53" fillId="8" borderId="6" xfId="0" applyFont="1" applyFill="1" applyBorder="1" applyAlignment="1" applyProtection="1">
      <alignment horizontal="left" vertical="center" wrapText="1"/>
      <protection locked="0"/>
    </xf>
    <xf numFmtId="17" fontId="0" fillId="8" borderId="5" xfId="0" applyNumberFormat="1" applyFill="1" applyBorder="1" applyAlignment="1" applyProtection="1">
      <alignment horizontal="center" vertical="center" wrapText="1"/>
      <protection locked="0"/>
    </xf>
    <xf numFmtId="17" fontId="0" fillId="8" borderId="6" xfId="0" applyNumberFormat="1" applyFill="1" applyBorder="1" applyAlignment="1" applyProtection="1">
      <alignment horizontal="center" vertical="center" wrapText="1"/>
      <protection locked="0"/>
    </xf>
    <xf numFmtId="17" fontId="52" fillId="8" borderId="5" xfId="0" applyNumberFormat="1" applyFont="1" applyFill="1" applyBorder="1" applyAlignment="1">
      <alignment horizontal="center" vertical="center" wrapText="1"/>
    </xf>
    <xf numFmtId="17" fontId="0" fillId="8" borderId="6" xfId="0" applyNumberFormat="1" applyFill="1" applyBorder="1" applyAlignment="1">
      <alignment horizontal="center" vertical="center" wrapText="1"/>
    </xf>
    <xf numFmtId="0" fontId="16" fillId="8" borderId="5" xfId="0" applyFont="1" applyFill="1" applyBorder="1" applyAlignment="1" applyProtection="1">
      <alignment horizontal="center" vertical="center" wrapText="1"/>
      <protection locked="0"/>
    </xf>
    <xf numFmtId="0" fontId="16" fillId="8" borderId="6" xfId="0" applyFont="1" applyFill="1" applyBorder="1" applyAlignment="1" applyProtection="1">
      <alignment horizontal="center" vertical="center" wrapText="1"/>
      <protection locked="0"/>
    </xf>
    <xf numFmtId="44" fontId="0" fillId="43" borderId="5" xfId="1" applyFont="1" applyFill="1" applyBorder="1" applyAlignment="1" applyProtection="1">
      <alignment horizontal="center" vertical="center"/>
      <protection locked="0"/>
    </xf>
    <xf numFmtId="44" fontId="0" fillId="43" borderId="6" xfId="1" applyFont="1" applyFill="1" applyBorder="1" applyAlignment="1" applyProtection="1">
      <alignment horizontal="center" vertical="center"/>
      <protection locked="0"/>
    </xf>
    <xf numFmtId="0" fontId="0" fillId="43" borderId="5" xfId="0" applyFill="1" applyBorder="1" applyAlignment="1" applyProtection="1">
      <alignment vertical="center" wrapText="1"/>
      <protection locked="0"/>
    </xf>
    <xf numFmtId="0" fontId="0" fillId="43" borderId="6" xfId="0" applyFill="1" applyBorder="1" applyAlignment="1" applyProtection="1">
      <alignment vertical="center" wrapText="1"/>
      <protection locked="0"/>
    </xf>
    <xf numFmtId="0" fontId="31" fillId="43" borderId="5" xfId="3" applyFill="1" applyBorder="1" applyAlignment="1" applyProtection="1">
      <alignment horizontal="left" vertical="center" wrapText="1"/>
      <protection locked="0"/>
    </xf>
    <xf numFmtId="0" fontId="53" fillId="43" borderId="6" xfId="0" applyFont="1" applyFill="1" applyBorder="1" applyAlignment="1" applyProtection="1">
      <alignment horizontal="left" vertical="center" wrapText="1"/>
      <protection locked="0"/>
    </xf>
    <xf numFmtId="0" fontId="0" fillId="43" borderId="5" xfId="0" applyFill="1" applyBorder="1" applyAlignment="1" applyProtection="1">
      <alignment horizontal="center" vertical="center" wrapText="1"/>
      <protection locked="0"/>
    </xf>
    <xf numFmtId="0" fontId="0" fillId="43" borderId="6" xfId="0" applyFill="1" applyBorder="1" applyAlignment="1" applyProtection="1">
      <alignment horizontal="center" vertical="center" wrapText="1"/>
      <protection locked="0"/>
    </xf>
    <xf numFmtId="17" fontId="0" fillId="43" borderId="5" xfId="0" applyNumberFormat="1" applyFill="1" applyBorder="1" applyAlignment="1" applyProtection="1">
      <alignment horizontal="center" vertical="center" wrapText="1"/>
      <protection locked="0"/>
    </xf>
    <xf numFmtId="17" fontId="0" fillId="43" borderId="6" xfId="0" applyNumberFormat="1" applyFill="1" applyBorder="1" applyAlignment="1" applyProtection="1">
      <alignment horizontal="center" vertical="center" wrapText="1"/>
      <protection locked="0"/>
    </xf>
    <xf numFmtId="44" fontId="70" fillId="43" borderId="5" xfId="1" applyFont="1" applyFill="1" applyBorder="1" applyAlignment="1" applyProtection="1">
      <alignment horizontal="center" vertical="center"/>
      <protection locked="0"/>
    </xf>
    <xf numFmtId="44" fontId="70" fillId="43" borderId="6" xfId="1" applyFont="1" applyFill="1" applyBorder="1" applyAlignment="1" applyProtection="1">
      <alignment horizontal="center" vertical="center"/>
      <protection locked="0"/>
    </xf>
    <xf numFmtId="17" fontId="52" fillId="42" borderId="5" xfId="0" applyNumberFormat="1" applyFont="1" applyFill="1" applyBorder="1" applyAlignment="1">
      <alignment horizontal="center" vertical="center" wrapText="1"/>
    </xf>
    <xf numFmtId="17" fontId="0" fillId="42" borderId="6" xfId="0" applyNumberFormat="1" applyFill="1" applyBorder="1" applyAlignment="1">
      <alignment horizontal="center" vertical="center" wrapText="1"/>
    </xf>
    <xf numFmtId="17" fontId="0" fillId="0" borderId="6" xfId="0" applyNumberFormat="1" applyBorder="1" applyAlignment="1">
      <alignment horizontal="center" vertical="center" wrapText="1"/>
    </xf>
    <xf numFmtId="0" fontId="0" fillId="10" borderId="5" xfId="0" applyFill="1" applyBorder="1" applyAlignment="1" applyProtection="1">
      <alignment vertical="center" wrapText="1"/>
      <protection locked="0"/>
    </xf>
    <xf numFmtId="0" fontId="0" fillId="10" borderId="6" xfId="0" applyFill="1" applyBorder="1" applyAlignment="1" applyProtection="1">
      <alignment vertical="center" wrapText="1"/>
      <protection locked="0"/>
    </xf>
    <xf numFmtId="0" fontId="31" fillId="10" borderId="5" xfId="3" applyFill="1" applyBorder="1" applyAlignment="1" applyProtection="1">
      <alignment horizontal="left" vertical="center" wrapText="1"/>
      <protection locked="0"/>
    </xf>
    <xf numFmtId="0" fontId="53" fillId="10" borderId="6" xfId="0" applyFont="1" applyFill="1" applyBorder="1" applyAlignment="1" applyProtection="1">
      <alignment horizontal="left" vertical="center" wrapText="1"/>
      <protection locked="0"/>
    </xf>
    <xf numFmtId="0" fontId="0" fillId="10" borderId="5" xfId="0" applyFill="1" applyBorder="1" applyAlignment="1" applyProtection="1">
      <alignment horizontal="center" vertical="center" wrapText="1"/>
      <protection locked="0"/>
    </xf>
    <xf numFmtId="0" fontId="0" fillId="10" borderId="6" xfId="0" applyFill="1" applyBorder="1" applyAlignment="1" applyProtection="1">
      <alignment horizontal="center" vertical="center" wrapText="1"/>
      <protection locked="0"/>
    </xf>
    <xf numFmtId="17" fontId="0" fillId="10" borderId="5" xfId="0" applyNumberFormat="1" applyFill="1" applyBorder="1" applyAlignment="1" applyProtection="1">
      <alignment horizontal="center" vertical="center" wrapText="1"/>
      <protection locked="0"/>
    </xf>
    <xf numFmtId="17" fontId="0" fillId="10" borderId="6" xfId="0" applyNumberFormat="1" applyFill="1" applyBorder="1" applyAlignment="1" applyProtection="1">
      <alignment horizontal="center" vertical="center" wrapText="1"/>
      <protection locked="0"/>
    </xf>
    <xf numFmtId="0" fontId="31" fillId="43" borderId="6" xfId="3" applyFill="1" applyBorder="1" applyAlignment="1" applyProtection="1">
      <alignment horizontal="left" vertical="center" wrapText="1"/>
      <protection locked="0"/>
    </xf>
    <xf numFmtId="0" fontId="84" fillId="10" borderId="5" xfId="0" applyFont="1" applyFill="1" applyBorder="1" applyAlignment="1" applyProtection="1">
      <alignment horizontal="left" vertical="center" wrapText="1"/>
      <protection locked="0"/>
    </xf>
    <xf numFmtId="0" fontId="84" fillId="10" borderId="6" xfId="0" applyFont="1" applyFill="1" applyBorder="1" applyAlignment="1" applyProtection="1">
      <alignment horizontal="left" vertical="center" wrapText="1"/>
      <protection locked="0"/>
    </xf>
    <xf numFmtId="0" fontId="84" fillId="43" borderId="5" xfId="3" applyFont="1" applyFill="1" applyBorder="1" applyAlignment="1" applyProtection="1">
      <alignment horizontal="left" vertical="center" wrapText="1"/>
      <protection locked="0"/>
    </xf>
    <xf numFmtId="17" fontId="0" fillId="0" borderId="5" xfId="1" applyNumberFormat="1" applyFont="1" applyBorder="1" applyAlignment="1" applyProtection="1">
      <alignment horizontal="center" vertical="center"/>
      <protection locked="0"/>
    </xf>
    <xf numFmtId="44" fontId="0" fillId="0" borderId="6" xfId="1" applyFont="1" applyBorder="1" applyAlignment="1" applyProtection="1">
      <alignment horizontal="center" vertical="center"/>
      <protection locked="0"/>
    </xf>
    <xf numFmtId="44" fontId="0" fillId="0" borderId="5" xfId="1" applyFont="1" applyBorder="1" applyAlignment="1" applyProtection="1">
      <alignment horizontal="center" vertical="center"/>
      <protection locked="0"/>
    </xf>
    <xf numFmtId="0" fontId="84" fillId="10" borderId="5" xfId="3" applyFont="1" applyFill="1" applyBorder="1" applyAlignment="1" applyProtection="1">
      <alignment horizontal="left" vertical="center" wrapText="1"/>
      <protection locked="0"/>
    </xf>
    <xf numFmtId="173" fontId="16" fillId="10" borderId="5" xfId="0" applyNumberFormat="1" applyFont="1" applyFill="1" applyBorder="1" applyAlignment="1" applyProtection="1">
      <alignment horizontal="center" vertical="center" wrapText="1"/>
      <protection locked="0"/>
    </xf>
    <xf numFmtId="173" fontId="16" fillId="10" borderId="6" xfId="0" applyNumberFormat="1" applyFont="1" applyFill="1" applyBorder="1" applyAlignment="1" applyProtection="1">
      <alignment horizontal="center" vertical="center" wrapText="1"/>
      <protection locked="0"/>
    </xf>
    <xf numFmtId="173" fontId="16" fillId="43" borderId="5" xfId="0" applyNumberFormat="1" applyFont="1" applyFill="1" applyBorder="1" applyAlignment="1" applyProtection="1">
      <alignment horizontal="center" vertical="center" wrapText="1"/>
      <protection locked="0"/>
    </xf>
    <xf numFmtId="173" fontId="16" fillId="43" borderId="6" xfId="0" applyNumberFormat="1" applyFont="1" applyFill="1" applyBorder="1" applyAlignment="1" applyProtection="1">
      <alignment horizontal="center" vertical="center" wrapText="1"/>
      <protection locked="0"/>
    </xf>
    <xf numFmtId="173" fontId="16" fillId="8" borderId="5" xfId="0" applyNumberFormat="1" applyFont="1" applyFill="1" applyBorder="1" applyAlignment="1" applyProtection="1">
      <alignment horizontal="center" vertical="center" wrapText="1"/>
      <protection locked="0"/>
    </xf>
    <xf numFmtId="173" fontId="16" fillId="8" borderId="6" xfId="0" applyNumberFormat="1" applyFont="1" applyFill="1" applyBorder="1" applyAlignment="1" applyProtection="1">
      <alignment horizontal="center" vertical="center" wrapText="1"/>
      <protection locked="0"/>
    </xf>
    <xf numFmtId="173" fontId="70" fillId="8" borderId="5" xfId="0" applyNumberFormat="1" applyFont="1" applyFill="1" applyBorder="1" applyAlignment="1" applyProtection="1">
      <alignment horizontal="center" vertical="center" wrapText="1"/>
      <protection locked="0"/>
    </xf>
    <xf numFmtId="173" fontId="70" fillId="8" borderId="6" xfId="0" applyNumberFormat="1" applyFont="1" applyFill="1" applyBorder="1" applyAlignment="1" applyProtection="1">
      <alignment horizontal="center" vertical="center" wrapText="1"/>
      <protection locked="0"/>
    </xf>
    <xf numFmtId="0" fontId="31" fillId="0" borderId="5" xfId="3" applyFill="1" applyBorder="1" applyAlignment="1" applyProtection="1">
      <alignment horizontal="left" vertical="center" wrapText="1"/>
      <protection locked="0"/>
    </xf>
    <xf numFmtId="173" fontId="70" fillId="0" borderId="5" xfId="0" applyNumberFormat="1" applyFont="1" applyBorder="1" applyAlignment="1" applyProtection="1">
      <alignment horizontal="center" vertical="center" wrapText="1"/>
      <protection locked="0"/>
    </xf>
    <xf numFmtId="173" fontId="70" fillId="0" borderId="6" xfId="0" applyNumberFormat="1" applyFont="1" applyBorder="1" applyAlignment="1" applyProtection="1">
      <alignment horizontal="center" vertical="center" wrapText="1"/>
      <protection locked="0"/>
    </xf>
    <xf numFmtId="44" fontId="52" fillId="42" borderId="5" xfId="1" applyFont="1" applyFill="1" applyBorder="1" applyAlignment="1" applyProtection="1">
      <alignment horizontal="center" vertical="center"/>
    </xf>
    <xf numFmtId="44" fontId="0" fillId="42" borderId="6" xfId="1" applyFont="1" applyFill="1" applyBorder="1" applyAlignment="1" applyProtection="1">
      <alignment horizontal="center" vertical="center"/>
    </xf>
    <xf numFmtId="17" fontId="70" fillId="55" borderId="5" xfId="0" applyNumberFormat="1" applyFont="1" applyFill="1" applyBorder="1" applyAlignment="1">
      <alignment horizontal="center" vertical="center" wrapText="1"/>
    </xf>
    <xf numFmtId="17" fontId="70" fillId="55" borderId="6" xfId="0" applyNumberFormat="1" applyFont="1" applyFill="1" applyBorder="1" applyAlignment="1">
      <alignment horizontal="center" vertical="center" wrapText="1"/>
    </xf>
    <xf numFmtId="17" fontId="0" fillId="55" borderId="5" xfId="0" applyNumberFormat="1" applyFill="1" applyBorder="1" applyAlignment="1" applyProtection="1">
      <alignment horizontal="center" vertical="center" wrapText="1"/>
      <protection locked="0"/>
    </xf>
    <xf numFmtId="17" fontId="0" fillId="55" borderId="6" xfId="0" applyNumberFormat="1" applyFill="1" applyBorder="1" applyAlignment="1" applyProtection="1">
      <alignment horizontal="center" vertical="center" wrapText="1"/>
      <protection locked="0"/>
    </xf>
    <xf numFmtId="44" fontId="0" fillId="55" borderId="5" xfId="1" applyFont="1" applyFill="1" applyBorder="1" applyAlignment="1" applyProtection="1">
      <alignment horizontal="center" vertical="center"/>
      <protection locked="0"/>
    </xf>
    <xf numFmtId="44" fontId="0" fillId="55" borderId="6" xfId="1" applyFont="1" applyFill="1" applyBorder="1" applyAlignment="1" applyProtection="1">
      <alignment horizontal="center" vertical="center"/>
      <protection locked="0"/>
    </xf>
    <xf numFmtId="173" fontId="16" fillId="55" borderId="5" xfId="0" applyNumberFormat="1" applyFont="1" applyFill="1" applyBorder="1" applyAlignment="1" applyProtection="1">
      <alignment horizontal="center" vertical="center" wrapText="1"/>
      <protection locked="0"/>
    </xf>
    <xf numFmtId="173" fontId="16" fillId="55" borderId="6" xfId="0" applyNumberFormat="1" applyFont="1" applyFill="1" applyBorder="1" applyAlignment="1" applyProtection="1">
      <alignment horizontal="center" vertical="center" wrapText="1"/>
      <protection locked="0"/>
    </xf>
    <xf numFmtId="0" fontId="0" fillId="55" borderId="5" xfId="0" applyFill="1" applyBorder="1" applyAlignment="1" applyProtection="1">
      <alignment vertical="center" wrapText="1"/>
      <protection locked="0"/>
    </xf>
    <xf numFmtId="0" fontId="0" fillId="55" borderId="6" xfId="0" applyFill="1" applyBorder="1" applyAlignment="1" applyProtection="1">
      <alignment vertical="center" wrapText="1"/>
      <protection locked="0"/>
    </xf>
    <xf numFmtId="0" fontId="31" fillId="55" borderId="5" xfId="3" applyFill="1" applyBorder="1" applyAlignment="1" applyProtection="1">
      <alignment horizontal="left" vertical="center" wrapText="1"/>
      <protection locked="0"/>
    </xf>
    <xf numFmtId="0" fontId="53" fillId="55" borderId="6" xfId="0" applyFont="1" applyFill="1" applyBorder="1" applyAlignment="1" applyProtection="1">
      <alignment horizontal="left" vertical="center" wrapText="1"/>
      <protection locked="0"/>
    </xf>
    <xf numFmtId="0" fontId="0" fillId="55" borderId="5" xfId="0" applyFill="1" applyBorder="1" applyAlignment="1" applyProtection="1">
      <alignment horizontal="center" vertical="center" wrapText="1"/>
      <protection locked="0"/>
    </xf>
    <xf numFmtId="0" fontId="0" fillId="55" borderId="6" xfId="0" applyFill="1" applyBorder="1" applyAlignment="1" applyProtection="1">
      <alignment horizontal="center" vertical="center" wrapText="1"/>
      <protection locked="0"/>
    </xf>
    <xf numFmtId="0" fontId="28" fillId="12" borderId="0" xfId="0" applyFont="1" applyFill="1" applyAlignment="1" applyProtection="1">
      <alignment horizontal="center" vertical="center"/>
      <protection locked="0"/>
    </xf>
    <xf numFmtId="0" fontId="0" fillId="0" borderId="0" xfId="0" applyProtection="1">
      <protection locked="0"/>
    </xf>
    <xf numFmtId="0" fontId="6" fillId="13" borderId="0" xfId="0" applyFont="1" applyFill="1" applyAlignment="1" applyProtection="1">
      <alignment horizontal="center" vertical="center"/>
      <protection locked="0"/>
    </xf>
    <xf numFmtId="0" fontId="16" fillId="0" borderId="0" xfId="0" applyFont="1" applyProtection="1">
      <protection locked="0"/>
    </xf>
    <xf numFmtId="0" fontId="17" fillId="14" borderId="15" xfId="0" applyFont="1" applyFill="1" applyBorder="1" applyAlignment="1">
      <alignment horizontal="center" vertical="center"/>
    </xf>
    <xf numFmtId="0" fontId="17" fillId="15" borderId="15" xfId="0" applyFont="1" applyFill="1" applyBorder="1" applyAlignment="1">
      <alignment horizontal="center" vertical="center"/>
    </xf>
    <xf numFmtId="0" fontId="18" fillId="20" borderId="15" xfId="0" applyFont="1" applyFill="1" applyBorder="1" applyAlignment="1">
      <alignment horizontal="center" vertical="center"/>
    </xf>
    <xf numFmtId="0" fontId="27" fillId="16" borderId="15" xfId="0" applyFont="1" applyFill="1" applyBorder="1" applyAlignment="1">
      <alignment horizontal="center" vertical="center"/>
    </xf>
    <xf numFmtId="0" fontId="17" fillId="14" borderId="17" xfId="0" applyFont="1" applyFill="1" applyBorder="1" applyAlignment="1">
      <alignment horizontal="center" vertical="center"/>
    </xf>
    <xf numFmtId="0" fontId="17" fillId="14" borderId="10" xfId="0" applyFont="1" applyFill="1" applyBorder="1" applyAlignment="1">
      <alignment horizontal="center" vertical="center"/>
    </xf>
    <xf numFmtId="0" fontId="17" fillId="14" borderId="18" xfId="0" applyFont="1" applyFill="1" applyBorder="1" applyAlignment="1">
      <alignment horizontal="center" vertical="center"/>
    </xf>
    <xf numFmtId="0" fontId="50" fillId="6" borderId="91" xfId="0" applyFont="1" applyFill="1" applyBorder="1" applyAlignment="1" applyProtection="1">
      <alignment horizontal="center" vertical="center"/>
      <protection locked="0"/>
    </xf>
    <xf numFmtId="0" fontId="50" fillId="6" borderId="0" xfId="0" applyFont="1" applyFill="1" applyAlignment="1" applyProtection="1">
      <alignment horizontal="center" vertical="center"/>
      <protection locked="0"/>
    </xf>
    <xf numFmtId="0" fontId="17" fillId="48" borderId="17" xfId="0" applyFont="1" applyFill="1" applyBorder="1" applyAlignment="1">
      <alignment horizontal="center" vertical="center"/>
    </xf>
    <xf numFmtId="0" fontId="17" fillId="48" borderId="18" xfId="0" applyFont="1" applyFill="1" applyBorder="1" applyAlignment="1">
      <alignment horizontal="center" vertical="center"/>
    </xf>
    <xf numFmtId="164" fontId="19" fillId="0" borderId="15" xfId="0" applyNumberFormat="1" applyFont="1" applyBorder="1" applyAlignment="1">
      <alignment horizontal="center" vertical="center"/>
    </xf>
    <xf numFmtId="164" fontId="20" fillId="0" borderId="15" xfId="0" applyNumberFormat="1" applyFont="1" applyBorder="1" applyAlignment="1">
      <alignment horizontal="center" vertical="center"/>
    </xf>
    <xf numFmtId="164" fontId="29" fillId="0" borderId="15" xfId="0" applyNumberFormat="1" applyFont="1" applyBorder="1" applyAlignment="1">
      <alignment horizontal="center" vertical="center"/>
    </xf>
    <xf numFmtId="0" fontId="149" fillId="8" borderId="5" xfId="3" applyFont="1" applyFill="1" applyBorder="1" applyAlignment="1" applyProtection="1">
      <alignment horizontal="left" vertical="center" wrapText="1"/>
      <protection locked="0"/>
    </xf>
    <xf numFmtId="164" fontId="80" fillId="0" borderId="17" xfId="0" applyNumberFormat="1" applyFont="1" applyBorder="1" applyAlignment="1">
      <alignment horizontal="center" vertical="center"/>
    </xf>
    <xf numFmtId="164" fontId="80" fillId="0" borderId="18" xfId="0" applyNumberFormat="1" applyFont="1" applyBorder="1" applyAlignment="1">
      <alignment horizontal="center" vertical="center"/>
    </xf>
    <xf numFmtId="0" fontId="64" fillId="11" borderId="64" xfId="0" applyFont="1" applyFill="1" applyBorder="1" applyAlignment="1" applyProtection="1">
      <alignment horizontal="center" vertical="center"/>
      <protection locked="0"/>
    </xf>
    <xf numFmtId="0" fontId="6" fillId="2" borderId="0" xfId="2" applyNumberFormat="1" applyFont="1" applyFill="1" applyAlignment="1" applyProtection="1">
      <alignment horizontal="center" vertical="center"/>
      <protection locked="0"/>
    </xf>
    <xf numFmtId="0" fontId="6" fillId="2" borderId="4" xfId="0" applyFont="1" applyFill="1" applyBorder="1" applyAlignment="1" applyProtection="1">
      <alignment horizontal="center"/>
      <protection locked="0"/>
    </xf>
    <xf numFmtId="44" fontId="0" fillId="0" borderId="5" xfId="1" quotePrefix="1" applyFont="1" applyBorder="1" applyAlignment="1" applyProtection="1">
      <alignment horizontal="center" vertical="center"/>
    </xf>
    <xf numFmtId="44" fontId="52" fillId="0" borderId="5" xfId="1" applyFont="1" applyFill="1" applyBorder="1" applyAlignment="1" applyProtection="1">
      <alignment horizontal="center" vertical="center"/>
    </xf>
    <xf numFmtId="44" fontId="0" fillId="0" borderId="6" xfId="1" applyFont="1" applyFill="1" applyBorder="1" applyAlignment="1" applyProtection="1">
      <alignment horizontal="center" vertical="center"/>
    </xf>
    <xf numFmtId="44" fontId="52" fillId="0" borderId="6" xfId="1" applyFont="1" applyFill="1" applyBorder="1" applyAlignment="1" applyProtection="1">
      <alignment horizontal="center" vertical="center"/>
    </xf>
    <xf numFmtId="0" fontId="16" fillId="55" borderId="5" xfId="0" applyFont="1" applyFill="1" applyBorder="1" applyAlignment="1" applyProtection="1">
      <alignment horizontal="center" vertical="center" wrapText="1"/>
      <protection locked="0"/>
    </xf>
    <xf numFmtId="0" fontId="16" fillId="55" borderId="6" xfId="0" applyFont="1" applyFill="1" applyBorder="1" applyAlignment="1" applyProtection="1">
      <alignment horizontal="center" vertical="center" wrapText="1"/>
      <protection locked="0"/>
    </xf>
    <xf numFmtId="0" fontId="16" fillId="43" borderId="5" xfId="0" applyFont="1" applyFill="1" applyBorder="1" applyAlignment="1" applyProtection="1">
      <alignment horizontal="center" vertical="center" wrapText="1"/>
      <protection locked="0"/>
    </xf>
    <xf numFmtId="0" fontId="16" fillId="43" borderId="6" xfId="0" applyFont="1" applyFill="1" applyBorder="1" applyAlignment="1" applyProtection="1">
      <alignment horizontal="center" vertical="center" wrapText="1"/>
      <protection locked="0"/>
    </xf>
    <xf numFmtId="0" fontId="16" fillId="10" borderId="5" xfId="0" applyFont="1" applyFill="1" applyBorder="1" applyAlignment="1" applyProtection="1">
      <alignment horizontal="center" vertical="center" wrapText="1"/>
      <protection locked="0"/>
    </xf>
    <xf numFmtId="0" fontId="16" fillId="10" borderId="6" xfId="0" applyFont="1" applyFill="1" applyBorder="1" applyAlignment="1" applyProtection="1">
      <alignment horizontal="center" vertical="center" wrapText="1"/>
      <protection locked="0"/>
    </xf>
    <xf numFmtId="0" fontId="0" fillId="0" borderId="1" xfId="0" applyBorder="1"/>
    <xf numFmtId="0" fontId="0" fillId="0" borderId="0" xfId="0"/>
    <xf numFmtId="0" fontId="6" fillId="5" borderId="0" xfId="0" applyFont="1" applyFill="1"/>
    <xf numFmtId="0" fontId="6" fillId="2" borderId="4" xfId="0" applyFont="1" applyFill="1" applyBorder="1" applyAlignment="1">
      <alignment horizontal="left"/>
    </xf>
    <xf numFmtId="0" fontId="6" fillId="4" borderId="0" xfId="0" applyFont="1" applyFill="1"/>
    <xf numFmtId="0" fontId="6" fillId="2" borderId="0" xfId="0" applyFont="1" applyFill="1"/>
    <xf numFmtId="0" fontId="2"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0" fontId="3" fillId="2" borderId="0" xfId="0" applyFont="1" applyFill="1"/>
    <xf numFmtId="44" fontId="45" fillId="0" borderId="65" xfId="1" applyFont="1" applyBorder="1" applyAlignment="1" applyProtection="1">
      <alignment horizontal="center" vertical="center"/>
      <protection locked="0"/>
    </xf>
    <xf numFmtId="44" fontId="45" fillId="0" borderId="66" xfId="1" applyFont="1" applyBorder="1" applyAlignment="1" applyProtection="1">
      <alignment horizontal="center" vertical="center"/>
      <protection locked="0"/>
    </xf>
    <xf numFmtId="44" fontId="45" fillId="0" borderId="26" xfId="1" applyFont="1" applyBorder="1" applyAlignment="1" applyProtection="1">
      <alignment horizontal="center" vertical="center"/>
      <protection locked="0"/>
    </xf>
    <xf numFmtId="44" fontId="45" fillId="0" borderId="67" xfId="1" applyFont="1" applyBorder="1" applyAlignment="1" applyProtection="1">
      <alignment horizontal="center" vertical="center"/>
      <protection locked="0"/>
    </xf>
    <xf numFmtId="44" fontId="45" fillId="0" borderId="39" xfId="1" applyFont="1" applyBorder="1" applyAlignment="1" applyProtection="1">
      <alignment horizontal="center" vertical="center"/>
      <protection locked="0"/>
    </xf>
    <xf numFmtId="44" fontId="45" fillId="0" borderId="68" xfId="1" applyFont="1" applyBorder="1" applyAlignment="1" applyProtection="1">
      <alignment horizontal="center" vertical="center"/>
      <protection locked="0"/>
    </xf>
    <xf numFmtId="44" fontId="29" fillId="0" borderId="65" xfId="1" applyFont="1" applyBorder="1" applyAlignment="1" applyProtection="1">
      <alignment horizontal="center" vertical="center"/>
      <protection locked="0"/>
    </xf>
    <xf numFmtId="44" fontId="29" fillId="0" borderId="66" xfId="1" applyFont="1" applyBorder="1" applyAlignment="1" applyProtection="1">
      <alignment horizontal="center" vertical="center"/>
      <protection locked="0"/>
    </xf>
    <xf numFmtId="44" fontId="29" fillId="0" borderId="26" xfId="1" applyFont="1" applyBorder="1" applyAlignment="1" applyProtection="1">
      <alignment horizontal="center" vertical="center"/>
      <protection locked="0"/>
    </xf>
    <xf numFmtId="44" fontId="29" fillId="0" borderId="67" xfId="1" applyFont="1" applyBorder="1" applyAlignment="1" applyProtection="1">
      <alignment horizontal="center" vertical="center"/>
      <protection locked="0"/>
    </xf>
    <xf numFmtId="44" fontId="29" fillId="0" borderId="39" xfId="1" applyFont="1" applyBorder="1" applyAlignment="1" applyProtection="1">
      <alignment horizontal="center" vertical="center"/>
      <protection locked="0"/>
    </xf>
    <xf numFmtId="44" fontId="29" fillId="0" borderId="68" xfId="1" applyFont="1" applyBorder="1" applyAlignment="1" applyProtection="1">
      <alignment horizontal="center" vertical="center"/>
      <protection locked="0"/>
    </xf>
    <xf numFmtId="44" fontId="25" fillId="0" borderId="65" xfId="1" applyFont="1" applyBorder="1" applyAlignment="1" applyProtection="1">
      <alignment horizontal="center" vertical="center"/>
      <protection locked="0"/>
    </xf>
    <xf numFmtId="44" fontId="25" fillId="0" borderId="69" xfId="1" applyFont="1" applyBorder="1" applyAlignment="1" applyProtection="1">
      <alignment horizontal="center" vertical="center"/>
      <protection locked="0"/>
    </xf>
    <xf numFmtId="44" fontId="25" fillId="0" borderId="26" xfId="1" applyFont="1" applyBorder="1" applyAlignment="1" applyProtection="1">
      <alignment horizontal="center" vertical="center"/>
      <protection locked="0"/>
    </xf>
    <xf numFmtId="44" fontId="25" fillId="0" borderId="70" xfId="1" applyFont="1" applyBorder="1" applyAlignment="1" applyProtection="1">
      <alignment horizontal="center" vertical="center"/>
      <protection locked="0"/>
    </xf>
    <xf numFmtId="44" fontId="25" fillId="0" borderId="39" xfId="1" applyFont="1" applyBorder="1" applyAlignment="1" applyProtection="1">
      <alignment horizontal="center" vertical="center"/>
      <protection locked="0"/>
    </xf>
    <xf numFmtId="44" fontId="25" fillId="0" borderId="71" xfId="1" applyFont="1" applyBorder="1" applyAlignment="1" applyProtection="1">
      <alignment horizontal="center" vertical="center"/>
      <protection locked="0"/>
    </xf>
    <xf numFmtId="10" fontId="25" fillId="0" borderId="72" xfId="2" applyNumberFormat="1" applyFont="1" applyBorder="1" applyAlignment="1" applyProtection="1">
      <alignment horizontal="center" vertical="center"/>
      <protection locked="0"/>
    </xf>
    <xf numFmtId="10" fontId="25" fillId="0" borderId="73" xfId="2" applyNumberFormat="1" applyFont="1" applyBorder="1" applyAlignment="1" applyProtection="1">
      <alignment horizontal="center" vertical="center"/>
      <protection locked="0"/>
    </xf>
    <xf numFmtId="10" fontId="25" fillId="0" borderId="20" xfId="2" applyNumberFormat="1" applyFont="1" applyBorder="1" applyAlignment="1" applyProtection="1">
      <alignment horizontal="center" vertical="center"/>
      <protection locked="0"/>
    </xf>
    <xf numFmtId="10" fontId="25" fillId="0" borderId="70" xfId="2" applyNumberFormat="1" applyFont="1" applyBorder="1" applyAlignment="1" applyProtection="1">
      <alignment horizontal="center" vertical="center"/>
      <protection locked="0"/>
    </xf>
    <xf numFmtId="10" fontId="25" fillId="0" borderId="74" xfId="2" applyNumberFormat="1" applyFont="1" applyBorder="1" applyAlignment="1" applyProtection="1">
      <alignment horizontal="center" vertical="center"/>
      <protection locked="0"/>
    </xf>
    <xf numFmtId="10" fontId="25" fillId="0" borderId="75" xfId="2" applyNumberFormat="1" applyFont="1" applyBorder="1" applyAlignment="1" applyProtection="1">
      <alignment horizontal="center" vertical="center"/>
      <protection locked="0"/>
    </xf>
    <xf numFmtId="166" fontId="20" fillId="0" borderId="65" xfId="1" applyNumberFormat="1" applyFont="1" applyBorder="1" applyAlignment="1" applyProtection="1">
      <alignment horizontal="center" vertical="center"/>
      <protection locked="0"/>
    </xf>
    <xf numFmtId="166" fontId="20" fillId="0" borderId="26" xfId="1" applyNumberFormat="1" applyFont="1" applyBorder="1" applyAlignment="1" applyProtection="1">
      <alignment horizontal="center" vertical="center"/>
      <protection locked="0"/>
    </xf>
    <xf numFmtId="166" fontId="20" fillId="0" borderId="39" xfId="1" applyNumberFormat="1" applyFont="1" applyBorder="1" applyAlignment="1" applyProtection="1">
      <alignment horizontal="center" vertical="center"/>
      <protection locked="0"/>
    </xf>
    <xf numFmtId="164" fontId="80" fillId="0" borderId="19" xfId="0" applyNumberFormat="1" applyFont="1" applyBorder="1" applyAlignment="1">
      <alignment horizontal="center" vertical="center"/>
    </xf>
    <xf numFmtId="164" fontId="80" fillId="0" borderId="90" xfId="0" applyNumberFormat="1" applyFont="1" applyBorder="1" applyAlignment="1">
      <alignment horizontal="center" vertical="center"/>
    </xf>
    <xf numFmtId="164" fontId="80" fillId="0" borderId="64" xfId="0" applyNumberFormat="1" applyFont="1" applyBorder="1" applyAlignment="1">
      <alignment horizontal="center" vertical="center"/>
    </xf>
    <xf numFmtId="0" fontId="36" fillId="6" borderId="25" xfId="0" applyFont="1" applyFill="1" applyBorder="1" applyAlignment="1" applyProtection="1">
      <alignment horizontal="center" vertical="center" wrapText="1"/>
      <protection locked="0"/>
    </xf>
    <xf numFmtId="0" fontId="36" fillId="6" borderId="54" xfId="0" applyFont="1" applyFill="1" applyBorder="1" applyAlignment="1" applyProtection="1">
      <alignment horizontal="center" vertical="center" wrapText="1"/>
      <protection locked="0"/>
    </xf>
    <xf numFmtId="0" fontId="21" fillId="0" borderId="72" xfId="0" applyFont="1" applyBorder="1" applyAlignment="1" applyProtection="1">
      <alignment horizontal="center" vertical="center"/>
      <protection locked="0"/>
    </xf>
    <xf numFmtId="0" fontId="21" fillId="0" borderId="76" xfId="0" applyFont="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74" xfId="0" applyFont="1" applyBorder="1" applyAlignment="1" applyProtection="1">
      <alignment horizontal="center" vertical="center"/>
      <protection locked="0"/>
    </xf>
    <xf numFmtId="0" fontId="21" fillId="0" borderId="77" xfId="0" applyFont="1" applyBorder="1" applyAlignment="1" applyProtection="1">
      <alignment horizontal="center" vertical="center"/>
      <protection locked="0"/>
    </xf>
    <xf numFmtId="0" fontId="130" fillId="21" borderId="78" xfId="0" applyFont="1" applyFill="1" applyBorder="1" applyAlignment="1" applyProtection="1">
      <alignment horizontal="left" vertical="center" wrapText="1"/>
      <protection locked="0"/>
    </xf>
    <xf numFmtId="0" fontId="130" fillId="21" borderId="79" xfId="0" applyFont="1" applyFill="1" applyBorder="1" applyAlignment="1" applyProtection="1">
      <alignment horizontal="left" vertical="center" wrapText="1"/>
      <protection locked="0"/>
    </xf>
    <xf numFmtId="0" fontId="130" fillId="22" borderId="63" xfId="0" applyFont="1" applyFill="1" applyBorder="1" applyAlignment="1" applyProtection="1">
      <alignment horizontal="left" vertical="center" wrapText="1"/>
      <protection locked="0"/>
    </xf>
    <xf numFmtId="0" fontId="130" fillId="22" borderId="55" xfId="0" applyFont="1" applyFill="1" applyBorder="1" applyAlignment="1" applyProtection="1">
      <alignment horizontal="left" vertical="center" wrapText="1"/>
      <protection locked="0"/>
    </xf>
    <xf numFmtId="0" fontId="140" fillId="11" borderId="63" xfId="0" applyFont="1" applyFill="1" applyBorder="1" applyAlignment="1" applyProtection="1">
      <alignment horizontal="left" vertical="center" wrapText="1"/>
      <protection locked="0"/>
    </xf>
    <xf numFmtId="0" fontId="140" fillId="11" borderId="55" xfId="0" applyFont="1" applyFill="1" applyBorder="1" applyAlignment="1" applyProtection="1">
      <alignment horizontal="left" vertical="center" wrapText="1"/>
      <protection locked="0"/>
    </xf>
    <xf numFmtId="0" fontId="6" fillId="25" borderId="25" xfId="0" applyFont="1" applyFill="1" applyBorder="1" applyAlignment="1" applyProtection="1">
      <alignment horizontal="center" vertical="center"/>
      <protection locked="0"/>
    </xf>
    <xf numFmtId="0" fontId="91" fillId="23" borderId="11" xfId="0" applyFont="1" applyFill="1" applyBorder="1" applyAlignment="1">
      <alignment horizontal="center"/>
    </xf>
    <xf numFmtId="0" fontId="91" fillId="23" borderId="44" xfId="0" applyFont="1" applyFill="1" applyBorder="1" applyAlignment="1">
      <alignment horizontal="center"/>
    </xf>
    <xf numFmtId="0" fontId="43" fillId="25" borderId="33" xfId="0" applyFont="1" applyFill="1" applyBorder="1" applyAlignment="1" applyProtection="1">
      <alignment horizontal="center" vertical="center"/>
      <protection locked="0"/>
    </xf>
    <xf numFmtId="0" fontId="44" fillId="9" borderId="23" xfId="0" applyFont="1" applyFill="1" applyBorder="1" applyProtection="1">
      <protection locked="0"/>
    </xf>
    <xf numFmtId="0" fontId="6" fillId="13" borderId="35" xfId="0" applyFont="1" applyFill="1" applyBorder="1" applyAlignment="1" applyProtection="1">
      <alignment horizontal="center" vertical="center"/>
      <protection locked="0"/>
    </xf>
    <xf numFmtId="0" fontId="6" fillId="13" borderId="24" xfId="0" applyFont="1" applyFill="1" applyBorder="1" applyAlignment="1" applyProtection="1">
      <alignment horizontal="center" vertical="center"/>
      <protection locked="0"/>
    </xf>
    <xf numFmtId="0" fontId="6" fillId="13" borderId="36" xfId="0" applyFont="1" applyFill="1" applyBorder="1" applyAlignment="1" applyProtection="1">
      <alignment horizontal="center" vertical="center"/>
      <protection locked="0"/>
    </xf>
    <xf numFmtId="0" fontId="17" fillId="14" borderId="15" xfId="0" applyFont="1" applyFill="1" applyBorder="1" applyAlignment="1" applyProtection="1">
      <alignment horizontal="center" vertical="center"/>
      <protection locked="0"/>
    </xf>
    <xf numFmtId="0" fontId="18" fillId="20" borderId="15" xfId="0" applyFont="1" applyFill="1" applyBorder="1" applyAlignment="1" applyProtection="1">
      <alignment horizontal="center" vertical="center"/>
      <protection locked="0"/>
    </xf>
    <xf numFmtId="0" fontId="27" fillId="16" borderId="17" xfId="0" applyFont="1" applyFill="1" applyBorder="1" applyAlignment="1" applyProtection="1">
      <alignment horizontal="center" vertical="center"/>
      <protection locked="0"/>
    </xf>
    <xf numFmtId="0" fontId="27" fillId="16" borderId="10" xfId="0" applyFont="1" applyFill="1" applyBorder="1" applyAlignment="1" applyProtection="1">
      <alignment horizontal="center" vertical="center"/>
      <protection locked="0"/>
    </xf>
    <xf numFmtId="0" fontId="17" fillId="14" borderId="45" xfId="0" applyFont="1" applyFill="1" applyBorder="1" applyAlignment="1" applyProtection="1">
      <alignment horizontal="center" vertical="center"/>
      <protection locked="0"/>
    </xf>
    <xf numFmtId="0" fontId="17" fillId="14" borderId="46" xfId="0" applyFont="1" applyFill="1" applyBorder="1" applyAlignment="1" applyProtection="1">
      <alignment horizontal="center" vertical="center"/>
      <protection locked="0"/>
    </xf>
    <xf numFmtId="0" fontId="30" fillId="65" borderId="63" xfId="0" applyFont="1" applyFill="1" applyBorder="1" applyAlignment="1" applyProtection="1">
      <alignment horizontal="center" vertical="center"/>
      <protection locked="0"/>
    </xf>
    <xf numFmtId="0" fontId="30" fillId="65" borderId="81" xfId="0" applyFont="1" applyFill="1" applyBorder="1" applyAlignment="1" applyProtection="1">
      <alignment horizontal="center" vertical="center"/>
      <protection locked="0"/>
    </xf>
    <xf numFmtId="0" fontId="30" fillId="65" borderId="55" xfId="0" applyFont="1" applyFill="1" applyBorder="1" applyAlignment="1" applyProtection="1">
      <alignment horizontal="center" vertical="center"/>
      <protection locked="0"/>
    </xf>
    <xf numFmtId="165" fontId="35" fillId="10" borderId="27" xfId="0" applyNumberFormat="1" applyFont="1" applyFill="1" applyBorder="1" applyAlignment="1" applyProtection="1">
      <alignment horizontal="center" vertical="center"/>
      <protection locked="0"/>
    </xf>
    <xf numFmtId="165" fontId="35" fillId="10" borderId="38" xfId="0" applyNumberFormat="1" applyFont="1" applyFill="1" applyBorder="1" applyAlignment="1" applyProtection="1">
      <alignment horizontal="center" vertical="center"/>
      <protection locked="0"/>
    </xf>
    <xf numFmtId="165" fontId="35" fillId="10" borderId="28" xfId="0" applyNumberFormat="1" applyFont="1" applyFill="1" applyBorder="1" applyAlignment="1" applyProtection="1">
      <alignment horizontal="center" vertical="center"/>
      <protection locked="0"/>
    </xf>
    <xf numFmtId="165" fontId="35" fillId="10" borderId="51" xfId="0" applyNumberFormat="1" applyFont="1" applyFill="1" applyBorder="1" applyAlignment="1" applyProtection="1">
      <alignment horizontal="center" vertical="center"/>
      <protection locked="0"/>
    </xf>
    <xf numFmtId="165" fontId="35" fillId="10" borderId="52" xfId="0" applyNumberFormat="1" applyFont="1" applyFill="1" applyBorder="1" applyAlignment="1" applyProtection="1">
      <alignment horizontal="center" vertical="center"/>
      <protection locked="0"/>
    </xf>
    <xf numFmtId="165" fontId="35" fillId="10" borderId="50" xfId="0" applyNumberFormat="1" applyFont="1" applyFill="1" applyBorder="1" applyAlignment="1" applyProtection="1">
      <alignment horizontal="center" vertical="center"/>
      <protection locked="0"/>
    </xf>
    <xf numFmtId="165" fontId="35" fillId="10" borderId="32" xfId="0" applyNumberFormat="1" applyFont="1" applyFill="1" applyBorder="1" applyAlignment="1" applyProtection="1">
      <alignment horizontal="center" vertical="center"/>
      <protection locked="0"/>
    </xf>
    <xf numFmtId="0" fontId="58" fillId="8" borderId="5" xfId="0" applyFont="1" applyFill="1" applyBorder="1" applyAlignment="1" applyProtection="1">
      <alignment horizontal="center" vertical="center"/>
      <protection locked="0"/>
    </xf>
    <xf numFmtId="0" fontId="58" fillId="8" borderId="6" xfId="0" applyFont="1" applyFill="1" applyBorder="1" applyAlignment="1" applyProtection="1">
      <alignment horizontal="center" vertical="center"/>
      <protection locked="0"/>
    </xf>
    <xf numFmtId="0" fontId="52" fillId="8" borderId="5" xfId="0" applyFont="1" applyFill="1" applyBorder="1" applyAlignment="1" applyProtection="1">
      <alignment horizontal="center" vertical="center"/>
      <protection locked="0"/>
    </xf>
    <xf numFmtId="0" fontId="52" fillId="8" borderId="6" xfId="0" applyFont="1" applyFill="1" applyBorder="1" applyAlignment="1" applyProtection="1">
      <alignment horizontal="center" vertical="center"/>
      <protection locked="0"/>
    </xf>
    <xf numFmtId="44" fontId="62" fillId="6" borderId="15" xfId="0" applyNumberFormat="1" applyFont="1" applyFill="1" applyBorder="1" applyAlignment="1" applyProtection="1">
      <alignment horizontal="left"/>
      <protection locked="0"/>
    </xf>
    <xf numFmtId="44" fontId="62" fillId="10" borderId="15" xfId="0" applyNumberFormat="1" applyFont="1" applyFill="1" applyBorder="1" applyAlignment="1" applyProtection="1">
      <alignment horizontal="left"/>
      <protection locked="0"/>
    </xf>
    <xf numFmtId="0" fontId="0" fillId="8" borderId="5" xfId="0" applyFill="1" applyBorder="1" applyAlignment="1" applyProtection="1">
      <alignment horizontal="left" vertical="center" wrapText="1"/>
      <protection locked="0"/>
    </xf>
    <xf numFmtId="0" fontId="0" fillId="8" borderId="6" xfId="0" applyFill="1" applyBorder="1" applyAlignment="1" applyProtection="1">
      <alignment horizontal="left" vertical="center" wrapText="1"/>
      <protection locked="0"/>
    </xf>
    <xf numFmtId="0" fontId="0" fillId="8" borderId="5" xfId="0" applyFill="1" applyBorder="1" applyAlignment="1">
      <alignment horizontal="center" vertical="center"/>
    </xf>
    <xf numFmtId="0" fontId="0" fillId="8" borderId="6" xfId="0" applyFill="1" applyBorder="1" applyAlignment="1">
      <alignment horizontal="center" vertical="center"/>
    </xf>
    <xf numFmtId="44" fontId="0" fillId="8" borderId="5" xfId="1" applyFont="1" applyFill="1" applyBorder="1" applyAlignment="1" applyProtection="1">
      <alignment horizontal="center" vertical="center"/>
    </xf>
    <xf numFmtId="0" fontId="100" fillId="0" borderId="5" xfId="0" applyFont="1" applyBorder="1" applyAlignment="1">
      <alignment horizontal="center" vertical="center"/>
    </xf>
    <xf numFmtId="0" fontId="100" fillId="0" borderId="6" xfId="0" applyFont="1" applyBorder="1" applyAlignment="1">
      <alignment horizontal="center" vertical="center"/>
    </xf>
    <xf numFmtId="44" fontId="100" fillId="0" borderId="5" xfId="1" applyFont="1" applyFill="1" applyBorder="1" applyAlignment="1">
      <alignment horizontal="center" vertical="center"/>
    </xf>
    <xf numFmtId="44" fontId="100" fillId="0" borderId="6" xfId="1" applyFont="1" applyFill="1" applyBorder="1" applyAlignment="1">
      <alignment horizontal="center" vertical="center"/>
    </xf>
    <xf numFmtId="0" fontId="52" fillId="8" borderId="5" xfId="0" applyFont="1" applyFill="1" applyBorder="1" applyAlignment="1">
      <alignment horizontal="center" vertical="center"/>
    </xf>
    <xf numFmtId="0" fontId="52" fillId="8" borderId="6" xfId="0" applyFont="1" applyFill="1" applyBorder="1" applyAlignment="1">
      <alignment horizontal="center" vertical="center"/>
    </xf>
    <xf numFmtId="44" fontId="52" fillId="8" borderId="5" xfId="1" applyFont="1" applyFill="1" applyBorder="1" applyAlignment="1">
      <alignment horizontal="center" vertical="center"/>
    </xf>
    <xf numFmtId="44" fontId="52" fillId="8" borderId="6" xfId="1" applyFont="1" applyFill="1" applyBorder="1" applyAlignment="1">
      <alignment horizontal="center" vertical="center"/>
    </xf>
    <xf numFmtId="9" fontId="52" fillId="0" borderId="5" xfId="2" applyFont="1" applyBorder="1" applyAlignment="1" applyProtection="1">
      <alignment horizontal="center" vertical="center"/>
      <protection locked="0"/>
    </xf>
    <xf numFmtId="9" fontId="52" fillId="0" borderId="6" xfId="2" applyFont="1" applyBorder="1" applyAlignment="1" applyProtection="1">
      <alignment horizontal="center" vertical="center"/>
      <protection locked="0"/>
    </xf>
    <xf numFmtId="9" fontId="101" fillId="0" borderId="5" xfId="2" applyFont="1" applyBorder="1" applyAlignment="1" applyProtection="1">
      <alignment horizontal="center" vertical="center"/>
      <protection locked="0"/>
    </xf>
    <xf numFmtId="9" fontId="101" fillId="0" borderId="6" xfId="2" applyFont="1" applyBorder="1" applyAlignment="1" applyProtection="1">
      <alignment horizontal="center" vertical="center"/>
      <protection locked="0"/>
    </xf>
    <xf numFmtId="0" fontId="52" fillId="0" borderId="5" xfId="0" applyFont="1" applyBorder="1" applyAlignment="1">
      <alignment horizontal="center" vertical="center"/>
    </xf>
    <xf numFmtId="0" fontId="52" fillId="0" borderId="6" xfId="0" applyFont="1" applyBorder="1" applyAlignment="1">
      <alignment horizontal="center" vertical="center"/>
    </xf>
    <xf numFmtId="44" fontId="0" fillId="0" borderId="5" xfId="1" applyFont="1" applyFill="1" applyBorder="1" applyAlignment="1" applyProtection="1">
      <alignment horizontal="center" vertical="center"/>
    </xf>
    <xf numFmtId="9" fontId="0" fillId="10" borderId="5" xfId="2" applyFont="1" applyFill="1" applyBorder="1" applyAlignment="1" applyProtection="1">
      <alignment horizontal="center" vertical="center"/>
      <protection locked="0"/>
    </xf>
    <xf numFmtId="9" fontId="0" fillId="10" borderId="6" xfId="2" applyFont="1" applyFill="1" applyBorder="1" applyAlignment="1" applyProtection="1">
      <alignment horizontal="center" vertical="center"/>
      <protection locked="0"/>
    </xf>
    <xf numFmtId="44" fontId="52" fillId="8" borderId="5" xfId="1" applyFont="1" applyFill="1" applyBorder="1" applyAlignment="1" applyProtection="1">
      <alignment horizontal="center" vertical="center"/>
      <protection locked="0"/>
    </xf>
    <xf numFmtId="44" fontId="52" fillId="8" borderId="6" xfId="1" applyFont="1" applyFill="1" applyBorder="1" applyAlignment="1" applyProtection="1">
      <alignment horizontal="center" vertical="center"/>
      <protection locked="0"/>
    </xf>
    <xf numFmtId="44" fontId="101" fillId="10" borderId="5" xfId="1" applyFont="1" applyFill="1" applyBorder="1" applyAlignment="1" applyProtection="1">
      <alignment horizontal="center" vertical="center"/>
      <protection locked="0"/>
    </xf>
    <xf numFmtId="44" fontId="101" fillId="10" borderId="6" xfId="1" applyFont="1" applyFill="1" applyBorder="1" applyAlignment="1" applyProtection="1">
      <alignment horizontal="center" vertical="center"/>
      <protection locked="0"/>
    </xf>
    <xf numFmtId="0" fontId="52" fillId="10" borderId="5" xfId="0" applyFont="1" applyFill="1" applyBorder="1" applyAlignment="1">
      <alignment horizontal="center" vertical="center"/>
    </xf>
    <xf numFmtId="0" fontId="52" fillId="10" borderId="6" xfId="0" applyFont="1" applyFill="1" applyBorder="1" applyAlignment="1">
      <alignment horizontal="center" vertical="center"/>
    </xf>
    <xf numFmtId="44" fontId="52" fillId="0" borderId="5" xfId="1" applyFont="1" applyFill="1" applyBorder="1" applyAlignment="1">
      <alignment horizontal="center" vertical="center"/>
    </xf>
    <xf numFmtId="44" fontId="52" fillId="0" borderId="6" xfId="1" applyFont="1" applyFill="1" applyBorder="1" applyAlignment="1">
      <alignment horizontal="center" vertical="center"/>
    </xf>
    <xf numFmtId="44" fontId="58" fillId="10" borderId="5" xfId="1" applyFont="1" applyFill="1" applyBorder="1" applyAlignment="1" applyProtection="1">
      <alignment horizontal="center" vertical="center"/>
      <protection locked="0"/>
    </xf>
    <xf numFmtId="44" fontId="58" fillId="10" borderId="6" xfId="1" applyFont="1" applyFill="1" applyBorder="1" applyAlignment="1" applyProtection="1">
      <alignment horizontal="center" vertical="center"/>
      <protection locked="0"/>
    </xf>
    <xf numFmtId="0" fontId="11" fillId="9" borderId="4" xfId="0" applyFont="1" applyFill="1" applyBorder="1" applyAlignment="1" applyProtection="1">
      <alignment horizontal="center"/>
      <protection locked="0"/>
    </xf>
    <xf numFmtId="9" fontId="52" fillId="8" borderId="5" xfId="2" applyFont="1" applyFill="1" applyBorder="1" applyAlignment="1" applyProtection="1">
      <alignment horizontal="center" vertical="center"/>
      <protection locked="0"/>
    </xf>
    <xf numFmtId="9" fontId="52" fillId="8" borderId="6" xfId="2" applyFont="1" applyFill="1" applyBorder="1" applyAlignment="1" applyProtection="1">
      <alignment horizontal="center" vertical="center"/>
      <protection locked="0"/>
    </xf>
    <xf numFmtId="0" fontId="11" fillId="9" borderId="4" xfId="0" applyFont="1" applyFill="1" applyBorder="1" applyAlignment="1" applyProtection="1">
      <alignment horizontal="center" vertical="center"/>
      <protection locked="0"/>
    </xf>
    <xf numFmtId="44" fontId="98" fillId="8" borderId="5" xfId="1" applyFont="1" applyFill="1" applyBorder="1" applyAlignment="1" applyProtection="1">
      <alignment horizontal="center" vertical="center"/>
      <protection locked="0"/>
    </xf>
    <xf numFmtId="9" fontId="52" fillId="0" borderId="5" xfId="2" applyFont="1" applyFill="1" applyBorder="1" applyAlignment="1" applyProtection="1">
      <alignment horizontal="center" vertical="center"/>
      <protection locked="0"/>
    </xf>
    <xf numFmtId="9" fontId="52" fillId="0" borderId="6" xfId="2" applyFont="1" applyFill="1" applyBorder="1" applyAlignment="1" applyProtection="1">
      <alignment horizontal="center" vertical="center"/>
      <protection locked="0"/>
    </xf>
    <xf numFmtId="44" fontId="58" fillId="8" borderId="5" xfId="1" applyFont="1" applyFill="1" applyBorder="1" applyAlignment="1" applyProtection="1">
      <alignment horizontal="center" vertical="center"/>
      <protection locked="0"/>
    </xf>
    <xf numFmtId="44" fontId="58" fillId="8" borderId="6" xfId="1" applyFont="1" applyFill="1" applyBorder="1" applyAlignment="1" applyProtection="1">
      <alignment horizontal="center" vertical="center"/>
      <protection locked="0"/>
    </xf>
    <xf numFmtId="0" fontId="0" fillId="63" borderId="5" xfId="0" applyFill="1" applyBorder="1" applyAlignment="1">
      <alignment horizontal="center" vertical="center"/>
    </xf>
    <xf numFmtId="0" fontId="0" fillId="63" borderId="6" xfId="0" applyFill="1" applyBorder="1" applyAlignment="1">
      <alignment horizontal="center" vertical="center"/>
    </xf>
    <xf numFmtId="44" fontId="0" fillId="63" borderId="5" xfId="1" applyFont="1" applyFill="1" applyBorder="1" applyAlignment="1" applyProtection="1">
      <alignment horizontal="center" vertical="center"/>
    </xf>
    <xf numFmtId="44" fontId="0" fillId="63" borderId="6" xfId="1" applyFont="1" applyFill="1" applyBorder="1" applyAlignment="1" applyProtection="1">
      <alignment horizontal="center" vertical="center"/>
    </xf>
    <xf numFmtId="44" fontId="0" fillId="63" borderId="5" xfId="1" applyFont="1" applyFill="1" applyBorder="1" applyAlignment="1">
      <alignment horizontal="center" vertical="center" wrapText="1"/>
    </xf>
    <xf numFmtId="44" fontId="0" fillId="63" borderId="6" xfId="1" applyFont="1" applyFill="1" applyBorder="1" applyAlignment="1">
      <alignment horizontal="center" vertical="center" wrapText="1"/>
    </xf>
    <xf numFmtId="44" fontId="58" fillId="0" borderId="5" xfId="1" applyFont="1" applyBorder="1" applyAlignment="1" applyProtection="1">
      <alignment horizontal="center" vertical="center"/>
      <protection locked="0"/>
    </xf>
    <xf numFmtId="44" fontId="58" fillId="0" borderId="6" xfId="1" applyFont="1" applyBorder="1" applyAlignment="1" applyProtection="1">
      <alignment horizontal="center" vertical="center"/>
      <protection locked="0"/>
    </xf>
    <xf numFmtId="17" fontId="101" fillId="0" borderId="5" xfId="0" applyNumberFormat="1" applyFont="1" applyBorder="1" applyAlignment="1" applyProtection="1">
      <alignment horizontal="center" vertical="center" wrapText="1"/>
      <protection locked="0"/>
    </xf>
    <xf numFmtId="17" fontId="101" fillId="0" borderId="6" xfId="0" applyNumberFormat="1" applyFont="1" applyBorder="1" applyAlignment="1" applyProtection="1">
      <alignment horizontal="center" vertical="center" wrapText="1"/>
      <protection locked="0"/>
    </xf>
    <xf numFmtId="44" fontId="101" fillId="0" borderId="5" xfId="1" applyFont="1" applyBorder="1" applyAlignment="1" applyProtection="1">
      <alignment horizontal="center" vertical="center"/>
      <protection locked="0"/>
    </xf>
    <xf numFmtId="44" fontId="101" fillId="0" borderId="6" xfId="1" applyFont="1" applyBorder="1" applyAlignment="1" applyProtection="1">
      <alignment horizontal="center" vertical="center"/>
      <protection locked="0"/>
    </xf>
    <xf numFmtId="17" fontId="0" fillId="0" borderId="5" xfId="1" applyNumberFormat="1" applyFont="1" applyFill="1" applyBorder="1" applyAlignment="1" applyProtection="1">
      <alignment horizontal="center" vertical="center"/>
      <protection locked="0"/>
    </xf>
    <xf numFmtId="44" fontId="99" fillId="0" borderId="5" xfId="1" applyFont="1" applyFill="1" applyBorder="1" applyAlignment="1" applyProtection="1">
      <alignment horizontal="center" vertical="center"/>
      <protection locked="0"/>
    </xf>
    <xf numFmtId="44" fontId="58" fillId="0" borderId="6" xfId="1" applyFont="1" applyFill="1" applyBorder="1" applyAlignment="1" applyProtection="1">
      <alignment horizontal="center" vertical="center"/>
      <protection locked="0"/>
    </xf>
    <xf numFmtId="0" fontId="90" fillId="8" borderId="6" xfId="0" applyFont="1" applyFill="1" applyBorder="1" applyAlignment="1" applyProtection="1">
      <alignment horizontal="left" vertical="center" wrapText="1"/>
      <protection locked="0"/>
    </xf>
    <xf numFmtId="0" fontId="90" fillId="0" borderId="6" xfId="0" applyFont="1" applyBorder="1" applyAlignment="1" applyProtection="1">
      <alignment horizontal="left" vertical="center" wrapText="1"/>
      <protection locked="0"/>
    </xf>
    <xf numFmtId="0" fontId="52" fillId="0" borderId="5" xfId="0" applyFont="1" applyBorder="1" applyAlignment="1" applyProtection="1">
      <alignment horizontal="center" vertical="center"/>
      <protection locked="0"/>
    </xf>
    <xf numFmtId="0" fontId="52" fillId="0" borderId="6" xfId="0" applyFont="1" applyBorder="1" applyAlignment="1" applyProtection="1">
      <alignment horizontal="center" vertical="center"/>
      <protection locked="0"/>
    </xf>
    <xf numFmtId="0" fontId="0" fillId="0" borderId="5"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58" fillId="8" borderId="5" xfId="0" applyFont="1" applyFill="1" applyBorder="1" applyAlignment="1" applyProtection="1">
      <alignment vertical="center" wrapText="1"/>
      <protection locked="0"/>
    </xf>
    <xf numFmtId="0" fontId="58" fillId="8" borderId="6" xfId="0" applyFont="1" applyFill="1" applyBorder="1" applyAlignment="1" applyProtection="1">
      <alignment vertical="center" wrapText="1"/>
      <protection locked="0"/>
    </xf>
    <xf numFmtId="9" fontId="0" fillId="0" borderId="5" xfId="2" applyFont="1" applyBorder="1" applyAlignment="1" applyProtection="1">
      <alignment horizontal="center" vertical="center" wrapText="1"/>
      <protection locked="0"/>
    </xf>
    <xf numFmtId="9" fontId="0" fillId="0" borderId="6" xfId="2" applyFont="1" applyBorder="1" applyAlignment="1" applyProtection="1">
      <alignment horizontal="center" vertical="center" wrapText="1"/>
      <protection locked="0"/>
    </xf>
    <xf numFmtId="0" fontId="101" fillId="0" borderId="5" xfId="0" applyFont="1" applyBorder="1" applyAlignment="1" applyProtection="1">
      <alignment vertical="center" wrapText="1"/>
      <protection locked="0"/>
    </xf>
    <xf numFmtId="0" fontId="101" fillId="0" borderId="6" xfId="0" applyFont="1" applyBorder="1" applyAlignment="1" applyProtection="1">
      <alignment vertical="center" wrapText="1"/>
      <protection locked="0"/>
    </xf>
    <xf numFmtId="0" fontId="101" fillId="0" borderId="5" xfId="0" applyFont="1" applyBorder="1" applyAlignment="1" applyProtection="1">
      <alignment horizontal="left" vertical="center" wrapText="1"/>
      <protection locked="0"/>
    </xf>
    <xf numFmtId="0" fontId="101" fillId="0" borderId="6" xfId="0" applyFont="1" applyBorder="1" applyAlignment="1" applyProtection="1">
      <alignment horizontal="left" vertical="center" wrapText="1"/>
      <protection locked="0"/>
    </xf>
    <xf numFmtId="0" fontId="101" fillId="0" borderId="5" xfId="0" applyFont="1" applyBorder="1" applyAlignment="1" applyProtection="1">
      <alignment horizontal="center" vertical="center" wrapText="1"/>
      <protection locked="0"/>
    </xf>
    <xf numFmtId="0" fontId="101" fillId="0" borderId="6" xfId="0" applyFont="1" applyBorder="1" applyAlignment="1" applyProtection="1">
      <alignment horizontal="center" vertical="center" wrapText="1"/>
      <protection locked="0"/>
    </xf>
    <xf numFmtId="44" fontId="0" fillId="8" borderId="6" xfId="1" applyFont="1" applyFill="1" applyBorder="1" applyAlignment="1">
      <alignment horizontal="center" vertical="center"/>
    </xf>
    <xf numFmtId="0" fontId="58" fillId="0" borderId="5" xfId="0" applyFont="1" applyBorder="1" applyAlignment="1" applyProtection="1">
      <alignment vertical="center" wrapText="1"/>
      <protection locked="0"/>
    </xf>
    <xf numFmtId="0" fontId="58" fillId="0" borderId="6" xfId="0" applyFont="1" applyBorder="1" applyAlignment="1" applyProtection="1">
      <alignment vertical="center" wrapText="1"/>
      <protection locked="0"/>
    </xf>
    <xf numFmtId="0" fontId="102" fillId="0" borderId="5" xfId="3" applyFont="1" applyBorder="1" applyAlignment="1" applyProtection="1">
      <alignment horizontal="left" vertical="center" wrapText="1"/>
      <protection locked="0"/>
    </xf>
    <xf numFmtId="0" fontId="102" fillId="0" borderId="6" xfId="0" applyFont="1" applyBorder="1" applyAlignment="1" applyProtection="1">
      <alignment horizontal="left" vertical="center" wrapText="1"/>
      <protection locked="0"/>
    </xf>
    <xf numFmtId="0" fontId="52" fillId="10" borderId="5" xfId="0" applyFont="1" applyFill="1" applyBorder="1" applyAlignment="1" applyProtection="1">
      <alignment horizontal="center" vertical="center"/>
      <protection locked="0"/>
    </xf>
    <xf numFmtId="0" fontId="52" fillId="10" borderId="6" xfId="0" applyFont="1" applyFill="1" applyBorder="1" applyAlignment="1" applyProtection="1">
      <alignment horizontal="center" vertical="center"/>
      <protection locked="0"/>
    </xf>
    <xf numFmtId="0" fontId="100" fillId="0" borderId="5" xfId="0" applyFont="1" applyBorder="1" applyAlignment="1" applyProtection="1">
      <alignment horizontal="center" vertical="center"/>
      <protection locked="0"/>
    </xf>
    <xf numFmtId="0" fontId="100" fillId="0" borderId="6" xfId="0" applyFont="1" applyBorder="1" applyAlignment="1" applyProtection="1">
      <alignment horizontal="center" vertical="center"/>
      <protection locked="0"/>
    </xf>
    <xf numFmtId="0" fontId="93" fillId="8" borderId="6" xfId="0" applyFont="1" applyFill="1" applyBorder="1" applyAlignment="1" applyProtection="1">
      <alignment horizontal="left" vertical="center" wrapText="1"/>
      <protection locked="0"/>
    </xf>
    <xf numFmtId="165" fontId="35" fillId="10" borderId="27" xfId="0" applyNumberFormat="1" applyFont="1" applyFill="1" applyBorder="1" applyAlignment="1">
      <alignment horizontal="center" vertical="center"/>
    </xf>
    <xf numFmtId="165" fontId="35" fillId="10" borderId="28" xfId="0" applyNumberFormat="1" applyFont="1" applyFill="1" applyBorder="1" applyAlignment="1">
      <alignment horizontal="center" vertical="center"/>
    </xf>
    <xf numFmtId="0" fontId="27" fillId="16" borderId="15" xfId="0" applyFont="1" applyFill="1" applyBorder="1" applyAlignment="1" applyProtection="1">
      <alignment horizontal="center" vertical="center"/>
      <protection locked="0"/>
    </xf>
    <xf numFmtId="164" fontId="26" fillId="0" borderId="15" xfId="0" applyNumberFormat="1" applyFont="1" applyBorder="1" applyAlignment="1" applyProtection="1">
      <alignment horizontal="center" vertical="center"/>
      <protection locked="0"/>
    </xf>
    <xf numFmtId="0" fontId="53" fillId="8" borderId="5" xfId="0" applyFont="1" applyFill="1" applyBorder="1" applyAlignment="1" applyProtection="1">
      <alignment horizontal="left" vertical="center" wrapText="1"/>
      <protection locked="0"/>
    </xf>
    <xf numFmtId="176" fontId="0" fillId="8" borderId="5" xfId="1" applyNumberFormat="1" applyFont="1" applyFill="1" applyBorder="1" applyAlignment="1" applyProtection="1">
      <alignment horizontal="center" vertical="center"/>
      <protection locked="0"/>
    </xf>
    <xf numFmtId="176" fontId="0" fillId="8" borderId="6" xfId="1" applyNumberFormat="1" applyFont="1" applyFill="1" applyBorder="1" applyAlignment="1" applyProtection="1">
      <alignment horizontal="center" vertical="center"/>
      <protection locked="0"/>
    </xf>
    <xf numFmtId="0" fontId="6" fillId="12" borderId="16" xfId="0" applyFont="1" applyFill="1" applyBorder="1" applyAlignment="1" applyProtection="1">
      <alignment horizontal="center" vertical="center"/>
      <protection locked="0"/>
    </xf>
    <xf numFmtId="0" fontId="6" fillId="25" borderId="105" xfId="0" applyFont="1" applyFill="1" applyBorder="1" applyAlignment="1" applyProtection="1">
      <alignment horizontal="center" vertical="center"/>
      <protection locked="0"/>
    </xf>
    <xf numFmtId="0" fontId="6" fillId="25" borderId="40" xfId="0" applyFont="1" applyFill="1" applyBorder="1" applyAlignment="1" applyProtection="1">
      <alignment horizontal="center" vertical="center"/>
      <protection locked="0"/>
    </xf>
    <xf numFmtId="10" fontId="25" fillId="0" borderId="17" xfId="2" applyNumberFormat="1" applyFont="1" applyBorder="1" applyAlignment="1" applyProtection="1">
      <alignment horizontal="center" vertical="center"/>
      <protection locked="0"/>
    </xf>
    <xf numFmtId="10" fontId="25" fillId="0" borderId="18" xfId="2" applyNumberFormat="1" applyFont="1" applyBorder="1" applyAlignment="1" applyProtection="1">
      <alignment horizontal="center" vertical="center"/>
      <protection locked="0"/>
    </xf>
    <xf numFmtId="0" fontId="17" fillId="14" borderId="17" xfId="0" applyFont="1" applyFill="1" applyBorder="1" applyAlignment="1" applyProtection="1">
      <alignment horizontal="center" vertical="center"/>
      <protection locked="0"/>
    </xf>
    <xf numFmtId="0" fontId="17" fillId="14" borderId="18" xfId="0" applyFont="1" applyFill="1" applyBorder="1" applyAlignment="1" applyProtection="1">
      <alignment horizontal="center" vertical="center"/>
      <protection locked="0"/>
    </xf>
    <xf numFmtId="0" fontId="21" fillId="0" borderId="17" xfId="0" applyFont="1" applyBorder="1" applyAlignment="1" applyProtection="1">
      <alignment horizontal="center" vertical="center"/>
      <protection locked="0"/>
    </xf>
    <xf numFmtId="0" fontId="21" fillId="0" borderId="18" xfId="0" applyFont="1" applyBorder="1" applyAlignment="1" applyProtection="1">
      <alignment horizontal="center" vertical="center"/>
      <protection locked="0"/>
    </xf>
    <xf numFmtId="0" fontId="64" fillId="11" borderId="39" xfId="0" applyFont="1" applyFill="1" applyBorder="1" applyAlignment="1" applyProtection="1">
      <alignment horizontal="center" vertical="center"/>
      <protection locked="0"/>
    </xf>
    <xf numFmtId="0" fontId="64" fillId="11" borderId="16" xfId="0" applyFont="1" applyFill="1" applyBorder="1" applyAlignment="1" applyProtection="1">
      <alignment horizontal="center" vertical="center"/>
      <protection locked="0"/>
    </xf>
    <xf numFmtId="0" fontId="64" fillId="11" borderId="68" xfId="0" applyFont="1" applyFill="1" applyBorder="1" applyAlignment="1" applyProtection="1">
      <alignment horizontal="center" vertical="center"/>
      <protection locked="0"/>
    </xf>
    <xf numFmtId="0" fontId="34" fillId="6" borderId="100" xfId="0" applyFont="1" applyFill="1" applyBorder="1" applyAlignment="1" applyProtection="1">
      <alignment horizontal="center" vertical="center" wrapText="1"/>
      <protection locked="0"/>
    </xf>
    <xf numFmtId="0" fontId="34" fillId="6" borderId="101" xfId="0" applyFont="1" applyFill="1" applyBorder="1" applyAlignment="1" applyProtection="1">
      <alignment horizontal="center" vertical="center" wrapText="1"/>
      <protection locked="0"/>
    </xf>
    <xf numFmtId="165" fontId="35" fillId="10" borderId="100" xfId="0" applyNumberFormat="1" applyFont="1" applyFill="1" applyBorder="1" applyAlignment="1" applyProtection="1">
      <alignment horizontal="center" vertical="center"/>
      <protection locked="0"/>
    </xf>
    <xf numFmtId="165" fontId="35" fillId="10" borderId="101" xfId="0" applyNumberFormat="1" applyFont="1" applyFill="1" applyBorder="1" applyAlignment="1" applyProtection="1">
      <alignment horizontal="center" vertical="center"/>
      <protection locked="0"/>
    </xf>
    <xf numFmtId="0" fontId="34" fillId="6" borderId="27" xfId="0" applyFont="1" applyFill="1" applyBorder="1" applyAlignment="1" applyProtection="1">
      <alignment horizontal="center" vertical="center" wrapText="1"/>
      <protection locked="0"/>
    </xf>
    <xf numFmtId="0" fontId="34" fillId="6" borderId="28" xfId="0" applyFont="1" applyFill="1" applyBorder="1" applyAlignment="1" applyProtection="1">
      <alignment horizontal="center" vertical="center" wrapText="1"/>
      <protection locked="0"/>
    </xf>
    <xf numFmtId="0" fontId="6" fillId="12" borderId="106" xfId="0" applyFont="1" applyFill="1" applyBorder="1" applyAlignment="1" applyProtection="1">
      <alignment horizontal="center" vertical="center"/>
      <protection locked="0"/>
    </xf>
    <xf numFmtId="164" fontId="19" fillId="0" borderId="15" xfId="0" applyNumberFormat="1" applyFont="1" applyBorder="1" applyAlignment="1" applyProtection="1">
      <alignment horizontal="center" vertical="center"/>
      <protection locked="0"/>
    </xf>
    <xf numFmtId="164" fontId="29" fillId="0" borderId="15" xfId="0" applyNumberFormat="1" applyFont="1" applyBorder="1" applyAlignment="1" applyProtection="1">
      <alignment horizontal="center" vertical="center"/>
      <protection locked="0"/>
    </xf>
    <xf numFmtId="0" fontId="0" fillId="10" borderId="0" xfId="0" applyFill="1" applyProtection="1">
      <protection locked="0"/>
    </xf>
    <xf numFmtId="9" fontId="6" fillId="2" borderId="0" xfId="2" applyFont="1" applyFill="1" applyBorder="1" applyAlignment="1" applyProtection="1">
      <alignment horizontal="left" vertical="center"/>
      <protection locked="0"/>
    </xf>
    <xf numFmtId="9" fontId="6" fillId="2" borderId="0" xfId="2" applyFont="1" applyFill="1" applyAlignment="1" applyProtection="1">
      <alignment horizontal="left" vertical="center"/>
      <protection locked="0"/>
    </xf>
    <xf numFmtId="9" fontId="6" fillId="2" borderId="0" xfId="2" applyFont="1" applyFill="1" applyBorder="1" applyAlignment="1" applyProtection="1">
      <alignment horizontal="center" vertical="center"/>
      <protection locked="0"/>
    </xf>
    <xf numFmtId="44" fontId="52" fillId="8" borderId="6" xfId="1" applyFont="1" applyFill="1" applyBorder="1" applyAlignment="1" applyProtection="1">
      <alignment horizontal="center" vertical="center"/>
    </xf>
    <xf numFmtId="9" fontId="0" fillId="0" borderId="5" xfId="2" applyFont="1" applyFill="1" applyBorder="1" applyAlignment="1" applyProtection="1">
      <alignment horizontal="center" vertical="center"/>
      <protection locked="0"/>
    </xf>
    <xf numFmtId="9" fontId="0" fillId="0" borderId="6" xfId="2" applyFont="1" applyFill="1" applyBorder="1" applyAlignment="1" applyProtection="1">
      <alignment horizontal="center" vertical="center"/>
      <protection locked="0"/>
    </xf>
    <xf numFmtId="9" fontId="52" fillId="10" borderId="5" xfId="2" applyFont="1" applyFill="1" applyBorder="1" applyAlignment="1" applyProtection="1">
      <alignment horizontal="center" vertical="center"/>
      <protection locked="0"/>
    </xf>
    <xf numFmtId="9" fontId="52" fillId="10" borderId="6" xfId="2" applyFont="1" applyFill="1" applyBorder="1" applyAlignment="1" applyProtection="1">
      <alignment horizontal="center" vertical="center"/>
      <protection locked="0"/>
    </xf>
    <xf numFmtId="0" fontId="58" fillId="8" borderId="5" xfId="0" applyFont="1" applyFill="1" applyBorder="1" applyAlignment="1" applyProtection="1">
      <alignment horizontal="left" vertical="center" wrapText="1"/>
      <protection locked="0"/>
    </xf>
    <xf numFmtId="0" fontId="58" fillId="8" borderId="6" xfId="0" applyFont="1" applyFill="1" applyBorder="1" applyAlignment="1" applyProtection="1">
      <alignment horizontal="left" vertical="center" wrapText="1"/>
      <protection locked="0"/>
    </xf>
    <xf numFmtId="0" fontId="0" fillId="10" borderId="5" xfId="0" applyFill="1" applyBorder="1" applyAlignment="1" applyProtection="1">
      <alignment horizontal="left" vertical="center" wrapText="1"/>
      <protection locked="0"/>
    </xf>
    <xf numFmtId="0" fontId="0" fillId="10" borderId="6" xfId="0" applyFill="1" applyBorder="1" applyAlignment="1" applyProtection="1">
      <alignment horizontal="left" vertical="center" wrapText="1"/>
      <protection locked="0"/>
    </xf>
    <xf numFmtId="9" fontId="98" fillId="0" borderId="5" xfId="2" applyFont="1" applyBorder="1" applyAlignment="1" applyProtection="1">
      <alignment horizontal="center" vertical="center"/>
      <protection locked="0"/>
    </xf>
    <xf numFmtId="17" fontId="0" fillId="10" borderId="5" xfId="1" applyNumberFormat="1" applyFont="1" applyFill="1" applyBorder="1" applyAlignment="1" applyProtection="1">
      <alignment horizontal="center" vertical="center"/>
      <protection locked="0"/>
    </xf>
    <xf numFmtId="0" fontId="52" fillId="55" borderId="5" xfId="0" applyFont="1" applyFill="1" applyBorder="1" applyAlignment="1">
      <alignment horizontal="center" vertical="center"/>
    </xf>
    <xf numFmtId="0" fontId="52" fillId="55" borderId="6" xfId="0" applyFont="1" applyFill="1" applyBorder="1" applyAlignment="1">
      <alignment horizontal="center" vertical="center"/>
    </xf>
    <xf numFmtId="44" fontId="52" fillId="55" borderId="5" xfId="1" applyFont="1" applyFill="1" applyBorder="1" applyAlignment="1" applyProtection="1">
      <alignment horizontal="center" vertical="center"/>
    </xf>
    <xf numFmtId="44" fontId="52" fillId="55" borderId="6" xfId="1" applyFont="1" applyFill="1" applyBorder="1" applyAlignment="1" applyProtection="1">
      <alignment horizontal="center" vertical="center"/>
    </xf>
    <xf numFmtId="0" fontId="31" fillId="0" borderId="5" xfId="3" quotePrefix="1" applyBorder="1" applyAlignment="1" applyProtection="1">
      <alignment horizontal="left" vertical="center" wrapText="1"/>
      <protection locked="0"/>
    </xf>
    <xf numFmtId="173" fontId="100" fillId="0" borderId="5" xfId="0" applyNumberFormat="1" applyFont="1" applyBorder="1" applyAlignment="1" applyProtection="1">
      <alignment horizontal="center" vertical="center" wrapText="1"/>
      <protection locked="0"/>
    </xf>
    <xf numFmtId="173" fontId="100" fillId="0" borderId="6" xfId="0" applyNumberFormat="1" applyFont="1" applyBorder="1" applyAlignment="1" applyProtection="1">
      <alignment horizontal="center" vertical="center" wrapText="1"/>
      <protection locked="0"/>
    </xf>
    <xf numFmtId="0" fontId="100" fillId="10" borderId="5" xfId="0" applyFont="1" applyFill="1" applyBorder="1" applyAlignment="1" applyProtection="1">
      <alignment horizontal="center" vertical="center" wrapText="1"/>
      <protection locked="0"/>
    </xf>
    <xf numFmtId="0" fontId="100" fillId="10" borderId="6" xfId="0" applyFont="1" applyFill="1" applyBorder="1" applyAlignment="1" applyProtection="1">
      <alignment horizontal="center" vertical="center" wrapText="1"/>
      <protection locked="0"/>
    </xf>
    <xf numFmtId="9" fontId="58" fillId="8" borderId="5" xfId="2" applyFont="1" applyFill="1" applyBorder="1" applyAlignment="1" applyProtection="1">
      <alignment horizontal="center" vertical="center"/>
      <protection locked="0"/>
    </xf>
    <xf numFmtId="9" fontId="58" fillId="8" borderId="6" xfId="2" applyFont="1" applyFill="1" applyBorder="1" applyAlignment="1" applyProtection="1">
      <alignment horizontal="center" vertical="center"/>
      <protection locked="0"/>
    </xf>
    <xf numFmtId="44" fontId="1" fillId="8" borderId="5" xfId="1" applyFont="1" applyFill="1" applyBorder="1" applyAlignment="1" applyProtection="1">
      <alignment horizontal="center" vertical="center"/>
      <protection locked="0"/>
    </xf>
    <xf numFmtId="44" fontId="1" fillId="8" borderId="6" xfId="1" applyFont="1" applyFill="1" applyBorder="1" applyAlignment="1" applyProtection="1">
      <alignment horizontal="center" vertical="center"/>
      <protection locked="0"/>
    </xf>
    <xf numFmtId="0" fontId="58" fillId="0" borderId="5" xfId="0" applyFont="1" applyBorder="1" applyAlignment="1" applyProtection="1">
      <alignment horizontal="left" vertical="center" wrapText="1"/>
      <protection locked="0"/>
    </xf>
    <xf numFmtId="0" fontId="58" fillId="0" borderId="6" xfId="0" applyFont="1" applyBorder="1" applyAlignment="1" applyProtection="1">
      <alignment horizontal="left" vertical="center" wrapText="1"/>
      <protection locked="0"/>
    </xf>
    <xf numFmtId="44" fontId="1" fillId="0" borderId="5" xfId="1" applyFont="1" applyBorder="1" applyAlignment="1" applyProtection="1">
      <alignment horizontal="center" vertical="center"/>
      <protection locked="0"/>
    </xf>
    <xf numFmtId="44" fontId="1" fillId="0" borderId="6" xfId="1" applyFont="1" applyBorder="1" applyAlignment="1" applyProtection="1">
      <alignment horizontal="center" vertical="center"/>
      <protection locked="0"/>
    </xf>
    <xf numFmtId="44" fontId="0" fillId="55" borderId="6" xfId="1" applyFont="1" applyFill="1" applyBorder="1" applyAlignment="1" applyProtection="1">
      <alignment horizontal="center" vertical="center"/>
    </xf>
    <xf numFmtId="17" fontId="51" fillId="55" borderId="6" xfId="0" applyNumberFormat="1" applyFont="1" applyFill="1" applyBorder="1" applyAlignment="1">
      <alignment horizontal="center" vertical="center" wrapText="1"/>
    </xf>
    <xf numFmtId="0" fontId="58" fillId="0" borderId="5" xfId="0" applyFont="1" applyBorder="1" applyAlignment="1" applyProtection="1">
      <alignment horizontal="center" vertical="center"/>
      <protection locked="0"/>
    </xf>
    <xf numFmtId="0" fontId="58" fillId="0" borderId="6" xfId="0" applyFont="1" applyBorder="1" applyAlignment="1" applyProtection="1">
      <alignment horizontal="center" vertical="center"/>
      <protection locked="0"/>
    </xf>
    <xf numFmtId="44" fontId="52" fillId="0" borderId="5" xfId="1" applyFont="1" applyBorder="1" applyAlignment="1" applyProtection="1">
      <alignment horizontal="center" vertical="center"/>
    </xf>
    <xf numFmtId="44" fontId="52" fillId="0" borderId="6" xfId="1" applyFont="1" applyBorder="1" applyAlignment="1" applyProtection="1">
      <alignment horizontal="center" vertical="center"/>
    </xf>
    <xf numFmtId="17" fontId="52" fillId="8" borderId="6" xfId="0" applyNumberFormat="1" applyFont="1" applyFill="1" applyBorder="1" applyAlignment="1">
      <alignment horizontal="center" vertical="center" wrapText="1"/>
    </xf>
    <xf numFmtId="17" fontId="52" fillId="63" borderId="5" xfId="0" applyNumberFormat="1" applyFont="1" applyFill="1" applyBorder="1" applyAlignment="1">
      <alignment horizontal="center" vertical="center" wrapText="1"/>
    </xf>
    <xf numFmtId="17" fontId="0" fillId="63" borderId="6" xfId="0" applyNumberFormat="1" applyFill="1" applyBorder="1" applyAlignment="1">
      <alignment horizontal="center" vertical="center" wrapText="1"/>
    </xf>
    <xf numFmtId="17" fontId="52" fillId="62" borderId="5" xfId="0" applyNumberFormat="1" applyFont="1" applyFill="1" applyBorder="1" applyAlignment="1">
      <alignment horizontal="center" vertical="center" wrapText="1"/>
    </xf>
    <xf numFmtId="17" fontId="52" fillId="62" borderId="6" xfId="0" applyNumberFormat="1" applyFont="1" applyFill="1" applyBorder="1" applyAlignment="1">
      <alignment horizontal="center" vertical="center" wrapText="1"/>
    </xf>
    <xf numFmtId="0" fontId="51" fillId="0" borderId="5" xfId="0" applyFont="1" applyBorder="1" applyAlignment="1" applyProtection="1">
      <alignment horizontal="left" vertical="center" wrapText="1"/>
      <protection locked="0"/>
    </xf>
    <xf numFmtId="0" fontId="51" fillId="0" borderId="6" xfId="0" applyFont="1" applyBorder="1" applyAlignment="1" applyProtection="1">
      <alignment horizontal="left" vertical="center" wrapText="1"/>
      <protection locked="0"/>
    </xf>
    <xf numFmtId="0" fontId="52" fillId="8" borderId="5" xfId="0" applyFont="1" applyFill="1" applyBorder="1" applyAlignment="1" applyProtection="1">
      <alignment vertical="center" wrapText="1"/>
      <protection locked="0"/>
    </xf>
    <xf numFmtId="0" fontId="52" fillId="8" borderId="6" xfId="0" applyFont="1" applyFill="1" applyBorder="1" applyAlignment="1" applyProtection="1">
      <alignment vertical="center" wrapText="1"/>
      <protection locked="0"/>
    </xf>
    <xf numFmtId="16" fontId="31" fillId="0" borderId="5" xfId="3" applyNumberFormat="1" applyBorder="1" applyAlignment="1" applyProtection="1">
      <alignment horizontal="left" vertical="center" wrapText="1"/>
      <protection locked="0"/>
    </xf>
    <xf numFmtId="0" fontId="52" fillId="0" borderId="5" xfId="0" applyFont="1" applyBorder="1" applyAlignment="1" applyProtection="1">
      <alignment vertical="center" wrapText="1"/>
      <protection locked="0"/>
    </xf>
    <xf numFmtId="0" fontId="52" fillId="0" borderId="6" xfId="0" applyFont="1" applyBorder="1" applyAlignment="1" applyProtection="1">
      <alignment vertical="center" wrapText="1"/>
      <protection locked="0"/>
    </xf>
    <xf numFmtId="0" fontId="51" fillId="8" borderId="5" xfId="0" applyFont="1" applyFill="1" applyBorder="1" applyAlignment="1" applyProtection="1">
      <alignment vertical="center" wrapText="1"/>
      <protection locked="0"/>
    </xf>
    <xf numFmtId="0" fontId="70" fillId="8" borderId="5" xfId="0" applyFont="1" applyFill="1" applyBorder="1" applyAlignment="1" applyProtection="1">
      <alignment vertical="center" wrapText="1"/>
      <protection locked="0"/>
    </xf>
    <xf numFmtId="0" fontId="51" fillId="8" borderId="6" xfId="0" applyFont="1" applyFill="1" applyBorder="1" applyAlignment="1" applyProtection="1">
      <alignment vertical="center" wrapText="1"/>
      <protection locked="0"/>
    </xf>
    <xf numFmtId="44" fontId="51" fillId="8" borderId="5" xfId="1" applyFont="1" applyFill="1" applyBorder="1" applyAlignment="1" applyProtection="1">
      <alignment horizontal="center" vertical="center"/>
      <protection locked="0"/>
    </xf>
    <xf numFmtId="44" fontId="51" fillId="8" borderId="6" xfId="1" applyFont="1" applyFill="1" applyBorder="1" applyAlignment="1" applyProtection="1">
      <alignment horizontal="center" vertical="center"/>
      <protection locked="0"/>
    </xf>
    <xf numFmtId="0" fontId="64" fillId="11" borderId="94" xfId="0" applyFont="1" applyFill="1" applyBorder="1" applyAlignment="1" applyProtection="1">
      <alignment horizontal="center" vertical="center"/>
      <protection locked="0"/>
    </xf>
    <xf numFmtId="0" fontId="64" fillId="11" borderId="95" xfId="0" applyFont="1" applyFill="1" applyBorder="1" applyAlignment="1" applyProtection="1">
      <alignment horizontal="center" vertical="center"/>
      <protection locked="0"/>
    </xf>
    <xf numFmtId="0" fontId="64" fillId="11" borderId="96" xfId="0" applyFont="1" applyFill="1" applyBorder="1" applyAlignment="1" applyProtection="1">
      <alignment horizontal="center" vertical="center"/>
      <protection locked="0"/>
    </xf>
    <xf numFmtId="0" fontId="69" fillId="46" borderId="92" xfId="0" applyFont="1" applyFill="1" applyBorder="1" applyAlignment="1" applyProtection="1">
      <alignment horizontal="center"/>
      <protection locked="0"/>
    </xf>
    <xf numFmtId="0" fontId="69" fillId="46" borderId="93" xfId="0" applyFont="1" applyFill="1" applyBorder="1" applyAlignment="1" applyProtection="1">
      <alignment horizontal="center"/>
      <protection locked="0"/>
    </xf>
    <xf numFmtId="17" fontId="70" fillId="8" borderId="5" xfId="0" applyNumberFormat="1" applyFont="1" applyFill="1" applyBorder="1" applyAlignment="1">
      <alignment horizontal="center" vertical="center" wrapText="1"/>
    </xf>
    <xf numFmtId="17" fontId="70" fillId="8" borderId="6" xfId="0" applyNumberFormat="1" applyFont="1" applyFill="1" applyBorder="1" applyAlignment="1">
      <alignment horizontal="center" vertical="center" wrapText="1"/>
    </xf>
    <xf numFmtId="0" fontId="52" fillId="43" borderId="5" xfId="0" applyFont="1" applyFill="1" applyBorder="1" applyAlignment="1">
      <alignment horizontal="center" vertical="center"/>
    </xf>
    <xf numFmtId="0" fontId="52" fillId="43" borderId="6" xfId="0" applyFont="1" applyFill="1" applyBorder="1" applyAlignment="1">
      <alignment horizontal="center" vertical="center"/>
    </xf>
    <xf numFmtId="44" fontId="70" fillId="8" borderId="5" xfId="1" applyFont="1" applyFill="1" applyBorder="1" applyAlignment="1" applyProtection="1">
      <alignment horizontal="center" vertical="center"/>
    </xf>
    <xf numFmtId="44" fontId="70" fillId="8" borderId="6" xfId="1" applyFont="1" applyFill="1" applyBorder="1" applyAlignment="1" applyProtection="1">
      <alignment horizontal="center" vertical="center"/>
    </xf>
    <xf numFmtId="0" fontId="78" fillId="0" borderId="5" xfId="0" applyFont="1" applyBorder="1" applyAlignment="1">
      <alignment horizontal="center" vertical="center"/>
    </xf>
    <xf numFmtId="0" fontId="78" fillId="0" borderId="6" xfId="0" applyFont="1" applyBorder="1" applyAlignment="1">
      <alignment horizontal="center" vertical="center"/>
    </xf>
    <xf numFmtId="44" fontId="78" fillId="0" borderId="5" xfId="1" applyFont="1" applyBorder="1" applyAlignment="1" applyProtection="1">
      <alignment horizontal="center" vertical="center"/>
    </xf>
    <xf numFmtId="44" fontId="78" fillId="0" borderId="6" xfId="1" applyFont="1" applyBorder="1" applyAlignment="1" applyProtection="1">
      <alignment horizontal="center" vertical="center"/>
    </xf>
    <xf numFmtId="17" fontId="78" fillId="8" borderId="5" xfId="0" applyNumberFormat="1" applyFont="1" applyFill="1" applyBorder="1" applyAlignment="1">
      <alignment horizontal="center" vertical="center" wrapText="1"/>
    </xf>
    <xf numFmtId="17" fontId="78" fillId="8" borderId="6" xfId="0" applyNumberFormat="1" applyFont="1" applyFill="1" applyBorder="1" applyAlignment="1">
      <alignment horizontal="center" vertical="center" wrapText="1"/>
    </xf>
    <xf numFmtId="0" fontId="52" fillId="62" borderId="5" xfId="0" applyFont="1" applyFill="1" applyBorder="1" applyAlignment="1">
      <alignment horizontal="center" vertical="center"/>
    </xf>
    <xf numFmtId="0" fontId="52" fillId="62" borderId="6" xfId="0" applyFont="1" applyFill="1" applyBorder="1" applyAlignment="1">
      <alignment horizontal="center" vertical="center"/>
    </xf>
    <xf numFmtId="44" fontId="52" fillId="63" borderId="5" xfId="1" applyFont="1" applyFill="1" applyBorder="1" applyAlignment="1" applyProtection="1">
      <alignment horizontal="center" vertical="center"/>
    </xf>
    <xf numFmtId="44" fontId="78" fillId="8" borderId="5" xfId="1" applyFont="1" applyFill="1" applyBorder="1" applyAlignment="1" applyProtection="1">
      <alignment horizontal="center" vertical="center"/>
    </xf>
    <xf numFmtId="44" fontId="78" fillId="8" borderId="6" xfId="1" applyFont="1" applyFill="1" applyBorder="1" applyAlignment="1" applyProtection="1">
      <alignment horizontal="center" vertical="center"/>
    </xf>
    <xf numFmtId="44" fontId="0" fillId="0" borderId="5" xfId="1" applyFont="1" applyFill="1" applyBorder="1" applyAlignment="1" applyProtection="1">
      <alignment horizontal="center" vertical="center" wrapText="1"/>
      <protection locked="0"/>
    </xf>
    <xf numFmtId="44" fontId="0" fillId="0" borderId="6" xfId="1" applyFont="1" applyFill="1" applyBorder="1" applyAlignment="1" applyProtection="1">
      <alignment horizontal="center" vertical="center" wrapText="1"/>
      <protection locked="0"/>
    </xf>
    <xf numFmtId="0" fontId="6" fillId="2" borderId="14" xfId="0" applyFont="1" applyFill="1" applyBorder="1" applyAlignment="1" applyProtection="1">
      <alignment horizontal="center"/>
      <protection locked="0"/>
    </xf>
    <xf numFmtId="0" fontId="6" fillId="2" borderId="14" xfId="0" applyFont="1" applyFill="1" applyBorder="1" applyAlignment="1" applyProtection="1">
      <alignment horizontal="left"/>
      <protection locked="0"/>
    </xf>
    <xf numFmtId="44" fontId="0" fillId="55" borderId="5" xfId="1" applyFont="1" applyFill="1" applyBorder="1" applyAlignment="1" applyProtection="1">
      <alignment horizontal="center" vertical="center"/>
    </xf>
    <xf numFmtId="44" fontId="62" fillId="42" borderId="15" xfId="0" applyNumberFormat="1" applyFont="1" applyFill="1" applyBorder="1" applyAlignment="1" applyProtection="1">
      <alignment horizontal="left"/>
      <protection locked="0"/>
    </xf>
    <xf numFmtId="44" fontId="62" fillId="56" borderId="15" xfId="0" applyNumberFormat="1" applyFont="1" applyFill="1" applyBorder="1" applyAlignment="1" applyProtection="1">
      <alignment horizontal="left"/>
      <protection locked="0"/>
    </xf>
    <xf numFmtId="44" fontId="62" fillId="42" borderId="17" xfId="0" applyNumberFormat="1" applyFont="1" applyFill="1" applyBorder="1" applyAlignment="1" applyProtection="1">
      <alignment horizontal="left"/>
      <protection locked="0"/>
    </xf>
    <xf numFmtId="44" fontId="62" fillId="42" borderId="10" xfId="0" applyNumberFormat="1" applyFont="1" applyFill="1" applyBorder="1" applyAlignment="1" applyProtection="1">
      <alignment horizontal="left"/>
      <protection locked="0"/>
    </xf>
    <xf numFmtId="44" fontId="62" fillId="42" borderId="18" xfId="0" applyNumberFormat="1" applyFont="1" applyFill="1" applyBorder="1" applyAlignment="1" applyProtection="1">
      <alignment horizontal="left"/>
      <protection locked="0"/>
    </xf>
    <xf numFmtId="17" fontId="0" fillId="8" borderId="5" xfId="0" applyNumberFormat="1" applyFill="1" applyBorder="1" applyAlignment="1">
      <alignment horizontal="center" vertical="center" wrapText="1"/>
    </xf>
    <xf numFmtId="0" fontId="31" fillId="0" borderId="6" xfId="3" applyBorder="1" applyAlignment="1" applyProtection="1">
      <alignment horizontal="left" vertical="center" wrapText="1"/>
      <protection locked="0"/>
    </xf>
    <xf numFmtId="0" fontId="0" fillId="55" borderId="5" xfId="0" applyFill="1" applyBorder="1" applyAlignment="1">
      <alignment horizontal="center" vertical="center"/>
    </xf>
    <xf numFmtId="0" fontId="0" fillId="55" borderId="6" xfId="0" applyFill="1" applyBorder="1" applyAlignment="1">
      <alignment horizontal="center" vertical="center"/>
    </xf>
    <xf numFmtId="44" fontId="58" fillId="0" borderId="5" xfId="1" applyFont="1" applyFill="1" applyBorder="1" applyAlignment="1" applyProtection="1">
      <alignment horizontal="center" vertical="center"/>
      <protection locked="0"/>
    </xf>
    <xf numFmtId="17" fontId="0" fillId="10" borderId="5" xfId="0" applyNumberFormat="1" applyFill="1" applyBorder="1" applyAlignment="1">
      <alignment horizontal="center" vertical="center" wrapText="1"/>
    </xf>
    <xf numFmtId="44" fontId="0" fillId="10" borderId="5" xfId="1" applyFont="1" applyFill="1" applyBorder="1" applyAlignment="1" applyProtection="1">
      <alignment horizontal="center" vertical="center"/>
    </xf>
    <xf numFmtId="44" fontId="55" fillId="10" borderId="5" xfId="1" applyFont="1" applyFill="1" applyBorder="1" applyAlignment="1" applyProtection="1">
      <alignment horizontal="center" vertical="center"/>
      <protection locked="0"/>
    </xf>
    <xf numFmtId="44" fontId="55" fillId="10" borderId="6" xfId="1" applyFont="1" applyFill="1" applyBorder="1" applyAlignment="1" applyProtection="1">
      <alignment horizontal="center" vertical="center"/>
      <protection locked="0"/>
    </xf>
    <xf numFmtId="44" fontId="52" fillId="0" borderId="5" xfId="1" applyFont="1" applyBorder="1" applyAlignment="1">
      <alignment horizontal="center" vertical="center"/>
    </xf>
    <xf numFmtId="44" fontId="52" fillId="0" borderId="6" xfId="1" applyFont="1" applyBorder="1" applyAlignment="1">
      <alignment horizontal="center" vertical="center"/>
    </xf>
    <xf numFmtId="44" fontId="70" fillId="0" borderId="5" xfId="1" applyFont="1" applyFill="1" applyBorder="1" applyAlignment="1" applyProtection="1">
      <alignment horizontal="center" vertical="center"/>
      <protection locked="0"/>
    </xf>
    <xf numFmtId="44" fontId="70" fillId="0" borderId="6" xfId="1" applyFont="1" applyFill="1" applyBorder="1" applyAlignment="1" applyProtection="1">
      <alignment horizontal="center" vertical="center"/>
      <protection locked="0"/>
    </xf>
    <xf numFmtId="17" fontId="0" fillId="55" borderId="5" xfId="0" applyNumberFormat="1" applyFill="1" applyBorder="1" applyAlignment="1">
      <alignment horizontal="center" vertical="center" wrapText="1"/>
    </xf>
    <xf numFmtId="17" fontId="0" fillId="55" borderId="6" xfId="0" applyNumberFormat="1" applyFill="1" applyBorder="1" applyAlignment="1">
      <alignment horizontal="center" vertical="center" wrapText="1"/>
    </xf>
    <xf numFmtId="44" fontId="62" fillId="68" borderId="15" xfId="0" applyNumberFormat="1" applyFont="1" applyFill="1" applyBorder="1" applyAlignment="1" applyProtection="1">
      <alignment horizontal="left"/>
      <protection locked="0"/>
    </xf>
    <xf numFmtId="17" fontId="0" fillId="8" borderId="5" xfId="1" applyNumberFormat="1" applyFont="1" applyFill="1" applyBorder="1" applyAlignment="1" applyProtection="1">
      <alignment horizontal="center" vertical="center"/>
      <protection locked="0"/>
    </xf>
    <xf numFmtId="44" fontId="70" fillId="62" borderId="5" xfId="1" applyFont="1" applyFill="1" applyBorder="1" applyAlignment="1" applyProtection="1">
      <alignment horizontal="center" vertical="center"/>
      <protection locked="0"/>
    </xf>
    <xf numFmtId="44" fontId="70" fillId="62" borderId="6" xfId="1" applyFont="1" applyFill="1" applyBorder="1" applyAlignment="1" applyProtection="1">
      <alignment horizontal="center" vertical="center"/>
      <protection locked="0"/>
    </xf>
    <xf numFmtId="173" fontId="0" fillId="10" borderId="5" xfId="0" applyNumberFormat="1" applyFill="1" applyBorder="1" applyAlignment="1" applyProtection="1">
      <alignment horizontal="center" vertical="center" wrapText="1"/>
      <protection locked="0"/>
    </xf>
    <xf numFmtId="173" fontId="0" fillId="10" borderId="6" xfId="0" applyNumberFormat="1" applyFill="1" applyBorder="1" applyAlignment="1" applyProtection="1">
      <alignment horizontal="center" vertical="center" wrapText="1"/>
      <protection locked="0"/>
    </xf>
    <xf numFmtId="44" fontId="1" fillId="10" borderId="5" xfId="1" applyFont="1" applyFill="1" applyBorder="1" applyAlignment="1" applyProtection="1">
      <alignment horizontal="center" vertical="center"/>
      <protection locked="0"/>
    </xf>
    <xf numFmtId="44" fontId="1" fillId="10" borderId="6" xfId="1" applyFont="1" applyFill="1" applyBorder="1" applyAlignment="1" applyProtection="1">
      <alignment horizontal="center" vertical="center"/>
      <protection locked="0"/>
    </xf>
    <xf numFmtId="173" fontId="0" fillId="0" borderId="5" xfId="0" applyNumberFormat="1" applyBorder="1" applyAlignment="1" applyProtection="1">
      <alignment horizontal="center" vertical="center" wrapText="1"/>
      <protection locked="0"/>
    </xf>
    <xf numFmtId="173" fontId="0" fillId="0" borderId="6" xfId="0" applyNumberFormat="1" applyBorder="1" applyAlignment="1" applyProtection="1">
      <alignment horizontal="center" vertical="center" wrapText="1"/>
      <protection locked="0"/>
    </xf>
    <xf numFmtId="9" fontId="0" fillId="0" borderId="5" xfId="2" applyFont="1" applyFill="1" applyBorder="1" applyAlignment="1" applyProtection="1">
      <alignment horizontal="center" vertical="center" wrapText="1"/>
      <protection locked="0"/>
    </xf>
    <xf numFmtId="9" fontId="0" fillId="0" borderId="6" xfId="2" applyFont="1" applyFill="1" applyBorder="1" applyAlignment="1" applyProtection="1">
      <alignment horizontal="center" vertical="center" wrapText="1"/>
      <protection locked="0"/>
    </xf>
    <xf numFmtId="44" fontId="97" fillId="0" borderId="5" xfId="1" applyFont="1" applyBorder="1" applyAlignment="1" applyProtection="1">
      <alignment horizontal="center" vertical="center"/>
      <protection locked="0"/>
    </xf>
    <xf numFmtId="0" fontId="31" fillId="8" borderId="5" xfId="4" applyFill="1" applyBorder="1" applyAlignment="1" applyProtection="1">
      <alignment horizontal="left" vertical="center" wrapText="1"/>
      <protection locked="0"/>
    </xf>
    <xf numFmtId="0" fontId="134" fillId="2" borderId="0" xfId="0" applyFont="1" applyFill="1" applyAlignment="1" applyProtection="1">
      <alignment horizontal="center"/>
      <protection locked="0"/>
    </xf>
    <xf numFmtId="0" fontId="134" fillId="2" borderId="14" xfId="0" applyFont="1" applyFill="1" applyBorder="1" applyAlignment="1" applyProtection="1">
      <alignment horizontal="left"/>
      <protection locked="0"/>
    </xf>
    <xf numFmtId="0" fontId="103" fillId="0" borderId="5" xfId="0" applyFont="1" applyBorder="1" applyAlignment="1" applyProtection="1">
      <alignment vertical="center" wrapText="1"/>
      <protection locked="0"/>
    </xf>
    <xf numFmtId="0" fontId="51" fillId="0" borderId="5" xfId="0" applyFont="1" applyBorder="1" applyAlignment="1" applyProtection="1">
      <alignment vertical="center" wrapText="1"/>
      <protection locked="0"/>
    </xf>
    <xf numFmtId="0" fontId="133" fillId="8" borderId="5" xfId="0" applyFont="1" applyFill="1" applyBorder="1" applyAlignment="1" applyProtection="1">
      <alignment vertical="center" wrapText="1"/>
      <protection locked="0"/>
    </xf>
    <xf numFmtId="0" fontId="51" fillId="42" borderId="5" xfId="0" applyFont="1" applyFill="1" applyBorder="1" applyAlignment="1" applyProtection="1">
      <alignment vertical="center" wrapText="1"/>
      <protection locked="0"/>
    </xf>
    <xf numFmtId="0" fontId="103" fillId="8" borderId="5" xfId="0" applyFont="1" applyFill="1" applyBorder="1" applyAlignment="1" applyProtection="1">
      <alignment vertical="center" wrapText="1"/>
      <protection locked="0"/>
    </xf>
    <xf numFmtId="0" fontId="129" fillId="8" borderId="5" xfId="0" applyFont="1" applyFill="1" applyBorder="1" applyAlignment="1" applyProtection="1">
      <alignment horizontal="center" vertical="center" wrapText="1"/>
      <protection locked="0"/>
    </xf>
    <xf numFmtId="0" fontId="129" fillId="8" borderId="6" xfId="0" applyFont="1" applyFill="1" applyBorder="1" applyAlignment="1" applyProtection="1">
      <alignment horizontal="center" vertical="center" wrapText="1"/>
      <protection locked="0"/>
    </xf>
    <xf numFmtId="0" fontId="0" fillId="42" borderId="5" xfId="0" applyFill="1" applyBorder="1" applyAlignment="1" applyProtection="1">
      <alignment vertical="center" wrapText="1"/>
      <protection locked="0"/>
    </xf>
    <xf numFmtId="0" fontId="31" fillId="8" borderId="6" xfId="3" applyFill="1" applyBorder="1" applyAlignment="1" applyProtection="1">
      <alignment horizontal="left" vertical="center" wrapText="1"/>
      <protection locked="0"/>
    </xf>
    <xf numFmtId="44" fontId="52" fillId="8" borderId="5" xfId="1" applyFont="1" applyFill="1" applyBorder="1" applyAlignment="1" applyProtection="1">
      <alignment horizontal="center" vertical="center" wrapText="1"/>
    </xf>
    <xf numFmtId="10" fontId="26" fillId="0" borderId="15" xfId="2" applyNumberFormat="1" applyFont="1" applyBorder="1" applyAlignment="1" applyProtection="1">
      <alignment horizontal="center" vertical="center"/>
      <protection locked="0"/>
    </xf>
    <xf numFmtId="0" fontId="49" fillId="11" borderId="39" xfId="0" applyFont="1" applyFill="1" applyBorder="1" applyAlignment="1" applyProtection="1">
      <alignment horizontal="center" vertical="center"/>
      <protection locked="0"/>
    </xf>
    <xf numFmtId="165" fontId="35" fillId="10" borderId="107" xfId="0" applyNumberFormat="1" applyFont="1" applyFill="1" applyBorder="1" applyAlignment="1" applyProtection="1">
      <alignment horizontal="center" vertical="center"/>
      <protection locked="0"/>
    </xf>
    <xf numFmtId="165" fontId="35" fillId="10" borderId="108" xfId="0" applyNumberFormat="1" applyFont="1" applyFill="1" applyBorder="1" applyAlignment="1" applyProtection="1">
      <alignment horizontal="center" vertical="center"/>
      <protection locked="0"/>
    </xf>
    <xf numFmtId="17" fontId="16" fillId="60" borderId="5" xfId="0" applyNumberFormat="1" applyFont="1" applyFill="1" applyBorder="1" applyAlignment="1">
      <alignment horizontal="center" vertical="center" wrapText="1"/>
    </xf>
    <xf numFmtId="17" fontId="16" fillId="60" borderId="6" xfId="0" applyNumberFormat="1" applyFont="1" applyFill="1" applyBorder="1" applyAlignment="1">
      <alignment horizontal="center" vertical="center" wrapText="1"/>
    </xf>
    <xf numFmtId="17" fontId="0" fillId="0" borderId="6" xfId="1" applyNumberFormat="1" applyFont="1" applyBorder="1" applyAlignment="1" applyProtection="1">
      <alignment horizontal="center" vertical="center"/>
      <protection locked="0"/>
    </xf>
    <xf numFmtId="0" fontId="0" fillId="10" borderId="11" xfId="0" applyFill="1" applyBorder="1" applyAlignment="1" applyProtection="1">
      <alignment horizontal="left" vertical="center"/>
      <protection locked="0"/>
    </xf>
    <xf numFmtId="0" fontId="0" fillId="10" borderId="44" xfId="0" applyFill="1" applyBorder="1" applyAlignment="1" applyProtection="1">
      <alignment horizontal="left" vertical="center"/>
      <protection locked="0"/>
    </xf>
    <xf numFmtId="0" fontId="0" fillId="8" borderId="11" xfId="0" applyFill="1" applyBorder="1" applyAlignment="1" applyProtection="1">
      <alignment horizontal="left" vertical="center"/>
      <protection locked="0"/>
    </xf>
    <xf numFmtId="0" fontId="0" fillId="8" borderId="44" xfId="0" applyFill="1" applyBorder="1" applyAlignment="1" applyProtection="1">
      <alignment horizontal="left" vertical="center"/>
      <protection locked="0"/>
    </xf>
    <xf numFmtId="0" fontId="0" fillId="8" borderId="11" xfId="0" applyFill="1" applyBorder="1" applyAlignment="1" applyProtection="1">
      <alignment horizontal="center" vertical="center"/>
      <protection locked="0"/>
    </xf>
    <xf numFmtId="0" fontId="0" fillId="8" borderId="44" xfId="0" applyFill="1" applyBorder="1" applyAlignment="1" applyProtection="1">
      <alignment horizontal="center" vertical="center"/>
      <protection locked="0"/>
    </xf>
    <xf numFmtId="0" fontId="0" fillId="10" borderId="11" xfId="0" applyFill="1" applyBorder="1" applyAlignment="1" applyProtection="1">
      <alignment horizontal="center" vertical="center"/>
      <protection locked="0"/>
    </xf>
    <xf numFmtId="0" fontId="0" fillId="10" borderId="44" xfId="0" applyFill="1" applyBorder="1" applyAlignment="1" applyProtection="1">
      <alignment horizontal="center" vertical="center"/>
      <protection locked="0"/>
    </xf>
    <xf numFmtId="0" fontId="147" fillId="8" borderId="11" xfId="0" applyFont="1" applyFill="1" applyBorder="1" applyAlignment="1" applyProtection="1">
      <alignment horizontal="center" vertical="center"/>
      <protection locked="0"/>
    </xf>
    <xf numFmtId="0" fontId="147" fillId="8" borderId="44" xfId="0" applyFont="1" applyFill="1" applyBorder="1" applyAlignment="1" applyProtection="1">
      <alignment horizontal="center" vertical="center"/>
      <protection locked="0"/>
    </xf>
    <xf numFmtId="0" fontId="0" fillId="8" borderId="13" xfId="0" applyFill="1" applyBorder="1" applyAlignment="1" applyProtection="1">
      <alignment horizontal="left" vertical="center"/>
      <protection locked="0"/>
    </xf>
    <xf numFmtId="9" fontId="120" fillId="0" borderId="5" xfId="2" applyFont="1" applyBorder="1" applyAlignment="1" applyProtection="1">
      <alignment horizontal="center" vertical="center"/>
      <protection locked="0"/>
    </xf>
    <xf numFmtId="9" fontId="120" fillId="0" borderId="6" xfId="2" applyFont="1" applyBorder="1" applyAlignment="1" applyProtection="1">
      <alignment horizontal="center" vertical="center"/>
      <protection locked="0"/>
    </xf>
    <xf numFmtId="17" fontId="127" fillId="8" borderId="5" xfId="0" applyNumberFormat="1" applyFont="1" applyFill="1" applyBorder="1" applyAlignment="1" applyProtection="1">
      <alignment horizontal="center" vertical="center" wrapText="1"/>
      <protection locked="0"/>
    </xf>
    <xf numFmtId="17" fontId="127" fillId="8" borderId="6" xfId="0" applyNumberFormat="1" applyFont="1" applyFill="1" applyBorder="1" applyAlignment="1" applyProtection="1">
      <alignment horizontal="center" vertical="center" wrapText="1"/>
      <protection locked="0"/>
    </xf>
    <xf numFmtId="44" fontId="71" fillId="8" borderId="5" xfId="1" applyFont="1" applyFill="1" applyBorder="1" applyAlignment="1" applyProtection="1">
      <alignment horizontal="center" vertical="center"/>
      <protection locked="0"/>
    </xf>
    <xf numFmtId="44" fontId="71" fillId="8" borderId="6" xfId="1" applyFont="1" applyFill="1" applyBorder="1" applyAlignment="1" applyProtection="1">
      <alignment horizontal="center" vertical="center"/>
      <protection locked="0"/>
    </xf>
    <xf numFmtId="9" fontId="71" fillId="8" borderId="5" xfId="2" applyFont="1" applyFill="1" applyBorder="1" applyAlignment="1" applyProtection="1">
      <alignment horizontal="center" vertical="center"/>
      <protection locked="0"/>
    </xf>
    <xf numFmtId="9" fontId="71" fillId="8" borderId="6" xfId="2" applyFont="1" applyFill="1" applyBorder="1" applyAlignment="1" applyProtection="1">
      <alignment horizontal="center" vertical="center"/>
      <protection locked="0"/>
    </xf>
    <xf numFmtId="9" fontId="69" fillId="8" borderId="5" xfId="2" applyFont="1" applyFill="1" applyBorder="1" applyAlignment="1" applyProtection="1">
      <alignment horizontal="center" vertical="center"/>
      <protection locked="0"/>
    </xf>
    <xf numFmtId="9" fontId="69" fillId="8" borderId="6" xfId="2" applyFont="1" applyFill="1" applyBorder="1" applyAlignment="1" applyProtection="1">
      <alignment horizontal="center" vertical="center"/>
      <protection locked="0"/>
    </xf>
    <xf numFmtId="0" fontId="71" fillId="8" borderId="5" xfId="0" applyFont="1" applyFill="1" applyBorder="1" applyAlignment="1" applyProtection="1">
      <alignment horizontal="center" vertical="center" wrapText="1"/>
      <protection locked="0"/>
    </xf>
    <xf numFmtId="0" fontId="71" fillId="8" borderId="6" xfId="0" applyFont="1" applyFill="1" applyBorder="1" applyAlignment="1" applyProtection="1">
      <alignment horizontal="center" vertical="center" wrapText="1"/>
      <protection locked="0"/>
    </xf>
    <xf numFmtId="0" fontId="120" fillId="10" borderId="5" xfId="0" applyFont="1" applyFill="1" applyBorder="1" applyAlignment="1" applyProtection="1">
      <alignment horizontal="center" vertical="center" wrapText="1"/>
      <protection locked="0"/>
    </xf>
    <xf numFmtId="0" fontId="120" fillId="10" borderId="6" xfId="0" applyFont="1" applyFill="1" applyBorder="1" applyAlignment="1" applyProtection="1">
      <alignment horizontal="center" vertical="center" wrapText="1"/>
      <protection locked="0"/>
    </xf>
    <xf numFmtId="173" fontId="120" fillId="0" borderId="5" xfId="0" applyNumberFormat="1" applyFont="1" applyBorder="1" applyAlignment="1" applyProtection="1">
      <alignment horizontal="center" vertical="center" wrapText="1"/>
      <protection locked="0"/>
    </xf>
    <xf numFmtId="173" fontId="120" fillId="0" borderId="6" xfId="0" applyNumberFormat="1" applyFont="1" applyBorder="1" applyAlignment="1" applyProtection="1">
      <alignment horizontal="center" vertical="center" wrapText="1"/>
      <protection locked="0"/>
    </xf>
    <xf numFmtId="44" fontId="70" fillId="44" borderId="5" xfId="1" applyFont="1" applyFill="1" applyBorder="1" applyAlignment="1" applyProtection="1">
      <alignment horizontal="center" vertical="center"/>
      <protection locked="0"/>
    </xf>
    <xf numFmtId="44" fontId="70" fillId="44" borderId="6" xfId="1" applyFont="1" applyFill="1" applyBorder="1" applyAlignment="1" applyProtection="1">
      <alignment horizontal="center" vertical="center"/>
      <protection locked="0"/>
    </xf>
    <xf numFmtId="17" fontId="124" fillId="8" borderId="5" xfId="0" applyNumberFormat="1" applyFont="1" applyFill="1" applyBorder="1" applyAlignment="1" applyProtection="1">
      <alignment horizontal="center" vertical="center" wrapText="1"/>
      <protection locked="0"/>
    </xf>
    <xf numFmtId="17" fontId="124" fillId="8" borderId="6" xfId="0" applyNumberFormat="1" applyFont="1" applyFill="1" applyBorder="1" applyAlignment="1" applyProtection="1">
      <alignment horizontal="center" vertical="center" wrapText="1"/>
      <protection locked="0"/>
    </xf>
    <xf numFmtId="44" fontId="124" fillId="8" borderId="5" xfId="1" applyFont="1" applyFill="1" applyBorder="1" applyAlignment="1" applyProtection="1">
      <alignment horizontal="center" vertical="center"/>
      <protection locked="0"/>
    </xf>
    <xf numFmtId="44" fontId="124" fillId="8" borderId="6" xfId="1" applyFont="1" applyFill="1" applyBorder="1" applyAlignment="1" applyProtection="1">
      <alignment horizontal="center" vertical="center"/>
      <protection locked="0"/>
    </xf>
    <xf numFmtId="17" fontId="16" fillId="8" borderId="5" xfId="0" applyNumberFormat="1" applyFont="1" applyFill="1" applyBorder="1" applyAlignment="1">
      <alignment horizontal="center" vertical="center" wrapText="1"/>
    </xf>
    <xf numFmtId="17" fontId="16" fillId="8" borderId="6" xfId="0" applyNumberFormat="1" applyFont="1" applyFill="1" applyBorder="1" applyAlignment="1">
      <alignment horizontal="center" vertical="center" wrapText="1"/>
    </xf>
    <xf numFmtId="44" fontId="0" fillId="0" borderId="5" xfId="1" applyFont="1" applyBorder="1" applyAlignment="1">
      <alignment horizontal="center" vertical="center"/>
    </xf>
    <xf numFmtId="44" fontId="0" fillId="0" borderId="6" xfId="1" applyFont="1" applyBorder="1" applyAlignment="1">
      <alignment horizontal="center" vertical="center"/>
    </xf>
    <xf numFmtId="17" fontId="126" fillId="8" borderId="5" xfId="0" applyNumberFormat="1" applyFont="1" applyFill="1" applyBorder="1" applyAlignment="1">
      <alignment horizontal="center" vertical="center" wrapText="1"/>
    </xf>
    <xf numFmtId="17" fontId="126" fillId="8" borderId="6" xfId="0" applyNumberFormat="1" applyFont="1" applyFill="1" applyBorder="1" applyAlignment="1">
      <alignment horizontal="center" vertical="center" wrapText="1"/>
    </xf>
    <xf numFmtId="44" fontId="120" fillId="0" borderId="5" xfId="1" applyFont="1" applyBorder="1" applyAlignment="1" applyProtection="1">
      <alignment horizontal="center" vertical="center"/>
      <protection locked="0"/>
    </xf>
    <xf numFmtId="44" fontId="120" fillId="0" borderId="6" xfId="1" applyFont="1" applyBorder="1" applyAlignment="1" applyProtection="1">
      <alignment horizontal="center" vertical="center"/>
      <protection locked="0"/>
    </xf>
    <xf numFmtId="44" fontId="120" fillId="10" borderId="5" xfId="1" applyFont="1" applyFill="1" applyBorder="1" applyAlignment="1" applyProtection="1">
      <alignment horizontal="center" vertical="center"/>
      <protection locked="0"/>
    </xf>
    <xf numFmtId="44" fontId="120" fillId="10" borderId="6" xfId="1" applyFont="1" applyFill="1" applyBorder="1" applyAlignment="1" applyProtection="1">
      <alignment horizontal="center" vertical="center"/>
      <protection locked="0"/>
    </xf>
    <xf numFmtId="0" fontId="121" fillId="0" borderId="5" xfId="3" applyFont="1" applyBorder="1" applyAlignment="1" applyProtection="1">
      <alignment horizontal="left" vertical="center" wrapText="1"/>
      <protection locked="0"/>
    </xf>
    <xf numFmtId="0" fontId="121" fillId="0" borderId="6" xfId="0" applyFont="1" applyBorder="1" applyAlignment="1" applyProtection="1">
      <alignment horizontal="left" vertical="center" wrapText="1"/>
      <protection locked="0"/>
    </xf>
    <xf numFmtId="0" fontId="125" fillId="8" borderId="5" xfId="3" applyFont="1" applyFill="1" applyBorder="1" applyAlignment="1" applyProtection="1">
      <alignment horizontal="left" vertical="center" wrapText="1"/>
      <protection locked="0"/>
    </xf>
    <xf numFmtId="0" fontId="125" fillId="8" borderId="6" xfId="0" applyFont="1" applyFill="1" applyBorder="1" applyAlignment="1" applyProtection="1">
      <alignment horizontal="left" vertical="center" wrapText="1"/>
      <protection locked="0"/>
    </xf>
    <xf numFmtId="0" fontId="128" fillId="8" borderId="5" xfId="3" applyFont="1" applyFill="1" applyBorder="1" applyAlignment="1" applyProtection="1">
      <alignment horizontal="left" vertical="center" wrapText="1"/>
      <protection locked="0"/>
    </xf>
    <xf numFmtId="0" fontId="128" fillId="8" borderId="6" xfId="0" applyFont="1" applyFill="1" applyBorder="1" applyAlignment="1" applyProtection="1">
      <alignment horizontal="left" vertical="center" wrapText="1"/>
      <protection locked="0"/>
    </xf>
    <xf numFmtId="44" fontId="14" fillId="0" borderId="5" xfId="1" applyFont="1" applyBorder="1" applyAlignment="1" applyProtection="1">
      <alignment horizontal="center" vertical="center"/>
      <protection locked="0"/>
    </xf>
    <xf numFmtId="44" fontId="14" fillId="0" borderId="6" xfId="1" applyFont="1" applyBorder="1" applyAlignment="1" applyProtection="1">
      <alignment horizontal="center" vertical="center"/>
      <protection locked="0"/>
    </xf>
    <xf numFmtId="0" fontId="124" fillId="8" borderId="5" xfId="0" applyFont="1" applyFill="1" applyBorder="1" applyAlignment="1" applyProtection="1">
      <alignment horizontal="center" vertical="center" wrapText="1"/>
      <protection locked="0"/>
    </xf>
    <xf numFmtId="0" fontId="124" fillId="8" borderId="6" xfId="0" applyFont="1" applyFill="1" applyBorder="1" applyAlignment="1" applyProtection="1">
      <alignment horizontal="center" vertical="center" wrapText="1"/>
      <protection locked="0"/>
    </xf>
    <xf numFmtId="0" fontId="127" fillId="8" borderId="5" xfId="0" applyFont="1" applyFill="1" applyBorder="1" applyAlignment="1" applyProtection="1">
      <alignment horizontal="center" vertical="center"/>
      <protection locked="0"/>
    </xf>
    <xf numFmtId="0" fontId="127" fillId="8" borderId="6" xfId="0" applyFont="1" applyFill="1" applyBorder="1" applyAlignment="1" applyProtection="1">
      <alignment horizontal="center" vertical="center"/>
      <protection locked="0"/>
    </xf>
    <xf numFmtId="0" fontId="127" fillId="8" borderId="5" xfId="0" applyFont="1" applyFill="1" applyBorder="1" applyAlignment="1" applyProtection="1">
      <alignment vertical="center" wrapText="1"/>
      <protection locked="0"/>
    </xf>
    <xf numFmtId="0" fontId="127" fillId="8" borderId="6" xfId="0" applyFont="1" applyFill="1" applyBorder="1" applyAlignment="1" applyProtection="1">
      <alignment vertical="center" wrapText="1"/>
      <protection locked="0"/>
    </xf>
    <xf numFmtId="0" fontId="127" fillId="8" borderId="5" xfId="0" applyFont="1" applyFill="1" applyBorder="1" applyAlignment="1" applyProtection="1">
      <alignment horizontal="left" vertical="center" wrapText="1"/>
      <protection locked="0"/>
    </xf>
    <xf numFmtId="0" fontId="127" fillId="8" borderId="6" xfId="0" applyFont="1" applyFill="1" applyBorder="1" applyAlignment="1" applyProtection="1">
      <alignment horizontal="left" vertical="center" wrapText="1"/>
      <protection locked="0"/>
    </xf>
    <xf numFmtId="0" fontId="127" fillId="8" borderId="5" xfId="0" applyFont="1" applyFill="1" applyBorder="1" applyAlignment="1" applyProtection="1">
      <alignment horizontal="center" vertical="center" wrapText="1"/>
      <protection locked="0"/>
    </xf>
    <xf numFmtId="0" fontId="127" fillId="8" borderId="6" xfId="0" applyFont="1" applyFill="1" applyBorder="1" applyAlignment="1" applyProtection="1">
      <alignment horizontal="center" vertical="center" wrapText="1"/>
      <protection locked="0"/>
    </xf>
    <xf numFmtId="0" fontId="0" fillId="10" borderId="5" xfId="0" applyFill="1" applyBorder="1" applyAlignment="1">
      <alignment horizontal="center" vertical="center"/>
    </xf>
    <xf numFmtId="0" fontId="0" fillId="10" borderId="6" xfId="0" applyFill="1" applyBorder="1" applyAlignment="1">
      <alignment horizontal="center" vertical="center"/>
    </xf>
    <xf numFmtId="0" fontId="124" fillId="8" borderId="5" xfId="0" applyFont="1" applyFill="1" applyBorder="1" applyAlignment="1" applyProtection="1">
      <alignment horizontal="center" vertical="center"/>
      <protection locked="0"/>
    </xf>
    <xf numFmtId="0" fontId="124" fillId="8" borderId="6" xfId="0" applyFont="1" applyFill="1" applyBorder="1" applyAlignment="1" applyProtection="1">
      <alignment horizontal="center" vertical="center"/>
      <protection locked="0"/>
    </xf>
    <xf numFmtId="0" fontId="124" fillId="8" borderId="5" xfId="0" applyFont="1" applyFill="1" applyBorder="1" applyAlignment="1" applyProtection="1">
      <alignment vertical="center" wrapText="1"/>
      <protection locked="0"/>
    </xf>
    <xf numFmtId="0" fontId="124" fillId="8" borderId="6" xfId="0" applyFont="1" applyFill="1" applyBorder="1" applyAlignment="1" applyProtection="1">
      <alignment vertical="center" wrapText="1"/>
      <protection locked="0"/>
    </xf>
    <xf numFmtId="0" fontId="124" fillId="8" borderId="5" xfId="0" applyFont="1" applyFill="1" applyBorder="1" applyAlignment="1" applyProtection="1">
      <alignment horizontal="left" vertical="center" wrapText="1"/>
      <protection locked="0"/>
    </xf>
    <xf numFmtId="0" fontId="124" fillId="8" borderId="6" xfId="0" applyFont="1" applyFill="1" applyBorder="1" applyAlignment="1" applyProtection="1">
      <alignment horizontal="left" vertical="center" wrapText="1"/>
      <protection locked="0"/>
    </xf>
    <xf numFmtId="0" fontId="0" fillId="42" borderId="5" xfId="0" applyFill="1" applyBorder="1" applyAlignment="1" applyProtection="1">
      <alignment horizontal="left" vertical="center" wrapText="1"/>
      <protection locked="0"/>
    </xf>
    <xf numFmtId="0" fontId="0" fillId="42" borderId="6" xfId="0" applyFill="1" applyBorder="1" applyAlignment="1" applyProtection="1">
      <alignment horizontal="left" vertical="center" wrapText="1"/>
      <protection locked="0"/>
    </xf>
    <xf numFmtId="17" fontId="124" fillId="0" borderId="5" xfId="1" applyNumberFormat="1" applyFont="1" applyBorder="1" applyAlignment="1" applyProtection="1">
      <alignment horizontal="center" vertical="center"/>
      <protection locked="0"/>
    </xf>
    <xf numFmtId="44" fontId="124" fillId="0" borderId="6" xfId="1" applyFont="1" applyBorder="1" applyAlignment="1" applyProtection="1">
      <alignment horizontal="center" vertical="center"/>
      <protection locked="0"/>
    </xf>
    <xf numFmtId="44" fontId="144" fillId="0" borderId="5" xfId="1" applyFont="1" applyBorder="1" applyAlignment="1" applyProtection="1">
      <alignment horizontal="center" vertical="center"/>
      <protection locked="0"/>
    </xf>
    <xf numFmtId="44" fontId="144" fillId="0" borderId="6" xfId="1" applyFont="1" applyBorder="1" applyAlignment="1" applyProtection="1">
      <alignment horizontal="center" vertical="center"/>
      <protection locked="0"/>
    </xf>
    <xf numFmtId="0" fontId="31" fillId="8" borderId="6" xfId="4" applyFill="1" applyBorder="1" applyAlignment="1" applyProtection="1">
      <alignment horizontal="left" vertical="center" wrapText="1"/>
      <protection locked="0"/>
    </xf>
    <xf numFmtId="44" fontId="70" fillId="55" borderId="5" xfId="1" applyFont="1" applyFill="1" applyBorder="1" applyAlignment="1" applyProtection="1">
      <alignment horizontal="center" vertical="center"/>
      <protection locked="0"/>
    </xf>
    <xf numFmtId="44" fontId="70" fillId="55" borderId="6" xfId="1" applyFont="1" applyFill="1" applyBorder="1" applyAlignment="1" applyProtection="1">
      <alignment horizontal="center" vertical="center"/>
      <protection locked="0"/>
    </xf>
    <xf numFmtId="0" fontId="120" fillId="0" borderId="5" xfId="0" applyFont="1" applyBorder="1" applyAlignment="1" applyProtection="1">
      <alignment horizontal="center" vertical="center"/>
      <protection locked="0"/>
    </xf>
    <xf numFmtId="0" fontId="120" fillId="0" borderId="6" xfId="0" applyFont="1" applyBorder="1" applyAlignment="1" applyProtection="1">
      <alignment horizontal="center" vertical="center"/>
      <protection locked="0"/>
    </xf>
    <xf numFmtId="0" fontId="120" fillId="0" borderId="5" xfId="0" applyFont="1" applyBorder="1" applyAlignment="1" applyProtection="1">
      <alignment vertical="center" wrapText="1"/>
      <protection locked="0"/>
    </xf>
    <xf numFmtId="0" fontId="120" fillId="0" borderId="6" xfId="0" applyFont="1" applyBorder="1" applyAlignment="1" applyProtection="1">
      <alignment vertical="center" wrapText="1"/>
      <protection locked="0"/>
    </xf>
    <xf numFmtId="0" fontId="120" fillId="42" borderId="5" xfId="0" applyFont="1" applyFill="1" applyBorder="1" applyAlignment="1" applyProtection="1">
      <alignment horizontal="left" vertical="center" wrapText="1"/>
      <protection locked="0"/>
    </xf>
    <xf numFmtId="0" fontId="120" fillId="42" borderId="6" xfId="0" applyFont="1" applyFill="1" applyBorder="1" applyAlignment="1" applyProtection="1">
      <alignment horizontal="left" vertical="center" wrapText="1"/>
      <protection locked="0"/>
    </xf>
    <xf numFmtId="0" fontId="124" fillId="0" borderId="5" xfId="0" applyFont="1" applyBorder="1" applyAlignment="1" applyProtection="1">
      <alignment vertical="center" wrapText="1"/>
      <protection locked="0"/>
    </xf>
    <xf numFmtId="0" fontId="124" fillId="0" borderId="6" xfId="0" applyFont="1" applyBorder="1" applyAlignment="1" applyProtection="1">
      <alignment vertical="center" wrapText="1"/>
      <protection locked="0"/>
    </xf>
    <xf numFmtId="0" fontId="124" fillId="0" borderId="5" xfId="0" applyFont="1" applyBorder="1" applyAlignment="1" applyProtection="1">
      <alignment horizontal="left" vertical="center" wrapText="1"/>
      <protection locked="0"/>
    </xf>
    <xf numFmtId="0" fontId="124" fillId="0" borderId="6" xfId="0" applyFont="1" applyBorder="1" applyAlignment="1" applyProtection="1">
      <alignment horizontal="left" vertical="center" wrapText="1"/>
      <protection locked="0"/>
    </xf>
    <xf numFmtId="0" fontId="124" fillId="0" borderId="5" xfId="0" applyFont="1" applyBorder="1" applyAlignment="1" applyProtection="1">
      <alignment horizontal="center" vertical="center" wrapText="1"/>
      <protection locked="0"/>
    </xf>
    <xf numFmtId="0" fontId="124" fillId="0" borderId="6" xfId="0" applyFont="1" applyBorder="1" applyAlignment="1" applyProtection="1">
      <alignment horizontal="center" vertical="center" wrapText="1"/>
      <protection locked="0"/>
    </xf>
    <xf numFmtId="17" fontId="120" fillId="0" borderId="5" xfId="1" applyNumberFormat="1" applyFont="1" applyBorder="1" applyAlignment="1" applyProtection="1">
      <alignment horizontal="center" vertical="center"/>
      <protection locked="0"/>
    </xf>
    <xf numFmtId="0" fontId="124" fillId="0" borderId="5" xfId="0" applyFont="1" applyBorder="1" applyAlignment="1" applyProtection="1">
      <alignment horizontal="center" vertical="center"/>
      <protection locked="0"/>
    </xf>
    <xf numFmtId="0" fontId="124" fillId="0" borderId="6" xfId="0" applyFont="1" applyBorder="1" applyAlignment="1" applyProtection="1">
      <alignment horizontal="center" vertical="center"/>
      <protection locked="0"/>
    </xf>
    <xf numFmtId="44" fontId="90" fillId="10" borderId="17" xfId="3" applyNumberFormat="1" applyFont="1" applyFill="1" applyBorder="1" applyAlignment="1" applyProtection="1">
      <alignment horizontal="left"/>
      <protection locked="0"/>
    </xf>
    <xf numFmtId="44" fontId="90" fillId="10" borderId="10" xfId="3" applyNumberFormat="1" applyFont="1" applyFill="1" applyBorder="1" applyAlignment="1" applyProtection="1">
      <alignment horizontal="left"/>
      <protection locked="0"/>
    </xf>
    <xf numFmtId="44" fontId="90" fillId="10" borderId="18" xfId="3" applyNumberFormat="1" applyFont="1" applyFill="1" applyBorder="1" applyAlignment="1" applyProtection="1">
      <alignment horizontal="left"/>
      <protection locked="0"/>
    </xf>
    <xf numFmtId="173" fontId="71" fillId="8" borderId="5" xfId="0" applyNumberFormat="1" applyFont="1" applyFill="1" applyBorder="1" applyAlignment="1" applyProtection="1">
      <alignment horizontal="center" vertical="center" wrapText="1"/>
      <protection locked="0"/>
    </xf>
    <xf numFmtId="173" fontId="71" fillId="8" borderId="6" xfId="0" applyNumberFormat="1" applyFont="1" applyFill="1" applyBorder="1" applyAlignment="1" applyProtection="1">
      <alignment horizontal="center" vertical="center" wrapText="1"/>
      <protection locked="0"/>
    </xf>
    <xf numFmtId="17" fontId="71" fillId="8" borderId="5" xfId="0" applyNumberFormat="1" applyFont="1" applyFill="1" applyBorder="1" applyAlignment="1">
      <alignment horizontal="center" vertical="center" wrapText="1"/>
    </xf>
    <xf numFmtId="17" fontId="71" fillId="8" borderId="6" xfId="0" applyNumberFormat="1" applyFont="1" applyFill="1" applyBorder="1" applyAlignment="1">
      <alignment horizontal="center" vertical="center" wrapText="1"/>
    </xf>
    <xf numFmtId="44" fontId="71" fillId="8" borderId="5" xfId="1" applyFont="1" applyFill="1" applyBorder="1" applyAlignment="1">
      <alignment horizontal="center" vertical="center"/>
    </xf>
    <xf numFmtId="44" fontId="71" fillId="8" borderId="6" xfId="1" applyFont="1" applyFill="1" applyBorder="1" applyAlignment="1">
      <alignment horizontal="center" vertical="center"/>
    </xf>
    <xf numFmtId="0" fontId="49" fillId="11" borderId="16" xfId="0" applyFont="1" applyFill="1" applyBorder="1" applyAlignment="1" applyProtection="1">
      <alignment horizontal="center" vertical="center"/>
      <protection locked="0"/>
    </xf>
    <xf numFmtId="0" fontId="49" fillId="11" borderId="68" xfId="0" applyFont="1" applyFill="1" applyBorder="1" applyAlignment="1" applyProtection="1">
      <alignment horizontal="center" vertical="center"/>
      <protection locked="0"/>
    </xf>
    <xf numFmtId="44" fontId="71" fillId="8" borderId="5" xfId="1" applyFont="1" applyFill="1" applyBorder="1" applyAlignment="1" applyProtection="1">
      <alignment horizontal="center" vertical="center" wrapText="1"/>
      <protection locked="0"/>
    </xf>
    <xf numFmtId="44" fontId="71" fillId="8" borderId="6" xfId="1" applyFont="1" applyFill="1" applyBorder="1" applyAlignment="1" applyProtection="1">
      <alignment horizontal="center" vertical="center" wrapText="1"/>
      <protection locked="0"/>
    </xf>
    <xf numFmtId="9" fontId="71" fillId="8" borderId="5" xfId="2" applyFont="1" applyFill="1" applyBorder="1" applyAlignment="1" applyProtection="1">
      <alignment horizontal="center" vertical="center" wrapText="1"/>
      <protection locked="0"/>
    </xf>
    <xf numFmtId="9" fontId="71" fillId="8" borderId="6" xfId="2" applyFont="1" applyFill="1" applyBorder="1" applyAlignment="1" applyProtection="1">
      <alignment horizontal="center" vertical="center" wrapText="1"/>
      <protection locked="0"/>
    </xf>
    <xf numFmtId="0" fontId="32" fillId="2" borderId="14" xfId="0" applyFont="1" applyFill="1" applyBorder="1" applyAlignment="1" applyProtection="1">
      <alignment horizontal="left"/>
      <protection locked="0"/>
    </xf>
    <xf numFmtId="44" fontId="120" fillId="10" borderId="5" xfId="1" applyFont="1" applyFill="1" applyBorder="1" applyAlignment="1">
      <alignment horizontal="center" vertical="center"/>
    </xf>
    <xf numFmtId="44" fontId="120" fillId="10" borderId="6" xfId="1" applyFont="1" applyFill="1" applyBorder="1" applyAlignment="1">
      <alignment horizontal="center" vertical="center"/>
    </xf>
    <xf numFmtId="44" fontId="145" fillId="8" borderId="0" xfId="1" applyFont="1" applyFill="1" applyAlignment="1">
      <alignment horizontal="center" vertical="center"/>
    </xf>
    <xf numFmtId="0" fontId="0" fillId="0" borderId="15" xfId="0" applyBorder="1"/>
    <xf numFmtId="0" fontId="24" fillId="10" borderId="0" xfId="0" applyFont="1" applyFill="1" applyAlignment="1">
      <alignment horizontal="center"/>
    </xf>
    <xf numFmtId="0" fontId="6" fillId="2" borderId="4" xfId="0" applyFont="1" applyFill="1" applyBorder="1" applyAlignment="1" applyProtection="1">
      <alignment horizontal="left"/>
      <protection locked="0"/>
    </xf>
    <xf numFmtId="10" fontId="25" fillId="0" borderId="15" xfId="2" applyNumberFormat="1" applyFont="1" applyBorder="1" applyAlignment="1">
      <alignment horizontal="center" vertical="center"/>
    </xf>
    <xf numFmtId="10" fontId="0" fillId="0" borderId="15" xfId="2" applyNumberFormat="1" applyFont="1" applyBorder="1" applyAlignment="1"/>
    <xf numFmtId="0" fontId="21" fillId="0" borderId="15" xfId="0" applyFont="1" applyBorder="1" applyAlignment="1">
      <alignment horizontal="center" vertical="center"/>
    </xf>
    <xf numFmtId="0" fontId="31" fillId="8" borderId="5" xfId="3" applyFill="1" applyBorder="1" applyAlignment="1">
      <alignment horizontal="center" vertical="center" wrapText="1"/>
    </xf>
    <xf numFmtId="0" fontId="31" fillId="8" borderId="6" xfId="3" applyFill="1" applyBorder="1" applyAlignment="1">
      <alignment horizontal="center" vertical="center" wrapText="1"/>
    </xf>
    <xf numFmtId="44" fontId="0" fillId="8" borderId="5" xfId="1" applyFont="1" applyFill="1" applyBorder="1" applyAlignment="1">
      <alignment horizontal="center" vertical="center" wrapText="1"/>
    </xf>
    <xf numFmtId="44" fontId="0" fillId="8" borderId="6" xfId="1" applyFont="1" applyFill="1" applyBorder="1" applyAlignment="1">
      <alignment horizontal="center" vertical="center" wrapText="1"/>
    </xf>
    <xf numFmtId="0" fontId="0" fillId="8" borderId="5" xfId="0" applyFill="1" applyBorder="1" applyAlignment="1">
      <alignment horizontal="center" vertical="center" wrapText="1"/>
    </xf>
    <xf numFmtId="0" fontId="0" fillId="8" borderId="6" xfId="0" applyFill="1" applyBorder="1" applyAlignment="1">
      <alignment horizontal="center" vertical="center" wrapText="1"/>
    </xf>
    <xf numFmtId="44" fontId="0" fillId="0" borderId="5" xfId="1" applyFont="1" applyBorder="1" applyAlignment="1" applyProtection="1">
      <alignment horizontal="center" vertical="center" wrapText="1"/>
      <protection locked="0"/>
    </xf>
    <xf numFmtId="44" fontId="0" fillId="0" borderId="6" xfId="1" applyFont="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6" xfId="0" applyBorder="1" applyAlignment="1">
      <alignment horizontal="center" vertical="center" wrapText="1"/>
    </xf>
    <xf numFmtId="44" fontId="0" fillId="0" borderId="5" xfId="1" applyFont="1" applyBorder="1" applyAlignment="1">
      <alignment horizontal="center" vertical="center" wrapText="1"/>
    </xf>
    <xf numFmtId="44" fontId="0" fillId="0" borderId="6" xfId="1"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textRotation="90"/>
    </xf>
    <xf numFmtId="44" fontId="0" fillId="0" borderId="5" xfId="1" applyFont="1" applyBorder="1" applyAlignment="1" applyProtection="1">
      <alignment horizontal="center" vertical="center" wrapText="1"/>
    </xf>
    <xf numFmtId="44" fontId="0" fillId="0" borderId="6" xfId="1" applyFont="1" applyBorder="1" applyAlignment="1" applyProtection="1">
      <alignment horizontal="center" vertical="center" wrapText="1"/>
    </xf>
    <xf numFmtId="44" fontId="0" fillId="8" borderId="5" xfId="1" applyFont="1" applyFill="1" applyBorder="1" applyAlignment="1" applyProtection="1">
      <alignment horizontal="center" vertical="center" wrapText="1"/>
    </xf>
    <xf numFmtId="44" fontId="0" fillId="8" borderId="6" xfId="1" applyFont="1" applyFill="1" applyBorder="1" applyAlignment="1" applyProtection="1">
      <alignment horizontal="center" vertical="center" wrapText="1"/>
    </xf>
    <xf numFmtId="10" fontId="25" fillId="0" borderId="15" xfId="2" applyNumberFormat="1" applyFont="1" applyBorder="1" applyAlignment="1" applyProtection="1">
      <alignment horizontal="center" vertical="center"/>
    </xf>
    <xf numFmtId="10" fontId="0" fillId="0" borderId="15" xfId="2" applyNumberFormat="1" applyFont="1" applyBorder="1" applyAlignment="1" applyProtection="1"/>
    <xf numFmtId="0" fontId="31" fillId="8" borderId="5" xfId="3" applyFill="1" applyBorder="1" applyAlignment="1" applyProtection="1">
      <alignment horizontal="center" vertical="center" wrapText="1"/>
    </xf>
    <xf numFmtId="0" fontId="31" fillId="8" borderId="6" xfId="3" applyFill="1" applyBorder="1" applyAlignment="1" applyProtection="1">
      <alignment horizontal="center" vertical="center" wrapText="1"/>
    </xf>
    <xf numFmtId="0" fontId="0" fillId="10" borderId="13" xfId="0" applyFill="1" applyBorder="1" applyAlignment="1" applyProtection="1">
      <alignment horizontal="left" vertical="center"/>
      <protection locked="0"/>
    </xf>
    <xf numFmtId="0" fontId="70" fillId="10" borderId="11" xfId="0" applyFont="1" applyFill="1" applyBorder="1" applyAlignment="1" applyProtection="1">
      <alignment horizontal="left" vertical="center"/>
      <protection locked="0"/>
    </xf>
    <xf numFmtId="0" fontId="70" fillId="10" borderId="13" xfId="0" applyFont="1" applyFill="1" applyBorder="1" applyAlignment="1" applyProtection="1">
      <alignment horizontal="left" vertical="center"/>
      <protection locked="0"/>
    </xf>
    <xf numFmtId="0" fontId="70" fillId="10" borderId="44" xfId="0" applyFont="1" applyFill="1" applyBorder="1" applyAlignment="1" applyProtection="1">
      <alignment horizontal="left" vertical="center"/>
      <protection locked="0"/>
    </xf>
    <xf numFmtId="0" fontId="70" fillId="8" borderId="11" xfId="0" applyFont="1" applyFill="1" applyBorder="1" applyAlignment="1" applyProtection="1">
      <alignment horizontal="left" vertical="center"/>
      <protection locked="0"/>
    </xf>
    <xf numFmtId="0" fontId="70" fillId="8" borderId="13" xfId="0" applyFont="1" applyFill="1" applyBorder="1" applyAlignment="1" applyProtection="1">
      <alignment horizontal="left" vertical="center"/>
      <protection locked="0"/>
    </xf>
    <xf numFmtId="0" fontId="70" fillId="8" borderId="44" xfId="0" applyFont="1" applyFill="1" applyBorder="1" applyAlignment="1" applyProtection="1">
      <alignment horizontal="left" vertical="center"/>
      <protection locked="0"/>
    </xf>
    <xf numFmtId="171" fontId="65" fillId="0" borderId="85" xfId="0" applyNumberFormat="1" applyFont="1" applyBorder="1" applyAlignment="1" applyProtection="1">
      <alignment horizontal="center" vertical="center"/>
      <protection locked="0"/>
    </xf>
    <xf numFmtId="171" fontId="65" fillId="0" borderId="0" xfId="0" applyNumberFormat="1" applyFont="1" applyAlignment="1" applyProtection="1">
      <alignment horizontal="center" vertical="center"/>
      <protection locked="0"/>
    </xf>
    <xf numFmtId="0" fontId="53" fillId="0" borderId="5" xfId="0" applyFont="1" applyBorder="1" applyAlignment="1" applyProtection="1">
      <alignment horizontal="left" vertical="center" wrapText="1"/>
      <protection locked="0"/>
    </xf>
    <xf numFmtId="0" fontId="6" fillId="25" borderId="29" xfId="0" applyFont="1" applyFill="1" applyBorder="1" applyAlignment="1" applyProtection="1">
      <alignment horizontal="center" vertical="center"/>
      <protection locked="0"/>
    </xf>
    <xf numFmtId="0" fontId="6" fillId="25" borderId="30" xfId="0" applyFont="1" applyFill="1" applyBorder="1" applyAlignment="1" applyProtection="1">
      <alignment horizontal="center" vertical="center"/>
      <protection locked="0"/>
    </xf>
    <xf numFmtId="0" fontId="6" fillId="25" borderId="31" xfId="0" applyFont="1" applyFill="1" applyBorder="1" applyAlignment="1" applyProtection="1">
      <alignment horizontal="center" vertical="center"/>
      <protection locked="0"/>
    </xf>
    <xf numFmtId="0" fontId="50" fillId="6" borderId="86" xfId="0" applyFont="1" applyFill="1" applyBorder="1" applyAlignment="1" applyProtection="1">
      <alignment horizontal="center" vertical="center"/>
      <protection locked="0"/>
    </xf>
    <xf numFmtId="0" fontId="50" fillId="6" borderId="87" xfId="0" applyFont="1" applyFill="1" applyBorder="1" applyAlignment="1" applyProtection="1">
      <alignment horizontal="center" vertical="center"/>
      <protection locked="0"/>
    </xf>
    <xf numFmtId="0" fontId="50" fillId="6" borderId="88" xfId="0" applyFont="1" applyFill="1" applyBorder="1" applyAlignment="1" applyProtection="1">
      <alignment horizontal="center" vertical="center"/>
      <protection locked="0"/>
    </xf>
    <xf numFmtId="164" fontId="20" fillId="0" borderId="15" xfId="0" applyNumberFormat="1" applyFont="1" applyBorder="1" applyAlignment="1" applyProtection="1">
      <alignment horizontal="center" vertical="center"/>
      <protection locked="0"/>
    </xf>
    <xf numFmtId="0" fontId="17" fillId="15" borderId="15" xfId="0" applyFont="1" applyFill="1" applyBorder="1" applyAlignment="1" applyProtection="1">
      <alignment horizontal="center" vertical="center"/>
      <protection locked="0"/>
    </xf>
    <xf numFmtId="164" fontId="19" fillId="54" borderId="17" xfId="0" applyNumberFormat="1" applyFont="1" applyFill="1" applyBorder="1" applyAlignment="1">
      <alignment horizontal="center" vertical="center"/>
    </xf>
    <xf numFmtId="164" fontId="19" fillId="54" borderId="18" xfId="0" applyNumberFormat="1" applyFont="1" applyFill="1" applyBorder="1" applyAlignment="1">
      <alignment horizontal="center" vertical="center"/>
    </xf>
    <xf numFmtId="164" fontId="20" fillId="54" borderId="17" xfId="0" applyNumberFormat="1" applyFont="1" applyFill="1" applyBorder="1" applyAlignment="1">
      <alignment horizontal="center" vertical="center"/>
    </xf>
    <xf numFmtId="164" fontId="20" fillId="54" borderId="18" xfId="0" applyNumberFormat="1" applyFont="1" applyFill="1" applyBorder="1" applyAlignment="1">
      <alignment horizontal="center" vertical="center"/>
    </xf>
    <xf numFmtId="164" fontId="80" fillId="54" borderId="17" xfId="0" applyNumberFormat="1" applyFont="1" applyFill="1" applyBorder="1" applyAlignment="1">
      <alignment horizontal="center" vertical="center"/>
    </xf>
    <xf numFmtId="164" fontId="80" fillId="54" borderId="18" xfId="0" applyNumberFormat="1" applyFont="1" applyFill="1" applyBorder="1" applyAlignment="1">
      <alignment horizontal="center" vertical="center"/>
    </xf>
    <xf numFmtId="164" fontId="29" fillId="54" borderId="17" xfId="0" applyNumberFormat="1" applyFont="1" applyFill="1" applyBorder="1" applyAlignment="1">
      <alignment horizontal="center" vertical="center"/>
    </xf>
    <xf numFmtId="164" fontId="29" fillId="54" borderId="18" xfId="0" applyNumberFormat="1" applyFont="1" applyFill="1" applyBorder="1" applyAlignment="1">
      <alignment horizontal="center" vertical="center"/>
    </xf>
    <xf numFmtId="164" fontId="26" fillId="54" borderId="17" xfId="0" applyNumberFormat="1" applyFont="1" applyFill="1" applyBorder="1" applyAlignment="1">
      <alignment horizontal="center" vertical="center"/>
    </xf>
    <xf numFmtId="164" fontId="26" fillId="54" borderId="10" xfId="0" applyNumberFormat="1" applyFont="1" applyFill="1" applyBorder="1" applyAlignment="1">
      <alignment horizontal="center" vertical="center"/>
    </xf>
    <xf numFmtId="164" fontId="26" fillId="54" borderId="18" xfId="0" applyNumberFormat="1" applyFont="1" applyFill="1" applyBorder="1" applyAlignment="1">
      <alignment horizontal="center" vertical="center"/>
    </xf>
    <xf numFmtId="10" fontId="25" fillId="54" borderId="17" xfId="2" applyNumberFormat="1" applyFont="1" applyFill="1" applyBorder="1" applyAlignment="1" applyProtection="1">
      <alignment horizontal="center" vertical="center"/>
    </xf>
    <xf numFmtId="10" fontId="25" fillId="54" borderId="10" xfId="2" applyNumberFormat="1" applyFont="1" applyFill="1" applyBorder="1" applyAlignment="1" applyProtection="1">
      <alignment horizontal="center" vertical="center"/>
    </xf>
    <xf numFmtId="10" fontId="25" fillId="54" borderId="18" xfId="2" applyNumberFormat="1" applyFont="1" applyFill="1" applyBorder="1" applyAlignment="1" applyProtection="1">
      <alignment horizontal="center" vertical="center"/>
    </xf>
    <xf numFmtId="0" fontId="21" fillId="54" borderId="17" xfId="0" applyFont="1" applyFill="1" applyBorder="1" applyAlignment="1">
      <alignment horizontal="center" vertical="center"/>
    </xf>
    <xf numFmtId="0" fontId="21" fillId="54" borderId="18" xfId="0" applyFont="1" applyFill="1" applyBorder="1" applyAlignment="1">
      <alignment horizontal="center" vertical="center"/>
    </xf>
    <xf numFmtId="44" fontId="0" fillId="0" borderId="5" xfId="1" applyFont="1" applyBorder="1" applyAlignment="1" applyProtection="1">
      <alignment horizontal="left" vertical="center"/>
      <protection locked="0"/>
    </xf>
    <xf numFmtId="44" fontId="0" fillId="0" borderId="6" xfId="1" applyFont="1" applyBorder="1" applyAlignment="1" applyProtection="1">
      <alignment horizontal="left" vertical="center"/>
      <protection locked="0"/>
    </xf>
    <xf numFmtId="0" fontId="51" fillId="0" borderId="6" xfId="0" applyFont="1" applyBorder="1" applyAlignment="1" applyProtection="1">
      <alignment vertical="center" wrapText="1"/>
      <protection locked="0"/>
    </xf>
    <xf numFmtId="17" fontId="51" fillId="0" borderId="5" xfId="1" applyNumberFormat="1" applyFont="1" applyBorder="1" applyAlignment="1" applyProtection="1">
      <alignment horizontal="center" vertical="center" wrapText="1"/>
      <protection locked="0"/>
    </xf>
    <xf numFmtId="17" fontId="51" fillId="0" borderId="6" xfId="1" applyNumberFormat="1" applyFont="1" applyBorder="1" applyAlignment="1" applyProtection="1">
      <alignment horizontal="center" vertical="center" wrapText="1"/>
      <protection locked="0"/>
    </xf>
    <xf numFmtId="44" fontId="51" fillId="0" borderId="5" xfId="1" applyFont="1" applyBorder="1" applyAlignment="1" applyProtection="1">
      <alignment horizontal="center" vertical="center" wrapText="1"/>
      <protection locked="0"/>
    </xf>
    <xf numFmtId="44" fontId="51" fillId="0" borderId="6" xfId="1" applyFont="1" applyBorder="1" applyAlignment="1" applyProtection="1">
      <alignment horizontal="center" vertical="center" wrapText="1"/>
      <protection locked="0"/>
    </xf>
    <xf numFmtId="0" fontId="51" fillId="8" borderId="5" xfId="0" applyFont="1" applyFill="1" applyBorder="1" applyAlignment="1" applyProtection="1">
      <alignment horizontal="left" vertical="center" wrapText="1"/>
      <protection locked="0"/>
    </xf>
    <xf numFmtId="0" fontId="51" fillId="8" borderId="6" xfId="0" applyFont="1" applyFill="1" applyBorder="1" applyAlignment="1" applyProtection="1">
      <alignment horizontal="left" vertical="center" wrapText="1"/>
      <protection locked="0"/>
    </xf>
    <xf numFmtId="17" fontId="51" fillId="8" borderId="5" xfId="1" applyNumberFormat="1" applyFont="1" applyFill="1" applyBorder="1" applyAlignment="1" applyProtection="1">
      <alignment horizontal="center" vertical="center" wrapText="1"/>
      <protection locked="0"/>
    </xf>
    <xf numFmtId="17" fontId="51" fillId="8" borderId="6" xfId="1" applyNumberFormat="1" applyFont="1" applyFill="1" applyBorder="1" applyAlignment="1" applyProtection="1">
      <alignment horizontal="center" vertical="center" wrapText="1"/>
      <protection locked="0"/>
    </xf>
    <xf numFmtId="44" fontId="0" fillId="10" borderId="5" xfId="1" applyFont="1" applyFill="1" applyBorder="1" applyAlignment="1" applyProtection="1">
      <alignment horizontal="center" vertical="center" wrapText="1"/>
    </xf>
    <xf numFmtId="44" fontId="0" fillId="10" borderId="6" xfId="1" applyFont="1" applyFill="1" applyBorder="1" applyAlignment="1" applyProtection="1">
      <alignment horizontal="center" vertical="center" wrapText="1"/>
    </xf>
    <xf numFmtId="0" fontId="16" fillId="8" borderId="5" xfId="0" applyFont="1" applyFill="1" applyBorder="1" applyAlignment="1" applyProtection="1">
      <alignment vertical="center" wrapText="1"/>
      <protection locked="0"/>
    </xf>
    <xf numFmtId="0" fontId="16" fillId="8" borderId="6" xfId="0" applyFont="1" applyFill="1" applyBorder="1" applyAlignment="1" applyProtection="1">
      <alignment vertical="center" wrapText="1"/>
      <protection locked="0"/>
    </xf>
    <xf numFmtId="0" fontId="109" fillId="8" borderId="5" xfId="0" applyFont="1" applyFill="1" applyBorder="1" applyAlignment="1" applyProtection="1">
      <alignment vertical="center" wrapText="1"/>
      <protection locked="0"/>
    </xf>
    <xf numFmtId="0" fontId="109" fillId="8" borderId="6" xfId="0" applyFont="1" applyFill="1" applyBorder="1" applyAlignment="1" applyProtection="1">
      <alignment vertical="center" wrapText="1"/>
      <protection locked="0"/>
    </xf>
    <xf numFmtId="164" fontId="19" fillId="0" borderId="17" xfId="0" applyNumberFormat="1" applyFont="1" applyBorder="1" applyAlignment="1">
      <alignment horizontal="center" vertical="center"/>
    </xf>
    <xf numFmtId="164" fontId="19" fillId="0" borderId="18" xfId="0" applyNumberFormat="1" applyFont="1" applyBorder="1" applyAlignment="1">
      <alignment horizontal="center" vertical="center"/>
    </xf>
    <xf numFmtId="164" fontId="20" fillId="0" borderId="17" xfId="0" applyNumberFormat="1" applyFont="1" applyBorder="1" applyAlignment="1">
      <alignment horizontal="center" vertical="center"/>
    </xf>
    <xf numFmtId="164" fontId="20" fillId="0" borderId="18" xfId="0" applyNumberFormat="1" applyFont="1" applyBorder="1" applyAlignment="1">
      <alignment horizontal="center" vertical="center"/>
    </xf>
    <xf numFmtId="164" fontId="29" fillId="0" borderId="17" xfId="0" applyNumberFormat="1" applyFont="1" applyBorder="1" applyAlignment="1">
      <alignment horizontal="center" vertical="center"/>
    </xf>
    <xf numFmtId="164" fontId="29" fillId="0" borderId="18" xfId="0" applyNumberFormat="1" applyFont="1" applyBorder="1" applyAlignment="1">
      <alignment horizontal="center" vertical="center"/>
    </xf>
    <xf numFmtId="0" fontId="6" fillId="49" borderId="97" xfId="0" applyFont="1" applyFill="1" applyBorder="1" applyAlignment="1">
      <alignment horizontal="center" vertical="center"/>
    </xf>
    <xf numFmtId="0" fontId="6" fillId="49" borderId="16" xfId="0" applyFont="1" applyFill="1" applyBorder="1" applyAlignment="1">
      <alignment horizontal="center" vertical="center"/>
    </xf>
    <xf numFmtId="0" fontId="46" fillId="58" borderId="0" xfId="0" applyFont="1" applyFill="1" applyAlignment="1">
      <alignment horizontal="center"/>
    </xf>
    <xf numFmtId="44" fontId="152" fillId="10" borderId="17" xfId="3" applyNumberFormat="1" applyFont="1" applyFill="1" applyBorder="1" applyAlignment="1" applyProtection="1">
      <alignment horizontal="left"/>
      <protection locked="0"/>
    </xf>
    <xf numFmtId="44" fontId="152" fillId="10" borderId="10" xfId="3" applyNumberFormat="1" applyFont="1" applyFill="1" applyBorder="1" applyAlignment="1" applyProtection="1">
      <alignment horizontal="left"/>
      <protection locked="0"/>
    </xf>
    <xf numFmtId="44" fontId="152" fillId="10" borderId="18" xfId="3" applyNumberFormat="1" applyFont="1" applyFill="1" applyBorder="1" applyAlignment="1" applyProtection="1">
      <alignment horizontal="left"/>
      <protection locked="0"/>
    </xf>
    <xf numFmtId="44" fontId="153" fillId="6" borderId="17" xfId="0" applyNumberFormat="1" applyFont="1" applyFill="1" applyBorder="1" applyAlignment="1" applyProtection="1">
      <alignment horizontal="left"/>
      <protection locked="0"/>
    </xf>
    <xf numFmtId="44" fontId="153" fillId="6" borderId="10" xfId="0" applyNumberFormat="1" applyFont="1" applyFill="1" applyBorder="1" applyAlignment="1" applyProtection="1">
      <alignment horizontal="left"/>
      <protection locked="0"/>
    </xf>
    <xf numFmtId="44" fontId="153" fillId="6" borderId="18" xfId="0" applyNumberFormat="1" applyFont="1" applyFill="1" applyBorder="1" applyAlignment="1" applyProtection="1">
      <alignment horizontal="left"/>
      <protection locked="0"/>
    </xf>
    <xf numFmtId="44" fontId="154" fillId="6" borderId="17" xfId="0" applyNumberFormat="1" applyFont="1" applyFill="1" applyBorder="1" applyAlignment="1" applyProtection="1">
      <alignment horizontal="left"/>
      <protection locked="0"/>
    </xf>
    <xf numFmtId="44" fontId="154" fillId="6" borderId="10" xfId="0" applyNumberFormat="1" applyFont="1" applyFill="1" applyBorder="1" applyAlignment="1" applyProtection="1">
      <alignment horizontal="left"/>
      <protection locked="0"/>
    </xf>
    <xf numFmtId="44" fontId="154" fillId="6" borderId="18" xfId="0" applyNumberFormat="1" applyFont="1" applyFill="1" applyBorder="1" applyAlignment="1" applyProtection="1">
      <alignment horizontal="left"/>
      <protection locked="0"/>
    </xf>
    <xf numFmtId="0" fontId="0" fillId="10" borderId="11" xfId="0" applyFill="1" applyBorder="1" applyAlignment="1">
      <alignment horizontal="left" vertical="center"/>
    </xf>
    <xf numFmtId="0" fontId="0" fillId="10" borderId="44" xfId="0" applyFill="1" applyBorder="1" applyAlignment="1">
      <alignment horizontal="left" vertical="center"/>
    </xf>
    <xf numFmtId="0" fontId="0" fillId="11" borderId="11" xfId="0" applyFill="1" applyBorder="1" applyAlignment="1">
      <alignment horizontal="left" vertical="center"/>
    </xf>
    <xf numFmtId="0" fontId="0" fillId="11" borderId="44" xfId="0" applyFill="1" applyBorder="1" applyAlignment="1">
      <alignment horizontal="left" vertical="center"/>
    </xf>
  </cellXfs>
  <cellStyles count="21">
    <cellStyle name="Hiperligação" xfId="3" builtinId="8"/>
    <cellStyle name="Hiperlink 2" xfId="5" xr:uid="{0BA13198-6A4A-4CD2-B88F-FE2F4AE20D6B}"/>
    <cellStyle name="Hyperlink" xfId="4" xr:uid="{00000000-000B-0000-0000-000008000000}"/>
    <cellStyle name="Moeda" xfId="1" builtinId="4"/>
    <cellStyle name="Moeda 2" xfId="6" xr:uid="{B9977D21-ACFA-42C0-BB66-A246698741E0}"/>
    <cellStyle name="Moeda 3" xfId="7" xr:uid="{9FA0A5B7-B6A5-496C-88DE-71ADC26AF061}"/>
    <cellStyle name="Normal" xfId="0" builtinId="0"/>
    <cellStyle name="Normal 2" xfId="8" xr:uid="{7866CD48-65AF-47BE-8A93-78E79A08968F}"/>
    <cellStyle name="Normal 2 2" xfId="9" xr:uid="{4F243FD1-2C84-46B1-A945-8B34C687B41C}"/>
    <cellStyle name="Normal 3" xfId="10" xr:uid="{2EFE8C13-0521-49FC-BAE6-682173CEFFFE}"/>
    <cellStyle name="Normal 3 3" xfId="11" xr:uid="{0E687022-8623-44D9-A5C0-B63B3C59569C}"/>
    <cellStyle name="Normal 4" xfId="12" xr:uid="{934489B0-430A-459A-8968-AACBE27DC6BA}"/>
    <cellStyle name="Normal 5" xfId="13" xr:uid="{311157AA-195B-4CFD-963D-6B4FD31DB140}"/>
    <cellStyle name="Normalny 2" xfId="14" xr:uid="{111908D1-A480-45DB-990D-2893D71E48FE}"/>
    <cellStyle name="Percentagem" xfId="2" builtinId="5"/>
    <cellStyle name="Porcentagem 2" xfId="15" xr:uid="{12D9911A-DB6F-4C0E-8A5F-08AF14E12CEA}"/>
    <cellStyle name="Porcentagem 3" xfId="16" xr:uid="{E39186B0-762E-43BC-A0FD-5BC023081789}"/>
    <cellStyle name="Porcentagem 4" xfId="17" xr:uid="{86248A10-E43F-4148-8BF2-CC96B7757523}"/>
    <cellStyle name="Porcentagem 5" xfId="18" xr:uid="{01E4CC39-461B-4FBE-9958-38D2852A1E95}"/>
    <cellStyle name="Vírgula 2" xfId="19" xr:uid="{EFF1D3A8-FBB8-4176-8D39-02A42BD7E487}"/>
    <cellStyle name="Vírgula 3" xfId="20" xr:uid="{519150CA-80B5-468E-8C63-9911DEBB8E98}"/>
  </cellStyles>
  <dxfs count="339">
    <dxf>
      <font>
        <b/>
        <i val="0"/>
        <color rgb="FFFF0000"/>
      </font>
    </dxf>
    <dxf>
      <font>
        <b/>
        <i val="0"/>
        <color rgb="FF00B050"/>
      </font>
    </dxf>
    <dxf>
      <font>
        <b/>
        <i val="0"/>
        <color rgb="FFFF0000"/>
      </font>
    </dxf>
    <dxf>
      <font>
        <color rgb="FFFF0000"/>
      </font>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rgb="FF00B050"/>
      </font>
    </dxf>
    <dxf>
      <font>
        <b val="0"/>
        <i val="0"/>
        <color theme="3" tint="-0.499984740745262"/>
      </font>
    </dxf>
    <dxf>
      <font>
        <b/>
        <i val="0"/>
        <color rgb="FF00B050"/>
      </font>
    </dxf>
    <dxf>
      <font>
        <b/>
        <i val="0"/>
        <color theme="9" tint="-0.499984740745262"/>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color theme="1"/>
      </font>
    </dxf>
    <dxf>
      <font>
        <color rgb="FF00B050"/>
      </font>
    </dxf>
    <dxf>
      <font>
        <color rgb="FFFF000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rgb="FF0000FF"/>
      </font>
      <fill>
        <patternFill patternType="gray0625">
          <fgColor theme="6" tint="0.39994506668294322"/>
        </patternFill>
      </fill>
    </dxf>
    <dxf>
      <font>
        <b/>
        <i val="0"/>
        <color rgb="FFFF0000"/>
      </font>
    </dxf>
    <dxf>
      <font>
        <b/>
        <i val="0"/>
        <color rgb="FF0000FF"/>
      </font>
      <fill>
        <patternFill patternType="gray0625">
          <fgColor theme="6" tint="0.39994506668294322"/>
        </patternFill>
      </fill>
    </dxf>
    <dxf>
      <font>
        <b/>
        <i val="0"/>
        <color rgb="FF0000FF"/>
      </font>
      <fill>
        <patternFill patternType="gray0625">
          <fgColor theme="6" tint="0.39994506668294322"/>
        </patternFill>
      </fill>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rgb="FFCCD7FF"/>
        </patternFill>
      </fill>
      <alignment horizontal="center" vertical="center" textRotation="0" wrapText="1" indent="0" justifyLastLine="0" shrinkToFit="0" readingOrder="0"/>
      <border diagonalUp="0" diagonalDown="0">
        <left style="thin">
          <color auto="1"/>
        </left>
        <right style="thin">
          <color auto="1"/>
        </right>
        <top/>
        <bottom/>
      </border>
      <protection locked="0" hidden="0"/>
    </dxf>
    <dxf>
      <fill>
        <patternFill patternType="solid">
          <fgColor theme="4" tint="0.79998168889431442"/>
          <bgColor theme="4" tint="0.79998168889431442"/>
        </patternFill>
      </fill>
      <border diagonalUp="0" diagonalDown="0">
        <left style="thin">
          <color auto="1"/>
        </left>
        <right/>
        <top style="thin">
          <color auto="1"/>
        </top>
        <bottom style="thin">
          <color indexed="64"/>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general"/>
      <border diagonalUp="0" diagonalDown="0">
        <left style="thin">
          <color auto="1"/>
        </left>
        <right style="thin">
          <color auto="1"/>
        </right>
        <top style="thin">
          <color auto="1"/>
        </top>
        <bottom style="thin">
          <color auto="1"/>
        </bottom>
        <vertical/>
        <horizontal/>
      </border>
      <protection locked="0" hidden="0"/>
    </dxf>
    <dxf>
      <alignment horizontal="center"/>
      <border diagonalUp="0" diagonalDown="0">
        <left style="thin">
          <color auto="1"/>
        </left>
        <right style="thin">
          <color auto="1"/>
        </right>
        <top style="thin">
          <color auto="1"/>
        </top>
        <bottom style="thin">
          <color auto="1"/>
        </bottom>
        <vertical/>
        <horizontal/>
      </border>
      <protection locked="0" hidden="0"/>
    </dxf>
    <dxf>
      <alignment horizontal="center"/>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ill>
        <patternFill patternType="solid">
          <fgColor theme="4" tint="0.79998168889431442"/>
          <bgColor theme="4" tint="0.79998168889431442"/>
        </patternFill>
      </fill>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patternType="solid">
          <fgColor theme="4" tint="0.79998168889431442"/>
          <bgColor theme="4" tint="0.79998168889431442"/>
        </patternFill>
      </fill>
      <border diagonalUp="0" diagonalDown="0">
        <left style="thin">
          <color auto="1"/>
        </left>
        <right/>
        <top style="thin">
          <color auto="1"/>
        </top>
        <bottom style="thin">
          <color indexed="64"/>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ill>
        <patternFill patternType="solid">
          <fgColor theme="4" tint="0.79998168889431442"/>
          <bgColor theme="4" tint="0.79998168889431442"/>
        </patternFill>
      </fill>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patternType="solid">
          <fgColor rgb="FFFDE9D9"/>
          <bgColor rgb="FF000000"/>
        </patternFill>
      </fill>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numFmt numFmtId="0" formatCode="General"/>
      <border diagonalUp="0" diagonalDown="0">
        <left style="thin">
          <color auto="1"/>
        </left>
        <right style="thin">
          <color auto="1"/>
        </right>
        <top style="thin">
          <color auto="1"/>
        </top>
        <bottom style="thin">
          <color auto="1"/>
        </bottom>
        <vertical/>
        <horizontal/>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right style="thin">
          <color auto="1"/>
        </right>
      </border>
    </dxf>
    <dxf>
      <fill>
        <patternFill patternType="solid">
          <fgColor theme="4" tint="0.79998168889431442"/>
          <bgColor theme="4" tint="0.79998168889431442"/>
        </patternFill>
      </fill>
      <alignment horizontal="center" vertical="center" textRotation="0" wrapText="1" indent="0" justifyLastLine="0" shrinkToFit="0" readingOrder="0"/>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indexed="64"/>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left"/>
      <border diagonalUp="0" diagonalDown="0">
        <left style="thin">
          <color auto="1"/>
        </left>
        <right style="thin">
          <color auto="1"/>
        </right>
        <top style="thin">
          <color auto="1"/>
        </top>
        <bottom style="thin">
          <color auto="1"/>
        </bottom>
        <vertical/>
        <horizontal/>
      </border>
      <protection locked="0" hidden="0"/>
    </dxf>
    <dxf>
      <border diagonalUp="0" diagonalDown="0" outline="0">
        <left style="thin">
          <color auto="1"/>
        </left>
        <right style="thin">
          <color auto="1"/>
        </right>
        <top style="thin">
          <color auto="1"/>
        </top>
        <bottom style="thin">
          <color auto="1"/>
        </bottom>
      </border>
      <protection locked="0" hidden="0"/>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outline="0">
        <left style="thin">
          <color auto="1"/>
        </left>
        <right style="thin">
          <color auto="1"/>
        </right>
        <top style="thin">
          <color auto="1"/>
        </top>
        <bottom style="thin">
          <color auto="1"/>
        </bottom>
      </border>
      <protection locked="0" hidden="0"/>
    </dxf>
    <dxf>
      <border diagonalUp="0" diagonalDown="0" outline="0">
        <left style="thin">
          <color auto="1"/>
        </left>
        <right style="thin">
          <color auto="1"/>
        </right>
        <top style="thin">
          <color auto="1"/>
        </top>
        <bottom style="thin">
          <color auto="1"/>
        </bottom>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general" vertical="top" relativeIndent="-1"/>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alignment horizontal="lef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ill>
        <patternFill patternType="solid">
          <fgColor theme="4" tint="0.79998168889431442"/>
          <bgColor theme="4" tint="0.79998168889431442"/>
        </patternFill>
      </fill>
      <alignment horizontal="center" vertical="center" textRotation="0" wrapText="1" indent="0" justifyLastLine="0" shrinkToFit="0" readingOrder="0"/>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bgColor theme="0"/>
        </patternFill>
      </fill>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rgb="FFCCD7FF"/>
        </patternFill>
      </fill>
      <alignment horizontal="center" vertical="center" textRotation="0" wrapText="1" indent="0" justifyLastLine="0" shrinkToFit="0" readingOrder="0"/>
      <border diagonalUp="0" diagonalDown="0">
        <left style="thin">
          <color auto="1"/>
        </left>
        <right style="thin">
          <color auto="1"/>
        </right>
        <top/>
        <bottom/>
      </border>
      <protection locked="0" hidden="0"/>
    </dxf>
  </dxfs>
  <tableStyles count="1" defaultTableStyle="TableStyleMedium9" defaultPivotStyle="PivotStyleLight16">
    <tableStyle name="Invisible" pivot="0" table="0" count="0" xr9:uid="{6CBC46EC-EBDB-4568-87BC-47EE65EACF1B}"/>
  </tableStyles>
  <colors>
    <mruColors>
      <color rgb="FF0000FF"/>
      <color rgb="FF000099"/>
      <color rgb="FFCCECFF"/>
      <color rgb="FF66CCFF"/>
      <color rgb="FFFFFF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74" Type="http://schemas.openxmlformats.org/officeDocument/2006/relationships/externalLink" Target="externalLinks/externalLink50.xml"/><Relationship Id="rId79"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externalLink" Target="externalLinks/externalLink37.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theme" Target="theme/theme1.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sheetMetadata" Target="metadata.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 Id="rId24" Type="http://schemas.openxmlformats.org/officeDocument/2006/relationships/worksheet" Target="worksheets/sheet24.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66" Type="http://schemas.openxmlformats.org/officeDocument/2006/relationships/externalLink" Target="externalLinks/externalLink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'5 Unidades  +'!$Q$12</c:f>
              <c:strCache>
                <c:ptCount val="1"/>
                <c:pt idx="0">
                  <c:v>Unidade</c:v>
                </c:pt>
              </c:strCache>
            </c:strRef>
          </c:tx>
          <c:spPr>
            <a:solidFill>
              <a:schemeClr val="accent3">
                <a:lumMod val="60000"/>
                <a:lumOff val="40000"/>
                <a:alpha val="70000"/>
              </a:schemeClr>
            </a:solidFill>
            <a:ln>
              <a:solidFill>
                <a:srgbClr val="92D050"/>
              </a:solidFill>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+'!$Q$13:$Q$16</c:f>
              <c:numCache>
                <c:formatCode>0.00%</c:formatCode>
                <c:ptCount val="4"/>
                <c:pt idx="0">
                  <c:v>0.9</c:v>
                </c:pt>
                <c:pt idx="1">
                  <c:v>0.8</c:v>
                </c:pt>
                <c:pt idx="2">
                  <c:v>0.54545454545454553</c:v>
                </c:pt>
                <c:pt idx="3">
                  <c:v>1</c:v>
                </c:pt>
              </c:numCache>
            </c:numRef>
          </c:val>
          <c:extLst>
            <c:ext xmlns:c16="http://schemas.microsoft.com/office/drawing/2014/chart" uri="{C3380CC4-5D6E-409C-BE32-E72D297353CC}">
              <c16:uniqueId val="{00000000-A184-46AB-9DEB-AE02424B8B29}"/>
            </c:ext>
          </c:extLst>
        </c:ser>
        <c:ser>
          <c:idx val="1"/>
          <c:order val="1"/>
          <c:tx>
            <c:strRef>
              <c:f>'5 Unidades  +'!$R$12</c:f>
              <c:strCache>
                <c:ptCount val="1"/>
                <c:pt idx="0">
                  <c:v>Auditado</c:v>
                </c:pt>
              </c:strCache>
            </c:strRef>
          </c:tx>
          <c:spPr>
            <a:solidFill>
              <a:srgbClr val="00B050">
                <a:alpha val="47000"/>
              </a:srgbClr>
            </a:solidFill>
            <a:ln>
              <a:solidFill>
                <a:srgbClr val="92D050">
                  <a:alpha val="15000"/>
                </a:srgbClr>
              </a:solidFill>
              <a:prstDash val="dash"/>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+'!$R$13:$R$16</c:f>
              <c:numCache>
                <c:formatCode>0.00%</c:formatCode>
                <c:ptCount val="4"/>
                <c:pt idx="0">
                  <c:v>0.4</c:v>
                </c:pt>
                <c:pt idx="1">
                  <c:v>0.38333333333333336</c:v>
                </c:pt>
                <c:pt idx="2">
                  <c:v>0.23636363636363633</c:v>
                </c:pt>
                <c:pt idx="3">
                  <c:v>0.2</c:v>
                </c:pt>
              </c:numCache>
            </c:numRef>
          </c:val>
          <c:extLst>
            <c:ext xmlns:c16="http://schemas.microsoft.com/office/drawing/2014/chart" uri="{C3380CC4-5D6E-409C-BE32-E72D297353CC}">
              <c16:uniqueId val="{00000001-A184-46AB-9DEB-AE02424B8B29}"/>
            </c:ext>
          </c:extLst>
        </c:ser>
        <c:ser>
          <c:idx val="2"/>
          <c:order val="2"/>
          <c:tx>
            <c:strRef>
              <c:f>'5 Unidades  +'!$S$12</c:f>
              <c:strCache>
                <c:ptCount val="1"/>
                <c:pt idx="0">
                  <c:v>Meta</c:v>
                </c:pt>
              </c:strCache>
            </c:strRef>
          </c:tx>
          <c:spPr>
            <a:solidFill>
              <a:srgbClr val="92D050">
                <a:alpha val="20000"/>
              </a:srgbClr>
            </a:solidFill>
            <a:ln cmpd="thickThin">
              <a:solidFill>
                <a:srgbClr val="00B050"/>
              </a:solidFill>
              <a:prstDash val="dash"/>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+'!$S$13:$S$16</c:f>
              <c:numCache>
                <c:formatCode>0%</c:formatCode>
                <c:ptCount val="4"/>
                <c:pt idx="0">
                  <c:v>1</c:v>
                </c:pt>
                <c:pt idx="1">
                  <c:v>1</c:v>
                </c:pt>
                <c:pt idx="2">
                  <c:v>1</c:v>
                </c:pt>
                <c:pt idx="3">
                  <c:v>1</c:v>
                </c:pt>
              </c:numCache>
            </c:numRef>
          </c:val>
          <c:extLst>
            <c:ext xmlns:c16="http://schemas.microsoft.com/office/drawing/2014/chart" uri="{C3380CC4-5D6E-409C-BE32-E72D297353CC}">
              <c16:uniqueId val="{00000002-A184-46AB-9DEB-AE02424B8B29}"/>
            </c:ext>
          </c:extLst>
        </c:ser>
        <c:dLbls>
          <c:showLegendKey val="0"/>
          <c:showVal val="0"/>
          <c:showCatName val="0"/>
          <c:showSerName val="0"/>
          <c:showPercent val="0"/>
          <c:showBubbleSize val="0"/>
        </c:dLbls>
        <c:axId val="880326991"/>
        <c:axId val="880337071"/>
      </c:radarChart>
      <c:catAx>
        <c:axId val="88032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880337071"/>
        <c:crosses val="autoZero"/>
        <c:auto val="1"/>
        <c:lblAlgn val="ctr"/>
        <c:lblOffset val="100"/>
        <c:noMultiLvlLbl val="0"/>
      </c:catAx>
      <c:valAx>
        <c:axId val="88033707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80326991"/>
        <c:crosses val="autoZero"/>
        <c:crossBetween val="between"/>
      </c:valAx>
      <c:spPr>
        <a:noFill/>
        <a:ln>
          <a:noFill/>
        </a:ln>
        <a:effectLst/>
      </c:spPr>
    </c:plotArea>
    <c:legend>
      <c:legendPos val="r"/>
      <c:layout>
        <c:manualLayout>
          <c:xMode val="edge"/>
          <c:yMode val="edge"/>
          <c:x val="8.5533540201231134E-2"/>
          <c:y val="0.7511912183977365"/>
          <c:w val="0.14408528088611991"/>
          <c:h val="0.1577755517611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rgbClr val="000099"/>
                </a:solidFill>
                <a:latin typeface="+mn-lt"/>
                <a:ea typeface="+mn-ea"/>
                <a:cs typeface="+mn-cs"/>
              </a:defRPr>
            </a:pPr>
            <a:r>
              <a:rPr lang="pt-BR" b="1"/>
              <a:t>Distribuição mensal de</a:t>
            </a:r>
            <a:r>
              <a:rPr lang="pt-BR" b="1" baseline="0"/>
              <a:t> projetos do Grupo Delga</a:t>
            </a:r>
            <a:r>
              <a:rPr lang="pt-BR" b="1"/>
              <a:t> </a:t>
            </a:r>
          </a:p>
        </c:rich>
      </c:tx>
      <c:overlay val="0"/>
      <c:spPr>
        <a:noFill/>
        <a:ln>
          <a:noFill/>
        </a:ln>
        <a:effectLst/>
      </c:spPr>
      <c:txPr>
        <a:bodyPr rot="0" spcFirstLastPara="1" vertOverflow="ellipsis" vert="horz" wrap="square" anchor="ctr" anchorCtr="1"/>
        <a:lstStyle/>
        <a:p>
          <a:pPr>
            <a:defRPr sz="1080" b="1"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Parâmetros!$K$39</c:f>
              <c:strCache>
                <c:ptCount val="1"/>
                <c:pt idx="0">
                  <c:v>Previsto</c:v>
                </c:pt>
              </c:strCache>
            </c:strRef>
          </c:tx>
          <c:spPr>
            <a:solidFill>
              <a:srgbClr val="8EB4E3"/>
            </a:solidFill>
            <a:ln>
              <a:solidFill>
                <a:srgbClr val="0000FF"/>
              </a:solidFill>
            </a:ln>
            <a:effectLst/>
          </c:spPr>
          <c:invertIfNegative val="1"/>
          <c:cat>
            <c:numRef>
              <c:f>Parâmetros!$L$38:$W$38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Parâmetros!$L$39:$W$39</c:f>
              <c:numCache>
                <c:formatCode>_("R$"* #,##0.00_);_("R$"* \(#,##0.00\);_("R$"* "-"??_);_(@_)</c:formatCode>
                <c:ptCount val="12"/>
                <c:pt idx="0">
                  <c:v>986433.4254999999</c:v>
                </c:pt>
                <c:pt idx="1">
                  <c:v>602337.30597634881</c:v>
                </c:pt>
                <c:pt idx="2">
                  <c:v>1001890.2720663488</c:v>
                </c:pt>
                <c:pt idx="3">
                  <c:v>1129627.807705238</c:v>
                </c:pt>
                <c:pt idx="4">
                  <c:v>1247236.9274632344</c:v>
                </c:pt>
                <c:pt idx="5">
                  <c:v>1908119.8644186817</c:v>
                </c:pt>
                <c:pt idx="6">
                  <c:v>2313268.2835853486</c:v>
                </c:pt>
                <c:pt idx="7">
                  <c:v>2497797.8004186819</c:v>
                </c:pt>
                <c:pt idx="8">
                  <c:v>2525621.1954936818</c:v>
                </c:pt>
                <c:pt idx="9">
                  <c:v>2629809.5288270153</c:v>
                </c:pt>
                <c:pt idx="10">
                  <c:v>2671476.1954936818</c:v>
                </c:pt>
                <c:pt idx="11">
                  <c:v>2869026.1688270154</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00FF"/>
                    </a:solidFill>
                  </a:ln>
                  <a:effectLst/>
                </c14:spPr>
              </c14:invertSolidFillFmt>
            </c:ext>
            <c:ext xmlns:c16="http://schemas.microsoft.com/office/drawing/2014/chart" uri="{C3380CC4-5D6E-409C-BE32-E72D297353CC}">
              <c16:uniqueId val="{00000000-D1A3-4998-8F39-F420D30AFDDE}"/>
            </c:ext>
          </c:extLst>
        </c:ser>
        <c:ser>
          <c:idx val="1"/>
          <c:order val="1"/>
          <c:tx>
            <c:strRef>
              <c:f>Parâmetros!$K$40</c:f>
              <c:strCache>
                <c:ptCount val="1"/>
                <c:pt idx="0">
                  <c:v>Real</c:v>
                </c:pt>
              </c:strCache>
            </c:strRef>
          </c:tx>
          <c:spPr>
            <a:solidFill>
              <a:srgbClr val="92D050"/>
            </a:solidFill>
            <a:ln>
              <a:solidFill>
                <a:srgbClr val="00B050"/>
              </a:solidFill>
            </a:ln>
            <a:effectLst/>
          </c:spPr>
          <c:invertIfNegative val="1"/>
          <c:cat>
            <c:numRef>
              <c:f>Parâmetros!$L$38:$W$38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Parâmetros!$L$40:$W$40</c:f>
              <c:numCache>
                <c:formatCode>_("R$"* #,##0.00_);_("R$"* \(#,##0.00\);_("R$"* "-"??_);_(@_)</c:formatCode>
                <c:ptCount val="12"/>
                <c:pt idx="0">
                  <c:v>1132496.77</c:v>
                </c:pt>
                <c:pt idx="1">
                  <c:v>986931.71605286037</c:v>
                </c:pt>
                <c:pt idx="2">
                  <c:v>1181167.2010839919</c:v>
                </c:pt>
                <c:pt idx="3">
                  <c:v>791515.28799477732</c:v>
                </c:pt>
                <c:pt idx="4">
                  <c:v>886118.59862587997</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D1A3-4998-8F39-F420D30AFDDE}"/>
            </c:ext>
          </c:extLst>
        </c:ser>
        <c:dLbls>
          <c:showLegendKey val="0"/>
          <c:showVal val="0"/>
          <c:showCatName val="0"/>
          <c:showSerName val="0"/>
          <c:showPercent val="0"/>
          <c:showBubbleSize val="0"/>
        </c:dLbls>
        <c:gapWidth val="219"/>
        <c:axId val="442705872"/>
        <c:axId val="442713552"/>
      </c:barChart>
      <c:lineChart>
        <c:grouping val="standard"/>
        <c:varyColors val="0"/>
        <c:ser>
          <c:idx val="3"/>
          <c:order val="3"/>
          <c:tx>
            <c:strRef>
              <c:f>Parâmetros!$K$42</c:f>
              <c:strCache>
                <c:ptCount val="1"/>
                <c:pt idx="0">
                  <c:v>Acumulado Previsto</c:v>
                </c:pt>
              </c:strCache>
            </c:strRef>
          </c:tx>
          <c:spPr>
            <a:ln w="28575" cap="rnd">
              <a:solidFill>
                <a:srgbClr val="00B050"/>
              </a:solidFill>
              <a:round/>
            </a:ln>
            <a:effectLst/>
          </c:spPr>
          <c:marker>
            <c:symbol val="none"/>
          </c:marker>
          <c:cat>
            <c:numRef>
              <c:f>Parâmetros!$L$38:$W$38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Parâmetros!$L$42:$W$42</c:f>
              <c:numCache>
                <c:formatCode>_("R$"* #,##0.00_);_("R$"* \(#,##0.00\);_("R$"* "-"??_);_(@_)</c:formatCode>
                <c:ptCount val="12"/>
                <c:pt idx="0">
                  <c:v>986433.4254999999</c:v>
                </c:pt>
                <c:pt idx="1">
                  <c:v>1588770.7314763488</c:v>
                </c:pt>
                <c:pt idx="2">
                  <c:v>2590661.0035426975</c:v>
                </c:pt>
                <c:pt idx="3">
                  <c:v>3720288.8112479355</c:v>
                </c:pt>
                <c:pt idx="4">
                  <c:v>4967525.7387111699</c:v>
                </c:pt>
                <c:pt idx="5">
                  <c:v>6875645.6031298516</c:v>
                </c:pt>
                <c:pt idx="6">
                  <c:v>9188913.8867151998</c:v>
                </c:pt>
                <c:pt idx="7">
                  <c:v>11686711.687133882</c:v>
                </c:pt>
                <c:pt idx="8">
                  <c:v>14212332.882627564</c:v>
                </c:pt>
                <c:pt idx="9">
                  <c:v>16842142.411454581</c:v>
                </c:pt>
                <c:pt idx="10">
                  <c:v>19513618.606948264</c:v>
                </c:pt>
                <c:pt idx="11">
                  <c:v>22382644.77577528</c:v>
                </c:pt>
              </c:numCache>
            </c:numRef>
          </c:val>
          <c:smooth val="0"/>
          <c:extLst>
            <c:ext xmlns:c16="http://schemas.microsoft.com/office/drawing/2014/chart" uri="{C3380CC4-5D6E-409C-BE32-E72D297353CC}">
              <c16:uniqueId val="{00000002-D1A3-4998-8F39-F420D30AFDDE}"/>
            </c:ext>
          </c:extLst>
        </c:ser>
        <c:ser>
          <c:idx val="4"/>
          <c:order val="4"/>
          <c:tx>
            <c:strRef>
              <c:f>Parâmetros!$K$43</c:f>
              <c:strCache>
                <c:ptCount val="1"/>
                <c:pt idx="0">
                  <c:v>Acumulado Real</c:v>
                </c:pt>
              </c:strCache>
            </c:strRef>
          </c:tx>
          <c:spPr>
            <a:ln w="28575" cap="rnd">
              <a:solidFill>
                <a:schemeClr val="accent6"/>
              </a:solidFill>
              <a:round/>
            </a:ln>
            <a:effectLst/>
          </c:spPr>
          <c:marker>
            <c:symbol val="none"/>
          </c:marker>
          <c:cat>
            <c:numRef>
              <c:f>Parâmetros!$L$38:$W$38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Parâmetros!$L$43:$W$43</c:f>
              <c:numCache>
                <c:formatCode>_("R$"* #,##0.00_);_("R$"* \(#,##0.00\);_("R$"* "-"??_);_(@_)</c:formatCode>
                <c:ptCount val="12"/>
                <c:pt idx="0">
                  <c:v>1132496.77</c:v>
                </c:pt>
                <c:pt idx="1">
                  <c:v>2119428.4860528605</c:v>
                </c:pt>
                <c:pt idx="2">
                  <c:v>3300595.6871368522</c:v>
                </c:pt>
                <c:pt idx="3">
                  <c:v>4092110.9751316295</c:v>
                </c:pt>
                <c:pt idx="4">
                  <c:v>4978229.5737575097</c:v>
                </c:pt>
                <c:pt idx="5">
                  <c:v>4978229.5737575097</c:v>
                </c:pt>
                <c:pt idx="6">
                  <c:v>4978229.5737575097</c:v>
                </c:pt>
                <c:pt idx="7">
                  <c:v>4978229.5737575097</c:v>
                </c:pt>
                <c:pt idx="8">
                  <c:v>4978229.5737575097</c:v>
                </c:pt>
                <c:pt idx="9">
                  <c:v>4978229.5737575097</c:v>
                </c:pt>
                <c:pt idx="10">
                  <c:v>4978229.5737575097</c:v>
                </c:pt>
                <c:pt idx="11">
                  <c:v>4978229.5737575097</c:v>
                </c:pt>
              </c:numCache>
            </c:numRef>
          </c:val>
          <c:smooth val="0"/>
          <c:extLst>
            <c:ext xmlns:c16="http://schemas.microsoft.com/office/drawing/2014/chart" uri="{C3380CC4-5D6E-409C-BE32-E72D297353CC}">
              <c16:uniqueId val="{00000003-D1A3-4998-8F39-F420D30AFDDE}"/>
            </c:ext>
          </c:extLst>
        </c:ser>
        <c:ser>
          <c:idx val="5"/>
          <c:order val="5"/>
          <c:tx>
            <c:strRef>
              <c:f>Parâmetros!$K$44</c:f>
              <c:strCache>
                <c:ptCount val="1"/>
                <c:pt idx="0">
                  <c:v>Projeção da Meta</c:v>
                </c:pt>
              </c:strCache>
            </c:strRef>
          </c:tx>
          <c:spPr>
            <a:ln w="28575" cap="rnd">
              <a:solidFill>
                <a:srgbClr val="00B050"/>
              </a:solidFill>
              <a:prstDash val="sysDot"/>
              <a:round/>
            </a:ln>
            <a:effectLst/>
          </c:spPr>
          <c:marker>
            <c:symbol val="none"/>
          </c:marker>
          <c:cat>
            <c:numRef>
              <c:f>Parâmetros!$L$38:$W$38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Parâmetros!$L$44:$W$44</c:f>
              <c:numCache>
                <c:formatCode>_("R$"* #,##0.00_);_("R$"* \(#,##0.00\);_("R$"* "-"??_);_(@_)</c:formatCode>
                <c:ptCount val="12"/>
                <c:pt idx="0">
                  <c:v>1132496.77</c:v>
                </c:pt>
                <c:pt idx="1">
                  <c:v>2119428.4860528605</c:v>
                </c:pt>
                <c:pt idx="2">
                  <c:v>3300595.6871368522</c:v>
                </c:pt>
                <c:pt idx="3">
                  <c:v>4092110.9751316295</c:v>
                </c:pt>
                <c:pt idx="4">
                  <c:v>4978229.5737575097</c:v>
                </c:pt>
                <c:pt idx="5">
                  <c:v>11455625.348935008</c:v>
                </c:pt>
                <c:pt idx="6">
                  <c:v>17933021.124112509</c:v>
                </c:pt>
                <c:pt idx="7">
                  <c:v>24410416.89929001</c:v>
                </c:pt>
                <c:pt idx="8">
                  <c:v>30887812.674467511</c:v>
                </c:pt>
                <c:pt idx="9">
                  <c:v>37365208.449645013</c:v>
                </c:pt>
                <c:pt idx="10">
                  <c:v>43842604.224822514</c:v>
                </c:pt>
                <c:pt idx="11">
                  <c:v>50320000.000000015</c:v>
                </c:pt>
              </c:numCache>
            </c:numRef>
          </c:val>
          <c:smooth val="0"/>
          <c:extLst>
            <c:ext xmlns:c16="http://schemas.microsoft.com/office/drawing/2014/chart" uri="{C3380CC4-5D6E-409C-BE32-E72D297353CC}">
              <c16:uniqueId val="{00000004-D1A3-4998-8F39-F420D30AFDDE}"/>
            </c:ext>
          </c:extLst>
        </c:ser>
        <c:dLbls>
          <c:showLegendKey val="0"/>
          <c:showVal val="0"/>
          <c:showCatName val="0"/>
          <c:showSerName val="0"/>
          <c:showPercent val="0"/>
          <c:showBubbleSize val="0"/>
        </c:dLbls>
        <c:marker val="1"/>
        <c:smooth val="0"/>
        <c:axId val="1383361104"/>
        <c:axId val="1383354384"/>
        <c:extLst>
          <c:ext xmlns:c15="http://schemas.microsoft.com/office/drawing/2012/chart" uri="{02D57815-91ED-43cb-92C2-25804820EDAC}">
            <c15:filteredLineSeries>
              <c15:ser>
                <c:idx val="2"/>
                <c:order val="2"/>
                <c:tx>
                  <c:strRef>
                    <c:extLst>
                      <c:ext uri="{02D57815-91ED-43cb-92C2-25804820EDAC}">
                        <c15:formulaRef>
                          <c15:sqref>Parâmetros!$K$41</c15:sqref>
                        </c15:formulaRef>
                      </c:ext>
                    </c:extLst>
                    <c:strCache>
                      <c:ptCount val="1"/>
                      <c:pt idx="0">
                        <c:v>Q. Projetos </c:v>
                      </c:pt>
                    </c:strCache>
                  </c:strRef>
                </c:tx>
                <c:spPr>
                  <a:ln w="12700" cap="rnd">
                    <a:solidFill>
                      <a:srgbClr val="FF0000"/>
                    </a:solidFill>
                    <a:prstDash val="dashDot"/>
                    <a:round/>
                  </a:ln>
                  <a:effectLst/>
                </c:spPr>
                <c:marker>
                  <c:symbol val="none"/>
                </c:marker>
                <c:cat>
                  <c:numRef>
                    <c:extLst>
                      <c:ext uri="{02D57815-91ED-43cb-92C2-25804820EDAC}">
                        <c15:formulaRef>
                          <c15:sqref>Parâmetros!$L$38:$W$38</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Parâmetros!$L$41:$W$41</c15:sqref>
                        </c15:formulaRef>
                      </c:ext>
                    </c:extLst>
                    <c:numCache>
                      <c:formatCode>0</c:formatCode>
                      <c:ptCount val="12"/>
                      <c:pt idx="0">
                        <c:v>44</c:v>
                      </c:pt>
                      <c:pt idx="1">
                        <c:v>96</c:v>
                      </c:pt>
                      <c:pt idx="2">
                        <c:v>115</c:v>
                      </c:pt>
                      <c:pt idx="3">
                        <c:v>127</c:v>
                      </c:pt>
                      <c:pt idx="4">
                        <c:v>123</c:v>
                      </c:pt>
                      <c:pt idx="5">
                        <c:v>111</c:v>
                      </c:pt>
                      <c:pt idx="6">
                        <c:v>91</c:v>
                      </c:pt>
                      <c:pt idx="7">
                        <c:v>80</c:v>
                      </c:pt>
                      <c:pt idx="8">
                        <c:v>71</c:v>
                      </c:pt>
                      <c:pt idx="9">
                        <c:v>69</c:v>
                      </c:pt>
                      <c:pt idx="10">
                        <c:v>67</c:v>
                      </c:pt>
                      <c:pt idx="11">
                        <c:v>67</c:v>
                      </c:pt>
                    </c:numCache>
                  </c:numRef>
                </c:val>
                <c:smooth val="0"/>
                <c:extLst>
                  <c:ext xmlns:c16="http://schemas.microsoft.com/office/drawing/2014/chart" uri="{C3380CC4-5D6E-409C-BE32-E72D297353CC}">
                    <c16:uniqueId val="{00000005-D1A3-4998-8F39-F420D30AFDDE}"/>
                  </c:ext>
                </c:extLst>
              </c15:ser>
            </c15:filteredLineSeries>
          </c:ext>
        </c:extLst>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60000"/>
          <a:lumOff val="40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8067-4669-BFB7-6770F4CAA5E7}"/>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4-8067-4669-BFB7-6770F4CAA5E7}"/>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3-8067-4669-BFB7-6770F4CAA5E7}"/>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2-8067-4669-BFB7-6770F4CAA5E7}"/>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6778445866859777"/>
                      <c:h val="0.11625878927046526"/>
                    </c:manualLayout>
                  </c15:layout>
                </c:ext>
                <c:ext xmlns:c16="http://schemas.microsoft.com/office/drawing/2014/chart" uri="{C3380CC4-5D6E-409C-BE32-E72D297353CC}">
                  <c16:uniqueId val="{00000001-8067-4669-BFB7-6770F4CAA5E7}"/>
                </c:ext>
              </c:extLst>
            </c:dLbl>
            <c:dLbl>
              <c:idx val="1"/>
              <c:layout>
                <c:manualLayout>
                  <c:x val="9.1056887252573521E-2"/>
                  <c:y val="-4.927323401148551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664626550252465"/>
                      <c:h val="0.11625878927046526"/>
                    </c:manualLayout>
                  </c15:layout>
                </c:ext>
                <c:ext xmlns:c16="http://schemas.microsoft.com/office/drawing/2014/chart" uri="{C3380CC4-5D6E-409C-BE32-E72D297353CC}">
                  <c16:uniqueId val="{00000004-8067-4669-BFB7-6770F4CAA5E7}"/>
                </c:ext>
              </c:extLst>
            </c:dLbl>
            <c:dLbl>
              <c:idx val="2"/>
              <c:dLblPos val="bestFit"/>
              <c:showLegendKey val="0"/>
              <c:showVal val="1"/>
              <c:showCatName val="0"/>
              <c:showSerName val="0"/>
              <c:showPercent val="0"/>
              <c:showBubbleSize val="0"/>
              <c:extLst>
                <c:ext xmlns:c15="http://schemas.microsoft.com/office/drawing/2012/chart" uri="{CE6537A1-D6FC-4f65-9D91-7224C49458BB}">
                  <c15:layout>
                    <c:manualLayout>
                      <c:w val="0.27957309914266715"/>
                      <c:h val="0.10402102197883734"/>
                    </c:manualLayout>
                  </c15:layout>
                </c:ext>
                <c:ext xmlns:c16="http://schemas.microsoft.com/office/drawing/2014/chart" uri="{C3380CC4-5D6E-409C-BE32-E72D297353CC}">
                  <c16:uniqueId val="{00000003-8067-4669-BFB7-6770F4CAA5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 Unidades  +'!$M$22:$M$25</c:f>
              <c:strCache>
                <c:ptCount val="4"/>
                <c:pt idx="0">
                  <c:v>VA</c:v>
                </c:pt>
                <c:pt idx="1">
                  <c:v>GGF</c:v>
                </c:pt>
                <c:pt idx="2">
                  <c:v>MA</c:v>
                </c:pt>
                <c:pt idx="3">
                  <c:v>Outros</c:v>
                </c:pt>
              </c:strCache>
            </c:strRef>
          </c:cat>
          <c:val>
            <c:numRef>
              <c:f>'5 Unidades  +'!$N$22:$N$25</c:f>
              <c:numCache>
                <c:formatCode>_("R$"* #,##0.00_);_("R$"* \(#,##0.00\);_("R$"* "-"??_);_(@_)</c:formatCode>
                <c:ptCount val="4"/>
                <c:pt idx="0">
                  <c:v>8411705.5901371427</c:v>
                </c:pt>
                <c:pt idx="1">
                  <c:v>4168697.5409999997</c:v>
                </c:pt>
                <c:pt idx="2">
                  <c:v>1877825.7895</c:v>
                </c:pt>
                <c:pt idx="3">
                  <c:v>440000</c:v>
                </c:pt>
              </c:numCache>
            </c:numRef>
          </c:val>
          <c:extLst>
            <c:ext xmlns:c16="http://schemas.microsoft.com/office/drawing/2014/chart" uri="{C3380CC4-5D6E-409C-BE32-E72D297353CC}">
              <c16:uniqueId val="{00000000-8067-4669-BFB7-6770F4CAA5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080" b="1" i="0" u="none" strike="noStrike" kern="1200" spc="0" baseline="0">
                <a:solidFill>
                  <a:srgbClr val="000099"/>
                </a:solidFill>
                <a:latin typeface="+mn-lt"/>
                <a:ea typeface="+mn-ea"/>
                <a:cs typeface="+mn-cs"/>
              </a:defRPr>
            </a:pPr>
            <a:r>
              <a:rPr lang="pt-BR" sz="1080" b="1" i="0" u="none" strike="noStrike" kern="1200" spc="0" baseline="0">
                <a:solidFill>
                  <a:srgbClr val="000099"/>
                </a:solidFill>
                <a:latin typeface="+mn-lt"/>
                <a:ea typeface="+mn-ea"/>
                <a:cs typeface="+mn-cs"/>
              </a:rPr>
              <a:t> Retorno até o momento por unidade</a:t>
            </a:r>
          </a:p>
        </c:rich>
      </c:tx>
      <c:layout>
        <c:manualLayout>
          <c:xMode val="edge"/>
          <c:yMode val="edge"/>
          <c:x val="0.37539892801482372"/>
          <c:y val="1.3223725654548388E-2"/>
        </c:manualLayout>
      </c:layout>
      <c:overlay val="0"/>
      <c:spPr>
        <a:noFill/>
        <a:ln>
          <a:noFill/>
        </a:ln>
        <a:effectLst/>
      </c:spPr>
      <c:txPr>
        <a:bodyPr rot="0" spcFirstLastPara="1" vertOverflow="ellipsis" vert="horz" wrap="square" anchor="ctr" anchorCtr="1"/>
        <a:lstStyle/>
        <a:p>
          <a:pPr algn="ctr" rtl="0">
            <a:defRPr lang="pt-BR" sz="1080" b="1" i="0" u="none" strike="noStrike" kern="1200" spc="0" baseline="0">
              <a:solidFill>
                <a:srgbClr val="000099"/>
              </a:solidFill>
              <a:latin typeface="+mn-lt"/>
              <a:ea typeface="+mn-ea"/>
              <a:cs typeface="+mn-cs"/>
            </a:defRPr>
          </a:pPr>
          <a:endParaRPr lang="pt-BR"/>
        </a:p>
      </c:txPr>
    </c:title>
    <c:autoTitleDeleted val="0"/>
    <c:plotArea>
      <c:layout>
        <c:manualLayout>
          <c:layoutTarget val="inner"/>
          <c:xMode val="edge"/>
          <c:yMode val="edge"/>
          <c:x val="0.10553822015982128"/>
          <c:y val="4.4369590984265156E-2"/>
          <c:w val="0.8941185204331713"/>
          <c:h val="0.7767116655126276"/>
        </c:manualLayout>
      </c:layout>
      <c:barChart>
        <c:barDir val="col"/>
        <c:grouping val="clustered"/>
        <c:varyColors val="0"/>
        <c:ser>
          <c:idx val="0"/>
          <c:order val="0"/>
          <c:tx>
            <c:strRef>
              <c:f>'5 Unidades  +'!$E$264</c:f>
              <c:strCache>
                <c:ptCount val="1"/>
                <c:pt idx="0">
                  <c:v>Previsto</c:v>
                </c:pt>
              </c:strCache>
            </c:strRef>
          </c:tx>
          <c:spPr>
            <a:solidFill>
              <a:schemeClr val="accent1">
                <a:lumMod val="40000"/>
                <a:lumOff val="60000"/>
              </a:schemeClr>
            </a:solidFill>
            <a:ln>
              <a:solidFill>
                <a:srgbClr val="0000FF"/>
              </a:solidFill>
            </a:ln>
            <a:effectLst/>
          </c:spPr>
          <c:invertIfNegative val="0"/>
          <c:cat>
            <c:strRef>
              <c:f>'5 Unidades  +'!$D$265:$D$270</c:f>
              <c:strCache>
                <c:ptCount val="6"/>
                <c:pt idx="0">
                  <c:v>Compras</c:v>
                </c:pt>
                <c:pt idx="1">
                  <c:v>Ferraz</c:v>
                </c:pt>
                <c:pt idx="2">
                  <c:v>São leopoldo</c:v>
                </c:pt>
                <c:pt idx="3">
                  <c:v>Diadema</c:v>
                </c:pt>
                <c:pt idx="4">
                  <c:v>Anchieta</c:v>
                </c:pt>
                <c:pt idx="5">
                  <c:v>Jarinu</c:v>
                </c:pt>
              </c:strCache>
            </c:strRef>
          </c:cat>
          <c:val>
            <c:numRef>
              <c:f>'5 Unidades  +'!$E$265:$E$270</c:f>
              <c:numCache>
                <c:formatCode>_("R$"* #,##0.00_);_("R$"* \(#,##0.00\);_("R$"* "-"??_);_(@_)</c:formatCode>
                <c:ptCount val="6"/>
                <c:pt idx="0">
                  <c:v>1566100.6675</c:v>
                </c:pt>
                <c:pt idx="1">
                  <c:v>890026.80353535351</c:v>
                </c:pt>
                <c:pt idx="2">
                  <c:v>670756.8942504205</c:v>
                </c:pt>
                <c:pt idx="3">
                  <c:v>466575.81672337552</c:v>
                </c:pt>
                <c:pt idx="4">
                  <c:v>177113.98186868688</c:v>
                </c:pt>
                <c:pt idx="5">
                  <c:v>448555.40150000004</c:v>
                </c:pt>
              </c:numCache>
            </c:numRef>
          </c:val>
          <c:extLst>
            <c:ext xmlns:c16="http://schemas.microsoft.com/office/drawing/2014/chart" uri="{C3380CC4-5D6E-409C-BE32-E72D297353CC}">
              <c16:uniqueId val="{00000000-21C2-4550-B6AC-915644C85671}"/>
            </c:ext>
          </c:extLst>
        </c:ser>
        <c:ser>
          <c:idx val="1"/>
          <c:order val="1"/>
          <c:tx>
            <c:strRef>
              <c:f>'5 Unidades  +'!$F$264</c:f>
              <c:strCache>
                <c:ptCount val="1"/>
                <c:pt idx="0">
                  <c:v>Real</c:v>
                </c:pt>
              </c:strCache>
            </c:strRef>
          </c:tx>
          <c:spPr>
            <a:solidFill>
              <a:srgbClr val="92D050"/>
            </a:solidFill>
            <a:ln>
              <a:solidFill>
                <a:srgbClr val="00B050"/>
              </a:solidFill>
            </a:ln>
            <a:effectLst/>
          </c:spPr>
          <c:invertIfNegative val="1"/>
          <c:cat>
            <c:strRef>
              <c:f>'5 Unidades  +'!$D$265:$D$270</c:f>
              <c:strCache>
                <c:ptCount val="6"/>
                <c:pt idx="0">
                  <c:v>Compras</c:v>
                </c:pt>
                <c:pt idx="1">
                  <c:v>Ferraz</c:v>
                </c:pt>
                <c:pt idx="2">
                  <c:v>São leopoldo</c:v>
                </c:pt>
                <c:pt idx="3">
                  <c:v>Diadema</c:v>
                </c:pt>
                <c:pt idx="4">
                  <c:v>Anchieta</c:v>
                </c:pt>
                <c:pt idx="5">
                  <c:v>Jarinu</c:v>
                </c:pt>
              </c:strCache>
            </c:strRef>
          </c:cat>
          <c:val>
            <c:numRef>
              <c:f>'5 Unidades  +'!$F$265:$F$270</c:f>
              <c:numCache>
                <c:formatCode>_("R$"* #,##0.00_);_("R$"* \(#,##0.00\);_("R$"* "-"??_);_(@_)</c:formatCode>
                <c:ptCount val="6"/>
                <c:pt idx="0">
                  <c:v>597103.47075763997</c:v>
                </c:pt>
                <c:pt idx="1">
                  <c:v>1194100.1099999999</c:v>
                </c:pt>
                <c:pt idx="2">
                  <c:v>821498.26</c:v>
                </c:pt>
                <c:pt idx="3">
                  <c:v>386808.68688146869</c:v>
                </c:pt>
                <c:pt idx="4">
                  <c:v>144003.3141743305</c:v>
                </c:pt>
                <c:pt idx="5">
                  <c:v>390000</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21C2-4550-B6AC-915644C85671}"/>
            </c:ext>
          </c:extLst>
        </c:ser>
        <c:dLbls>
          <c:showLegendKey val="0"/>
          <c:showVal val="0"/>
          <c:showCatName val="0"/>
          <c:showSerName val="0"/>
          <c:showPercent val="0"/>
          <c:showBubbleSize val="0"/>
        </c:dLbls>
        <c:gapWidth val="219"/>
        <c:overlap val="-27"/>
        <c:axId val="900261584"/>
        <c:axId val="900255344"/>
      </c:barChart>
      <c:catAx>
        <c:axId val="900261584"/>
        <c:scaling>
          <c:orientation val="minMax"/>
        </c:scaling>
        <c:delete val="1"/>
        <c:axPos val="b"/>
        <c:numFmt formatCode="General" sourceLinked="1"/>
        <c:majorTickMark val="none"/>
        <c:minorTickMark val="none"/>
        <c:tickLblPos val="nextTo"/>
        <c:crossAx val="900255344"/>
        <c:crosses val="autoZero"/>
        <c:auto val="1"/>
        <c:lblAlgn val="ctr"/>
        <c:lblOffset val="100"/>
        <c:noMultiLvlLbl val="0"/>
      </c:catAx>
      <c:valAx>
        <c:axId val="900255344"/>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700" b="0" i="0" u="none" strike="noStrike" kern="1200" baseline="0">
                <a:solidFill>
                  <a:srgbClr val="000099"/>
                </a:solidFill>
                <a:latin typeface="+mn-lt"/>
                <a:ea typeface="+mn-ea"/>
                <a:cs typeface="+mn-cs"/>
              </a:defRPr>
            </a:pPr>
            <a:endParaRPr lang="pt-BR"/>
          </a:p>
        </c:txPr>
        <c:crossAx val="90026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105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pt-B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Diadema!$S$179</c:f>
              <c:strCache>
                <c:ptCount val="1"/>
                <c:pt idx="0">
                  <c:v>Previsto</c:v>
                </c:pt>
              </c:strCache>
            </c:strRef>
          </c:tx>
          <c:spPr>
            <a:solidFill>
              <a:schemeClr val="accent1">
                <a:lumMod val="40000"/>
                <a:lumOff val="60000"/>
              </a:schemeClr>
            </a:solidFill>
            <a:ln>
              <a:solidFill>
                <a:srgbClr val="0000FF"/>
              </a:solidFill>
            </a:ln>
            <a:effectLst/>
          </c:spPr>
          <c:invertIfNegative val="0"/>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Diadema!$T$179:$AE$179</c:f>
              <c:numCache>
                <c:formatCode>_("R$"* #,##0.00_);_("R$"* \(#,##0.00\);_("R$"* "-"??_);_(@_)</c:formatCode>
                <c:ptCount val="12"/>
                <c:pt idx="0">
                  <c:v>41403.54</c:v>
                </c:pt>
                <c:pt idx="1">
                  <c:v>4272.4483702882999</c:v>
                </c:pt>
                <c:pt idx="2">
                  <c:v>110133.83746028828</c:v>
                </c:pt>
                <c:pt idx="3">
                  <c:v>125932.02857139938</c:v>
                </c:pt>
                <c:pt idx="4">
                  <c:v>184833.96232139945</c:v>
                </c:pt>
                <c:pt idx="5">
                  <c:v>353764.08527494228</c:v>
                </c:pt>
                <c:pt idx="6">
                  <c:v>364539.37360827561</c:v>
                </c:pt>
                <c:pt idx="7">
                  <c:v>387389.09960827557</c:v>
                </c:pt>
                <c:pt idx="8">
                  <c:v>387389.09960827557</c:v>
                </c:pt>
                <c:pt idx="9">
                  <c:v>387389.09960827557</c:v>
                </c:pt>
                <c:pt idx="10">
                  <c:v>387389.09960827557</c:v>
                </c:pt>
                <c:pt idx="11">
                  <c:v>387389.09960827557</c:v>
                </c:pt>
              </c:numCache>
            </c:numRef>
          </c:val>
          <c:extLst>
            <c:ext xmlns:c16="http://schemas.microsoft.com/office/drawing/2014/chart" uri="{C3380CC4-5D6E-409C-BE32-E72D297353CC}">
              <c16:uniqueId val="{00000000-D0AB-45DF-995A-6C6A4F86497D}"/>
            </c:ext>
          </c:extLst>
        </c:ser>
        <c:ser>
          <c:idx val="1"/>
          <c:order val="1"/>
          <c:tx>
            <c:strRef>
              <c:f>Diadema!$S$180</c:f>
              <c:strCache>
                <c:ptCount val="1"/>
                <c:pt idx="0">
                  <c:v>Real</c:v>
                </c:pt>
              </c:strCache>
            </c:strRef>
          </c:tx>
          <c:spPr>
            <a:solidFill>
              <a:srgbClr val="92D050"/>
            </a:solidFill>
            <a:ln>
              <a:solidFill>
                <a:srgbClr val="00B050"/>
              </a:solidFill>
            </a:ln>
            <a:effectLst/>
          </c:spPr>
          <c:invertIfNegative val="1"/>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Diadema!$T$180:$AE$180</c:f>
              <c:numCache>
                <c:formatCode>_("R$"* #,##0.00_);_("R$"* \(#,##0.00\);_("R$"* "-"??_);_(@_)</c:formatCode>
                <c:ptCount val="12"/>
                <c:pt idx="0">
                  <c:v>41403.54</c:v>
                </c:pt>
                <c:pt idx="1">
                  <c:v>4586.7548434203618</c:v>
                </c:pt>
                <c:pt idx="2">
                  <c:v>67788.936790466076</c:v>
                </c:pt>
                <c:pt idx="3">
                  <c:v>134499.4510592015</c:v>
                </c:pt>
                <c:pt idx="4">
                  <c:v>166936.15480234075</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D0AB-45DF-995A-6C6A4F86497D}"/>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Diadema!$S$181</c:f>
              <c:strCache>
                <c:ptCount val="1"/>
                <c:pt idx="0">
                  <c:v>Q. Projetos </c:v>
                </c:pt>
              </c:strCache>
            </c:strRef>
          </c:tx>
          <c:spPr>
            <a:ln w="9525" cap="rnd">
              <a:solidFill>
                <a:srgbClr val="FF0000"/>
              </a:solidFill>
              <a:prstDash val="lgDashDot"/>
              <a:round/>
            </a:ln>
            <a:effectLst/>
          </c:spPr>
          <c:marker>
            <c:symbol val="none"/>
          </c:marker>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Diadema!$T$181:$AE$181</c:f>
              <c:numCache>
                <c:formatCode>0</c:formatCode>
                <c:ptCount val="12"/>
                <c:pt idx="0">
                  <c:v>6</c:v>
                </c:pt>
                <c:pt idx="1">
                  <c:v>19</c:v>
                </c:pt>
                <c:pt idx="2">
                  <c:v>27</c:v>
                </c:pt>
                <c:pt idx="3">
                  <c:v>43</c:v>
                </c:pt>
                <c:pt idx="4">
                  <c:v>54</c:v>
                </c:pt>
                <c:pt idx="5">
                  <c:v>57</c:v>
                </c:pt>
                <c:pt idx="6">
                  <c:v>57</c:v>
                </c:pt>
                <c:pt idx="7">
                  <c:v>57</c:v>
                </c:pt>
                <c:pt idx="8">
                  <c:v>57</c:v>
                </c:pt>
                <c:pt idx="9">
                  <c:v>57</c:v>
                </c:pt>
                <c:pt idx="10">
                  <c:v>57</c:v>
                </c:pt>
                <c:pt idx="11">
                  <c:v>57</c:v>
                </c:pt>
              </c:numCache>
            </c:numRef>
          </c:val>
          <c:smooth val="0"/>
          <c:extLst>
            <c:ext xmlns:c16="http://schemas.microsoft.com/office/drawing/2014/chart" uri="{C3380CC4-5D6E-409C-BE32-E72D297353CC}">
              <c16:uniqueId val="{00000003-D0AB-45DF-995A-6C6A4F86497D}"/>
            </c:ext>
          </c:extLst>
        </c:ser>
        <c:ser>
          <c:idx val="3"/>
          <c:order val="3"/>
          <c:tx>
            <c:strRef>
              <c:f>Diadema!$S$182</c:f>
              <c:strCache>
                <c:ptCount val="1"/>
                <c:pt idx="0">
                  <c:v>Acumulado Previsto</c:v>
                </c:pt>
              </c:strCache>
            </c:strRef>
          </c:tx>
          <c:spPr>
            <a:ln w="28575" cap="rnd">
              <a:solidFill>
                <a:srgbClr val="92D050"/>
              </a:solidFill>
              <a:round/>
            </a:ln>
            <a:effectLst/>
          </c:spPr>
          <c:marker>
            <c:symbol val="none"/>
          </c:marker>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Diadema!$T$182:$AE$182</c:f>
              <c:numCache>
                <c:formatCode>_("R$"* #,##0.00_);_("R$"* \(#,##0.00\);_("R$"* "-"??_);_(@_)</c:formatCode>
                <c:ptCount val="12"/>
                <c:pt idx="0">
                  <c:v>41403.54</c:v>
                </c:pt>
                <c:pt idx="1">
                  <c:v>45675.988370288302</c:v>
                </c:pt>
                <c:pt idx="2">
                  <c:v>155809.82583057659</c:v>
                </c:pt>
                <c:pt idx="3">
                  <c:v>281741.85440197599</c:v>
                </c:pt>
                <c:pt idx="4">
                  <c:v>466575.81672337546</c:v>
                </c:pt>
                <c:pt idx="5">
                  <c:v>820339.9019983178</c:v>
                </c:pt>
                <c:pt idx="6">
                  <c:v>1184879.2756065933</c:v>
                </c:pt>
                <c:pt idx="7">
                  <c:v>1572268.3752148689</c:v>
                </c:pt>
                <c:pt idx="8">
                  <c:v>1959657.4748231445</c:v>
                </c:pt>
                <c:pt idx="9">
                  <c:v>2347046.5744314203</c:v>
                </c:pt>
                <c:pt idx="10">
                  <c:v>2734435.6740396959</c:v>
                </c:pt>
                <c:pt idx="11">
                  <c:v>3121824.7736479715</c:v>
                </c:pt>
              </c:numCache>
            </c:numRef>
          </c:val>
          <c:smooth val="0"/>
          <c:extLst>
            <c:ext xmlns:c16="http://schemas.microsoft.com/office/drawing/2014/chart" uri="{C3380CC4-5D6E-409C-BE32-E72D297353CC}">
              <c16:uniqueId val="{00000000-092B-4805-A84D-C2B7E71E6862}"/>
            </c:ext>
          </c:extLst>
        </c:ser>
        <c:ser>
          <c:idx val="4"/>
          <c:order val="4"/>
          <c:tx>
            <c:strRef>
              <c:f>Diadema!$S$183</c:f>
              <c:strCache>
                <c:ptCount val="1"/>
                <c:pt idx="0">
                  <c:v>Acumulado Real</c:v>
                </c:pt>
              </c:strCache>
            </c:strRef>
          </c:tx>
          <c:spPr>
            <a:ln w="28575" cap="rnd">
              <a:solidFill>
                <a:schemeClr val="accent5"/>
              </a:solidFill>
              <a:round/>
            </a:ln>
            <a:effectLst/>
          </c:spPr>
          <c:marker>
            <c:symbol val="none"/>
          </c:marker>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Diadema!$T$183:$AE$183</c:f>
              <c:numCache>
                <c:formatCode>_("R$"* #,##0.00_);_("R$"* \(#,##0.00\);_("R$"* "-"??_);_(@_)</c:formatCode>
                <c:ptCount val="12"/>
                <c:pt idx="0">
                  <c:v>41403.54</c:v>
                </c:pt>
                <c:pt idx="1">
                  <c:v>45990.294843420364</c:v>
                </c:pt>
                <c:pt idx="2">
                  <c:v>113779.23163388643</c:v>
                </c:pt>
                <c:pt idx="3">
                  <c:v>248278.68269308793</c:v>
                </c:pt>
                <c:pt idx="4">
                  <c:v>415214.83749542868</c:v>
                </c:pt>
                <c:pt idx="5">
                  <c:v>415214.83749542868</c:v>
                </c:pt>
                <c:pt idx="6">
                  <c:v>415214.83749542868</c:v>
                </c:pt>
                <c:pt idx="7">
                  <c:v>415214.83749542868</c:v>
                </c:pt>
                <c:pt idx="8">
                  <c:v>415214.83749542868</c:v>
                </c:pt>
                <c:pt idx="9">
                  <c:v>415214.83749542868</c:v>
                </c:pt>
                <c:pt idx="10">
                  <c:v>415214.83749542868</c:v>
                </c:pt>
                <c:pt idx="11">
                  <c:v>415214.83749542868</c:v>
                </c:pt>
              </c:numCache>
            </c:numRef>
          </c:val>
          <c:smooth val="0"/>
          <c:extLst>
            <c:ext xmlns:c16="http://schemas.microsoft.com/office/drawing/2014/chart" uri="{C3380CC4-5D6E-409C-BE32-E72D297353CC}">
              <c16:uniqueId val="{00000001-092B-4805-A84D-C2B7E71E6862}"/>
            </c:ext>
          </c:extLst>
        </c:ser>
        <c:ser>
          <c:idx val="5"/>
          <c:order val="5"/>
          <c:tx>
            <c:strRef>
              <c:f>Diadema!$S$184</c:f>
              <c:strCache>
                <c:ptCount val="1"/>
                <c:pt idx="0">
                  <c:v>Projeção da Meta</c:v>
                </c:pt>
              </c:strCache>
            </c:strRef>
          </c:tx>
          <c:spPr>
            <a:ln w="19050" cap="rnd">
              <a:solidFill>
                <a:srgbClr val="00B050"/>
              </a:solidFill>
              <a:prstDash val="sysDot"/>
              <a:round/>
            </a:ln>
            <a:effectLst/>
          </c:spPr>
          <c:marker>
            <c:symbol val="none"/>
          </c:marker>
          <c:cat>
            <c:numRef>
              <c:f>Diadema!$T$178:$AE$178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Diadema!$T$184:$AE$184</c:f>
              <c:numCache>
                <c:formatCode>_("R$"* #,##0.00_);_("R$"* \(#,##0.00\);_("R$"* "-"??_);_(@_)</c:formatCode>
                <c:ptCount val="12"/>
                <c:pt idx="0">
                  <c:v>41403.54</c:v>
                </c:pt>
                <c:pt idx="1">
                  <c:v>45990.294843420364</c:v>
                </c:pt>
                <c:pt idx="2">
                  <c:v>113779.23163388643</c:v>
                </c:pt>
                <c:pt idx="3">
                  <c:v>248278.68269308793</c:v>
                </c:pt>
                <c:pt idx="4">
                  <c:v>415214.83749542868</c:v>
                </c:pt>
                <c:pt idx="5">
                  <c:v>1348327.0035675103</c:v>
                </c:pt>
                <c:pt idx="6">
                  <c:v>2281439.1696395921</c:v>
                </c:pt>
                <c:pt idx="7">
                  <c:v>3214551.3357116738</c:v>
                </c:pt>
                <c:pt idx="8">
                  <c:v>4147663.5017837556</c:v>
                </c:pt>
                <c:pt idx="9">
                  <c:v>5080775.6678558374</c:v>
                </c:pt>
                <c:pt idx="10">
                  <c:v>6013887.8339279192</c:v>
                </c:pt>
                <c:pt idx="11">
                  <c:v>6947000.0000000009</c:v>
                </c:pt>
              </c:numCache>
            </c:numRef>
          </c:val>
          <c:smooth val="0"/>
          <c:extLst>
            <c:ext xmlns:c16="http://schemas.microsoft.com/office/drawing/2014/chart" uri="{C3380CC4-5D6E-409C-BE32-E72D297353CC}">
              <c16:uniqueId val="{00000000-7894-4BE3-A7FA-E4B3828D85EB}"/>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Diadema!$L$218</c:f>
              <c:strCache>
                <c:ptCount val="1"/>
                <c:pt idx="0">
                  <c:v>Unidade</c:v>
                </c:pt>
              </c:strCache>
            </c:strRef>
          </c:tx>
          <c:spPr>
            <a:ln w="28575" cap="rnd">
              <a:solidFill>
                <a:srgbClr val="0070C0"/>
              </a:solidFill>
              <a:prstDash val="dashDot"/>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Diadema!$L$219:$L$222</c:f>
              <c:numCache>
                <c:formatCode>0%</c:formatCode>
                <c:ptCount val="4"/>
                <c:pt idx="0">
                  <c:v>0.75</c:v>
                </c:pt>
                <c:pt idx="1">
                  <c:v>0.75</c:v>
                </c:pt>
                <c:pt idx="2">
                  <c:v>0.45454545454545453</c:v>
                </c:pt>
                <c:pt idx="3">
                  <c:v>1</c:v>
                </c:pt>
              </c:numCache>
            </c:numRef>
          </c:val>
          <c:extLst>
            <c:ext xmlns:c16="http://schemas.microsoft.com/office/drawing/2014/chart" uri="{C3380CC4-5D6E-409C-BE32-E72D297353CC}">
              <c16:uniqueId val="{00000000-212D-4E9C-8591-03484A025901}"/>
            </c:ext>
          </c:extLst>
        </c:ser>
        <c:ser>
          <c:idx val="1"/>
          <c:order val="1"/>
          <c:tx>
            <c:strRef>
              <c:f>Diadema!$M$218</c:f>
              <c:strCache>
                <c:ptCount val="1"/>
                <c:pt idx="0">
                  <c:v>Auditado</c:v>
                </c:pt>
              </c:strCache>
            </c:strRef>
          </c:tx>
          <c:spPr>
            <a:ln w="38100" cap="rnd">
              <a:solidFill>
                <a:srgbClr val="00B050"/>
              </a:solidFill>
              <a:prstDash val="sysDot"/>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Diadema!$M$219:$M$222</c:f>
              <c:numCache>
                <c:formatCode>0%</c:formatCode>
                <c:ptCount val="4"/>
                <c:pt idx="0">
                  <c:v>0.25</c:v>
                </c:pt>
                <c:pt idx="1">
                  <c:v>0.5</c:v>
                </c:pt>
                <c:pt idx="2">
                  <c:v>0.27272727272727271</c:v>
                </c:pt>
                <c:pt idx="3">
                  <c:v>0</c:v>
                </c:pt>
              </c:numCache>
            </c:numRef>
          </c:val>
          <c:extLst>
            <c:ext xmlns:c16="http://schemas.microsoft.com/office/drawing/2014/chart" uri="{C3380CC4-5D6E-409C-BE32-E72D297353CC}">
              <c16:uniqueId val="{00000001-212D-4E9C-8591-03484A025901}"/>
            </c:ext>
          </c:extLst>
        </c:ser>
        <c:ser>
          <c:idx val="2"/>
          <c:order val="2"/>
          <c:tx>
            <c:strRef>
              <c:f>Diadema!$N$218</c:f>
              <c:strCache>
                <c:ptCount val="1"/>
                <c:pt idx="0">
                  <c:v>Meta</c:v>
                </c:pt>
              </c:strCache>
            </c:strRef>
          </c:tx>
          <c:spPr>
            <a:ln w="28575" cap="rnd">
              <a:solidFill>
                <a:srgbClr val="FF0000"/>
              </a:solidFill>
              <a:prstDash val="dash"/>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Diadema!$N$219:$N$222</c:f>
              <c:numCache>
                <c:formatCode>0%</c:formatCode>
                <c:ptCount val="4"/>
                <c:pt idx="0">
                  <c:v>1</c:v>
                </c:pt>
                <c:pt idx="1">
                  <c:v>1</c:v>
                </c:pt>
                <c:pt idx="2">
                  <c:v>1</c:v>
                </c:pt>
                <c:pt idx="3">
                  <c:v>1</c:v>
                </c:pt>
              </c:numCache>
            </c:numRef>
          </c:val>
          <c:extLst>
            <c:ext xmlns:c16="http://schemas.microsoft.com/office/drawing/2014/chart" uri="{C3380CC4-5D6E-409C-BE32-E72D297353CC}">
              <c16:uniqueId val="{00000002-212D-4E9C-8591-03484A025901}"/>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20165875669650882"/>
          <c:h val="0.308032859374672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Diadema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SPD!$A$2</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SPD!$B$2:$G$2</c15:sqref>
                  </c15:fullRef>
                </c:ext>
              </c:extLst>
              <c:f>SPD!$B$2:$F$2</c:f>
              <c:numCache>
                <c:formatCode>0%</c:formatCode>
                <c:ptCount val="5"/>
                <c:pt idx="0">
                  <c:v>0.61</c:v>
                </c:pt>
                <c:pt idx="1">
                  <c:v>0.61</c:v>
                </c:pt>
                <c:pt idx="2">
                  <c:v>0.64</c:v>
                </c:pt>
                <c:pt idx="3">
                  <c:v>0.64</c:v>
                </c:pt>
                <c:pt idx="4">
                  <c:v>0.6428571428571429</c:v>
                </c:pt>
              </c:numCache>
            </c:numRef>
          </c:val>
          <c:smooth val="0"/>
          <c:extLst>
            <c:ext xmlns:c16="http://schemas.microsoft.com/office/drawing/2014/chart" uri="{C3380CC4-5D6E-409C-BE32-E72D297353CC}">
              <c16:uniqueId val="{00000000-5F43-490F-9ADA-A939E873A858}"/>
            </c:ext>
          </c:extLst>
        </c:ser>
        <c:ser>
          <c:idx val="1"/>
          <c:order val="1"/>
          <c:tx>
            <c:strRef>
              <c:f>SPD!$A$3</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SPD!$B$3:$G$3</c15:sqref>
                  </c15:fullRef>
                </c:ext>
              </c:extLst>
              <c:f>SPD!$B$3:$F$3</c:f>
              <c:numCache>
                <c:formatCode>0%</c:formatCode>
                <c:ptCount val="5"/>
                <c:pt idx="0">
                  <c:v>0.39</c:v>
                </c:pt>
                <c:pt idx="1">
                  <c:v>0.39</c:v>
                </c:pt>
                <c:pt idx="2">
                  <c:v>0.39</c:v>
                </c:pt>
                <c:pt idx="3">
                  <c:v>0.39</c:v>
                </c:pt>
                <c:pt idx="4">
                  <c:v>0.39285714285714285</c:v>
                </c:pt>
              </c:numCache>
            </c:numRef>
          </c:val>
          <c:smooth val="0"/>
          <c:extLst>
            <c:ext xmlns:c16="http://schemas.microsoft.com/office/drawing/2014/chart" uri="{C3380CC4-5D6E-409C-BE32-E72D297353CC}">
              <c16:uniqueId val="{00000001-5F43-490F-9ADA-A939E873A858}"/>
            </c:ext>
          </c:extLst>
        </c:ser>
        <c:ser>
          <c:idx val="2"/>
          <c:order val="2"/>
          <c:tx>
            <c:strRef>
              <c:f>SPD!$A$4</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SPD!$B$4:$G$4</c15:sqref>
                  </c15:fullRef>
                </c:ext>
              </c:extLst>
              <c:f>SPD!$B$4:$F$4</c:f>
              <c:numCache>
                <c:formatCode>0%</c:formatCode>
                <c:ptCount val="5"/>
                <c:pt idx="0">
                  <c:v>0.77</c:v>
                </c:pt>
                <c:pt idx="1">
                  <c:v>0.77</c:v>
                </c:pt>
                <c:pt idx="2">
                  <c:v>0.85</c:v>
                </c:pt>
                <c:pt idx="3">
                  <c:v>0.85</c:v>
                </c:pt>
                <c:pt idx="4">
                  <c:v>0.84615384615384615</c:v>
                </c:pt>
              </c:numCache>
            </c:numRef>
          </c:val>
          <c:smooth val="0"/>
          <c:extLst>
            <c:ext xmlns:c16="http://schemas.microsoft.com/office/drawing/2014/chart" uri="{C3380CC4-5D6E-409C-BE32-E72D297353CC}">
              <c16:uniqueId val="{00000002-5F43-490F-9ADA-A939E873A858}"/>
            </c:ext>
          </c:extLst>
        </c:ser>
        <c:ser>
          <c:idx val="3"/>
          <c:order val="3"/>
          <c:tx>
            <c:strRef>
              <c:f>SPD!$A$5</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SPD!$B$5:$G$5</c15:sqref>
                  </c15:fullRef>
                </c:ext>
              </c:extLst>
              <c:f>SPD!$B$5:$F$5</c:f>
              <c:numCache>
                <c:formatCode>0%</c:formatCode>
                <c:ptCount val="5"/>
                <c:pt idx="0">
                  <c:v>0.5</c:v>
                </c:pt>
                <c:pt idx="1">
                  <c:v>0.5</c:v>
                </c:pt>
                <c:pt idx="2">
                  <c:v>0.5</c:v>
                </c:pt>
                <c:pt idx="3">
                  <c:v>0.5</c:v>
                </c:pt>
                <c:pt idx="4">
                  <c:v>0.5</c:v>
                </c:pt>
              </c:numCache>
            </c:numRef>
          </c:val>
          <c:smooth val="0"/>
          <c:extLst>
            <c:ext xmlns:c16="http://schemas.microsoft.com/office/drawing/2014/chart" uri="{C3380CC4-5D6E-409C-BE32-E72D297353CC}">
              <c16:uniqueId val="{00000003-5F43-490F-9ADA-A939E873A858}"/>
            </c:ext>
          </c:extLst>
        </c:ser>
        <c:ser>
          <c:idx val="4"/>
          <c:order val="4"/>
          <c:tx>
            <c:strRef>
              <c:f>SPD!$A$6</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SPD!$B$6:$G$6</c15:sqref>
                  </c15:fullRef>
                </c:ext>
              </c:extLst>
              <c:f>SPD!$B$6:$F$6</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5F43-490F-9ADA-A939E873A858}"/>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CC36-4991-873D-46E79D649C3C}"/>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CC36-4991-873D-46E79D649C3C}"/>
              </c:ext>
            </c:extLst>
          </c:dPt>
          <c:dPt>
            <c:idx val="2"/>
            <c:bubble3D val="0"/>
            <c:spPr>
              <a:solidFill>
                <a:schemeClr val="accent3"/>
              </a:solidFill>
              <a:ln w="6350">
                <a:solidFill>
                  <a:srgbClr val="0000FF"/>
                </a:solidFill>
              </a:ln>
              <a:effectLst/>
            </c:spPr>
            <c:extLst>
              <c:ext xmlns:c16="http://schemas.microsoft.com/office/drawing/2014/chart" uri="{C3380CC4-5D6E-409C-BE32-E72D297353CC}">
                <c16:uniqueId val="{00000005-CC36-4991-873D-46E79D649C3C}"/>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CC36-4991-873D-46E79D649C3C}"/>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Diadema!$I$179:$K$179</c:f>
              <c:strCache>
                <c:ptCount val="3"/>
                <c:pt idx="0">
                  <c:v>Mapeados</c:v>
                </c:pt>
                <c:pt idx="1">
                  <c:v>Comparados</c:v>
                </c:pt>
                <c:pt idx="2">
                  <c:v>Ajustados</c:v>
                </c:pt>
              </c:strCache>
            </c:strRef>
          </c:cat>
          <c:val>
            <c:numRef>
              <c:f>Diadema!$I$214:$K$214</c:f>
              <c:numCache>
                <c:formatCode>0%</c:formatCode>
                <c:ptCount val="3"/>
                <c:pt idx="0">
                  <c:v>0.24242424242424243</c:v>
                </c:pt>
                <c:pt idx="1">
                  <c:v>0.24242424242424243</c:v>
                </c:pt>
                <c:pt idx="2">
                  <c:v>0</c:v>
                </c:pt>
              </c:numCache>
            </c:numRef>
          </c:val>
          <c:extLst>
            <c:ext xmlns:c16="http://schemas.microsoft.com/office/drawing/2014/chart" uri="{C3380CC4-5D6E-409C-BE32-E72D297353CC}">
              <c16:uniqueId val="{00000006-CC36-4991-873D-46E79D649C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tx2">
                <a:lumMod val="60000"/>
                <a:lumOff val="40000"/>
              </a:schemeClr>
            </a:solidFill>
            <a:ln>
              <a:solidFill>
                <a:srgbClr val="0000FF"/>
              </a:solidFill>
            </a:ln>
            <a:effectLst/>
          </c:spPr>
          <c:invertIfNegative val="0"/>
          <c:dLbls>
            <c:dLbl>
              <c:idx val="0"/>
              <c:layout>
                <c:manualLayout>
                  <c:x val="-1.7967310106222899E-2"/>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61636857319397587"/>
                      <c:h val="0.17739354372696847"/>
                    </c:manualLayout>
                  </c15:layout>
                </c:ext>
                <c:ext xmlns:c16="http://schemas.microsoft.com/office/drawing/2014/chart" uri="{C3380CC4-5D6E-409C-BE32-E72D297353CC}">
                  <c16:uniqueId val="{00000002-1524-4185-9AC9-893AC504795A}"/>
                </c:ext>
              </c:extLst>
            </c:dLbl>
            <c:dLbl>
              <c:idx val="1"/>
              <c:layout>
                <c:manualLayout>
                  <c:x val="0.16619761848256162"/>
                  <c:y val="-7.8441326553230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52190544031050912"/>
                      <c:h val="0.17739354372696847"/>
                    </c:manualLayout>
                  </c15:layout>
                </c:ext>
                <c:ext xmlns:c16="http://schemas.microsoft.com/office/drawing/2014/chart" uri="{C3380CC4-5D6E-409C-BE32-E72D297353CC}">
                  <c16:uniqueId val="{00000001-1524-4185-9AC9-893AC504795A}"/>
                </c:ext>
              </c:extLst>
            </c:dLbl>
            <c:dLbl>
              <c:idx val="2"/>
              <c:layout>
                <c:manualLayout>
                  <c:x val="5.839375784522435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24-4185-9AC9-893AC504795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00FF"/>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Diadema!$F$15:$F$18</c:f>
              <c:strCache>
                <c:ptCount val="4"/>
                <c:pt idx="0">
                  <c:v>VA</c:v>
                </c:pt>
                <c:pt idx="1">
                  <c:v>GGF</c:v>
                </c:pt>
                <c:pt idx="2">
                  <c:v>MA</c:v>
                </c:pt>
                <c:pt idx="3">
                  <c:v>Outros</c:v>
                </c:pt>
              </c:strCache>
            </c:strRef>
          </c:cat>
          <c:val>
            <c:numRef>
              <c:f>Diadema!$G$15:$G$18</c:f>
              <c:numCache>
                <c:formatCode>_("R$"* #,##0.00_);_("R$"* \(#,##0.00\);_("R$"* "-"??_);_(@_)</c:formatCode>
                <c:ptCount val="4"/>
                <c:pt idx="0">
                  <c:v>2088144.3020731716</c:v>
                </c:pt>
                <c:pt idx="1">
                  <c:v>376860.47</c:v>
                </c:pt>
                <c:pt idx="2">
                  <c:v>0</c:v>
                </c:pt>
                <c:pt idx="3">
                  <c:v>0</c:v>
                </c:pt>
              </c:numCache>
            </c:numRef>
          </c:val>
          <c:extLst>
            <c:ext xmlns:c16="http://schemas.microsoft.com/office/drawing/2014/chart" uri="{C3380CC4-5D6E-409C-BE32-E72D297353CC}">
              <c16:uniqueId val="{00000000-1524-4185-9AC9-893AC504795A}"/>
            </c:ext>
          </c:extLst>
        </c:ser>
        <c:dLbls>
          <c:dLblPos val="ctr"/>
          <c:showLegendKey val="0"/>
          <c:showVal val="1"/>
          <c:showCatName val="0"/>
          <c:showSerName val="0"/>
          <c:showPercent val="0"/>
          <c:showBubbleSize val="0"/>
        </c:dLbls>
        <c:gapWidth val="150"/>
        <c:overlap val="100"/>
        <c:axId val="204233840"/>
        <c:axId val="204234800"/>
      </c:barChart>
      <c:catAx>
        <c:axId val="2042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FF"/>
                </a:solidFill>
                <a:latin typeface="+mn-lt"/>
                <a:ea typeface="+mn-ea"/>
                <a:cs typeface="+mn-cs"/>
              </a:defRPr>
            </a:pPr>
            <a:endParaRPr lang="pt-BR"/>
          </a:p>
        </c:txPr>
        <c:crossAx val="204234800"/>
        <c:crosses val="autoZero"/>
        <c:auto val="1"/>
        <c:lblAlgn val="ctr"/>
        <c:lblOffset val="100"/>
        <c:noMultiLvlLbl val="0"/>
      </c:catAx>
      <c:valAx>
        <c:axId val="204234800"/>
        <c:scaling>
          <c:orientation val="minMax"/>
        </c:scaling>
        <c:delete val="1"/>
        <c:axPos val="b"/>
        <c:numFmt formatCode="_(&quot;R$&quot;* #,##0.00_);_(&quot;R$&quot;* \(#,##0.00\);_(&quot;R$&quot;* &quot;-&quot;??_);_(@_)" sourceLinked="1"/>
        <c:majorTickMark val="none"/>
        <c:minorTickMark val="none"/>
        <c:tickLblPos val="nextTo"/>
        <c:crossAx val="2042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1"/>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6E10-497B-8EAF-047097862519}"/>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6E10-497B-8EAF-047097862519}"/>
              </c:ext>
            </c:extLst>
          </c:dPt>
          <c:dPt>
            <c:idx val="2"/>
            <c:bubble3D val="0"/>
            <c:spPr>
              <a:solidFill>
                <a:schemeClr val="accent1">
                  <a:lumMod val="20000"/>
                  <a:lumOff val="80000"/>
                </a:schemeClr>
              </a:solidFill>
              <a:ln w="6350">
                <a:solidFill>
                  <a:srgbClr val="0000FF"/>
                </a:solidFill>
              </a:ln>
              <a:effectLst/>
            </c:spPr>
            <c:extLst>
              <c:ext xmlns:c16="http://schemas.microsoft.com/office/drawing/2014/chart" uri="{C3380CC4-5D6E-409C-BE32-E72D297353CC}">
                <c16:uniqueId val="{00000005-6E10-497B-8EAF-047097862519}"/>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6E10-497B-8EAF-047097862519}"/>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Jarinu!$I$131:$K$131</c:f>
              <c:strCache>
                <c:ptCount val="3"/>
                <c:pt idx="0">
                  <c:v>Mapeados</c:v>
                </c:pt>
                <c:pt idx="1">
                  <c:v>Comparados</c:v>
                </c:pt>
                <c:pt idx="2">
                  <c:v>Ajustados</c:v>
                </c:pt>
              </c:strCache>
            </c:strRef>
          </c:cat>
          <c:val>
            <c:numRef>
              <c:f>Jarinu!$I$154:$K$154</c:f>
              <c:numCache>
                <c:formatCode>0%</c:formatCode>
                <c:ptCount val="3"/>
                <c:pt idx="0">
                  <c:v>1</c:v>
                </c:pt>
                <c:pt idx="1">
                  <c:v>0.3</c:v>
                </c:pt>
                <c:pt idx="2">
                  <c:v>0</c:v>
                </c:pt>
              </c:numCache>
            </c:numRef>
          </c:val>
          <c:extLst>
            <c:ext xmlns:c16="http://schemas.microsoft.com/office/drawing/2014/chart" uri="{C3380CC4-5D6E-409C-BE32-E72D297353CC}">
              <c16:uniqueId val="{00000006-6E10-497B-8EAF-0470978625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03870523877978"/>
          <c:y val="0.13604124091249634"/>
          <c:w val="0.47873278954630938"/>
          <c:h val="0.72557201949869599"/>
        </c:manualLayout>
      </c:layout>
      <c:radarChart>
        <c:radarStyle val="marker"/>
        <c:varyColors val="0"/>
        <c:ser>
          <c:idx val="0"/>
          <c:order val="0"/>
          <c:tx>
            <c:strRef>
              <c:f>Jarinu!$L$157</c:f>
              <c:strCache>
                <c:ptCount val="1"/>
                <c:pt idx="0">
                  <c:v>Unidade</c:v>
                </c:pt>
              </c:strCache>
            </c:strRef>
          </c:tx>
          <c:spPr>
            <a:ln w="28575" cap="rnd">
              <a:solidFill>
                <a:schemeClr val="accent1"/>
              </a:solidFill>
              <a:prstDash val="dash"/>
              <a:round/>
            </a:ln>
            <a:effectLst/>
          </c:spPr>
          <c:marker>
            <c:symbol val="none"/>
          </c:marker>
          <c:cat>
            <c:strRef>
              <c:f>Jarinu!$H$158:$H$161</c:f>
              <c:strCache>
                <c:ptCount val="4"/>
                <c:pt idx="0">
                  <c:v>Produtividade e Controle</c:v>
                </c:pt>
                <c:pt idx="1">
                  <c:v>Documentos e Registro </c:v>
                </c:pt>
                <c:pt idx="2">
                  <c:v>Manutenção do Processo </c:v>
                </c:pt>
                <c:pt idx="3">
                  <c:v>Análise dos Dados </c:v>
                </c:pt>
              </c:strCache>
            </c:strRef>
          </c:cat>
          <c:val>
            <c:numRef>
              <c:f>Jarinu!$L$158:$L$161</c:f>
              <c:numCache>
                <c:formatCode>0%</c:formatCode>
                <c:ptCount val="4"/>
                <c:pt idx="0">
                  <c:v>1</c:v>
                </c:pt>
                <c:pt idx="1">
                  <c:v>0.83333333333333337</c:v>
                </c:pt>
                <c:pt idx="2">
                  <c:v>0.45454545454545453</c:v>
                </c:pt>
                <c:pt idx="3">
                  <c:v>1</c:v>
                </c:pt>
              </c:numCache>
            </c:numRef>
          </c:val>
          <c:extLst>
            <c:ext xmlns:c16="http://schemas.microsoft.com/office/drawing/2014/chart" uri="{C3380CC4-5D6E-409C-BE32-E72D297353CC}">
              <c16:uniqueId val="{00000000-A9C5-4ED2-B649-31EEEE0CBF11}"/>
            </c:ext>
          </c:extLst>
        </c:ser>
        <c:ser>
          <c:idx val="1"/>
          <c:order val="1"/>
          <c:tx>
            <c:strRef>
              <c:f>Jarinu!$M$157</c:f>
              <c:strCache>
                <c:ptCount val="1"/>
                <c:pt idx="0">
                  <c:v>Auditado</c:v>
                </c:pt>
              </c:strCache>
            </c:strRef>
          </c:tx>
          <c:spPr>
            <a:ln w="28575" cap="rnd">
              <a:solidFill>
                <a:srgbClr val="00B050"/>
              </a:solidFill>
              <a:prstDash val="sysDash"/>
              <a:round/>
            </a:ln>
            <a:effectLst/>
          </c:spPr>
          <c:marker>
            <c:symbol val="none"/>
          </c:marker>
          <c:cat>
            <c:strRef>
              <c:f>Jarinu!$H$158:$H$161</c:f>
              <c:strCache>
                <c:ptCount val="4"/>
                <c:pt idx="0">
                  <c:v>Produtividade e Controle</c:v>
                </c:pt>
                <c:pt idx="1">
                  <c:v>Documentos e Registro </c:v>
                </c:pt>
                <c:pt idx="2">
                  <c:v>Manutenção do Processo </c:v>
                </c:pt>
                <c:pt idx="3">
                  <c:v>Análise dos Dados </c:v>
                </c:pt>
              </c:strCache>
            </c:strRef>
          </c:cat>
          <c:val>
            <c:numRef>
              <c:f>Jarinu!$M$158:$M$161</c:f>
              <c:numCache>
                <c:formatCode>0%</c:formatCode>
                <c:ptCount val="4"/>
                <c:pt idx="0">
                  <c:v>1</c:v>
                </c:pt>
                <c:pt idx="1">
                  <c:v>0.5</c:v>
                </c:pt>
                <c:pt idx="2">
                  <c:v>0.18181818181818182</c:v>
                </c:pt>
                <c:pt idx="3">
                  <c:v>1</c:v>
                </c:pt>
              </c:numCache>
            </c:numRef>
          </c:val>
          <c:extLst>
            <c:ext xmlns:c16="http://schemas.microsoft.com/office/drawing/2014/chart" uri="{C3380CC4-5D6E-409C-BE32-E72D297353CC}">
              <c16:uniqueId val="{00000001-A9C5-4ED2-B649-31EEEE0CBF11}"/>
            </c:ext>
          </c:extLst>
        </c:ser>
        <c:ser>
          <c:idx val="2"/>
          <c:order val="2"/>
          <c:tx>
            <c:strRef>
              <c:f>Jarinu!$N$157</c:f>
              <c:strCache>
                <c:ptCount val="1"/>
                <c:pt idx="0">
                  <c:v>Meta</c:v>
                </c:pt>
              </c:strCache>
            </c:strRef>
          </c:tx>
          <c:spPr>
            <a:ln w="28575" cap="rnd">
              <a:solidFill>
                <a:srgbClr val="FF0000"/>
              </a:solidFill>
              <a:prstDash val="dashDot"/>
              <a:round/>
            </a:ln>
            <a:effectLst/>
          </c:spPr>
          <c:marker>
            <c:symbol val="none"/>
          </c:marker>
          <c:cat>
            <c:strRef>
              <c:f>Jarinu!$H$158:$H$161</c:f>
              <c:strCache>
                <c:ptCount val="4"/>
                <c:pt idx="0">
                  <c:v>Produtividade e Controle</c:v>
                </c:pt>
                <c:pt idx="1">
                  <c:v>Documentos e Registro </c:v>
                </c:pt>
                <c:pt idx="2">
                  <c:v>Manutenção do Processo </c:v>
                </c:pt>
                <c:pt idx="3">
                  <c:v>Análise dos Dados </c:v>
                </c:pt>
              </c:strCache>
            </c:strRef>
          </c:cat>
          <c:val>
            <c:numRef>
              <c:f>Jarinu!$N$158:$N$161</c:f>
              <c:numCache>
                <c:formatCode>0%</c:formatCode>
                <c:ptCount val="4"/>
                <c:pt idx="0">
                  <c:v>1</c:v>
                </c:pt>
                <c:pt idx="1">
                  <c:v>1</c:v>
                </c:pt>
                <c:pt idx="2">
                  <c:v>1</c:v>
                </c:pt>
                <c:pt idx="3">
                  <c:v>1</c:v>
                </c:pt>
              </c:numCache>
            </c:numRef>
          </c:val>
          <c:extLst>
            <c:ext xmlns:c16="http://schemas.microsoft.com/office/drawing/2014/chart" uri="{C3380CC4-5D6E-409C-BE32-E72D297353CC}">
              <c16:uniqueId val="{00000002-A9C5-4ED2-B649-31EEEE0CBF11}"/>
            </c:ext>
          </c:extLst>
        </c:ser>
        <c:dLbls>
          <c:showLegendKey val="0"/>
          <c:showVal val="0"/>
          <c:showCatName val="0"/>
          <c:showSerName val="0"/>
          <c:showPercent val="0"/>
          <c:showBubbleSize val="0"/>
        </c:dLbls>
        <c:axId val="817289663"/>
        <c:axId val="817277663"/>
      </c:radarChart>
      <c:catAx>
        <c:axId val="8172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817277663"/>
        <c:crosses val="autoZero"/>
        <c:auto val="1"/>
        <c:lblAlgn val="ctr"/>
        <c:lblOffset val="100"/>
        <c:noMultiLvlLbl val="0"/>
      </c:catAx>
      <c:valAx>
        <c:axId val="817277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17289663"/>
        <c:crosses val="autoZero"/>
        <c:crossBetween val="between"/>
      </c:valAx>
      <c:spPr>
        <a:noFill/>
        <a:ln>
          <a:noFill/>
        </a:ln>
        <a:effectLst/>
      </c:spPr>
    </c:plotArea>
    <c:legend>
      <c:legendPos val="r"/>
      <c:layout>
        <c:manualLayout>
          <c:xMode val="edge"/>
          <c:yMode val="edge"/>
          <c:x val="1.1747687397084325E-2"/>
          <c:y val="0.79687506337423852"/>
          <c:w val="0.17592591870339791"/>
          <c:h val="0.1862672443113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Jarinu!$R$131</c:f>
              <c:strCache>
                <c:ptCount val="1"/>
                <c:pt idx="0">
                  <c:v>Previsto</c:v>
                </c:pt>
              </c:strCache>
            </c:strRef>
          </c:tx>
          <c:spPr>
            <a:solidFill>
              <a:schemeClr val="accent1">
                <a:lumMod val="40000"/>
                <a:lumOff val="60000"/>
              </a:schemeClr>
            </a:solidFill>
            <a:ln>
              <a:solidFill>
                <a:srgbClr val="0000FF"/>
              </a:solidFill>
            </a:ln>
            <a:effectLst/>
          </c:spPr>
          <c:invertIfNegative val="0"/>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Jarinu!$S$131:$AD$131</c:f>
              <c:numCache>
                <c:formatCode>_("R$"* #,##0.00_);_("R$"* \(#,##0.00\);_("R$"* "-"??_);_(@_)</c:formatCode>
                <c:ptCount val="12"/>
                <c:pt idx="0">
                  <c:v>390000.00300000003</c:v>
                </c:pt>
                <c:pt idx="1">
                  <c:v>0</c:v>
                </c:pt>
                <c:pt idx="2">
                  <c:v>0</c:v>
                </c:pt>
                <c:pt idx="3">
                  <c:v>28809.855083333332</c:v>
                </c:pt>
                <c:pt idx="4">
                  <c:v>29745.543416666667</c:v>
                </c:pt>
                <c:pt idx="5">
                  <c:v>225612.22182333336</c:v>
                </c:pt>
                <c:pt idx="6">
                  <c:v>279957.14932333329</c:v>
                </c:pt>
                <c:pt idx="7">
                  <c:v>287577.4826566666</c:v>
                </c:pt>
                <c:pt idx="8">
                  <c:v>287577.4826566666</c:v>
                </c:pt>
                <c:pt idx="9">
                  <c:v>287577.4826566666</c:v>
                </c:pt>
                <c:pt idx="10">
                  <c:v>287577.4826566666</c:v>
                </c:pt>
                <c:pt idx="11">
                  <c:v>287577.4826566666</c:v>
                </c:pt>
              </c:numCache>
            </c:numRef>
          </c:val>
          <c:extLst>
            <c:ext xmlns:c16="http://schemas.microsoft.com/office/drawing/2014/chart" uri="{C3380CC4-5D6E-409C-BE32-E72D297353CC}">
              <c16:uniqueId val="{00000000-EDD9-478E-9A19-0D771CCEA333}"/>
            </c:ext>
          </c:extLst>
        </c:ser>
        <c:ser>
          <c:idx val="1"/>
          <c:order val="1"/>
          <c:tx>
            <c:strRef>
              <c:f>Jarinu!$R$132</c:f>
              <c:strCache>
                <c:ptCount val="1"/>
                <c:pt idx="0">
                  <c:v>Real</c:v>
                </c:pt>
              </c:strCache>
            </c:strRef>
          </c:tx>
          <c:spPr>
            <a:solidFill>
              <a:srgbClr val="92D050"/>
            </a:solidFill>
            <a:ln>
              <a:solidFill>
                <a:srgbClr val="00B050"/>
              </a:solidFill>
            </a:ln>
            <a:effectLst/>
          </c:spPr>
          <c:invertIfNegative val="0"/>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Jarinu!$S$132:$AD$132</c:f>
              <c:numCache>
                <c:formatCode>_("R$"* #,##0.00_);_("R$"* \(#,##0.00\);_("R$"* "-"??_);_(@_)</c:formatCode>
                <c:ptCount val="12"/>
                <c:pt idx="0">
                  <c:v>390000</c:v>
                </c:pt>
                <c:pt idx="1">
                  <c:v>0</c:v>
                </c:pt>
                <c:pt idx="2">
                  <c:v>0</c:v>
                </c:pt>
                <c:pt idx="3">
                  <c:v>1286.4375065712063</c:v>
                </c:pt>
                <c:pt idx="4">
                  <c:v>2010.7338235392103</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DD9-478E-9A19-0D771CCEA333}"/>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Jarinu!$R$133</c:f>
              <c:strCache>
                <c:ptCount val="1"/>
                <c:pt idx="0">
                  <c:v>Q. Projetos </c:v>
                </c:pt>
              </c:strCache>
            </c:strRef>
          </c:tx>
          <c:spPr>
            <a:ln w="9525" cap="rnd">
              <a:solidFill>
                <a:srgbClr val="FF0000"/>
              </a:solidFill>
              <a:prstDash val="lgDashDot"/>
              <a:round/>
            </a:ln>
            <a:effectLst/>
          </c:spPr>
          <c:marker>
            <c:symbol val="none"/>
          </c:marker>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Jarinu!$S$133:$AD$133</c:f>
              <c:numCache>
                <c:formatCode>0</c:formatCode>
                <c:ptCount val="12"/>
                <c:pt idx="0">
                  <c:v>4</c:v>
                </c:pt>
                <c:pt idx="1">
                  <c:v>15</c:v>
                </c:pt>
                <c:pt idx="2">
                  <c:v>19</c:v>
                </c:pt>
                <c:pt idx="3">
                  <c:v>20</c:v>
                </c:pt>
                <c:pt idx="4">
                  <c:v>18</c:v>
                </c:pt>
                <c:pt idx="5">
                  <c:v>14</c:v>
                </c:pt>
                <c:pt idx="6">
                  <c:v>6</c:v>
                </c:pt>
                <c:pt idx="7">
                  <c:v>5</c:v>
                </c:pt>
                <c:pt idx="8">
                  <c:v>3</c:v>
                </c:pt>
                <c:pt idx="9">
                  <c:v>2</c:v>
                </c:pt>
                <c:pt idx="10">
                  <c:v>1</c:v>
                </c:pt>
                <c:pt idx="11">
                  <c:v>1</c:v>
                </c:pt>
              </c:numCache>
            </c:numRef>
          </c:val>
          <c:smooth val="0"/>
          <c:extLst>
            <c:ext xmlns:c16="http://schemas.microsoft.com/office/drawing/2014/chart" uri="{C3380CC4-5D6E-409C-BE32-E72D297353CC}">
              <c16:uniqueId val="{00000002-EDD9-478E-9A19-0D771CCEA333}"/>
            </c:ext>
          </c:extLst>
        </c:ser>
        <c:ser>
          <c:idx val="3"/>
          <c:order val="3"/>
          <c:tx>
            <c:strRef>
              <c:f>Jarinu!$R$134</c:f>
              <c:strCache>
                <c:ptCount val="1"/>
                <c:pt idx="0">
                  <c:v>Acumulado Previsto</c:v>
                </c:pt>
              </c:strCache>
            </c:strRef>
          </c:tx>
          <c:spPr>
            <a:ln w="28575" cap="rnd">
              <a:solidFill>
                <a:srgbClr val="92D050"/>
              </a:solidFill>
              <a:round/>
            </a:ln>
            <a:effectLst/>
          </c:spPr>
          <c:marker>
            <c:symbol val="none"/>
          </c:marker>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Jarinu!$S$134:$AD$134</c:f>
              <c:numCache>
                <c:formatCode>_("R$"* #,##0.00_);_("R$"* \(#,##0.00\);_("R$"* "-"??_);_(@_)</c:formatCode>
                <c:ptCount val="12"/>
                <c:pt idx="0">
                  <c:v>390000.00300000003</c:v>
                </c:pt>
                <c:pt idx="1">
                  <c:v>390000.00300000003</c:v>
                </c:pt>
                <c:pt idx="2">
                  <c:v>390000.00300000003</c:v>
                </c:pt>
                <c:pt idx="3">
                  <c:v>418809.85808333335</c:v>
                </c:pt>
                <c:pt idx="4">
                  <c:v>448555.40150000004</c:v>
                </c:pt>
                <c:pt idx="5">
                  <c:v>674167.62332333345</c:v>
                </c:pt>
                <c:pt idx="6">
                  <c:v>954124.77264666674</c:v>
                </c:pt>
                <c:pt idx="7">
                  <c:v>1241702.2553033333</c:v>
                </c:pt>
                <c:pt idx="8">
                  <c:v>1529279.7379599998</c:v>
                </c:pt>
                <c:pt idx="9">
                  <c:v>1816857.2206166664</c:v>
                </c:pt>
                <c:pt idx="10">
                  <c:v>2104434.7032733331</c:v>
                </c:pt>
                <c:pt idx="11">
                  <c:v>2392012.1859299997</c:v>
                </c:pt>
              </c:numCache>
            </c:numRef>
          </c:val>
          <c:smooth val="0"/>
          <c:extLst>
            <c:ext xmlns:c16="http://schemas.microsoft.com/office/drawing/2014/chart" uri="{C3380CC4-5D6E-409C-BE32-E72D297353CC}">
              <c16:uniqueId val="{00000003-EDD9-478E-9A19-0D771CCEA333}"/>
            </c:ext>
          </c:extLst>
        </c:ser>
        <c:ser>
          <c:idx val="4"/>
          <c:order val="4"/>
          <c:tx>
            <c:strRef>
              <c:f>Jarinu!$R$135</c:f>
              <c:strCache>
                <c:ptCount val="1"/>
                <c:pt idx="0">
                  <c:v>Acumulado Real</c:v>
                </c:pt>
              </c:strCache>
            </c:strRef>
          </c:tx>
          <c:spPr>
            <a:ln w="28575" cap="rnd">
              <a:solidFill>
                <a:schemeClr val="accent5"/>
              </a:solidFill>
              <a:round/>
            </a:ln>
            <a:effectLst/>
          </c:spPr>
          <c:marker>
            <c:symbol val="none"/>
          </c:marker>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Jarinu!$S$135:$AD$135</c:f>
              <c:numCache>
                <c:formatCode>_("R$"* #,##0.00_);_("R$"* \(#,##0.00\);_("R$"* "-"??_);_(@_)</c:formatCode>
                <c:ptCount val="12"/>
                <c:pt idx="0">
                  <c:v>390000</c:v>
                </c:pt>
                <c:pt idx="1">
                  <c:v>390000</c:v>
                </c:pt>
                <c:pt idx="2">
                  <c:v>390000</c:v>
                </c:pt>
                <c:pt idx="3">
                  <c:v>391286.43750657118</c:v>
                </c:pt>
                <c:pt idx="4">
                  <c:v>393297.1713301104</c:v>
                </c:pt>
                <c:pt idx="5">
                  <c:v>393297.1713301104</c:v>
                </c:pt>
                <c:pt idx="6">
                  <c:v>393297.1713301104</c:v>
                </c:pt>
                <c:pt idx="7">
                  <c:v>393297.1713301104</c:v>
                </c:pt>
                <c:pt idx="8">
                  <c:v>393297.1713301104</c:v>
                </c:pt>
                <c:pt idx="9">
                  <c:v>393297.1713301104</c:v>
                </c:pt>
                <c:pt idx="10">
                  <c:v>393297.1713301104</c:v>
                </c:pt>
                <c:pt idx="11">
                  <c:v>393297.1713301104</c:v>
                </c:pt>
              </c:numCache>
            </c:numRef>
          </c:val>
          <c:smooth val="0"/>
          <c:extLst>
            <c:ext xmlns:c16="http://schemas.microsoft.com/office/drawing/2014/chart" uri="{C3380CC4-5D6E-409C-BE32-E72D297353CC}">
              <c16:uniqueId val="{00000004-EDD9-478E-9A19-0D771CCEA333}"/>
            </c:ext>
          </c:extLst>
        </c:ser>
        <c:ser>
          <c:idx val="5"/>
          <c:order val="5"/>
          <c:tx>
            <c:strRef>
              <c:f>Jarinu!$R$136</c:f>
              <c:strCache>
                <c:ptCount val="1"/>
                <c:pt idx="0">
                  <c:v>Projeção da Meta</c:v>
                </c:pt>
              </c:strCache>
            </c:strRef>
          </c:tx>
          <c:spPr>
            <a:ln w="19050" cap="rnd">
              <a:solidFill>
                <a:srgbClr val="00B050"/>
              </a:solidFill>
              <a:prstDash val="sysDot"/>
              <a:round/>
            </a:ln>
            <a:effectLst/>
          </c:spPr>
          <c:marker>
            <c:symbol val="none"/>
          </c:marker>
          <c:cat>
            <c:numRef>
              <c:f>Jarinu!$S$130:$AD$130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Jarinu!$S$136:$AD$136</c:f>
              <c:numCache>
                <c:formatCode>_("R$"* #,##0.00_);_("R$"* \(#,##0.00\);_("R$"* "-"??_);_(@_)</c:formatCode>
                <c:ptCount val="12"/>
                <c:pt idx="0">
                  <c:v>390000</c:v>
                </c:pt>
                <c:pt idx="1">
                  <c:v>0</c:v>
                </c:pt>
                <c:pt idx="2">
                  <c:v>0</c:v>
                </c:pt>
                <c:pt idx="3">
                  <c:v>0</c:v>
                </c:pt>
                <c:pt idx="4">
                  <c:v>0</c:v>
                </c:pt>
                <c:pt idx="5">
                  <c:v>0</c:v>
                </c:pt>
                <c:pt idx="6">
                  <c:v>892666.66666666663</c:v>
                </c:pt>
                <c:pt idx="7">
                  <c:v>1785333.3333333333</c:v>
                </c:pt>
                <c:pt idx="8">
                  <c:v>2678000</c:v>
                </c:pt>
                <c:pt idx="9">
                  <c:v>3570666.6666666665</c:v>
                </c:pt>
                <c:pt idx="10">
                  <c:v>4463333.333333333</c:v>
                </c:pt>
                <c:pt idx="11">
                  <c:v>5356000</c:v>
                </c:pt>
              </c:numCache>
            </c:numRef>
          </c:val>
          <c:smooth val="0"/>
          <c:extLst>
            <c:ext xmlns:c16="http://schemas.microsoft.com/office/drawing/2014/chart" uri="{C3380CC4-5D6E-409C-BE32-E72D297353CC}">
              <c16:uniqueId val="{00000000-FB6D-4945-ACF8-484CD0286D51}"/>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SPD. Jarinu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SPD!$A$9</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SPD!$B$8:$G$8</c15:sqref>
                  </c15:fullRef>
                </c:ext>
              </c:extLst>
              <c:f>SPD!$B$8:$F$8</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SPD!$B$9:$G$9</c15:sqref>
                  </c15:fullRef>
                </c:ext>
              </c:extLst>
              <c:f>SPD!$B$9:$F$9</c:f>
              <c:numCache>
                <c:formatCode>0%</c:formatCode>
                <c:ptCount val="5"/>
                <c:pt idx="0">
                  <c:v>0.54</c:v>
                </c:pt>
                <c:pt idx="1">
                  <c:v>0.56999999999999995</c:v>
                </c:pt>
                <c:pt idx="2">
                  <c:v>0.61</c:v>
                </c:pt>
                <c:pt idx="3">
                  <c:v>0.68</c:v>
                </c:pt>
                <c:pt idx="4">
                  <c:v>0.6428571428571429</c:v>
                </c:pt>
              </c:numCache>
            </c:numRef>
          </c:val>
          <c:smooth val="0"/>
          <c:extLst>
            <c:ext xmlns:c16="http://schemas.microsoft.com/office/drawing/2014/chart" uri="{C3380CC4-5D6E-409C-BE32-E72D297353CC}">
              <c16:uniqueId val="{00000000-DC96-4B8E-9BB6-1782B828637A}"/>
            </c:ext>
          </c:extLst>
        </c:ser>
        <c:ser>
          <c:idx val="1"/>
          <c:order val="1"/>
          <c:tx>
            <c:strRef>
              <c:f>SPD!$A$10</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SPD!$B$8:$G$8</c15:sqref>
                  </c15:fullRef>
                </c:ext>
              </c:extLst>
              <c:f>SPD!$B$8:$F$8</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SPD!$B$10:$G$10</c15:sqref>
                  </c15:fullRef>
                </c:ext>
              </c:extLst>
              <c:f>SPD!$B$10:$F$10</c:f>
              <c:numCache>
                <c:formatCode>0%</c:formatCode>
                <c:ptCount val="5"/>
                <c:pt idx="0">
                  <c:v>0.39</c:v>
                </c:pt>
                <c:pt idx="1">
                  <c:v>0.39</c:v>
                </c:pt>
                <c:pt idx="2">
                  <c:v>0.39</c:v>
                </c:pt>
                <c:pt idx="3">
                  <c:v>0.39</c:v>
                </c:pt>
                <c:pt idx="4">
                  <c:v>0.39285714285714285</c:v>
                </c:pt>
              </c:numCache>
            </c:numRef>
          </c:val>
          <c:smooth val="0"/>
          <c:extLst>
            <c:ext xmlns:c16="http://schemas.microsoft.com/office/drawing/2014/chart" uri="{C3380CC4-5D6E-409C-BE32-E72D297353CC}">
              <c16:uniqueId val="{00000001-DC96-4B8E-9BB6-1782B828637A}"/>
            </c:ext>
          </c:extLst>
        </c:ser>
        <c:ser>
          <c:idx val="2"/>
          <c:order val="2"/>
          <c:tx>
            <c:strRef>
              <c:f>SPD!$A$11</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SPD!$B$8:$G$8</c15:sqref>
                  </c15:fullRef>
                </c:ext>
              </c:extLst>
              <c:f>SPD!$B$8:$F$8</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SPD!$B$11:$G$11</c15:sqref>
                  </c15:fullRef>
                </c:ext>
              </c:extLst>
              <c:f>SPD!$B$11:$F$11</c:f>
              <c:numCache>
                <c:formatCode>0%</c:formatCode>
                <c:ptCount val="5"/>
                <c:pt idx="0">
                  <c:v>0.69</c:v>
                </c:pt>
                <c:pt idx="1">
                  <c:v>0.77</c:v>
                </c:pt>
                <c:pt idx="2">
                  <c:v>0.85</c:v>
                </c:pt>
                <c:pt idx="3">
                  <c:v>0.85</c:v>
                </c:pt>
                <c:pt idx="4">
                  <c:v>0.84615384615384615</c:v>
                </c:pt>
              </c:numCache>
            </c:numRef>
          </c:val>
          <c:smooth val="0"/>
          <c:extLst>
            <c:ext xmlns:c16="http://schemas.microsoft.com/office/drawing/2014/chart" uri="{C3380CC4-5D6E-409C-BE32-E72D297353CC}">
              <c16:uniqueId val="{00000002-DC96-4B8E-9BB6-1782B828637A}"/>
            </c:ext>
          </c:extLst>
        </c:ser>
        <c:ser>
          <c:idx val="3"/>
          <c:order val="3"/>
          <c:tx>
            <c:strRef>
              <c:f>SPD!$A$12</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SPD!$B$8:$G$8</c15:sqref>
                  </c15:fullRef>
                </c:ext>
              </c:extLst>
              <c:f>SPD!$B$8:$F$8</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SPD!$B$12:$G$12</c15:sqref>
                  </c15:fullRef>
                </c:ext>
              </c:extLst>
              <c:f>SPD!$B$12:$F$12</c:f>
              <c:numCache>
                <c:formatCode>0%</c:formatCode>
                <c:ptCount val="5"/>
                <c:pt idx="0">
                  <c:v>0.28999999999999998</c:v>
                </c:pt>
                <c:pt idx="1">
                  <c:v>0.28999999999999998</c:v>
                </c:pt>
                <c:pt idx="2">
                  <c:v>0.28999999999999998</c:v>
                </c:pt>
                <c:pt idx="3">
                  <c:v>0.35714285714285715</c:v>
                </c:pt>
                <c:pt idx="4">
                  <c:v>0.35714285714285715</c:v>
                </c:pt>
              </c:numCache>
            </c:numRef>
          </c:val>
          <c:smooth val="0"/>
          <c:extLst>
            <c:ext xmlns:c16="http://schemas.microsoft.com/office/drawing/2014/chart" uri="{C3380CC4-5D6E-409C-BE32-E72D297353CC}">
              <c16:uniqueId val="{00000003-DC96-4B8E-9BB6-1782B828637A}"/>
            </c:ext>
          </c:extLst>
        </c:ser>
        <c:ser>
          <c:idx val="4"/>
          <c:order val="4"/>
          <c:tx>
            <c:strRef>
              <c:f>SPD!$A$13</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SPD!$B$8:$G$8</c15:sqref>
                  </c15:fullRef>
                </c:ext>
              </c:extLst>
              <c:f>SPD!$B$8:$F$8</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SPD!$B$13:$G$13</c15:sqref>
                  </c15:fullRef>
                </c:ext>
              </c:extLst>
              <c:f>SPD!$B$13:$F$13</c:f>
              <c:numCache>
                <c:formatCode>0%</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4-DC96-4B8E-9BB6-1782B828637A}"/>
            </c:ext>
          </c:extLst>
        </c:ser>
        <c:dLbls>
          <c:showLegendKey val="0"/>
          <c:showVal val="0"/>
          <c:showCatName val="0"/>
          <c:showSerName val="0"/>
          <c:showPercent val="0"/>
          <c:showBubbleSize val="0"/>
        </c:dLbls>
        <c:smooth val="0"/>
        <c:axId val="1643272191"/>
        <c:axId val="1643264991"/>
      </c:lineChart>
      <c:dateAx>
        <c:axId val="1643272191"/>
        <c:scaling>
          <c:orientation val="minMax"/>
        </c:scaling>
        <c:delete val="1"/>
        <c:axPos val="b"/>
        <c:numFmt formatCode="d\-mmm" sourceLinked="1"/>
        <c:majorTickMark val="out"/>
        <c:minorTickMark val="none"/>
        <c:tickLblPos val="nextTo"/>
        <c:crossAx val="1643264991"/>
        <c:crosses val="autoZero"/>
        <c:auto val="1"/>
        <c:lblOffset val="100"/>
        <c:baseTimeUnit val="days"/>
      </c:dateAx>
      <c:valAx>
        <c:axId val="1643264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43272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1"/>
              <c:layout>
                <c:manualLayout>
                  <c:x val="-9.9521011450317054E-2"/>
                  <c:y val="-4.133437834227644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3459790037986998"/>
                      <c:h val="0.14862377139301036"/>
                    </c:manualLayout>
                  </c15:layout>
                </c:ext>
                <c:ext xmlns:c16="http://schemas.microsoft.com/office/drawing/2014/chart" uri="{C3380CC4-5D6E-409C-BE32-E72D297353CC}">
                  <c16:uniqueId val="{00000003-33D7-4A07-B0AA-FA35C3AA172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56285856367819831"/>
                      <c:h val="0.14862377139301036"/>
                    </c:manualLayout>
                  </c15:layout>
                </c:ext>
                <c:ext xmlns:c16="http://schemas.microsoft.com/office/drawing/2014/chart" uri="{C3380CC4-5D6E-409C-BE32-E72D297353CC}">
                  <c16:uniqueId val="{00000002-33D7-4A07-B0AA-FA35C3AA172F}"/>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55209953541329915"/>
                      <c:h val="0.14862377139301036"/>
                    </c:manualLayout>
                  </c15:layout>
                </c:ext>
                <c:ext xmlns:c16="http://schemas.microsoft.com/office/drawing/2014/chart" uri="{C3380CC4-5D6E-409C-BE32-E72D297353CC}">
                  <c16:uniqueId val="{00000001-33D7-4A07-B0AA-FA35C3AA17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Jarinu!$F$14:$F$18</c:f>
              <c:strCache>
                <c:ptCount val="5"/>
                <c:pt idx="1">
                  <c:v>VA</c:v>
                </c:pt>
                <c:pt idx="2">
                  <c:v>GGF</c:v>
                </c:pt>
                <c:pt idx="3">
                  <c:v>MA</c:v>
                </c:pt>
                <c:pt idx="4">
                  <c:v>Outros</c:v>
                </c:pt>
              </c:strCache>
            </c:strRef>
          </c:cat>
          <c:val>
            <c:numRef>
              <c:f>Jarinu!$G$14:$G$18</c:f>
              <c:numCache>
                <c:formatCode>_("R$"* #,##0.00_);_("R$"* \(#,##0.00\);_("R$"* "-"??_);_(@_)</c:formatCode>
                <c:ptCount val="5"/>
                <c:pt idx="1">
                  <c:v>1879050.61</c:v>
                </c:pt>
                <c:pt idx="2">
                  <c:v>549981.18099999998</c:v>
                </c:pt>
                <c:pt idx="3">
                  <c:v>0</c:v>
                </c:pt>
                <c:pt idx="4">
                  <c:v>390000</c:v>
                </c:pt>
              </c:numCache>
            </c:numRef>
          </c:val>
          <c:extLst>
            <c:ext xmlns:c16="http://schemas.microsoft.com/office/drawing/2014/chart" uri="{C3380CC4-5D6E-409C-BE32-E72D297353CC}">
              <c16:uniqueId val="{00000000-33D7-4A07-B0AA-FA35C3AA172F}"/>
            </c:ext>
          </c:extLst>
        </c:ser>
        <c:dLbls>
          <c:dLblPos val="outEnd"/>
          <c:showLegendKey val="0"/>
          <c:showVal val="1"/>
          <c:showCatName val="0"/>
          <c:showSerName val="0"/>
          <c:showPercent val="0"/>
          <c:showBubbleSize val="0"/>
        </c:dLbls>
        <c:gapWidth val="182"/>
        <c:axId val="782110976"/>
        <c:axId val="782105216"/>
      </c:barChart>
      <c:catAx>
        <c:axId val="78211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FF"/>
                </a:solidFill>
                <a:latin typeface="+mn-lt"/>
                <a:ea typeface="+mn-ea"/>
                <a:cs typeface="+mn-cs"/>
              </a:defRPr>
            </a:pPr>
            <a:endParaRPr lang="pt-BR"/>
          </a:p>
        </c:txPr>
        <c:crossAx val="782105216"/>
        <c:crosses val="autoZero"/>
        <c:auto val="1"/>
        <c:lblAlgn val="ctr"/>
        <c:lblOffset val="100"/>
        <c:noMultiLvlLbl val="0"/>
      </c:catAx>
      <c:valAx>
        <c:axId val="7821052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821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Ferraz!$L$143</c:f>
              <c:strCache>
                <c:ptCount val="1"/>
                <c:pt idx="0">
                  <c:v>Unidade</c:v>
                </c:pt>
              </c:strCache>
            </c:strRef>
          </c:tx>
          <c:spPr>
            <a:ln w="28575" cap="rnd">
              <a:solidFill>
                <a:schemeClr val="accent1"/>
              </a:solidFill>
              <a:round/>
            </a:ln>
            <a:effectLst/>
          </c:spPr>
          <c:marker>
            <c:symbol val="none"/>
          </c:marker>
          <c:cat>
            <c:strRef>
              <c:f>Ferraz!$H$144:$H$147</c:f>
              <c:strCache>
                <c:ptCount val="4"/>
                <c:pt idx="0">
                  <c:v>Produtividade e Controle</c:v>
                </c:pt>
                <c:pt idx="1">
                  <c:v>Documentos e Registro </c:v>
                </c:pt>
                <c:pt idx="2">
                  <c:v>Manutenção do Processo </c:v>
                </c:pt>
                <c:pt idx="3">
                  <c:v>Análise dos Dados </c:v>
                </c:pt>
              </c:strCache>
            </c:strRef>
          </c:cat>
          <c:val>
            <c:numRef>
              <c:f>Ferraz!$L$144:$L$147</c:f>
              <c:numCache>
                <c:formatCode>0%</c:formatCode>
                <c:ptCount val="4"/>
                <c:pt idx="0">
                  <c:v>1</c:v>
                </c:pt>
                <c:pt idx="1">
                  <c:v>0.75</c:v>
                </c:pt>
                <c:pt idx="2">
                  <c:v>0.81818181818181823</c:v>
                </c:pt>
                <c:pt idx="3">
                  <c:v>1</c:v>
                </c:pt>
              </c:numCache>
            </c:numRef>
          </c:val>
          <c:extLst>
            <c:ext xmlns:c16="http://schemas.microsoft.com/office/drawing/2014/chart" uri="{C3380CC4-5D6E-409C-BE32-E72D297353CC}">
              <c16:uniqueId val="{00000000-ADDD-4204-B543-85ABBBC9FBED}"/>
            </c:ext>
          </c:extLst>
        </c:ser>
        <c:ser>
          <c:idx val="1"/>
          <c:order val="1"/>
          <c:tx>
            <c:strRef>
              <c:f>Ferraz!$M$143</c:f>
              <c:strCache>
                <c:ptCount val="1"/>
                <c:pt idx="0">
                  <c:v>Auditado</c:v>
                </c:pt>
              </c:strCache>
            </c:strRef>
          </c:tx>
          <c:spPr>
            <a:ln w="28575" cap="rnd">
              <a:solidFill>
                <a:schemeClr val="accent2"/>
              </a:solidFill>
              <a:round/>
            </a:ln>
            <a:effectLst/>
          </c:spPr>
          <c:marker>
            <c:symbol val="none"/>
          </c:marker>
          <c:cat>
            <c:strRef>
              <c:f>Ferraz!$H$144:$H$147</c:f>
              <c:strCache>
                <c:ptCount val="4"/>
                <c:pt idx="0">
                  <c:v>Produtividade e Controle</c:v>
                </c:pt>
                <c:pt idx="1">
                  <c:v>Documentos e Registro </c:v>
                </c:pt>
                <c:pt idx="2">
                  <c:v>Manutenção do Processo </c:v>
                </c:pt>
                <c:pt idx="3">
                  <c:v>Análise dos Dados </c:v>
                </c:pt>
              </c:strCache>
            </c:strRef>
          </c:cat>
          <c:val>
            <c:numRef>
              <c:f>Ferraz!$M$144:$M$147</c:f>
              <c:numCache>
                <c:formatCode>0%</c:formatCode>
                <c:ptCount val="4"/>
                <c:pt idx="0">
                  <c:v>0</c:v>
                </c:pt>
                <c:pt idx="1">
                  <c:v>0</c:v>
                </c:pt>
                <c:pt idx="2">
                  <c:v>0</c:v>
                </c:pt>
                <c:pt idx="3">
                  <c:v>0</c:v>
                </c:pt>
              </c:numCache>
            </c:numRef>
          </c:val>
          <c:extLst>
            <c:ext xmlns:c16="http://schemas.microsoft.com/office/drawing/2014/chart" uri="{C3380CC4-5D6E-409C-BE32-E72D297353CC}">
              <c16:uniqueId val="{00000001-ADDD-4204-B543-85ABBBC9FBED}"/>
            </c:ext>
          </c:extLst>
        </c:ser>
        <c:ser>
          <c:idx val="2"/>
          <c:order val="2"/>
          <c:tx>
            <c:strRef>
              <c:f>Ferraz!$N$143</c:f>
              <c:strCache>
                <c:ptCount val="1"/>
                <c:pt idx="0">
                  <c:v>Meta</c:v>
                </c:pt>
              </c:strCache>
            </c:strRef>
          </c:tx>
          <c:spPr>
            <a:ln w="28575" cap="rnd">
              <a:solidFill>
                <a:schemeClr val="accent3"/>
              </a:solidFill>
              <a:round/>
            </a:ln>
            <a:effectLst/>
          </c:spPr>
          <c:marker>
            <c:symbol val="none"/>
          </c:marker>
          <c:cat>
            <c:strRef>
              <c:f>Ferraz!$H$144:$H$147</c:f>
              <c:strCache>
                <c:ptCount val="4"/>
                <c:pt idx="0">
                  <c:v>Produtividade e Controle</c:v>
                </c:pt>
                <c:pt idx="1">
                  <c:v>Documentos e Registro </c:v>
                </c:pt>
                <c:pt idx="2">
                  <c:v>Manutenção do Processo </c:v>
                </c:pt>
                <c:pt idx="3">
                  <c:v>Análise dos Dados </c:v>
                </c:pt>
              </c:strCache>
            </c:strRef>
          </c:cat>
          <c:val>
            <c:numRef>
              <c:f>Ferraz!$N$144:$N$147</c:f>
              <c:numCache>
                <c:formatCode>0%</c:formatCode>
                <c:ptCount val="4"/>
                <c:pt idx="0">
                  <c:v>1</c:v>
                </c:pt>
                <c:pt idx="1">
                  <c:v>1</c:v>
                </c:pt>
                <c:pt idx="2">
                  <c:v>1</c:v>
                </c:pt>
                <c:pt idx="3">
                  <c:v>1</c:v>
                </c:pt>
              </c:numCache>
            </c:numRef>
          </c:val>
          <c:extLst>
            <c:ext xmlns:c16="http://schemas.microsoft.com/office/drawing/2014/chart" uri="{C3380CC4-5D6E-409C-BE32-E72D297353CC}">
              <c16:uniqueId val="{00000002-ADDD-4204-B543-85ABBBC9FBED}"/>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17174416774746715"/>
          <c:h val="0.199629518878716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6-4623-97E2-EE2FE1DB4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6-4623-97E2-EE2FE1DB4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66-4623-97E2-EE2FE1DB47CE}"/>
              </c:ext>
            </c:extLst>
          </c:dPt>
          <c:dLbls>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Ferraz!$I$140:$K$140</c:f>
              <c:numCache>
                <c:formatCode>0%</c:formatCode>
                <c:ptCount val="3"/>
                <c:pt idx="0">
                  <c:v>0.625</c:v>
                </c:pt>
                <c:pt idx="1">
                  <c:v>0</c:v>
                </c:pt>
                <c:pt idx="2">
                  <c:v>0</c:v>
                </c:pt>
              </c:numCache>
            </c:numRef>
          </c:val>
          <c:extLst>
            <c:ext xmlns:c15="http://schemas.microsoft.com/office/drawing/2012/chart" uri="{02D57815-91ED-43cb-92C2-25804820EDAC}">
              <c15:filteredCategoryTitle>
                <c15:cat>
                  <c:strRef>
                    <c:extLst>
                      <c:ext uri="{02D57815-91ED-43cb-92C2-25804820EDAC}">
                        <c15:formulaRef>
                          <c15:sqref>Ferraz!$I$117:$K$117</c15:sqref>
                        </c15:formulaRef>
                      </c:ext>
                    </c:extLst>
                    <c:strCache>
                      <c:ptCount val="3"/>
                      <c:pt idx="0">
                        <c:v>Mapeados</c:v>
                      </c:pt>
                      <c:pt idx="1">
                        <c:v>Comparados</c:v>
                      </c:pt>
                      <c:pt idx="2">
                        <c:v>Ajustados</c:v>
                      </c:pt>
                    </c:strCache>
                  </c:strRef>
                </c15:cat>
              </c15:filteredCategoryTitle>
            </c:ext>
            <c:ext xmlns:c16="http://schemas.microsoft.com/office/drawing/2014/chart" uri="{C3380CC4-5D6E-409C-BE32-E72D297353CC}">
              <c16:uniqueId val="{00000009-FE06-411A-B080-007B091952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j-lt"/>
                <a:ea typeface="+mj-ea"/>
                <a:cs typeface="+mj-cs"/>
              </a:defRPr>
            </a:pPr>
            <a:r>
              <a:rPr lang="pt-BR" sz="1100"/>
              <a:t>Distribuição Mensal</a:t>
            </a:r>
          </a:p>
        </c:rich>
      </c:tx>
      <c:overlay val="0"/>
      <c:spPr>
        <a:noFill/>
        <a:ln>
          <a:noFill/>
        </a:ln>
        <a:effectLst/>
      </c:spPr>
      <c:txPr>
        <a:bodyPr rot="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j-lt"/>
              <a:ea typeface="+mj-ea"/>
              <a:cs typeface="+mj-cs"/>
            </a:defRPr>
          </a:pPr>
          <a:endParaRPr lang="pt-BR"/>
        </a:p>
      </c:txPr>
    </c:title>
    <c:autoTitleDeleted val="0"/>
    <c:plotArea>
      <c:layout/>
      <c:barChart>
        <c:barDir val="col"/>
        <c:grouping val="clustered"/>
        <c:varyColors val="0"/>
        <c:ser>
          <c:idx val="0"/>
          <c:order val="0"/>
          <c:tx>
            <c:strRef>
              <c:f>Ferraz!$R$117</c:f>
              <c:strCache>
                <c:ptCount val="1"/>
                <c:pt idx="0">
                  <c:v>Previsto</c:v>
                </c:pt>
              </c:strCache>
            </c:strRef>
          </c:tx>
          <c:spPr>
            <a:solidFill>
              <a:schemeClr val="accent1"/>
            </a:solidFill>
            <a:ln>
              <a:noFill/>
            </a:ln>
            <a:effectLst/>
          </c:spPr>
          <c:invertIfNegative val="0"/>
          <c:cat>
            <c:numRef>
              <c:f>Ferraz!$S$116:$AD$116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Ferraz!$S$117:$AD$117</c:f>
              <c:numCache>
                <c:formatCode>_("R$"* #,##0.00_);_("R$"* \(#,##0.00\);_("R$"* "-"??_);_(@_)</c:formatCode>
                <c:ptCount val="12"/>
                <c:pt idx="0">
                  <c:v>162381.75666666665</c:v>
                </c:pt>
                <c:pt idx="1">
                  <c:v>181533.48393939392</c:v>
                </c:pt>
                <c:pt idx="2">
                  <c:v>181533.48393939392</c:v>
                </c:pt>
                <c:pt idx="3">
                  <c:v>182289.03949494948</c:v>
                </c:pt>
                <c:pt idx="4">
                  <c:v>182289.03949494948</c:v>
                </c:pt>
                <c:pt idx="5">
                  <c:v>182289.03949494948</c:v>
                </c:pt>
                <c:pt idx="6">
                  <c:v>304459.99282828282</c:v>
                </c:pt>
                <c:pt idx="7">
                  <c:v>442459.99282828288</c:v>
                </c:pt>
                <c:pt idx="8">
                  <c:v>442459.99282828288</c:v>
                </c:pt>
                <c:pt idx="9">
                  <c:v>442459.99282828288</c:v>
                </c:pt>
                <c:pt idx="10">
                  <c:v>442459.99282828288</c:v>
                </c:pt>
                <c:pt idx="11">
                  <c:v>442459.99282828288</c:v>
                </c:pt>
              </c:numCache>
            </c:numRef>
          </c:val>
          <c:extLst>
            <c:ext xmlns:c16="http://schemas.microsoft.com/office/drawing/2014/chart" uri="{C3380CC4-5D6E-409C-BE32-E72D297353CC}">
              <c16:uniqueId val="{00000000-9595-4385-A8BE-C56EF9BC54D3}"/>
            </c:ext>
          </c:extLst>
        </c:ser>
        <c:ser>
          <c:idx val="1"/>
          <c:order val="1"/>
          <c:tx>
            <c:strRef>
              <c:f>Ferraz!$R$118</c:f>
              <c:strCache>
                <c:ptCount val="1"/>
                <c:pt idx="0">
                  <c:v>Real</c:v>
                </c:pt>
              </c:strCache>
            </c:strRef>
          </c:tx>
          <c:spPr>
            <a:solidFill>
              <a:srgbClr val="C0504D"/>
            </a:solidFill>
            <a:ln>
              <a:noFill/>
            </a:ln>
            <a:effectLst/>
          </c:spPr>
          <c:invertIfNegative val="1"/>
          <c:cat>
            <c:numRef>
              <c:f>Ferraz!$S$116:$AD$116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Ferraz!$S$118:$AD$118</c:f>
              <c:numCache>
                <c:formatCode>_("R$"* #,##0.00_);_("R$"* \(#,##0.00\);_("R$"* "-"??_);_(@_)</c:formatCode>
                <c:ptCount val="12"/>
                <c:pt idx="0">
                  <c:v>122331.07</c:v>
                </c:pt>
                <c:pt idx="1">
                  <c:v>349293.66000000003</c:v>
                </c:pt>
                <c:pt idx="2">
                  <c:v>266462.88999999996</c:v>
                </c:pt>
                <c:pt idx="3">
                  <c:v>153037.47</c:v>
                </c:pt>
                <c:pt idx="4">
                  <c:v>302975.02</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9595-4385-A8BE-C56EF9BC54D3}"/>
            </c:ext>
          </c:extLst>
        </c:ser>
        <c:dLbls>
          <c:showLegendKey val="0"/>
          <c:showVal val="0"/>
          <c:showCatName val="0"/>
          <c:showSerName val="0"/>
          <c:showPercent val="0"/>
          <c:showBubbleSize val="0"/>
        </c:dLbls>
        <c:gapWidth val="269"/>
        <c:axId val="1866105888"/>
        <c:axId val="1866116448"/>
        <c:extLst>
          <c:ext xmlns:c15="http://schemas.microsoft.com/office/drawing/2012/chart" uri="{02D57815-91ED-43cb-92C2-25804820EDAC}">
            <c15:filteredBarSeries>
              <c15:ser>
                <c:idx val="2"/>
                <c:order val="2"/>
                <c:tx>
                  <c:strRef>
                    <c:extLst>
                      <c:ext uri="{02D57815-91ED-43cb-92C2-25804820EDAC}">
                        <c15:formulaRef>
                          <c15:sqref>Ferraz!$R$119</c15:sqref>
                        </c15:formulaRef>
                      </c:ext>
                    </c:extLst>
                    <c:strCache>
                      <c:ptCount val="1"/>
                      <c:pt idx="0">
                        <c:v>Q. Projetos </c:v>
                      </c:pt>
                    </c:strCache>
                  </c:strRef>
                </c:tx>
                <c:spPr>
                  <a:solidFill>
                    <a:schemeClr val="accent3"/>
                  </a:solidFill>
                  <a:ln>
                    <a:noFill/>
                  </a:ln>
                  <a:effectLst/>
                </c:spPr>
                <c:invertIfNegative val="0"/>
                <c:cat>
                  <c:numRef>
                    <c:extLst>
                      <c:ext uri="{02D57815-91ED-43cb-92C2-25804820EDAC}">
                        <c15:formulaRef>
                          <c15:sqref>Ferraz!$S$116:$AD$116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Ferraz!$S$119:$AD$119</c15:sqref>
                        </c15:formulaRef>
                      </c:ext>
                    </c:extLst>
                    <c:numCache>
                      <c:formatCode>0</c:formatCode>
                      <c:ptCount val="12"/>
                      <c:pt idx="0">
                        <c:v>7</c:v>
                      </c:pt>
                      <c:pt idx="1">
                        <c:v>12</c:v>
                      </c:pt>
                      <c:pt idx="2">
                        <c:v>14</c:v>
                      </c:pt>
                      <c:pt idx="3">
                        <c:v>10</c:v>
                      </c:pt>
                      <c:pt idx="4">
                        <c:v>10</c:v>
                      </c:pt>
                      <c:pt idx="5">
                        <c:v>7</c:v>
                      </c:pt>
                      <c:pt idx="6">
                        <c:v>5</c:v>
                      </c:pt>
                      <c:pt idx="7">
                        <c:v>5</c:v>
                      </c:pt>
                      <c:pt idx="8">
                        <c:v>3</c:v>
                      </c:pt>
                      <c:pt idx="9">
                        <c:v>3</c:v>
                      </c:pt>
                      <c:pt idx="10">
                        <c:v>3</c:v>
                      </c:pt>
                      <c:pt idx="11">
                        <c:v>3</c:v>
                      </c:pt>
                    </c:numCache>
                  </c:numRef>
                </c:val>
                <c:extLst>
                  <c:ext xmlns:c16="http://schemas.microsoft.com/office/drawing/2014/chart" uri="{C3380CC4-5D6E-409C-BE32-E72D297353CC}">
                    <c16:uniqueId val="{00000005-9595-4385-A8BE-C56EF9BC54D3}"/>
                  </c:ext>
                </c:extLst>
              </c15:ser>
            </c15:filteredBarSeries>
          </c:ext>
        </c:extLst>
      </c:barChart>
      <c:lineChart>
        <c:grouping val="standard"/>
        <c:varyColors val="0"/>
        <c:ser>
          <c:idx val="3"/>
          <c:order val="3"/>
          <c:tx>
            <c:strRef>
              <c:f>Ferraz!$R$120</c:f>
              <c:strCache>
                <c:ptCount val="1"/>
                <c:pt idx="0">
                  <c:v>Acumulado Previsto</c:v>
                </c:pt>
              </c:strCache>
            </c:strRef>
          </c:tx>
          <c:spPr>
            <a:ln w="38100" cap="rnd">
              <a:solidFill>
                <a:schemeClr val="accent4"/>
              </a:solidFill>
              <a:round/>
            </a:ln>
            <a:effectLst/>
          </c:spPr>
          <c:marker>
            <c:symbol val="none"/>
          </c:marker>
          <c:cat>
            <c:numRef>
              <c:f>Ferraz!$S$116:$AD$116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Ferraz!$S$120:$AD$120</c:f>
              <c:numCache>
                <c:formatCode>_("R$"* #,##0.00_);_("R$"* \(#,##0.00\);_("R$"* "-"??_);_(@_)</c:formatCode>
                <c:ptCount val="12"/>
                <c:pt idx="0">
                  <c:v>162381.75666666665</c:v>
                </c:pt>
                <c:pt idx="1">
                  <c:v>343915.2406060606</c:v>
                </c:pt>
                <c:pt idx="2">
                  <c:v>525448.72454545449</c:v>
                </c:pt>
                <c:pt idx="3">
                  <c:v>707737.764040404</c:v>
                </c:pt>
                <c:pt idx="4">
                  <c:v>890026.80353535351</c:v>
                </c:pt>
                <c:pt idx="5">
                  <c:v>1072315.843030303</c:v>
                </c:pt>
                <c:pt idx="6">
                  <c:v>1376775.8358585858</c:v>
                </c:pt>
                <c:pt idx="7">
                  <c:v>1819235.8286868688</c:v>
                </c:pt>
                <c:pt idx="8">
                  <c:v>2261695.8215151518</c:v>
                </c:pt>
                <c:pt idx="9">
                  <c:v>2704155.8143434348</c:v>
                </c:pt>
                <c:pt idx="10">
                  <c:v>3146615.8071717178</c:v>
                </c:pt>
                <c:pt idx="11">
                  <c:v>3589075.8000000007</c:v>
                </c:pt>
              </c:numCache>
            </c:numRef>
          </c:val>
          <c:smooth val="0"/>
          <c:extLst>
            <c:ext xmlns:c16="http://schemas.microsoft.com/office/drawing/2014/chart" uri="{C3380CC4-5D6E-409C-BE32-E72D297353CC}">
              <c16:uniqueId val="{00000002-9595-4385-A8BE-C56EF9BC54D3}"/>
            </c:ext>
          </c:extLst>
        </c:ser>
        <c:ser>
          <c:idx val="4"/>
          <c:order val="4"/>
          <c:tx>
            <c:strRef>
              <c:f>Ferraz!$R$121</c:f>
              <c:strCache>
                <c:ptCount val="1"/>
                <c:pt idx="0">
                  <c:v>Acumulado Real</c:v>
                </c:pt>
              </c:strCache>
            </c:strRef>
          </c:tx>
          <c:spPr>
            <a:ln w="38100" cap="rnd">
              <a:solidFill>
                <a:schemeClr val="accent5"/>
              </a:solidFill>
              <a:round/>
            </a:ln>
            <a:effectLst/>
          </c:spPr>
          <c:marker>
            <c:symbol val="none"/>
          </c:marker>
          <c:cat>
            <c:numRef>
              <c:f>Ferraz!$S$116:$AD$116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Ferraz!$S$121:$AD$121</c:f>
              <c:numCache>
                <c:formatCode>_("R$"* #,##0.00_);_("R$"* \(#,##0.00\);_("R$"* "-"??_);_(@_)</c:formatCode>
                <c:ptCount val="12"/>
                <c:pt idx="0">
                  <c:v>122331.07</c:v>
                </c:pt>
                <c:pt idx="1">
                  <c:v>471624.73000000004</c:v>
                </c:pt>
                <c:pt idx="2">
                  <c:v>738087.62</c:v>
                </c:pt>
                <c:pt idx="3">
                  <c:v>891125.09</c:v>
                </c:pt>
                <c:pt idx="4">
                  <c:v>1194100.1099999999</c:v>
                </c:pt>
                <c:pt idx="5">
                  <c:v>1194100.1099999999</c:v>
                </c:pt>
                <c:pt idx="6">
                  <c:v>1194100.1099999999</c:v>
                </c:pt>
                <c:pt idx="7">
                  <c:v>1194100.1099999999</c:v>
                </c:pt>
                <c:pt idx="8">
                  <c:v>1194100.1099999999</c:v>
                </c:pt>
                <c:pt idx="9">
                  <c:v>1194100.1099999999</c:v>
                </c:pt>
                <c:pt idx="10">
                  <c:v>1194100.1099999999</c:v>
                </c:pt>
                <c:pt idx="11">
                  <c:v>1194100.1099999999</c:v>
                </c:pt>
              </c:numCache>
            </c:numRef>
          </c:val>
          <c:smooth val="0"/>
          <c:extLst>
            <c:ext xmlns:c16="http://schemas.microsoft.com/office/drawing/2014/chart" uri="{C3380CC4-5D6E-409C-BE32-E72D297353CC}">
              <c16:uniqueId val="{00000003-9595-4385-A8BE-C56EF9BC54D3}"/>
            </c:ext>
          </c:extLst>
        </c:ser>
        <c:ser>
          <c:idx val="5"/>
          <c:order val="5"/>
          <c:tx>
            <c:strRef>
              <c:f>Ferraz!$R$122</c:f>
              <c:strCache>
                <c:ptCount val="1"/>
                <c:pt idx="0">
                  <c:v>Projeção da Meta</c:v>
                </c:pt>
              </c:strCache>
            </c:strRef>
          </c:tx>
          <c:spPr>
            <a:ln w="38100" cap="rnd">
              <a:solidFill>
                <a:schemeClr val="accent6"/>
              </a:solidFill>
              <a:round/>
            </a:ln>
            <a:effectLst/>
          </c:spPr>
          <c:marker>
            <c:symbol val="none"/>
          </c:marker>
          <c:cat>
            <c:numRef>
              <c:f>Ferraz!$S$116:$AD$116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Ferraz!$S$122:$AD$122</c:f>
              <c:numCache>
                <c:formatCode>_("R$"* #,##0.00_);_("R$"* \(#,##0.00\);_("R$"* "-"??_);_(@_)</c:formatCode>
                <c:ptCount val="12"/>
                <c:pt idx="0">
                  <c:v>122331.07</c:v>
                </c:pt>
                <c:pt idx="1">
                  <c:v>471624.73000000004</c:v>
                </c:pt>
                <c:pt idx="2">
                  <c:v>738087.62</c:v>
                </c:pt>
                <c:pt idx="3">
                  <c:v>891125.09</c:v>
                </c:pt>
                <c:pt idx="4">
                  <c:v>1194100.1099999999</c:v>
                </c:pt>
                <c:pt idx="5">
                  <c:v>2933085.8085714285</c:v>
                </c:pt>
                <c:pt idx="6">
                  <c:v>4672071.5071428567</c:v>
                </c:pt>
                <c:pt idx="7">
                  <c:v>6411057.2057142854</c:v>
                </c:pt>
                <c:pt idx="8">
                  <c:v>8150042.904285714</c:v>
                </c:pt>
                <c:pt idx="9">
                  <c:v>9889028.6028571427</c:v>
                </c:pt>
                <c:pt idx="10">
                  <c:v>11628014.301428571</c:v>
                </c:pt>
                <c:pt idx="11">
                  <c:v>13367000</c:v>
                </c:pt>
              </c:numCache>
            </c:numRef>
          </c:val>
          <c:smooth val="0"/>
          <c:extLst>
            <c:ext xmlns:c16="http://schemas.microsoft.com/office/drawing/2014/chart" uri="{C3380CC4-5D6E-409C-BE32-E72D297353CC}">
              <c16:uniqueId val="{00000004-9595-4385-A8BE-C56EF9BC54D3}"/>
            </c:ext>
          </c:extLst>
        </c:ser>
        <c:dLbls>
          <c:showLegendKey val="0"/>
          <c:showVal val="0"/>
          <c:showCatName val="0"/>
          <c:showSerName val="0"/>
          <c:showPercent val="0"/>
          <c:showBubbleSize val="0"/>
        </c:dLbls>
        <c:marker val="1"/>
        <c:smooth val="0"/>
        <c:axId val="1866137088"/>
        <c:axId val="1866144288"/>
      </c:lineChart>
      <c:dateAx>
        <c:axId val="18661058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pt-BR"/>
          </a:p>
        </c:txPr>
        <c:crossAx val="1866116448"/>
        <c:crosses val="autoZero"/>
        <c:auto val="1"/>
        <c:lblOffset val="100"/>
        <c:baseTimeUnit val="months"/>
      </c:dateAx>
      <c:valAx>
        <c:axId val="18661164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6105888"/>
        <c:crosses val="autoZero"/>
        <c:crossBetween val="between"/>
      </c:valAx>
      <c:valAx>
        <c:axId val="1866144288"/>
        <c:scaling>
          <c:orientation val="minMax"/>
        </c:scaling>
        <c:delete val="0"/>
        <c:axPos val="r"/>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6137088"/>
        <c:crosses val="max"/>
        <c:crossBetween val="between"/>
      </c:valAx>
      <c:dateAx>
        <c:axId val="1866137088"/>
        <c:scaling>
          <c:orientation val="minMax"/>
        </c:scaling>
        <c:delete val="1"/>
        <c:axPos val="t"/>
        <c:numFmt formatCode="mmm\-yy" sourceLinked="1"/>
        <c:majorTickMark val="out"/>
        <c:minorTickMark val="none"/>
        <c:tickLblPos val="nextTo"/>
        <c:crossAx val="1866144288"/>
        <c:crosses val="max"/>
        <c:auto val="1"/>
        <c:lblOffset val="100"/>
        <c:baseTimeUnit val="months"/>
      </c:date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Ferraz</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SPD!$A$30</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SPD!$B$30:$G$30</c15:sqref>
                  </c15:fullRef>
                </c:ext>
              </c:extLst>
              <c:f>SPD!$B$30:$F$30</c:f>
              <c:numCache>
                <c:formatCode>0%</c:formatCode>
                <c:ptCount val="5"/>
                <c:pt idx="0">
                  <c:v>0.75</c:v>
                </c:pt>
                <c:pt idx="1">
                  <c:v>0.75</c:v>
                </c:pt>
                <c:pt idx="2">
                  <c:v>0.75</c:v>
                </c:pt>
                <c:pt idx="3">
                  <c:v>0.75</c:v>
                </c:pt>
                <c:pt idx="4">
                  <c:v>0.75</c:v>
                </c:pt>
              </c:numCache>
            </c:numRef>
          </c:val>
          <c:smooth val="0"/>
          <c:extLst>
            <c:ext xmlns:c16="http://schemas.microsoft.com/office/drawing/2014/chart" uri="{C3380CC4-5D6E-409C-BE32-E72D297353CC}">
              <c16:uniqueId val="{00000000-0176-4247-834A-719E0DF7B64F}"/>
            </c:ext>
          </c:extLst>
        </c:ser>
        <c:ser>
          <c:idx val="1"/>
          <c:order val="1"/>
          <c:tx>
            <c:strRef>
              <c:f>SPD!$A$31</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SPD!$B$31:$G$31</c15:sqref>
                  </c15:fullRef>
                </c:ext>
              </c:extLst>
              <c:f>SPD!$B$31:$F$31</c:f>
              <c:numCache>
                <c:formatCode>0%</c:formatCode>
                <c:ptCount val="5"/>
                <c:pt idx="0">
                  <c:v>0.28999999999999998</c:v>
                </c:pt>
                <c:pt idx="1">
                  <c:v>0.28999999999999998</c:v>
                </c:pt>
                <c:pt idx="2">
                  <c:v>0.28999999999999998</c:v>
                </c:pt>
                <c:pt idx="3">
                  <c:v>0.28999999999999998</c:v>
                </c:pt>
                <c:pt idx="4">
                  <c:v>0.2857142857142857</c:v>
                </c:pt>
              </c:numCache>
            </c:numRef>
          </c:val>
          <c:smooth val="0"/>
          <c:extLst>
            <c:ext xmlns:c16="http://schemas.microsoft.com/office/drawing/2014/chart" uri="{C3380CC4-5D6E-409C-BE32-E72D297353CC}">
              <c16:uniqueId val="{00000001-0176-4247-834A-719E0DF7B64F}"/>
            </c:ext>
          </c:extLst>
        </c:ser>
        <c:ser>
          <c:idx val="2"/>
          <c:order val="2"/>
          <c:tx>
            <c:strRef>
              <c:f>SPD!$A$32</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SPD!$B$32:$G$32</c15:sqref>
                  </c15:fullRef>
                </c:ext>
              </c:extLst>
              <c:f>SPD!$B$32:$F$32</c:f>
              <c:numCache>
                <c:formatCode>0%</c:formatCode>
                <c:ptCount val="5"/>
                <c:pt idx="0">
                  <c:v>0.85</c:v>
                </c:pt>
                <c:pt idx="1">
                  <c:v>0.85</c:v>
                </c:pt>
                <c:pt idx="2">
                  <c:v>0.85</c:v>
                </c:pt>
                <c:pt idx="3">
                  <c:v>0.84615384615384615</c:v>
                </c:pt>
                <c:pt idx="4">
                  <c:v>0.84615384615384615</c:v>
                </c:pt>
              </c:numCache>
            </c:numRef>
          </c:val>
          <c:smooth val="0"/>
          <c:extLst>
            <c:ext xmlns:c16="http://schemas.microsoft.com/office/drawing/2014/chart" uri="{C3380CC4-5D6E-409C-BE32-E72D297353CC}">
              <c16:uniqueId val="{00000002-0176-4247-834A-719E0DF7B64F}"/>
            </c:ext>
          </c:extLst>
        </c:ser>
        <c:ser>
          <c:idx val="3"/>
          <c:order val="3"/>
          <c:tx>
            <c:strRef>
              <c:f>SPD!$A$33</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SPD!$B$33:$G$33</c15:sqref>
                  </c15:fullRef>
                </c:ext>
              </c:extLst>
              <c:f>SPD!$B$33:$F$33</c:f>
              <c:numCache>
                <c:formatCode>0%</c:formatCode>
                <c:ptCount val="5"/>
                <c:pt idx="0">
                  <c:v>0.64</c:v>
                </c:pt>
                <c:pt idx="1">
                  <c:v>0.64</c:v>
                </c:pt>
                <c:pt idx="2">
                  <c:v>0.64</c:v>
                </c:pt>
                <c:pt idx="3">
                  <c:v>0.6428571428571429</c:v>
                </c:pt>
                <c:pt idx="4">
                  <c:v>0.6428571428571429</c:v>
                </c:pt>
              </c:numCache>
            </c:numRef>
          </c:val>
          <c:smooth val="0"/>
          <c:extLst>
            <c:ext xmlns:c16="http://schemas.microsoft.com/office/drawing/2014/chart" uri="{C3380CC4-5D6E-409C-BE32-E72D297353CC}">
              <c16:uniqueId val="{00000003-0176-4247-834A-719E0DF7B64F}"/>
            </c:ext>
          </c:extLst>
        </c:ser>
        <c:ser>
          <c:idx val="4"/>
          <c:order val="4"/>
          <c:tx>
            <c:strRef>
              <c:f>SPD!$A$34</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SPD!$B$34:$G$34</c15:sqref>
                  </c15:fullRef>
                </c:ext>
              </c:extLst>
              <c:f>SPD!$B$34:$F$34</c:f>
              <c:numCache>
                <c:formatCode>0%</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4-0176-4247-834A-719E0DF7B64F}"/>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1"/>
              <c:layout>
                <c:manualLayout>
                  <c:x val="-0.10595781222655887"/>
                  <c:y val="-7.7540996288602913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3689619105371755"/>
                      <c:h val="0.15207391535156284"/>
                    </c:manualLayout>
                  </c15:layout>
                </c:ext>
                <c:ext xmlns:c16="http://schemas.microsoft.com/office/drawing/2014/chart" uri="{C3380CC4-5D6E-409C-BE32-E72D297353CC}">
                  <c16:uniqueId val="{00000002-82C3-4295-9164-E8B3480C0D14}"/>
                </c:ext>
              </c:extLst>
            </c:dLbl>
            <c:dLbl>
              <c:idx val="2"/>
              <c:layout>
                <c:manualLayout>
                  <c:x val="-0.15247587613090183"/>
                  <c:y val="8.459115496233696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5949509789956494"/>
                      <c:h val="0.15207391535156284"/>
                    </c:manualLayout>
                  </c15:layout>
                </c:ext>
                <c:ext xmlns:c16="http://schemas.microsoft.com/office/drawing/2014/chart" uri="{C3380CC4-5D6E-409C-BE32-E72D297353CC}">
                  <c16:uniqueId val="{00000001-82C3-4295-9164-E8B3480C0D1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Ferraz!$F$15:$F$18</c:f>
              <c:strCache>
                <c:ptCount val="4"/>
                <c:pt idx="0">
                  <c:v>VA</c:v>
                </c:pt>
                <c:pt idx="1">
                  <c:v>GGF</c:v>
                </c:pt>
                <c:pt idx="2">
                  <c:v>MA</c:v>
                </c:pt>
                <c:pt idx="3">
                  <c:v>Outros</c:v>
                </c:pt>
              </c:strCache>
            </c:strRef>
          </c:cat>
          <c:val>
            <c:numRef>
              <c:f>Ferraz!$G$15:$G$18</c:f>
              <c:numCache>
                <c:formatCode>_("R$"* #,##0.00_);_("R$"* \(#,##0.00\);_("R$"* "-"??_);_(@_)</c:formatCode>
                <c:ptCount val="4"/>
                <c:pt idx="0">
                  <c:v>0</c:v>
                </c:pt>
                <c:pt idx="1">
                  <c:v>962886.72</c:v>
                </c:pt>
                <c:pt idx="2">
                  <c:v>1236189.08</c:v>
                </c:pt>
                <c:pt idx="3">
                  <c:v>0</c:v>
                </c:pt>
              </c:numCache>
            </c:numRef>
          </c:val>
          <c:extLst>
            <c:ext xmlns:c16="http://schemas.microsoft.com/office/drawing/2014/chart" uri="{C3380CC4-5D6E-409C-BE32-E72D297353CC}">
              <c16:uniqueId val="{00000000-82C3-4295-9164-E8B3480C0D14}"/>
            </c:ext>
          </c:extLst>
        </c:ser>
        <c:dLbls>
          <c:dLblPos val="outEnd"/>
          <c:showLegendKey val="0"/>
          <c:showVal val="1"/>
          <c:showCatName val="0"/>
          <c:showSerName val="0"/>
          <c:showPercent val="0"/>
          <c:showBubbleSize val="0"/>
        </c:dLbls>
        <c:gapWidth val="182"/>
        <c:axId val="827674160"/>
        <c:axId val="827673200"/>
      </c:barChart>
      <c:catAx>
        <c:axId val="82767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827673200"/>
        <c:crosses val="autoZero"/>
        <c:auto val="1"/>
        <c:lblAlgn val="ctr"/>
        <c:lblOffset val="100"/>
        <c:noMultiLvlLbl val="0"/>
      </c:catAx>
      <c:valAx>
        <c:axId val="827673200"/>
        <c:scaling>
          <c:orientation val="minMax"/>
        </c:scaling>
        <c:delete val="1"/>
        <c:axPos val="b"/>
        <c:numFmt formatCode="_(&quot;R$&quot;* #,##0.00_);_(&quot;R$&quot;* \(#,##0.00\);_(&quot;R$&quot;* &quot;-&quot;??_);_(@_)" sourceLinked="1"/>
        <c:majorTickMark val="none"/>
        <c:minorTickMark val="none"/>
        <c:tickLblPos val="nextTo"/>
        <c:crossAx val="8276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São Leopoldo</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SPD!$A$23</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SPD!$B$23:$G$23</c15:sqref>
                  </c15:fullRef>
                </c:ext>
              </c:extLst>
              <c:f>SPD!$B$23:$F$23</c:f>
              <c:numCache>
                <c:formatCode>0%</c:formatCode>
                <c:ptCount val="5"/>
                <c:pt idx="0">
                  <c:v>0.79</c:v>
                </c:pt>
                <c:pt idx="1">
                  <c:v>0.71</c:v>
                </c:pt>
                <c:pt idx="2">
                  <c:v>0.62</c:v>
                </c:pt>
                <c:pt idx="3">
                  <c:v>0.93</c:v>
                </c:pt>
                <c:pt idx="4">
                  <c:v>0.6428571428571429</c:v>
                </c:pt>
              </c:numCache>
            </c:numRef>
          </c:val>
          <c:smooth val="0"/>
          <c:extLst>
            <c:ext xmlns:c16="http://schemas.microsoft.com/office/drawing/2014/chart" uri="{C3380CC4-5D6E-409C-BE32-E72D297353CC}">
              <c16:uniqueId val="{00000000-1442-4054-B346-1AB2C47641F4}"/>
            </c:ext>
          </c:extLst>
        </c:ser>
        <c:ser>
          <c:idx val="1"/>
          <c:order val="1"/>
          <c:tx>
            <c:strRef>
              <c:f>SPD!$A$24</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SPD!$B$24:$G$24</c15:sqref>
                  </c15:fullRef>
                </c:ext>
              </c:extLst>
              <c:f>SPD!$B$24:$F$24</c:f>
              <c:numCache>
                <c:formatCode>0%</c:formatCode>
                <c:ptCount val="5"/>
                <c:pt idx="0">
                  <c:v>0.36</c:v>
                </c:pt>
                <c:pt idx="1">
                  <c:v>0.36</c:v>
                </c:pt>
                <c:pt idx="2">
                  <c:v>0.36</c:v>
                </c:pt>
                <c:pt idx="3">
                  <c:v>0.36</c:v>
                </c:pt>
                <c:pt idx="4">
                  <c:v>0.35714285714285715</c:v>
                </c:pt>
              </c:numCache>
            </c:numRef>
          </c:val>
          <c:smooth val="0"/>
          <c:extLst>
            <c:ext xmlns:c16="http://schemas.microsoft.com/office/drawing/2014/chart" uri="{C3380CC4-5D6E-409C-BE32-E72D297353CC}">
              <c16:uniqueId val="{00000001-1442-4054-B346-1AB2C47641F4}"/>
            </c:ext>
          </c:extLst>
        </c:ser>
        <c:ser>
          <c:idx val="2"/>
          <c:order val="2"/>
          <c:tx>
            <c:strRef>
              <c:f>SPD!$A$25</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SPD!$B$25:$G$25</c15:sqref>
                  </c15:fullRef>
                </c:ext>
              </c:extLst>
              <c:f>SPD!$B$25:$F$25</c:f>
              <c:numCache>
                <c:formatCode>0%</c:formatCode>
                <c:ptCount val="5"/>
                <c:pt idx="0">
                  <c:v>0.85</c:v>
                </c:pt>
                <c:pt idx="1">
                  <c:v>0.77</c:v>
                </c:pt>
                <c:pt idx="2">
                  <c:v>0.85</c:v>
                </c:pt>
                <c:pt idx="3">
                  <c:v>0.92</c:v>
                </c:pt>
                <c:pt idx="4">
                  <c:v>0.69230769230769229</c:v>
                </c:pt>
              </c:numCache>
            </c:numRef>
          </c:val>
          <c:smooth val="0"/>
          <c:extLst>
            <c:ext xmlns:c16="http://schemas.microsoft.com/office/drawing/2014/chart" uri="{C3380CC4-5D6E-409C-BE32-E72D297353CC}">
              <c16:uniqueId val="{00000002-1442-4054-B346-1AB2C47641F4}"/>
            </c:ext>
          </c:extLst>
        </c:ser>
        <c:ser>
          <c:idx val="3"/>
          <c:order val="3"/>
          <c:tx>
            <c:strRef>
              <c:f>SPD!$A$26</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SPD!$B$26:$G$26</c15:sqref>
                  </c15:fullRef>
                </c:ext>
              </c:extLst>
              <c:f>SPD!$B$26:$F$26</c:f>
              <c:numCache>
                <c:formatCode>0%</c:formatCode>
                <c:ptCount val="5"/>
                <c:pt idx="0">
                  <c:v>0.71</c:v>
                </c:pt>
                <c:pt idx="1">
                  <c:v>0.64</c:v>
                </c:pt>
                <c:pt idx="2">
                  <c:v>0.79</c:v>
                </c:pt>
                <c:pt idx="3">
                  <c:v>0.8571428571428571</c:v>
                </c:pt>
                <c:pt idx="4">
                  <c:v>0.5714285714285714</c:v>
                </c:pt>
              </c:numCache>
            </c:numRef>
          </c:val>
          <c:smooth val="0"/>
          <c:extLst>
            <c:ext xmlns:c16="http://schemas.microsoft.com/office/drawing/2014/chart" uri="{C3380CC4-5D6E-409C-BE32-E72D297353CC}">
              <c16:uniqueId val="{00000003-1442-4054-B346-1AB2C47641F4}"/>
            </c:ext>
          </c:extLst>
        </c:ser>
        <c:ser>
          <c:idx val="4"/>
          <c:order val="4"/>
          <c:tx>
            <c:strRef>
              <c:f>SPD!$A$27</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SPD!$B$27:$G$27</c15:sqref>
                  </c15:fullRef>
                </c:ext>
              </c:extLst>
              <c:f>SPD!$B$27:$F$27</c:f>
              <c:numCache>
                <c:formatCode>0%</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4-1442-4054-B346-1AB2C47641F4}"/>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AF8B-405F-BE01-C00D2A90618F}"/>
              </c:ext>
            </c:extLst>
          </c:dPt>
          <c:dPt>
            <c:idx val="1"/>
            <c:bubble3D val="0"/>
            <c:spPr>
              <a:solidFill>
                <a:schemeClr val="accent2"/>
              </a:solidFill>
              <a:ln w="6350">
                <a:solidFill>
                  <a:srgbClr val="0000FF"/>
                </a:solidFill>
              </a:ln>
              <a:effectLst/>
            </c:spPr>
            <c:extLst>
              <c:ext xmlns:c16="http://schemas.microsoft.com/office/drawing/2014/chart" uri="{C3380CC4-5D6E-409C-BE32-E72D297353CC}">
                <c16:uniqueId val="{00000003-AF8B-405F-BE01-C00D2A90618F}"/>
              </c:ext>
            </c:extLst>
          </c:dPt>
          <c:dPt>
            <c:idx val="2"/>
            <c:bubble3D val="0"/>
            <c:spPr>
              <a:solidFill>
                <a:srgbClr val="92D050"/>
              </a:solidFill>
              <a:ln w="6350">
                <a:solidFill>
                  <a:srgbClr val="0000FF"/>
                </a:solidFill>
              </a:ln>
              <a:effectLst/>
            </c:spPr>
            <c:extLst>
              <c:ext xmlns:c16="http://schemas.microsoft.com/office/drawing/2014/chart" uri="{C3380CC4-5D6E-409C-BE32-E72D297353CC}">
                <c16:uniqueId val="{00000005-F3D8-4BE3-9689-FFEF7E8CEC3F}"/>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AF8B-405F-BE01-C00D2A90618F}"/>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'São Leopoldo'!$I$127:$K$127</c:f>
              <c:strCache>
                <c:ptCount val="3"/>
                <c:pt idx="0">
                  <c:v>Mapeados</c:v>
                </c:pt>
                <c:pt idx="1">
                  <c:v>Comparados</c:v>
                </c:pt>
                <c:pt idx="2">
                  <c:v>Ajustados</c:v>
                </c:pt>
              </c:strCache>
            </c:strRef>
          </c:cat>
          <c:val>
            <c:numRef>
              <c:f>'São Leopoldo'!$I$148:$K$148</c:f>
              <c:numCache>
                <c:formatCode>0%</c:formatCode>
                <c:ptCount val="3"/>
                <c:pt idx="0">
                  <c:v>0.30769230769230771</c:v>
                </c:pt>
                <c:pt idx="1">
                  <c:v>0.15384615384615385</c:v>
                </c:pt>
                <c:pt idx="2">
                  <c:v>0</c:v>
                </c:pt>
              </c:numCache>
            </c:numRef>
          </c:val>
          <c:extLst>
            <c:ext xmlns:c16="http://schemas.microsoft.com/office/drawing/2014/chart" uri="{C3380CC4-5D6E-409C-BE32-E72D297353CC}">
              <c16:uniqueId val="{00000006-AF8B-405F-BE01-C00D2A9061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'São Leopoldo'!$R$127</c:f>
              <c:strCache>
                <c:ptCount val="1"/>
                <c:pt idx="0">
                  <c:v>Previsto</c:v>
                </c:pt>
              </c:strCache>
            </c:strRef>
          </c:tx>
          <c:spPr>
            <a:solidFill>
              <a:schemeClr val="accent1">
                <a:lumMod val="40000"/>
                <a:lumOff val="60000"/>
              </a:schemeClr>
            </a:solidFill>
            <a:ln>
              <a:solidFill>
                <a:srgbClr val="0000FF"/>
              </a:solidFill>
            </a:ln>
            <a:effectLst/>
          </c:spPr>
          <c:invertIfNegative val="0"/>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Leopoldo'!$S$127:$AD$127</c:f>
              <c:numCache>
                <c:formatCode>_("R$"* #,##0.00_);_("R$"* \(#,##0.00\);_("R$"* "-"??_);_(@_)</c:formatCode>
                <c:ptCount val="12"/>
                <c:pt idx="0">
                  <c:v>0</c:v>
                </c:pt>
                <c:pt idx="1">
                  <c:v>19884.252727272727</c:v>
                </c:pt>
                <c:pt idx="2">
                  <c:v>193545.9957272727</c:v>
                </c:pt>
                <c:pt idx="3">
                  <c:v>205457.81406060606</c:v>
                </c:pt>
                <c:pt idx="4">
                  <c:v>253262.77173526917</c:v>
                </c:pt>
                <c:pt idx="5">
                  <c:v>253262.77173526917</c:v>
                </c:pt>
                <c:pt idx="6">
                  <c:v>257262.77173526917</c:v>
                </c:pt>
                <c:pt idx="7">
                  <c:v>257262.77173526917</c:v>
                </c:pt>
                <c:pt idx="8">
                  <c:v>257262.77173526917</c:v>
                </c:pt>
                <c:pt idx="9">
                  <c:v>257262.77173526917</c:v>
                </c:pt>
                <c:pt idx="10">
                  <c:v>257262.77173526917</c:v>
                </c:pt>
                <c:pt idx="11">
                  <c:v>257262.77173526917</c:v>
                </c:pt>
              </c:numCache>
            </c:numRef>
          </c:val>
          <c:extLst>
            <c:ext xmlns:c16="http://schemas.microsoft.com/office/drawing/2014/chart" uri="{C3380CC4-5D6E-409C-BE32-E72D297353CC}">
              <c16:uniqueId val="{00000000-8D36-4F9E-87A3-9DD2B556D305}"/>
            </c:ext>
          </c:extLst>
        </c:ser>
        <c:ser>
          <c:idx val="1"/>
          <c:order val="1"/>
          <c:tx>
            <c:strRef>
              <c:f>'São Leopoldo'!$R$128</c:f>
              <c:strCache>
                <c:ptCount val="1"/>
                <c:pt idx="0">
                  <c:v>Real</c:v>
                </c:pt>
              </c:strCache>
            </c:strRef>
          </c:tx>
          <c:spPr>
            <a:solidFill>
              <a:srgbClr val="92D050"/>
            </a:solidFill>
            <a:ln>
              <a:solidFill>
                <a:srgbClr val="00B050"/>
              </a:solidFill>
            </a:ln>
            <a:effectLst/>
          </c:spPr>
          <c:invertIfNegative val="0"/>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Leopoldo'!$S$128:$AD$128</c:f>
              <c:numCache>
                <c:formatCode>_("R$"* #,##0.00_);_("R$"* \(#,##0.00\);_("R$"* "-"??_);_(@_)</c:formatCode>
                <c:ptCount val="12"/>
                <c:pt idx="0">
                  <c:v>3234</c:v>
                </c:pt>
                <c:pt idx="1">
                  <c:v>24747.29</c:v>
                </c:pt>
                <c:pt idx="2">
                  <c:v>259571.93</c:v>
                </c:pt>
                <c:pt idx="3">
                  <c:v>262612.33</c:v>
                </c:pt>
                <c:pt idx="4">
                  <c:v>271476.39999999997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8D36-4F9E-87A3-9DD2B556D305}"/>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'São Leopoldo'!$R$129</c:f>
              <c:strCache>
                <c:ptCount val="1"/>
                <c:pt idx="0">
                  <c:v>Q. Projetos </c:v>
                </c:pt>
              </c:strCache>
            </c:strRef>
          </c:tx>
          <c:spPr>
            <a:ln w="9525" cap="rnd">
              <a:solidFill>
                <a:srgbClr val="FF0000"/>
              </a:solidFill>
              <a:prstDash val="lgDashDot"/>
              <a:round/>
            </a:ln>
            <a:effectLst/>
          </c:spPr>
          <c:marker>
            <c:symbol val="none"/>
          </c:marker>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Leopoldo'!$S$129:$AD$129</c:f>
              <c:numCache>
                <c:formatCode>0</c:formatCode>
                <c:ptCount val="12"/>
                <c:pt idx="0">
                  <c:v>3</c:v>
                </c:pt>
                <c:pt idx="1">
                  <c:v>8</c:v>
                </c:pt>
                <c:pt idx="2">
                  <c:v>12</c:v>
                </c:pt>
                <c:pt idx="3">
                  <c:v>12</c:v>
                </c:pt>
                <c:pt idx="4">
                  <c:v>8</c:v>
                </c:pt>
                <c:pt idx="5">
                  <c:v>8</c:v>
                </c:pt>
                <c:pt idx="6">
                  <c:v>3</c:v>
                </c:pt>
                <c:pt idx="7">
                  <c:v>1</c:v>
                </c:pt>
                <c:pt idx="8">
                  <c:v>0</c:v>
                </c:pt>
                <c:pt idx="9">
                  <c:v>0</c:v>
                </c:pt>
                <c:pt idx="10">
                  <c:v>0</c:v>
                </c:pt>
                <c:pt idx="11">
                  <c:v>0</c:v>
                </c:pt>
              </c:numCache>
            </c:numRef>
          </c:val>
          <c:smooth val="0"/>
          <c:extLst>
            <c:ext xmlns:c16="http://schemas.microsoft.com/office/drawing/2014/chart" uri="{C3380CC4-5D6E-409C-BE32-E72D297353CC}">
              <c16:uniqueId val="{00000002-8D36-4F9E-87A3-9DD2B556D305}"/>
            </c:ext>
          </c:extLst>
        </c:ser>
        <c:ser>
          <c:idx val="3"/>
          <c:order val="3"/>
          <c:tx>
            <c:strRef>
              <c:f>'São Leopoldo'!$R$130</c:f>
              <c:strCache>
                <c:ptCount val="1"/>
                <c:pt idx="0">
                  <c:v>Acumulado Previsto</c:v>
                </c:pt>
              </c:strCache>
            </c:strRef>
          </c:tx>
          <c:spPr>
            <a:ln w="28575" cap="rnd">
              <a:solidFill>
                <a:srgbClr val="92D050"/>
              </a:solidFill>
              <a:round/>
            </a:ln>
            <a:effectLst/>
          </c:spPr>
          <c:marker>
            <c:symbol val="none"/>
          </c:marker>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Leopoldo'!$S$130:$AD$130</c:f>
              <c:numCache>
                <c:formatCode>_("R$"* #,##0.00_);_("R$"* \(#,##0.00\);_("R$"* "-"??_);_(@_)</c:formatCode>
                <c:ptCount val="12"/>
                <c:pt idx="0">
                  <c:v>0</c:v>
                </c:pt>
                <c:pt idx="1">
                  <c:v>19884.252727272727</c:v>
                </c:pt>
                <c:pt idx="2">
                  <c:v>213430.24845454542</c:v>
                </c:pt>
                <c:pt idx="3">
                  <c:v>418888.06251515145</c:v>
                </c:pt>
                <c:pt idx="4">
                  <c:v>672150.83425042056</c:v>
                </c:pt>
                <c:pt idx="5">
                  <c:v>925413.60598568968</c:v>
                </c:pt>
                <c:pt idx="6">
                  <c:v>1182676.3777209588</c:v>
                </c:pt>
                <c:pt idx="7">
                  <c:v>1439939.1494562279</c:v>
                </c:pt>
                <c:pt idx="8">
                  <c:v>1697201.921191497</c:v>
                </c:pt>
                <c:pt idx="9">
                  <c:v>1954464.6929267661</c:v>
                </c:pt>
                <c:pt idx="10">
                  <c:v>2211727.4646620355</c:v>
                </c:pt>
                <c:pt idx="11">
                  <c:v>2468990.2363973046</c:v>
                </c:pt>
              </c:numCache>
            </c:numRef>
          </c:val>
          <c:smooth val="0"/>
          <c:extLst>
            <c:ext xmlns:c16="http://schemas.microsoft.com/office/drawing/2014/chart" uri="{C3380CC4-5D6E-409C-BE32-E72D297353CC}">
              <c16:uniqueId val="{00000000-FAF5-42E0-A90F-1BDC781F11CC}"/>
            </c:ext>
          </c:extLst>
        </c:ser>
        <c:ser>
          <c:idx val="4"/>
          <c:order val="4"/>
          <c:tx>
            <c:strRef>
              <c:f>'São Leopoldo'!$R$131</c:f>
              <c:strCache>
                <c:ptCount val="1"/>
                <c:pt idx="0">
                  <c:v>Acumulado Real</c:v>
                </c:pt>
              </c:strCache>
            </c:strRef>
          </c:tx>
          <c:spPr>
            <a:ln w="28575" cap="rnd">
              <a:solidFill>
                <a:schemeClr val="accent5"/>
              </a:solidFill>
              <a:round/>
            </a:ln>
            <a:effectLst/>
          </c:spPr>
          <c:marker>
            <c:symbol val="none"/>
          </c:marker>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Leopoldo'!$S$131:$AD$131</c:f>
              <c:numCache>
                <c:formatCode>_("R$"* #,##0.00_);_("R$"* \(#,##0.00\);_("R$"* "-"??_);_(@_)</c:formatCode>
                <c:ptCount val="12"/>
                <c:pt idx="0">
                  <c:v>3234</c:v>
                </c:pt>
                <c:pt idx="1">
                  <c:v>27981.29</c:v>
                </c:pt>
                <c:pt idx="2">
                  <c:v>287553.21999999997</c:v>
                </c:pt>
                <c:pt idx="3">
                  <c:v>550165.55000000005</c:v>
                </c:pt>
                <c:pt idx="4">
                  <c:v>821641.95</c:v>
                </c:pt>
                <c:pt idx="5">
                  <c:v>821641.95</c:v>
                </c:pt>
                <c:pt idx="6">
                  <c:v>821641.95</c:v>
                </c:pt>
                <c:pt idx="7">
                  <c:v>821641.95</c:v>
                </c:pt>
                <c:pt idx="8">
                  <c:v>821641.95</c:v>
                </c:pt>
                <c:pt idx="9">
                  <c:v>821641.95</c:v>
                </c:pt>
                <c:pt idx="10">
                  <c:v>821641.95</c:v>
                </c:pt>
                <c:pt idx="11">
                  <c:v>821641.95</c:v>
                </c:pt>
              </c:numCache>
            </c:numRef>
          </c:val>
          <c:smooth val="0"/>
          <c:extLst>
            <c:ext xmlns:c16="http://schemas.microsoft.com/office/drawing/2014/chart" uri="{C3380CC4-5D6E-409C-BE32-E72D297353CC}">
              <c16:uniqueId val="{00000001-FAF5-42E0-A90F-1BDC781F11CC}"/>
            </c:ext>
          </c:extLst>
        </c:ser>
        <c:ser>
          <c:idx val="5"/>
          <c:order val="5"/>
          <c:tx>
            <c:strRef>
              <c:f>'São Leopoldo'!$R$132</c:f>
              <c:strCache>
                <c:ptCount val="1"/>
                <c:pt idx="0">
                  <c:v>Projeção da Meta</c:v>
                </c:pt>
              </c:strCache>
            </c:strRef>
          </c:tx>
          <c:spPr>
            <a:ln w="19050" cap="rnd">
              <a:solidFill>
                <a:srgbClr val="00B050"/>
              </a:solidFill>
              <a:prstDash val="sysDot"/>
              <a:round/>
            </a:ln>
            <a:effectLst/>
          </c:spPr>
          <c:marker>
            <c:symbol val="none"/>
          </c:marker>
          <c:cat>
            <c:numRef>
              <c:f>'São Leopoldo'!$S$126:$AD$126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Leopoldo'!$S$132:$AD$132</c:f>
              <c:numCache>
                <c:formatCode>_("R$"* #,##0.00_);_("R$"* \(#,##0.00\);_("R$"* "-"??_);_(@_)</c:formatCode>
                <c:ptCount val="12"/>
                <c:pt idx="0">
                  <c:v>3234</c:v>
                </c:pt>
                <c:pt idx="1">
                  <c:v>19884.252727272727</c:v>
                </c:pt>
                <c:pt idx="2">
                  <c:v>213430.24845454542</c:v>
                </c:pt>
                <c:pt idx="3">
                  <c:v>418888.06251515145</c:v>
                </c:pt>
                <c:pt idx="4">
                  <c:v>672150.83425042056</c:v>
                </c:pt>
                <c:pt idx="5">
                  <c:v>925413.60598568968</c:v>
                </c:pt>
                <c:pt idx="6">
                  <c:v>1182676.3777209588</c:v>
                </c:pt>
                <c:pt idx="7">
                  <c:v>1439939.1494562279</c:v>
                </c:pt>
                <c:pt idx="8">
                  <c:v>1697201.921191497</c:v>
                </c:pt>
                <c:pt idx="9">
                  <c:v>1954464.6929267661</c:v>
                </c:pt>
                <c:pt idx="10">
                  <c:v>2211727.4646620355</c:v>
                </c:pt>
                <c:pt idx="11">
                  <c:v>2468990.2363973046</c:v>
                </c:pt>
              </c:numCache>
            </c:numRef>
          </c:val>
          <c:smooth val="0"/>
          <c:extLst>
            <c:ext xmlns:c16="http://schemas.microsoft.com/office/drawing/2014/chart" uri="{C3380CC4-5D6E-409C-BE32-E72D297353CC}">
              <c16:uniqueId val="{00000000-65D8-4779-857C-CF1793F78F31}"/>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1000">
          <a:solidFill>
            <a:srgbClr val="000099"/>
          </a:solidFill>
        </a:defRPr>
      </a:pPr>
      <a:endParaRPr lang="pt-B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2179433107269"/>
          <c:y val="0.13854891378338174"/>
          <c:w val="0.52595352033490306"/>
          <c:h val="0.74114942631559677"/>
        </c:manualLayout>
      </c:layout>
      <c:radarChart>
        <c:radarStyle val="marker"/>
        <c:varyColors val="0"/>
        <c:ser>
          <c:idx val="0"/>
          <c:order val="0"/>
          <c:tx>
            <c:strRef>
              <c:f>'São Leopoldo'!$L$151</c:f>
              <c:strCache>
                <c:ptCount val="1"/>
                <c:pt idx="0">
                  <c:v>Unidade</c:v>
                </c:pt>
              </c:strCache>
            </c:strRef>
          </c:tx>
          <c:spPr>
            <a:ln w="28575" cap="rnd">
              <a:solidFill>
                <a:schemeClr val="accent1"/>
              </a:solidFill>
              <a:prstDash val="dash"/>
              <a:round/>
            </a:ln>
            <a:effectLst/>
          </c:spPr>
          <c:marker>
            <c:symbol val="none"/>
          </c:marker>
          <c:cat>
            <c:strRef>
              <c:f>'São Leopoldo'!$H$152:$H$155</c:f>
              <c:strCache>
                <c:ptCount val="4"/>
                <c:pt idx="0">
                  <c:v>Produtividade e Controle</c:v>
                </c:pt>
                <c:pt idx="1">
                  <c:v>Documentos e Registro </c:v>
                </c:pt>
                <c:pt idx="2">
                  <c:v>Manutenção do Processo </c:v>
                </c:pt>
                <c:pt idx="3">
                  <c:v>Análise dos Dados </c:v>
                </c:pt>
              </c:strCache>
            </c:strRef>
          </c:cat>
          <c:val>
            <c:numRef>
              <c:f>'São Leopoldo'!$L$152:$L$155</c:f>
              <c:numCache>
                <c:formatCode>0%</c:formatCode>
                <c:ptCount val="4"/>
                <c:pt idx="0">
                  <c:v>1</c:v>
                </c:pt>
                <c:pt idx="1">
                  <c:v>0.91666666666666663</c:v>
                </c:pt>
                <c:pt idx="2">
                  <c:v>0.45454545454545453</c:v>
                </c:pt>
                <c:pt idx="3">
                  <c:v>1</c:v>
                </c:pt>
              </c:numCache>
            </c:numRef>
          </c:val>
          <c:extLst>
            <c:ext xmlns:c16="http://schemas.microsoft.com/office/drawing/2014/chart" uri="{C3380CC4-5D6E-409C-BE32-E72D297353CC}">
              <c16:uniqueId val="{00000000-16DD-4A75-972A-521FA19454C7}"/>
            </c:ext>
          </c:extLst>
        </c:ser>
        <c:ser>
          <c:idx val="1"/>
          <c:order val="1"/>
          <c:tx>
            <c:strRef>
              <c:f>'São Leopoldo'!$M$151</c:f>
              <c:strCache>
                <c:ptCount val="1"/>
                <c:pt idx="0">
                  <c:v>Auditado</c:v>
                </c:pt>
              </c:strCache>
            </c:strRef>
          </c:tx>
          <c:spPr>
            <a:ln w="28575" cap="rnd">
              <a:solidFill>
                <a:srgbClr val="92D050"/>
              </a:solidFill>
              <a:round/>
            </a:ln>
            <a:effectLst/>
          </c:spPr>
          <c:marker>
            <c:symbol val="none"/>
          </c:marker>
          <c:cat>
            <c:strRef>
              <c:f>'São Leopoldo'!$H$152:$H$155</c:f>
              <c:strCache>
                <c:ptCount val="4"/>
                <c:pt idx="0">
                  <c:v>Produtividade e Controle</c:v>
                </c:pt>
                <c:pt idx="1">
                  <c:v>Documentos e Registro </c:v>
                </c:pt>
                <c:pt idx="2">
                  <c:v>Manutenção do Processo </c:v>
                </c:pt>
                <c:pt idx="3">
                  <c:v>Análise dos Dados </c:v>
                </c:pt>
              </c:strCache>
            </c:strRef>
          </c:cat>
          <c:val>
            <c:numRef>
              <c:f>'São Leopoldo'!$M$152:$M$155</c:f>
              <c:numCache>
                <c:formatCode>0%</c:formatCode>
                <c:ptCount val="4"/>
                <c:pt idx="0">
                  <c:v>0.25</c:v>
                </c:pt>
                <c:pt idx="1">
                  <c:v>0.41666666666666669</c:v>
                </c:pt>
                <c:pt idx="2">
                  <c:v>0.36363636363636365</c:v>
                </c:pt>
                <c:pt idx="3">
                  <c:v>0</c:v>
                </c:pt>
              </c:numCache>
            </c:numRef>
          </c:val>
          <c:extLst>
            <c:ext xmlns:c16="http://schemas.microsoft.com/office/drawing/2014/chart" uri="{C3380CC4-5D6E-409C-BE32-E72D297353CC}">
              <c16:uniqueId val="{00000001-16DD-4A75-972A-521FA19454C7}"/>
            </c:ext>
          </c:extLst>
        </c:ser>
        <c:ser>
          <c:idx val="2"/>
          <c:order val="2"/>
          <c:tx>
            <c:strRef>
              <c:f>'São Leopoldo'!$N$151</c:f>
              <c:strCache>
                <c:ptCount val="1"/>
                <c:pt idx="0">
                  <c:v>Meta</c:v>
                </c:pt>
              </c:strCache>
            </c:strRef>
          </c:tx>
          <c:spPr>
            <a:ln w="28575" cap="rnd">
              <a:solidFill>
                <a:srgbClr val="FF0000"/>
              </a:solidFill>
              <a:prstDash val="dashDot"/>
              <a:round/>
            </a:ln>
            <a:effectLst/>
          </c:spPr>
          <c:marker>
            <c:symbol val="none"/>
          </c:marker>
          <c:cat>
            <c:strRef>
              <c:f>'São Leopoldo'!$H$152:$H$155</c:f>
              <c:strCache>
                <c:ptCount val="4"/>
                <c:pt idx="0">
                  <c:v>Produtividade e Controle</c:v>
                </c:pt>
                <c:pt idx="1">
                  <c:v>Documentos e Registro </c:v>
                </c:pt>
                <c:pt idx="2">
                  <c:v>Manutenção do Processo </c:v>
                </c:pt>
                <c:pt idx="3">
                  <c:v>Análise dos Dados </c:v>
                </c:pt>
              </c:strCache>
            </c:strRef>
          </c:cat>
          <c:val>
            <c:numRef>
              <c:f>'São Leopoldo'!$N$152:$N$155</c:f>
              <c:numCache>
                <c:formatCode>0%</c:formatCode>
                <c:ptCount val="4"/>
                <c:pt idx="0">
                  <c:v>1</c:v>
                </c:pt>
                <c:pt idx="1">
                  <c:v>1</c:v>
                </c:pt>
                <c:pt idx="2">
                  <c:v>1</c:v>
                </c:pt>
                <c:pt idx="3">
                  <c:v>1</c:v>
                </c:pt>
              </c:numCache>
            </c:numRef>
          </c:val>
          <c:extLst>
            <c:ext xmlns:c16="http://schemas.microsoft.com/office/drawing/2014/chart" uri="{C3380CC4-5D6E-409C-BE32-E72D297353CC}">
              <c16:uniqueId val="{00000002-16DD-4A75-972A-521FA19454C7}"/>
            </c:ext>
          </c:extLst>
        </c:ser>
        <c:dLbls>
          <c:showLegendKey val="0"/>
          <c:showVal val="0"/>
          <c:showCatName val="0"/>
          <c:showSerName val="0"/>
          <c:showPercent val="0"/>
          <c:showBubbleSize val="0"/>
        </c:dLbls>
        <c:axId val="754477791"/>
        <c:axId val="754469151"/>
      </c:radarChart>
      <c:catAx>
        <c:axId val="7544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754469151"/>
        <c:crosses val="autoZero"/>
        <c:auto val="1"/>
        <c:lblAlgn val="ctr"/>
        <c:lblOffset val="100"/>
        <c:noMultiLvlLbl val="0"/>
      </c:catAx>
      <c:valAx>
        <c:axId val="75446915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54477791"/>
        <c:crosses val="autoZero"/>
        <c:crossBetween val="between"/>
      </c:valAx>
      <c:spPr>
        <a:noFill/>
        <a:ln>
          <a:noFill/>
        </a:ln>
        <a:effectLst/>
      </c:spPr>
    </c:plotArea>
    <c:legend>
      <c:legendPos val="r"/>
      <c:layout>
        <c:manualLayout>
          <c:xMode val="edge"/>
          <c:yMode val="edge"/>
          <c:x val="1.5079525990419713E-2"/>
          <c:y val="0.80712809475500125"/>
          <c:w val="0.21396234919382906"/>
          <c:h val="0.16758302624383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55769182182250954"/>
                      <c:h val="0.1512985969487072"/>
                    </c:manualLayout>
                  </c15:layout>
                </c:ext>
                <c:ext xmlns:c16="http://schemas.microsoft.com/office/drawing/2014/chart" uri="{C3380CC4-5D6E-409C-BE32-E72D297353CC}">
                  <c16:uniqueId val="{00000002-7EA5-40A7-8D17-7927B8B25AFF}"/>
                </c:ext>
              </c:extLst>
            </c:dLbl>
            <c:dLbl>
              <c:idx val="1"/>
              <c:layout>
                <c:manualLayout>
                  <c:x val="-0.11258540866508723"/>
                  <c:y val="4.20799419495611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8988570808021931"/>
                      <c:h val="0.1512985969487072"/>
                    </c:manualLayout>
                  </c15:layout>
                </c:ext>
                <c:ext xmlns:c16="http://schemas.microsoft.com/office/drawing/2014/chart" uri="{C3380CC4-5D6E-409C-BE32-E72D297353CC}">
                  <c16:uniqueId val="{00000001-7EA5-40A7-8D17-7927B8B25AF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'São Leopoldo'!$F$15:$F$18</c:f>
              <c:strCache>
                <c:ptCount val="4"/>
                <c:pt idx="0">
                  <c:v>VA</c:v>
                </c:pt>
                <c:pt idx="1">
                  <c:v>GGF</c:v>
                </c:pt>
                <c:pt idx="2">
                  <c:v>MA</c:v>
                </c:pt>
                <c:pt idx="3">
                  <c:v>Outros</c:v>
                </c:pt>
              </c:strCache>
            </c:strRef>
          </c:cat>
          <c:val>
            <c:numRef>
              <c:f>'São Leopoldo'!$G$15:$G$18</c:f>
              <c:numCache>
                <c:formatCode>_("R$"* #,##0.00_);_("R$"* \(#,##0.00\);_("R$"* "-"??_);_(@_)</c:formatCode>
                <c:ptCount val="4"/>
                <c:pt idx="0">
                  <c:v>261896.6280639717</c:v>
                </c:pt>
                <c:pt idx="1">
                  <c:v>2075853.92</c:v>
                </c:pt>
                <c:pt idx="2">
                  <c:v>0</c:v>
                </c:pt>
                <c:pt idx="3">
                  <c:v>0</c:v>
                </c:pt>
              </c:numCache>
            </c:numRef>
          </c:val>
          <c:extLst>
            <c:ext xmlns:c16="http://schemas.microsoft.com/office/drawing/2014/chart" uri="{C3380CC4-5D6E-409C-BE32-E72D297353CC}">
              <c16:uniqueId val="{00000000-7EA5-40A7-8D17-7927B8B25AFF}"/>
            </c:ext>
          </c:extLst>
        </c:ser>
        <c:dLbls>
          <c:dLblPos val="outEnd"/>
          <c:showLegendKey val="0"/>
          <c:showVal val="1"/>
          <c:showCatName val="0"/>
          <c:showSerName val="0"/>
          <c:showPercent val="0"/>
          <c:showBubbleSize val="0"/>
        </c:dLbls>
        <c:gapWidth val="182"/>
        <c:axId val="776394432"/>
        <c:axId val="776388672"/>
      </c:barChart>
      <c:catAx>
        <c:axId val="7763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776388672"/>
        <c:crosses val="autoZero"/>
        <c:auto val="1"/>
        <c:lblAlgn val="ctr"/>
        <c:lblOffset val="100"/>
        <c:noMultiLvlLbl val="0"/>
      </c:catAx>
      <c:valAx>
        <c:axId val="776388672"/>
        <c:scaling>
          <c:orientation val="minMax"/>
        </c:scaling>
        <c:delete val="1"/>
        <c:axPos val="b"/>
        <c:numFmt formatCode="_(&quot;R$&quot;* #,##0.00_);_(&quot;R$&quot;* \(#,##0.00\);_(&quot;R$&quot;* &quot;-&quot;??_);_(@_)" sourceLinked="1"/>
        <c:majorTickMark val="none"/>
        <c:minorTickMark val="none"/>
        <c:tickLblPos val="nextTo"/>
        <c:crossAx val="7763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'Comitê Aço'!$K$70</c:f>
              <c:strCache>
                <c:ptCount val="1"/>
                <c:pt idx="0">
                  <c:v>Previsto</c:v>
                </c:pt>
              </c:strCache>
            </c:strRef>
          </c:tx>
          <c:spPr>
            <a:solidFill>
              <a:schemeClr val="accent1"/>
            </a:solidFill>
            <a:ln>
              <a:noFill/>
            </a:ln>
            <a:effectLst/>
          </c:spPr>
          <c:invertIfNegative val="0"/>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Aço'!$L$70:$W$70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D5C-44E7-90D8-E5B656F93F1A}"/>
            </c:ext>
          </c:extLst>
        </c:ser>
        <c:ser>
          <c:idx val="1"/>
          <c:order val="1"/>
          <c:tx>
            <c:strRef>
              <c:f>'Comitê Aço'!$K$71</c:f>
              <c:strCache>
                <c:ptCount val="1"/>
                <c:pt idx="0">
                  <c:v>Real</c:v>
                </c:pt>
              </c:strCache>
            </c:strRef>
          </c:tx>
          <c:spPr>
            <a:solidFill>
              <a:schemeClr val="accent2"/>
            </a:solidFill>
            <a:ln>
              <a:noFill/>
            </a:ln>
            <a:effectLst/>
          </c:spPr>
          <c:invertIfNegative val="0"/>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D5C-44E7-90D8-E5B656F93F1A}"/>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'Comitê Aço'!$K$72</c:f>
              <c:strCache>
                <c:ptCount val="1"/>
                <c:pt idx="0">
                  <c:v>Q. Projetos </c:v>
                </c:pt>
              </c:strCache>
            </c:strRef>
          </c:tx>
          <c:spPr>
            <a:ln w="28575" cap="rnd">
              <a:solidFill>
                <a:schemeClr val="accent3"/>
              </a:solidFill>
              <a:round/>
            </a:ln>
            <a:effectLst/>
          </c:spPr>
          <c:marker>
            <c:symbol val="none"/>
          </c:marker>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Aço'!$L$72:$W$72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D5C-44E7-90D8-E5B656F93F1A}"/>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'Diretoria Financeira'!$K$71</c:f>
              <c:strCache>
                <c:ptCount val="1"/>
                <c:pt idx="0">
                  <c:v>Previsto</c:v>
                </c:pt>
              </c:strCache>
            </c:strRef>
          </c:tx>
          <c:spPr>
            <a:solidFill>
              <a:schemeClr val="accent1"/>
            </a:solidFill>
            <a:ln>
              <a:noFill/>
            </a:ln>
            <a:effectLst/>
          </c:spPr>
          <c:invertIfNegative val="0"/>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5F5-4725-9C3A-A1FA5B3027DF}"/>
            </c:ext>
          </c:extLst>
        </c:ser>
        <c:ser>
          <c:idx val="1"/>
          <c:order val="1"/>
          <c:tx>
            <c:strRef>
              <c:f>'Diretoria Financeira'!$K$72</c:f>
              <c:strCache>
                <c:ptCount val="1"/>
                <c:pt idx="0">
                  <c:v>Real</c:v>
                </c:pt>
              </c:strCache>
            </c:strRef>
          </c:tx>
          <c:spPr>
            <a:solidFill>
              <a:schemeClr val="accent2"/>
            </a:solidFill>
            <a:ln>
              <a:noFill/>
            </a:ln>
            <a:effectLst/>
          </c:spPr>
          <c:invertIfNegative val="0"/>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Financeira'!$L$72:$W$72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5F5-4725-9C3A-A1FA5B3027DF}"/>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'Diretoria Financeira'!$K$73</c:f>
              <c:strCache>
                <c:ptCount val="1"/>
                <c:pt idx="0">
                  <c:v>Q. Projetos </c:v>
                </c:pt>
              </c:strCache>
            </c:strRef>
          </c:tx>
          <c:spPr>
            <a:ln w="28575" cap="rnd">
              <a:solidFill>
                <a:schemeClr val="accent3"/>
              </a:solidFill>
              <a:round/>
            </a:ln>
            <a:effectLst/>
          </c:spPr>
          <c:marker>
            <c:symbol val="none"/>
          </c:marker>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Financeira'!$L$73:$W$73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5F5-4725-9C3A-A1FA5B3027DF}"/>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'Head Qualidade&amp;Dir. Industrial'!$K$71</c:f>
              <c:strCache>
                <c:ptCount val="1"/>
                <c:pt idx="0">
                  <c:v>Previsto</c:v>
                </c:pt>
              </c:strCache>
            </c:strRef>
          </c:tx>
          <c:spPr>
            <a:solidFill>
              <a:schemeClr val="accent1"/>
            </a:solidFill>
            <a:ln>
              <a:noFill/>
            </a:ln>
            <a:effectLst/>
          </c:spPr>
          <c:invertIfNegative val="0"/>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4DC-4D08-BC93-E6701B84F4A6}"/>
            </c:ext>
          </c:extLst>
        </c:ser>
        <c:ser>
          <c:idx val="1"/>
          <c:order val="1"/>
          <c:tx>
            <c:strRef>
              <c:f>'Head Qualidade&amp;Dir. Industrial'!$K$72</c:f>
              <c:strCache>
                <c:ptCount val="1"/>
                <c:pt idx="0">
                  <c:v>Real</c:v>
                </c:pt>
              </c:strCache>
            </c:strRef>
          </c:tx>
          <c:spPr>
            <a:solidFill>
              <a:schemeClr val="accent2"/>
            </a:solidFill>
            <a:ln>
              <a:noFill/>
            </a:ln>
            <a:effectLst/>
          </c:spPr>
          <c:invertIfNegative val="0"/>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Industrial'!$L$72:$W$72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4DC-4D08-BC93-E6701B84F4A6}"/>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'Head Qualidade&amp;Dir. Industrial'!$K$73</c:f>
              <c:strCache>
                <c:ptCount val="1"/>
                <c:pt idx="0">
                  <c:v>Q. Projetos </c:v>
                </c:pt>
              </c:strCache>
            </c:strRef>
          </c:tx>
          <c:spPr>
            <a:ln w="28575" cap="rnd">
              <a:solidFill>
                <a:schemeClr val="accent3"/>
              </a:solidFill>
              <a:round/>
            </a:ln>
            <a:effectLst/>
          </c:spPr>
          <c:marker>
            <c:symbol val="none"/>
          </c:marker>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Industrial'!$L$73:$W$73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64DC-4D08-BC93-E6701B84F4A6}"/>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Testes!$R$117</c:f>
              <c:strCache>
                <c:ptCount val="1"/>
                <c:pt idx="0">
                  <c:v>Previsto</c:v>
                </c:pt>
              </c:strCache>
            </c:strRef>
          </c:tx>
          <c:spPr>
            <a:solidFill>
              <a:schemeClr val="accent1">
                <a:lumMod val="40000"/>
                <a:lumOff val="60000"/>
              </a:schemeClr>
            </a:solidFill>
            <a:ln>
              <a:solidFill>
                <a:srgbClr val="0000FF"/>
              </a:solidFill>
            </a:ln>
            <a:effectLst/>
          </c:spPr>
          <c:invertIfNegative val="0"/>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Testes!$S$117:$AD$117</c:f>
              <c:numCache>
                <c:formatCode>_("R$"* #,##0.00_);_("R$"* \(#,##0.00\);_("R$"* "-"??_);_(@_)</c:formatCode>
                <c:ptCount val="12"/>
                <c:pt idx="0">
                  <c:v>59581.77</c:v>
                </c:pt>
                <c:pt idx="1">
                  <c:v>28637</c:v>
                </c:pt>
                <c:pt idx="2">
                  <c:v>93228.5</c:v>
                </c:pt>
                <c:pt idx="3">
                  <c:v>154038.5</c:v>
                </c:pt>
                <c:pt idx="4">
                  <c:v>157738.5</c:v>
                </c:pt>
                <c:pt idx="5">
                  <c:v>157738.5</c:v>
                </c:pt>
                <c:pt idx="6">
                  <c:v>157738.5</c:v>
                </c:pt>
                <c:pt idx="7">
                  <c:v>157738.5</c:v>
                </c:pt>
                <c:pt idx="8">
                  <c:v>157738.5</c:v>
                </c:pt>
                <c:pt idx="9">
                  <c:v>157738.5</c:v>
                </c:pt>
                <c:pt idx="10">
                  <c:v>157738.5</c:v>
                </c:pt>
                <c:pt idx="11">
                  <c:v>157738.5</c:v>
                </c:pt>
              </c:numCache>
            </c:numRef>
          </c:val>
          <c:extLst>
            <c:ext xmlns:c16="http://schemas.microsoft.com/office/drawing/2014/chart" uri="{C3380CC4-5D6E-409C-BE32-E72D297353CC}">
              <c16:uniqueId val="{00000000-4DF5-46C7-BBC1-290C87503A68}"/>
            </c:ext>
          </c:extLst>
        </c:ser>
        <c:ser>
          <c:idx val="1"/>
          <c:order val="1"/>
          <c:tx>
            <c:strRef>
              <c:f>Testes!$R$118</c:f>
              <c:strCache>
                <c:ptCount val="1"/>
                <c:pt idx="0">
                  <c:v>Real</c:v>
                </c:pt>
              </c:strCache>
            </c:strRef>
          </c:tx>
          <c:spPr>
            <a:solidFill>
              <a:srgbClr val="92D050"/>
            </a:solidFill>
            <a:ln>
              <a:solidFill>
                <a:srgbClr val="00B050"/>
              </a:solidFill>
            </a:ln>
            <a:effectLst/>
          </c:spPr>
          <c:invertIfNegative val="0"/>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Testes!$S$118:$AD$118</c:f>
              <c:numCache>
                <c:formatCode>_("R$"* #,##0.00_);_("R$"* \(#,##0.00\);_("R$"* "-"??_);_(@_)</c:formatCode>
                <c:ptCount val="12"/>
                <c:pt idx="0">
                  <c:v>51386.369999999995</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DF5-46C7-BBC1-290C87503A68}"/>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Testes!$R$119</c:f>
              <c:strCache>
                <c:ptCount val="1"/>
                <c:pt idx="0">
                  <c:v>Q. Projetos </c:v>
                </c:pt>
              </c:strCache>
            </c:strRef>
          </c:tx>
          <c:spPr>
            <a:ln w="9525" cap="rnd">
              <a:solidFill>
                <a:srgbClr val="FF0000"/>
              </a:solidFill>
              <a:prstDash val="lgDashDot"/>
              <a:round/>
            </a:ln>
            <a:effectLst/>
          </c:spPr>
          <c:marker>
            <c:symbol val="none"/>
          </c:marker>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Testes!$S$119:$AD$119</c:f>
              <c:numCache>
                <c:formatCode>0</c:formatCode>
                <c:ptCount val="12"/>
                <c:pt idx="0">
                  <c:v>8</c:v>
                </c:pt>
                <c:pt idx="1">
                  <c:v>17</c:v>
                </c:pt>
                <c:pt idx="2">
                  <c:v>14</c:v>
                </c:pt>
                <c:pt idx="3">
                  <c:v>4</c:v>
                </c:pt>
                <c:pt idx="4">
                  <c:v>3</c:v>
                </c:pt>
                <c:pt idx="5">
                  <c:v>2</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2-4DF5-46C7-BBC1-290C87503A68}"/>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EED0-4868-A438-941E31B6913E}"/>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EED0-4868-A438-941E31B6913E}"/>
              </c:ext>
            </c:extLst>
          </c:dPt>
          <c:dPt>
            <c:idx val="2"/>
            <c:bubble3D val="0"/>
            <c:spPr>
              <a:solidFill>
                <a:schemeClr val="accent3"/>
              </a:solidFill>
              <a:ln w="6350">
                <a:solidFill>
                  <a:srgbClr val="0000FF"/>
                </a:solidFill>
              </a:ln>
              <a:effectLst/>
            </c:spPr>
            <c:extLst>
              <c:ext xmlns:c16="http://schemas.microsoft.com/office/drawing/2014/chart" uri="{C3380CC4-5D6E-409C-BE32-E72D297353CC}">
                <c16:uniqueId val="{00000005-EED0-4868-A438-941E31B6913E}"/>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EED0-4868-A438-941E31B6913E}"/>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Testes!$I$117:$K$117</c:f>
              <c:strCache>
                <c:ptCount val="3"/>
                <c:pt idx="0">
                  <c:v>Mapeados</c:v>
                </c:pt>
                <c:pt idx="1">
                  <c:v>Comparados</c:v>
                </c:pt>
                <c:pt idx="2">
                  <c:v>Ajustados</c:v>
                </c:pt>
              </c:strCache>
            </c:strRef>
          </c:cat>
          <c:val>
            <c:numRef>
              <c:f>Testes!$I$140:$K$140</c:f>
              <c:numCache>
                <c:formatCode>General</c:formatCode>
                <c:ptCount val="3"/>
                <c:pt idx="0">
                  <c:v>5</c:v>
                </c:pt>
                <c:pt idx="1">
                  <c:v>0</c:v>
                </c:pt>
                <c:pt idx="2">
                  <c:v>0</c:v>
                </c:pt>
              </c:numCache>
            </c:numRef>
          </c:val>
          <c:extLst>
            <c:ext xmlns:c16="http://schemas.microsoft.com/office/drawing/2014/chart" uri="{C3380CC4-5D6E-409C-BE32-E72D297353CC}">
              <c16:uniqueId val="{00000006-EED0-4868-A438-941E31B691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Testes!$E$167</c:f>
              <c:strCache>
                <c:ptCount val="1"/>
                <c:pt idx="0">
                  <c:v>Unidade</c:v>
                </c:pt>
              </c:strCache>
            </c:strRef>
          </c:tx>
          <c:spPr>
            <a:ln w="28575" cap="rnd">
              <a:solidFill>
                <a:srgbClr val="0070C0"/>
              </a:solidFill>
              <a:prstDash val="dashDot"/>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Testes!$E$168:$E$171</c:f>
              <c:numCache>
                <c:formatCode>0%</c:formatCode>
                <c:ptCount val="4"/>
                <c:pt idx="0">
                  <c:v>0.8</c:v>
                </c:pt>
                <c:pt idx="1">
                  <c:v>0.6</c:v>
                </c:pt>
                <c:pt idx="2">
                  <c:v>0.7857142857142857</c:v>
                </c:pt>
                <c:pt idx="3">
                  <c:v>0.86956521739130432</c:v>
                </c:pt>
              </c:numCache>
            </c:numRef>
          </c:val>
          <c:extLst>
            <c:ext xmlns:c16="http://schemas.microsoft.com/office/drawing/2014/chart" uri="{C3380CC4-5D6E-409C-BE32-E72D297353CC}">
              <c16:uniqueId val="{00000000-090B-4E95-85A1-C92C06D7CCA8}"/>
            </c:ext>
          </c:extLst>
        </c:ser>
        <c:ser>
          <c:idx val="1"/>
          <c:order val="1"/>
          <c:tx>
            <c:strRef>
              <c:f>Testes!$F$167</c:f>
              <c:strCache>
                <c:ptCount val="1"/>
                <c:pt idx="0">
                  <c:v>Auditado</c:v>
                </c:pt>
              </c:strCache>
            </c:strRef>
          </c:tx>
          <c:spPr>
            <a:ln w="38100" cap="rnd">
              <a:solidFill>
                <a:srgbClr val="00B050"/>
              </a:solidFill>
              <a:prstDash val="sysDot"/>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Testes!$F$168:$F$171</c:f>
              <c:numCache>
                <c:formatCode>0%</c:formatCode>
                <c:ptCount val="4"/>
                <c:pt idx="0">
                  <c:v>0.6</c:v>
                </c:pt>
                <c:pt idx="1">
                  <c:v>0.6</c:v>
                </c:pt>
                <c:pt idx="2">
                  <c:v>0.7857142857142857</c:v>
                </c:pt>
                <c:pt idx="3">
                  <c:v>0.43478260869565216</c:v>
                </c:pt>
              </c:numCache>
            </c:numRef>
          </c:val>
          <c:extLst>
            <c:ext xmlns:c16="http://schemas.microsoft.com/office/drawing/2014/chart" uri="{C3380CC4-5D6E-409C-BE32-E72D297353CC}">
              <c16:uniqueId val="{00000001-090B-4E95-85A1-C92C06D7CCA8}"/>
            </c:ext>
          </c:extLst>
        </c:ser>
        <c:ser>
          <c:idx val="2"/>
          <c:order val="2"/>
          <c:tx>
            <c:strRef>
              <c:f>Testes!$G$167</c:f>
              <c:strCache>
                <c:ptCount val="1"/>
                <c:pt idx="0">
                  <c:v>Meta</c:v>
                </c:pt>
              </c:strCache>
            </c:strRef>
          </c:tx>
          <c:spPr>
            <a:ln w="28575" cap="rnd">
              <a:solidFill>
                <a:srgbClr val="FF0000"/>
              </a:solidFill>
              <a:prstDash val="dash"/>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Testes!$G$168:$G$171</c:f>
              <c:numCache>
                <c:formatCode>0%</c:formatCode>
                <c:ptCount val="4"/>
                <c:pt idx="0">
                  <c:v>1</c:v>
                </c:pt>
                <c:pt idx="1">
                  <c:v>1</c:v>
                </c:pt>
                <c:pt idx="2">
                  <c:v>1</c:v>
                </c:pt>
                <c:pt idx="3">
                  <c:v>1</c:v>
                </c:pt>
              </c:numCache>
            </c:numRef>
          </c:val>
          <c:extLst>
            <c:ext xmlns:c16="http://schemas.microsoft.com/office/drawing/2014/chart" uri="{C3380CC4-5D6E-409C-BE32-E72D297353CC}">
              <c16:uniqueId val="{00000002-090B-4E95-85A1-C92C06D7CCA8}"/>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20165875669650882"/>
          <c:h val="0.308032859374672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7CD1-4E54-9175-9B90A28CA3C1}"/>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7CD1-4E54-9175-9B90A28CA3C1}"/>
              </c:ext>
            </c:extLst>
          </c:dPt>
          <c:dPt>
            <c:idx val="2"/>
            <c:bubble3D val="0"/>
            <c:spPr>
              <a:solidFill>
                <a:schemeClr val="accent1">
                  <a:lumMod val="20000"/>
                  <a:lumOff val="80000"/>
                </a:schemeClr>
              </a:solidFill>
              <a:ln w="6350">
                <a:solidFill>
                  <a:srgbClr val="0000FF"/>
                </a:solidFill>
              </a:ln>
              <a:effectLst/>
            </c:spPr>
            <c:extLst>
              <c:ext xmlns:c16="http://schemas.microsoft.com/office/drawing/2014/chart" uri="{C3380CC4-5D6E-409C-BE32-E72D297353CC}">
                <c16:uniqueId val="{00000005-7CD1-4E54-9175-9B90A28CA3C1}"/>
              </c:ext>
            </c:extLst>
          </c:dPt>
          <c:dLbls>
            <c:dLbl>
              <c:idx val="0"/>
              <c:spPr>
                <a:noFill/>
                <a:ln>
                  <a:noFill/>
                </a:ln>
                <a:effectLst/>
              </c:spPr>
              <c:txPr>
                <a:bodyPr rot="0" spcFirstLastPara="1" vertOverflow="ellipsis" vert="horz" wrap="square" anchor="ctr" anchorCtr="1"/>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7CD1-4E54-9175-9B90A28CA3C1}"/>
                </c:ext>
              </c:extLst>
            </c:dLbl>
            <c:spPr>
              <a:noFill/>
              <a:ln>
                <a:noFill/>
              </a:ln>
              <a:effectLst/>
            </c:spPr>
            <c:txPr>
              <a:bodyPr rot="0" spcFirstLastPara="1" vertOverflow="ellipsis" vert="horz" wrap="square" anchor="ctr" anchorCtr="1"/>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Anchieta!$I$105:$K$105</c:f>
              <c:strCache>
                <c:ptCount val="3"/>
                <c:pt idx="0">
                  <c:v>Mapeados</c:v>
                </c:pt>
                <c:pt idx="1">
                  <c:v>Comparados</c:v>
                </c:pt>
                <c:pt idx="2">
                  <c:v>Ajustados</c:v>
                </c:pt>
              </c:strCache>
            </c:strRef>
          </c:cat>
          <c:val>
            <c:numRef>
              <c:f>Anchieta!$I$128:$K$128</c:f>
              <c:numCache>
                <c:formatCode>0%</c:formatCode>
                <c:ptCount val="3"/>
                <c:pt idx="0">
                  <c:v>1</c:v>
                </c:pt>
                <c:pt idx="1">
                  <c:v>0</c:v>
                </c:pt>
                <c:pt idx="2">
                  <c:v>0</c:v>
                </c:pt>
              </c:numCache>
            </c:numRef>
          </c:val>
          <c:extLst>
            <c:ext xmlns:c16="http://schemas.microsoft.com/office/drawing/2014/chart" uri="{C3380CC4-5D6E-409C-BE32-E72D297353CC}">
              <c16:uniqueId val="{00000006-7CD1-4E54-9175-9B90A28CA3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5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15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layout>
        <c:manualLayout>
          <c:xMode val="edge"/>
          <c:yMode val="edge"/>
          <c:x val="0.4436882729812226"/>
          <c:y val="0"/>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manualLayout>
          <c:layoutTarget val="inner"/>
          <c:xMode val="edge"/>
          <c:yMode val="edge"/>
          <c:x val="7.1866240505103096E-2"/>
          <c:y val="0.13631952295670793"/>
          <c:w val="0.8736103958872149"/>
          <c:h val="0.43680777196370146"/>
        </c:manualLayout>
      </c:layout>
      <c:barChart>
        <c:barDir val="col"/>
        <c:grouping val="clustered"/>
        <c:varyColors val="0"/>
        <c:ser>
          <c:idx val="0"/>
          <c:order val="0"/>
          <c:tx>
            <c:strRef>
              <c:f>Anchieta!$R$105</c:f>
              <c:strCache>
                <c:ptCount val="1"/>
                <c:pt idx="0">
                  <c:v>Previsto</c:v>
                </c:pt>
              </c:strCache>
            </c:strRef>
          </c:tx>
          <c:spPr>
            <a:solidFill>
              <a:schemeClr val="accent1">
                <a:lumMod val="40000"/>
                <a:lumOff val="60000"/>
              </a:schemeClr>
            </a:solidFill>
            <a:ln>
              <a:solidFill>
                <a:srgbClr val="0000FF"/>
              </a:solidFill>
            </a:ln>
            <a:effectLst/>
          </c:spPr>
          <c:invertIfNegative val="0"/>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Anchieta!$S$105:$AD$105</c:f>
              <c:numCache>
                <c:formatCode>_("R$"* #,##0.00_);_("R$"* \(#,##0.00\);_("R$"* "-"??_);_(@_)</c:formatCode>
                <c:ptCount val="12"/>
                <c:pt idx="0">
                  <c:v>50000</c:v>
                </c:pt>
                <c:pt idx="1">
                  <c:v>12351.511772727274</c:v>
                </c:pt>
                <c:pt idx="2">
                  <c:v>18186.690772727274</c:v>
                </c:pt>
                <c:pt idx="3">
                  <c:v>47975.389661616158</c:v>
                </c:pt>
                <c:pt idx="4">
                  <c:v>48600.389661616158</c:v>
                </c:pt>
                <c:pt idx="5">
                  <c:v>48600.389661616158</c:v>
                </c:pt>
                <c:pt idx="6">
                  <c:v>115267.05632828285</c:v>
                </c:pt>
                <c:pt idx="7">
                  <c:v>116667.05632828285</c:v>
                </c:pt>
                <c:pt idx="8">
                  <c:v>116667.05632828285</c:v>
                </c:pt>
                <c:pt idx="9">
                  <c:v>116667.05632828285</c:v>
                </c:pt>
                <c:pt idx="10">
                  <c:v>116667.05632828285</c:v>
                </c:pt>
                <c:pt idx="11">
                  <c:v>116667.05632828285</c:v>
                </c:pt>
              </c:numCache>
            </c:numRef>
          </c:val>
          <c:extLst>
            <c:ext xmlns:c16="http://schemas.microsoft.com/office/drawing/2014/chart" uri="{C3380CC4-5D6E-409C-BE32-E72D297353CC}">
              <c16:uniqueId val="{00000000-B716-48B4-86DB-CCCA38FC5ED8}"/>
            </c:ext>
          </c:extLst>
        </c:ser>
        <c:ser>
          <c:idx val="1"/>
          <c:order val="1"/>
          <c:tx>
            <c:strRef>
              <c:f>Anchieta!$R$106</c:f>
              <c:strCache>
                <c:ptCount val="1"/>
                <c:pt idx="0">
                  <c:v>Real</c:v>
                </c:pt>
              </c:strCache>
            </c:strRef>
          </c:tx>
          <c:spPr>
            <a:solidFill>
              <a:srgbClr val="92D050"/>
            </a:solidFill>
            <a:ln>
              <a:solidFill>
                <a:srgbClr val="00B050"/>
              </a:solidFill>
            </a:ln>
            <a:effectLst/>
          </c:spPr>
          <c:invertIfNegative val="0"/>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Anchieta!$S$106:$AD$106</c:f>
              <c:numCache>
                <c:formatCode>_("R$"* #,##0.00_);_("R$"* \(#,##0.00\);_("R$"* "-"??_);_(@_)</c:formatCode>
                <c:ptCount val="12"/>
                <c:pt idx="0">
                  <c:v>12952.470000000001</c:v>
                </c:pt>
                <c:pt idx="1">
                  <c:v>66080.55</c:v>
                </c:pt>
                <c:pt idx="2">
                  <c:v>7167.5747453259228</c:v>
                </c:pt>
                <c:pt idx="3">
                  <c:v>56823.789429004551</c:v>
                </c:pt>
                <c:pt idx="4">
                  <c:v>-1907.7099999999991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716-48B4-86DB-CCCA38FC5ED8}"/>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Anchieta!$R$107</c:f>
              <c:strCache>
                <c:ptCount val="1"/>
                <c:pt idx="0">
                  <c:v>Q. Projetos </c:v>
                </c:pt>
              </c:strCache>
            </c:strRef>
          </c:tx>
          <c:spPr>
            <a:ln w="9525" cap="rnd">
              <a:solidFill>
                <a:srgbClr val="FF0000"/>
              </a:solidFill>
              <a:prstDash val="lgDashDot"/>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Anchieta!$S$107:$AD$107</c:f>
              <c:numCache>
                <c:formatCode>0</c:formatCode>
                <c:ptCount val="12"/>
                <c:pt idx="0">
                  <c:v>2</c:v>
                </c:pt>
                <c:pt idx="1">
                  <c:v>10</c:v>
                </c:pt>
                <c:pt idx="2">
                  <c:v>10</c:v>
                </c:pt>
                <c:pt idx="3">
                  <c:v>11</c:v>
                </c:pt>
                <c:pt idx="4">
                  <c:v>6</c:v>
                </c:pt>
                <c:pt idx="5">
                  <c:v>5</c:v>
                </c:pt>
                <c:pt idx="6">
                  <c:v>4</c:v>
                </c:pt>
                <c:pt idx="7">
                  <c:v>1</c:v>
                </c:pt>
                <c:pt idx="8">
                  <c:v>1</c:v>
                </c:pt>
                <c:pt idx="9">
                  <c:v>1</c:v>
                </c:pt>
                <c:pt idx="10">
                  <c:v>1</c:v>
                </c:pt>
                <c:pt idx="11">
                  <c:v>1</c:v>
                </c:pt>
              </c:numCache>
            </c:numRef>
          </c:val>
          <c:smooth val="0"/>
          <c:extLst>
            <c:ext xmlns:c16="http://schemas.microsoft.com/office/drawing/2014/chart" uri="{C3380CC4-5D6E-409C-BE32-E72D297353CC}">
              <c16:uniqueId val="{00000002-B716-48B4-86DB-CCCA38FC5ED8}"/>
            </c:ext>
          </c:extLst>
        </c:ser>
        <c:ser>
          <c:idx val="3"/>
          <c:order val="3"/>
          <c:tx>
            <c:strRef>
              <c:f>Anchieta!$R$108</c:f>
              <c:strCache>
                <c:ptCount val="1"/>
                <c:pt idx="0">
                  <c:v>Acumulado Previsto</c:v>
                </c:pt>
              </c:strCache>
            </c:strRef>
          </c:tx>
          <c:spPr>
            <a:ln w="28575" cap="rnd">
              <a:solidFill>
                <a:srgbClr val="92D050"/>
              </a:solidFill>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Anchieta!$S$108:$AD$108</c:f>
              <c:numCache>
                <c:formatCode>_("R$"* #,##0.00_);_("R$"* \(#,##0.00\);_("R$"* "-"??_);_(@_)</c:formatCode>
                <c:ptCount val="12"/>
                <c:pt idx="0">
                  <c:v>50000</c:v>
                </c:pt>
                <c:pt idx="1">
                  <c:v>62351.511772727274</c:v>
                </c:pt>
                <c:pt idx="2">
                  <c:v>80538.202545454551</c:v>
                </c:pt>
                <c:pt idx="3">
                  <c:v>128513.5922070707</c:v>
                </c:pt>
                <c:pt idx="4">
                  <c:v>177113.98186868685</c:v>
                </c:pt>
                <c:pt idx="5">
                  <c:v>225714.371530303</c:v>
                </c:pt>
                <c:pt idx="6">
                  <c:v>340981.42785858584</c:v>
                </c:pt>
                <c:pt idx="7">
                  <c:v>457648.48418686871</c:v>
                </c:pt>
                <c:pt idx="8">
                  <c:v>574315.54051515157</c:v>
                </c:pt>
                <c:pt idx="9">
                  <c:v>690982.59684343438</c:v>
                </c:pt>
                <c:pt idx="10">
                  <c:v>807649.65317171719</c:v>
                </c:pt>
                <c:pt idx="11">
                  <c:v>924316.7095</c:v>
                </c:pt>
              </c:numCache>
            </c:numRef>
          </c:val>
          <c:smooth val="0"/>
          <c:extLst>
            <c:ext xmlns:c16="http://schemas.microsoft.com/office/drawing/2014/chart" uri="{C3380CC4-5D6E-409C-BE32-E72D297353CC}">
              <c16:uniqueId val="{00000000-BB19-4090-8332-943D8608942C}"/>
            </c:ext>
          </c:extLst>
        </c:ser>
        <c:ser>
          <c:idx val="4"/>
          <c:order val="4"/>
          <c:tx>
            <c:strRef>
              <c:f>Anchieta!$R$109</c:f>
              <c:strCache>
                <c:ptCount val="1"/>
                <c:pt idx="0">
                  <c:v>Acumulado Real</c:v>
                </c:pt>
              </c:strCache>
            </c:strRef>
          </c:tx>
          <c:spPr>
            <a:ln w="28575" cap="rnd">
              <a:solidFill>
                <a:schemeClr val="accent5"/>
              </a:solidFill>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Anchieta!$S$109:$AD$109</c:f>
              <c:numCache>
                <c:formatCode>_("R$"* #,##0.00_);_("R$"* \(#,##0.00\);_("R$"* "-"??_);_(@_)</c:formatCode>
                <c:ptCount val="12"/>
                <c:pt idx="0">
                  <c:v>12952.470000000001</c:v>
                </c:pt>
                <c:pt idx="1">
                  <c:v>79033.02</c:v>
                </c:pt>
                <c:pt idx="2">
                  <c:v>86200.594745325929</c:v>
                </c:pt>
                <c:pt idx="3">
                  <c:v>143024.38417433048</c:v>
                </c:pt>
                <c:pt idx="4">
                  <c:v>141116.67417433049</c:v>
                </c:pt>
                <c:pt idx="5">
                  <c:v>141116.67417433049</c:v>
                </c:pt>
                <c:pt idx="6">
                  <c:v>141116.67417433049</c:v>
                </c:pt>
                <c:pt idx="7">
                  <c:v>141116.67417433049</c:v>
                </c:pt>
                <c:pt idx="8">
                  <c:v>141116.67417433049</c:v>
                </c:pt>
                <c:pt idx="9">
                  <c:v>141116.67417433049</c:v>
                </c:pt>
                <c:pt idx="10">
                  <c:v>141116.67417433049</c:v>
                </c:pt>
                <c:pt idx="11">
                  <c:v>141116.67417433049</c:v>
                </c:pt>
              </c:numCache>
            </c:numRef>
          </c:val>
          <c:smooth val="0"/>
          <c:extLst>
            <c:ext xmlns:c16="http://schemas.microsoft.com/office/drawing/2014/chart" uri="{C3380CC4-5D6E-409C-BE32-E72D297353CC}">
              <c16:uniqueId val="{00000001-BB19-4090-8332-943D8608942C}"/>
            </c:ext>
          </c:extLst>
        </c:ser>
        <c:ser>
          <c:idx val="5"/>
          <c:order val="5"/>
          <c:tx>
            <c:strRef>
              <c:f>Anchieta!$R$110</c:f>
              <c:strCache>
                <c:ptCount val="1"/>
                <c:pt idx="0">
                  <c:v>Projeção da Meta</c:v>
                </c:pt>
              </c:strCache>
            </c:strRef>
          </c:tx>
          <c:spPr>
            <a:ln w="28575" cap="rnd">
              <a:solidFill>
                <a:srgbClr val="00B050"/>
              </a:solidFill>
              <a:prstDash val="sysDot"/>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Anchieta!$S$110:$AD$110</c:f>
              <c:numCache>
                <c:formatCode>_("R$"* #,##0.00_);_("R$"* \(#,##0.00\);_("R$"* "-"??_);_(@_)</c:formatCode>
                <c:ptCount val="12"/>
                <c:pt idx="0">
                  <c:v>12952.470000000001</c:v>
                </c:pt>
                <c:pt idx="1">
                  <c:v>79033.02</c:v>
                </c:pt>
                <c:pt idx="2">
                  <c:v>86200.594745325929</c:v>
                </c:pt>
                <c:pt idx="3">
                  <c:v>143024.38417433048</c:v>
                </c:pt>
                <c:pt idx="4">
                  <c:v>141116.67417433049</c:v>
                </c:pt>
                <c:pt idx="5">
                  <c:v>669398.90500656888</c:v>
                </c:pt>
                <c:pt idx="6">
                  <c:v>1197681.1358388073</c:v>
                </c:pt>
                <c:pt idx="7">
                  <c:v>1725963.3666710458</c:v>
                </c:pt>
                <c:pt idx="8">
                  <c:v>2254245.597503284</c:v>
                </c:pt>
                <c:pt idx="9">
                  <c:v>2782527.8283355227</c:v>
                </c:pt>
                <c:pt idx="10">
                  <c:v>3310810.0591677614</c:v>
                </c:pt>
                <c:pt idx="11">
                  <c:v>3839092.29</c:v>
                </c:pt>
              </c:numCache>
            </c:numRef>
          </c:val>
          <c:smooth val="0"/>
          <c:extLst>
            <c:ext xmlns:c16="http://schemas.microsoft.com/office/drawing/2014/chart" uri="{C3380CC4-5D6E-409C-BE32-E72D297353CC}">
              <c16:uniqueId val="{00000000-D6F1-472D-A79B-CAC8510459B3}"/>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17141768310007"/>
          <c:y val="0.1333294932368701"/>
          <c:w val="0.45792973369811035"/>
          <c:h val="0.72556885028951923"/>
        </c:manualLayout>
      </c:layout>
      <c:radarChart>
        <c:radarStyle val="marker"/>
        <c:varyColors val="0"/>
        <c:ser>
          <c:idx val="0"/>
          <c:order val="0"/>
          <c:tx>
            <c:strRef>
              <c:f>Anchieta!$L$131</c:f>
              <c:strCache>
                <c:ptCount val="1"/>
                <c:pt idx="0">
                  <c:v>Unidade</c:v>
                </c:pt>
              </c:strCache>
            </c:strRef>
          </c:tx>
          <c:spPr>
            <a:ln w="28575" cap="rnd">
              <a:solidFill>
                <a:srgbClr val="000099"/>
              </a:solidFill>
              <a:prstDash val="lgDash"/>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Anchieta!$L$132:$L$135</c:f>
              <c:numCache>
                <c:formatCode>0%</c:formatCode>
                <c:ptCount val="4"/>
                <c:pt idx="0">
                  <c:v>0.75</c:v>
                </c:pt>
                <c:pt idx="1">
                  <c:v>0.75</c:v>
                </c:pt>
                <c:pt idx="2">
                  <c:v>0.54545454545454541</c:v>
                </c:pt>
                <c:pt idx="3">
                  <c:v>1</c:v>
                </c:pt>
              </c:numCache>
            </c:numRef>
          </c:val>
          <c:extLst>
            <c:ext xmlns:c16="http://schemas.microsoft.com/office/drawing/2014/chart" uri="{C3380CC4-5D6E-409C-BE32-E72D297353CC}">
              <c16:uniqueId val="{00000000-5538-4F21-A7D9-EF4C88622769}"/>
            </c:ext>
          </c:extLst>
        </c:ser>
        <c:ser>
          <c:idx val="1"/>
          <c:order val="1"/>
          <c:tx>
            <c:strRef>
              <c:f>Anchieta!$M$131</c:f>
              <c:strCache>
                <c:ptCount val="1"/>
                <c:pt idx="0">
                  <c:v>Auditado</c:v>
                </c:pt>
              </c:strCache>
            </c:strRef>
          </c:tx>
          <c:spPr>
            <a:ln w="28575" cap="rnd">
              <a:solidFill>
                <a:srgbClr val="92D050"/>
              </a:solidFill>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Anchieta!$M$132:$M$135</c:f>
              <c:numCache>
                <c:formatCode>0%</c:formatCode>
                <c:ptCount val="4"/>
                <c:pt idx="0">
                  <c:v>0.5</c:v>
                </c:pt>
                <c:pt idx="1">
                  <c:v>0.5</c:v>
                </c:pt>
                <c:pt idx="2">
                  <c:v>0.36363636363636365</c:v>
                </c:pt>
                <c:pt idx="3">
                  <c:v>0</c:v>
                </c:pt>
              </c:numCache>
            </c:numRef>
          </c:val>
          <c:extLst>
            <c:ext xmlns:c16="http://schemas.microsoft.com/office/drawing/2014/chart" uri="{C3380CC4-5D6E-409C-BE32-E72D297353CC}">
              <c16:uniqueId val="{00000001-5538-4F21-A7D9-EF4C88622769}"/>
            </c:ext>
          </c:extLst>
        </c:ser>
        <c:ser>
          <c:idx val="2"/>
          <c:order val="2"/>
          <c:tx>
            <c:strRef>
              <c:f>Anchieta!$N$131</c:f>
              <c:strCache>
                <c:ptCount val="1"/>
                <c:pt idx="0">
                  <c:v>Meta</c:v>
                </c:pt>
              </c:strCache>
            </c:strRef>
          </c:tx>
          <c:spPr>
            <a:ln w="28575" cap="rnd">
              <a:solidFill>
                <a:srgbClr val="FF0000"/>
              </a:solidFill>
              <a:prstDash val="dash"/>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Anchieta!$N$132:$N$135</c:f>
              <c:numCache>
                <c:formatCode>0%</c:formatCode>
                <c:ptCount val="4"/>
                <c:pt idx="0">
                  <c:v>1</c:v>
                </c:pt>
                <c:pt idx="1">
                  <c:v>1</c:v>
                </c:pt>
                <c:pt idx="2">
                  <c:v>1</c:v>
                </c:pt>
                <c:pt idx="3">
                  <c:v>1</c:v>
                </c:pt>
              </c:numCache>
            </c:numRef>
          </c:val>
          <c:extLst>
            <c:ext xmlns:c16="http://schemas.microsoft.com/office/drawing/2014/chart" uri="{C3380CC4-5D6E-409C-BE32-E72D297353CC}">
              <c16:uniqueId val="{00000002-5538-4F21-A7D9-EF4C88622769}"/>
            </c:ext>
          </c:extLst>
        </c:ser>
        <c:dLbls>
          <c:showLegendKey val="0"/>
          <c:showVal val="0"/>
          <c:showCatName val="0"/>
          <c:showSerName val="0"/>
          <c:showPercent val="0"/>
          <c:showBubbleSize val="0"/>
        </c:dLbls>
        <c:axId val="516001647"/>
        <c:axId val="515997807"/>
      </c:radarChart>
      <c:catAx>
        <c:axId val="5160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515997807"/>
        <c:crosses val="autoZero"/>
        <c:auto val="1"/>
        <c:lblAlgn val="ctr"/>
        <c:lblOffset val="100"/>
        <c:noMultiLvlLbl val="0"/>
      </c:catAx>
      <c:valAx>
        <c:axId val="51599780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16001647"/>
        <c:crosses val="autoZero"/>
        <c:crossBetween val="between"/>
      </c:valAx>
      <c:spPr>
        <a:noFill/>
        <a:ln>
          <a:noFill/>
        </a:ln>
        <a:effectLst/>
      </c:spPr>
    </c:plotArea>
    <c:legend>
      <c:legendPos val="t"/>
      <c:layout>
        <c:manualLayout>
          <c:xMode val="edge"/>
          <c:yMode val="edge"/>
          <c:x val="1.3805285731494884E-2"/>
          <c:y val="0.82760462942829127"/>
          <c:w val="0.19567464690859679"/>
          <c:h val="0.1533856079829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Anchieta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SPD!$A$16</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SPD!$B$16:$G$16</c15:sqref>
                  </c15:fullRef>
                </c:ext>
              </c:extLst>
              <c:f>SPD!$B$16:$F$16</c:f>
              <c:numCache>
                <c:formatCode>0%</c:formatCode>
                <c:ptCount val="5"/>
                <c:pt idx="0">
                  <c:v>0.43</c:v>
                </c:pt>
                <c:pt idx="1">
                  <c:v>0.64</c:v>
                </c:pt>
                <c:pt idx="2">
                  <c:v>0.64</c:v>
                </c:pt>
                <c:pt idx="3">
                  <c:v>0.64</c:v>
                </c:pt>
                <c:pt idx="4">
                  <c:v>0.6785714285714286</c:v>
                </c:pt>
              </c:numCache>
            </c:numRef>
          </c:val>
          <c:smooth val="0"/>
          <c:extLst>
            <c:ext xmlns:c16="http://schemas.microsoft.com/office/drawing/2014/chart" uri="{C3380CC4-5D6E-409C-BE32-E72D297353CC}">
              <c16:uniqueId val="{00000000-5782-4BF4-866D-CA5DD470060B}"/>
            </c:ext>
          </c:extLst>
        </c:ser>
        <c:ser>
          <c:idx val="1"/>
          <c:order val="1"/>
          <c:tx>
            <c:strRef>
              <c:f>SPD!$A$17</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SPD!$B$17:$G$17</c15:sqref>
                  </c15:fullRef>
                </c:ext>
              </c:extLst>
              <c:f>SPD!$B$17:$F$17</c:f>
              <c:numCache>
                <c:formatCode>0%</c:formatCode>
                <c:ptCount val="5"/>
                <c:pt idx="0">
                  <c:v>0.43</c:v>
                </c:pt>
                <c:pt idx="1">
                  <c:v>0.43</c:v>
                </c:pt>
                <c:pt idx="2">
                  <c:v>0.43</c:v>
                </c:pt>
                <c:pt idx="3">
                  <c:v>0.43</c:v>
                </c:pt>
                <c:pt idx="4">
                  <c:v>0.42857142857142855</c:v>
                </c:pt>
              </c:numCache>
            </c:numRef>
          </c:val>
          <c:smooth val="0"/>
          <c:extLst>
            <c:ext xmlns:c16="http://schemas.microsoft.com/office/drawing/2014/chart" uri="{C3380CC4-5D6E-409C-BE32-E72D297353CC}">
              <c16:uniqueId val="{00000001-5782-4BF4-866D-CA5DD470060B}"/>
            </c:ext>
          </c:extLst>
        </c:ser>
        <c:ser>
          <c:idx val="2"/>
          <c:order val="2"/>
          <c:tx>
            <c:strRef>
              <c:f>SPD!$A$18</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SPD!$B$18:$G$18</c15:sqref>
                  </c15:fullRef>
                </c:ext>
              </c:extLst>
              <c:f>SPD!$B$18:$F$18</c:f>
              <c:numCache>
                <c:formatCode>0%</c:formatCode>
                <c:ptCount val="5"/>
                <c:pt idx="0">
                  <c:v>0.46</c:v>
                </c:pt>
                <c:pt idx="1">
                  <c:v>0.77</c:v>
                </c:pt>
                <c:pt idx="2">
                  <c:v>0.77</c:v>
                </c:pt>
                <c:pt idx="3">
                  <c:v>0.76923076923076927</c:v>
                </c:pt>
                <c:pt idx="4">
                  <c:v>0.84615384615384615</c:v>
                </c:pt>
              </c:numCache>
            </c:numRef>
          </c:val>
          <c:smooth val="0"/>
          <c:extLst>
            <c:ext xmlns:c16="http://schemas.microsoft.com/office/drawing/2014/chart" uri="{C3380CC4-5D6E-409C-BE32-E72D297353CC}">
              <c16:uniqueId val="{00000002-5782-4BF4-866D-CA5DD470060B}"/>
            </c:ext>
          </c:extLst>
        </c:ser>
        <c:ser>
          <c:idx val="3"/>
          <c:order val="3"/>
          <c:tx>
            <c:strRef>
              <c:f>SPD!$A$19</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SPD!$B$19:$G$19</c15:sqref>
                  </c15:fullRef>
                </c:ext>
              </c:extLst>
              <c:f>SPD!$B$19:$F$19</c:f>
              <c:numCache>
                <c:formatCode>0%</c:formatCode>
                <c:ptCount val="5"/>
                <c:pt idx="0">
                  <c:v>0.43</c:v>
                </c:pt>
                <c:pt idx="1">
                  <c:v>0.56999999999999995</c:v>
                </c:pt>
                <c:pt idx="2">
                  <c:v>0.56999999999999995</c:v>
                </c:pt>
                <c:pt idx="3">
                  <c:v>0.5714285714285714</c:v>
                </c:pt>
                <c:pt idx="4">
                  <c:v>0.5714285714285714</c:v>
                </c:pt>
              </c:numCache>
            </c:numRef>
          </c:val>
          <c:smooth val="0"/>
          <c:extLst>
            <c:ext xmlns:c16="http://schemas.microsoft.com/office/drawing/2014/chart" uri="{C3380CC4-5D6E-409C-BE32-E72D297353CC}">
              <c16:uniqueId val="{00000003-5782-4BF4-866D-CA5DD470060B}"/>
            </c:ext>
          </c:extLst>
        </c:ser>
        <c:ser>
          <c:idx val="4"/>
          <c:order val="4"/>
          <c:tx>
            <c:strRef>
              <c:f>SPD!$A$20</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SPD!$B$1:$G$1</c15:sqref>
                  </c15:fullRef>
                </c:ext>
              </c:extLst>
              <c:f>SPD!$B$1:$F$1</c:f>
              <c:numCache>
                <c:formatCode>d\-mmm</c:formatCode>
                <c:ptCount val="5"/>
                <c:pt idx="0">
                  <c:v>46135</c:v>
                </c:pt>
                <c:pt idx="1">
                  <c:v>46142</c:v>
                </c:pt>
                <c:pt idx="2">
                  <c:v>46149</c:v>
                </c:pt>
                <c:pt idx="3">
                  <c:v>46156</c:v>
                </c:pt>
                <c:pt idx="4">
                  <c:v>46163</c:v>
                </c:pt>
              </c:numCache>
            </c:numRef>
          </c:cat>
          <c:val>
            <c:numRef>
              <c:extLst>
                <c:ext xmlns:c15="http://schemas.microsoft.com/office/drawing/2012/chart" uri="{02D57815-91ED-43cb-92C2-25804820EDAC}">
                  <c15:fullRef>
                    <c15:sqref>SPD!$B$20:$G$20</c15:sqref>
                  </c15:fullRef>
                </c:ext>
              </c:extLst>
              <c:f>SPD!$B$20:$F$20</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5782-4BF4-866D-CA5DD470060B}"/>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Anchieta!$F$15:$F$18</c:f>
              <c:strCache>
                <c:ptCount val="4"/>
                <c:pt idx="0">
                  <c:v>VA</c:v>
                </c:pt>
                <c:pt idx="1">
                  <c:v>GGF</c:v>
                </c:pt>
                <c:pt idx="2">
                  <c:v>MA</c:v>
                </c:pt>
                <c:pt idx="3">
                  <c:v>Outros</c:v>
                </c:pt>
              </c:strCache>
            </c:strRef>
          </c:cat>
          <c:val>
            <c:numRef>
              <c:f>Anchieta!$G$15:$G$18</c:f>
              <c:numCache>
                <c:formatCode>_("R$"* #,##0.00_);_("R$"* \(#,##0.00\);_("R$"* "-"??_);_(@_)</c:formatCode>
                <c:ptCount val="4"/>
                <c:pt idx="0">
                  <c:v>0</c:v>
                </c:pt>
                <c:pt idx="1">
                  <c:v>15000</c:v>
                </c:pt>
                <c:pt idx="2">
                  <c:v>447316.7095</c:v>
                </c:pt>
                <c:pt idx="3">
                  <c:v>50000</c:v>
                </c:pt>
              </c:numCache>
            </c:numRef>
          </c:val>
          <c:extLst>
            <c:ext xmlns:c16="http://schemas.microsoft.com/office/drawing/2014/chart" uri="{C3380CC4-5D6E-409C-BE32-E72D297353CC}">
              <c16:uniqueId val="{00000000-3D57-4210-BD6F-AC67A74F5102}"/>
            </c:ext>
          </c:extLst>
        </c:ser>
        <c:dLbls>
          <c:showLegendKey val="0"/>
          <c:showVal val="0"/>
          <c:showCatName val="0"/>
          <c:showSerName val="0"/>
          <c:showPercent val="0"/>
          <c:showBubbleSize val="0"/>
        </c:dLbls>
        <c:gapWidth val="182"/>
        <c:axId val="1578749424"/>
        <c:axId val="1578740304"/>
      </c:barChart>
      <c:catAx>
        <c:axId val="157874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1578740304"/>
        <c:crosses val="autoZero"/>
        <c:auto val="1"/>
        <c:lblAlgn val="ctr"/>
        <c:lblOffset val="100"/>
        <c:noMultiLvlLbl val="0"/>
      </c:catAx>
      <c:valAx>
        <c:axId val="1578740304"/>
        <c:scaling>
          <c:orientation val="minMax"/>
        </c:scaling>
        <c:delete val="1"/>
        <c:axPos val="b"/>
        <c:numFmt formatCode="_(&quot;R$&quot;* #,##0.00_);_(&quot;R$&quot;* \(#,##0.00\);_(&quot;R$&quot;* &quot;-&quot;??_);_(@_)" sourceLinked="1"/>
        <c:majorTickMark val="none"/>
        <c:minorTickMark val="none"/>
        <c:tickLblPos val="nextTo"/>
        <c:crossAx val="157874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'Compras '!$O$149</c:f>
              <c:strCache>
                <c:ptCount val="1"/>
                <c:pt idx="0">
                  <c:v>Previsto</c:v>
                </c:pt>
              </c:strCache>
            </c:strRef>
          </c:tx>
          <c:spPr>
            <a:solidFill>
              <a:schemeClr val="accent1"/>
            </a:solidFill>
            <a:ln>
              <a:noFill/>
            </a:ln>
            <a:effectLst/>
          </c:spPr>
          <c:invertIfNegative val="0"/>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'!$P$149:$AA$149</c:f>
              <c:numCache>
                <c:formatCode>_("R$"* #,##0.00_);_("R$"* \(#,##0.00\);_("R$"* "-"??_);_(@_)</c:formatCode>
                <c:ptCount val="12"/>
                <c:pt idx="0">
                  <c:v>225981.45916666664</c:v>
                </c:pt>
                <c:pt idx="1">
                  <c:v>267628.9425</c:v>
                </c:pt>
                <c:pt idx="2">
                  <c:v>327267.29750000004</c:v>
                </c:pt>
                <c:pt idx="3">
                  <c:v>367940.71416666673</c:v>
                </c:pt>
                <c:pt idx="4">
                  <c:v>377282.25416666671</c:v>
                </c:pt>
                <c:pt idx="5">
                  <c:v>598058.64833333332</c:v>
                </c:pt>
                <c:pt idx="6">
                  <c:v>729249.23166666669</c:v>
                </c:pt>
                <c:pt idx="7">
                  <c:v>743908.68916666671</c:v>
                </c:pt>
                <c:pt idx="8">
                  <c:v>771732.0842416666</c:v>
                </c:pt>
                <c:pt idx="9">
                  <c:v>875920.41757499997</c:v>
                </c:pt>
                <c:pt idx="10">
                  <c:v>917587.0842416666</c:v>
                </c:pt>
                <c:pt idx="11">
                  <c:v>1115137.0575750002</c:v>
                </c:pt>
              </c:numCache>
            </c:numRef>
          </c:val>
          <c:extLst>
            <c:ext xmlns:c16="http://schemas.microsoft.com/office/drawing/2014/chart" uri="{C3380CC4-5D6E-409C-BE32-E72D297353CC}">
              <c16:uniqueId val="{00000000-D23A-4B4B-AFA0-7A4DC37AE9CB}"/>
            </c:ext>
          </c:extLst>
        </c:ser>
        <c:ser>
          <c:idx val="1"/>
          <c:order val="1"/>
          <c:tx>
            <c:strRef>
              <c:f>'Compras '!$O$150</c:f>
              <c:strCache>
                <c:ptCount val="1"/>
                <c:pt idx="0">
                  <c:v>Real</c:v>
                </c:pt>
              </c:strCache>
            </c:strRef>
          </c:tx>
          <c:spPr>
            <a:solidFill>
              <a:srgbClr val="92D050"/>
            </a:solidFill>
            <a:ln>
              <a:noFill/>
            </a:ln>
            <a:effectLst/>
          </c:spPr>
          <c:invertIfNegative val="0"/>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'!$P$150:$AA$150</c:f>
              <c:numCache>
                <c:formatCode>_("R$"* #,##0.00_);_("R$"* \(#,##0.00\);_("R$"* "-"??_);_(@_)</c:formatCode>
                <c:ptCount val="12"/>
                <c:pt idx="0">
                  <c:v>212117.82</c:v>
                </c:pt>
                <c:pt idx="1">
                  <c:v>212475.94120944</c:v>
                </c:pt>
                <c:pt idx="2">
                  <c:v>172509.70954820001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D23A-4B4B-AFA0-7A4DC37AE9CB}"/>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'Compras '!$O$151</c:f>
              <c:strCache>
                <c:ptCount val="1"/>
                <c:pt idx="0">
                  <c:v>Q. Projetos </c:v>
                </c:pt>
              </c:strCache>
            </c:strRef>
          </c:tx>
          <c:spPr>
            <a:ln w="6350" cap="rnd">
              <a:solidFill>
                <a:srgbClr val="FF0000"/>
              </a:solidFill>
              <a:prstDash val="lgDashDot"/>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'!$P$151:$AA$151</c:f>
              <c:numCache>
                <c:formatCode>0</c:formatCode>
                <c:ptCount val="12"/>
                <c:pt idx="0">
                  <c:v>21</c:v>
                </c:pt>
                <c:pt idx="1">
                  <c:v>30</c:v>
                </c:pt>
                <c:pt idx="2">
                  <c:v>32</c:v>
                </c:pt>
                <c:pt idx="3">
                  <c:v>28</c:v>
                </c:pt>
                <c:pt idx="4">
                  <c:v>25</c:v>
                </c:pt>
                <c:pt idx="5">
                  <c:v>19</c:v>
                </c:pt>
                <c:pt idx="6">
                  <c:v>16</c:v>
                </c:pt>
                <c:pt idx="7">
                  <c:v>11</c:v>
                </c:pt>
                <c:pt idx="8">
                  <c:v>7</c:v>
                </c:pt>
                <c:pt idx="9">
                  <c:v>6</c:v>
                </c:pt>
                <c:pt idx="10">
                  <c:v>5</c:v>
                </c:pt>
                <c:pt idx="11">
                  <c:v>5</c:v>
                </c:pt>
              </c:numCache>
            </c:numRef>
          </c:val>
          <c:smooth val="0"/>
          <c:extLst>
            <c:ext xmlns:c16="http://schemas.microsoft.com/office/drawing/2014/chart" uri="{C3380CC4-5D6E-409C-BE32-E72D297353CC}">
              <c16:uniqueId val="{00000002-D23A-4B4B-AFA0-7A4DC37AE9CB}"/>
            </c:ext>
          </c:extLst>
        </c:ser>
        <c:ser>
          <c:idx val="3"/>
          <c:order val="3"/>
          <c:tx>
            <c:strRef>
              <c:f>'Compras '!$O$152</c:f>
              <c:strCache>
                <c:ptCount val="1"/>
                <c:pt idx="0">
                  <c:v>Acumulado Previsto</c:v>
                </c:pt>
              </c:strCache>
            </c:strRef>
          </c:tx>
          <c:spPr>
            <a:ln w="28575" cap="rnd">
              <a:solidFill>
                <a:srgbClr val="92D050"/>
              </a:solidFill>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'!$P$152:$AA$152</c:f>
              <c:numCache>
                <c:formatCode>_("R$"* #,##0.00_);_("R$"* \(#,##0.00\);_("R$"* "-"??_);_(@_)</c:formatCode>
                <c:ptCount val="12"/>
                <c:pt idx="0">
                  <c:v>225981.45916666664</c:v>
                </c:pt>
                <c:pt idx="1">
                  <c:v>493610.40166666661</c:v>
                </c:pt>
                <c:pt idx="2">
                  <c:v>820877.69916666672</c:v>
                </c:pt>
                <c:pt idx="3">
                  <c:v>1188818.4133333336</c:v>
                </c:pt>
                <c:pt idx="4">
                  <c:v>1566100.6675000002</c:v>
                </c:pt>
                <c:pt idx="5">
                  <c:v>2164159.3158333334</c:v>
                </c:pt>
                <c:pt idx="6">
                  <c:v>2893408.5475000003</c:v>
                </c:pt>
                <c:pt idx="7">
                  <c:v>3637317.2366666673</c:v>
                </c:pt>
                <c:pt idx="8">
                  <c:v>4409049.3209083341</c:v>
                </c:pt>
                <c:pt idx="9">
                  <c:v>5284969.738483334</c:v>
                </c:pt>
                <c:pt idx="10">
                  <c:v>6202556.8227250008</c:v>
                </c:pt>
                <c:pt idx="11">
                  <c:v>7317693.8803000012</c:v>
                </c:pt>
              </c:numCache>
            </c:numRef>
          </c:val>
          <c:smooth val="0"/>
          <c:extLst>
            <c:ext xmlns:c16="http://schemas.microsoft.com/office/drawing/2014/chart" uri="{C3380CC4-5D6E-409C-BE32-E72D297353CC}">
              <c16:uniqueId val="{00000000-FE7A-4067-8FEA-76EB29556D39}"/>
            </c:ext>
          </c:extLst>
        </c:ser>
        <c:ser>
          <c:idx val="4"/>
          <c:order val="4"/>
          <c:tx>
            <c:strRef>
              <c:f>'Compras '!$O$153</c:f>
              <c:strCache>
                <c:ptCount val="1"/>
                <c:pt idx="0">
                  <c:v>Acumulado Real</c:v>
                </c:pt>
              </c:strCache>
            </c:strRef>
          </c:tx>
          <c:spPr>
            <a:ln w="28575" cap="rnd">
              <a:solidFill>
                <a:schemeClr val="accent5"/>
              </a:solidFill>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'!$P$153:$AA$153</c:f>
              <c:numCache>
                <c:formatCode>_("R$"* #,##0.00_);_("R$"* \(#,##0.00\);_("R$"* "-"??_);_(@_)</c:formatCode>
                <c:ptCount val="12"/>
                <c:pt idx="0">
                  <c:v>212117.82</c:v>
                </c:pt>
                <c:pt idx="1">
                  <c:v>424593.76120944001</c:v>
                </c:pt>
                <c:pt idx="2">
                  <c:v>597103.47075763997</c:v>
                </c:pt>
                <c:pt idx="3">
                  <c:v>597103.47075763997</c:v>
                </c:pt>
                <c:pt idx="4">
                  <c:v>597103.47075763997</c:v>
                </c:pt>
                <c:pt idx="5">
                  <c:v>597103.47075763997</c:v>
                </c:pt>
                <c:pt idx="6">
                  <c:v>597103.47075763997</c:v>
                </c:pt>
                <c:pt idx="7">
                  <c:v>597103.47075763997</c:v>
                </c:pt>
                <c:pt idx="8">
                  <c:v>597103.47075763997</c:v>
                </c:pt>
                <c:pt idx="9">
                  <c:v>597103.47075763997</c:v>
                </c:pt>
                <c:pt idx="10">
                  <c:v>597103.47075763997</c:v>
                </c:pt>
                <c:pt idx="11">
                  <c:v>597103.47075763997</c:v>
                </c:pt>
              </c:numCache>
            </c:numRef>
          </c:val>
          <c:smooth val="0"/>
          <c:extLst>
            <c:ext xmlns:c16="http://schemas.microsoft.com/office/drawing/2014/chart" uri="{C3380CC4-5D6E-409C-BE32-E72D297353CC}">
              <c16:uniqueId val="{00000001-FE7A-4067-8FEA-76EB29556D39}"/>
            </c:ext>
          </c:extLst>
        </c:ser>
        <c:ser>
          <c:idx val="5"/>
          <c:order val="5"/>
          <c:tx>
            <c:strRef>
              <c:f>'Compras '!$O$154</c:f>
              <c:strCache>
                <c:ptCount val="1"/>
                <c:pt idx="0">
                  <c:v>Projeção da Meta</c:v>
                </c:pt>
              </c:strCache>
            </c:strRef>
          </c:tx>
          <c:spPr>
            <a:ln w="12700" cap="rnd">
              <a:solidFill>
                <a:srgbClr val="00B050"/>
              </a:solidFill>
              <a:prstDash val="sysDot"/>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'!$P$154:$AA$154</c:f>
              <c:numCache>
                <c:formatCode>_("R$"* #,##0.00_);_("R$"* \(#,##0.00\);_("R$"* "-"??_);_(@_)</c:formatCode>
                <c:ptCount val="12"/>
                <c:pt idx="0">
                  <c:v>212117.82</c:v>
                </c:pt>
                <c:pt idx="1">
                  <c:v>424593.76120944001</c:v>
                </c:pt>
                <c:pt idx="2">
                  <c:v>597103.47075763997</c:v>
                </c:pt>
                <c:pt idx="3">
                  <c:v>1308536.4184512356</c:v>
                </c:pt>
                <c:pt idx="4">
                  <c:v>2019969.3661448313</c:v>
                </c:pt>
                <c:pt idx="5">
                  <c:v>2731402.313838427</c:v>
                </c:pt>
                <c:pt idx="6">
                  <c:v>3442835.2615320226</c:v>
                </c:pt>
                <c:pt idx="7">
                  <c:v>4154268.2092256183</c:v>
                </c:pt>
                <c:pt idx="8">
                  <c:v>4865701.1569192139</c:v>
                </c:pt>
                <c:pt idx="9">
                  <c:v>5577134.1046128096</c:v>
                </c:pt>
                <c:pt idx="10">
                  <c:v>6288567.0523064053</c:v>
                </c:pt>
                <c:pt idx="11">
                  <c:v>7000000.0000000009</c:v>
                </c:pt>
              </c:numCache>
            </c:numRef>
          </c:val>
          <c:smooth val="0"/>
          <c:extLst>
            <c:ext xmlns:c16="http://schemas.microsoft.com/office/drawing/2014/chart" uri="{C3380CC4-5D6E-409C-BE32-E72D297353CC}">
              <c16:uniqueId val="{00000000-3E6A-4CA0-965D-91AF4F5445E9}"/>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2">
                <a:lumMod val="20000"/>
                <a:lumOff val="80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10686359024151"/>
          <c:y val="0"/>
          <c:w val="0.87952907065596864"/>
          <c:h val="0.91400142387048378"/>
        </c:manualLayout>
      </c:layout>
      <c:barChart>
        <c:barDir val="bar"/>
        <c:grouping val="clustered"/>
        <c:varyColors val="0"/>
        <c:ser>
          <c:idx val="0"/>
          <c:order val="0"/>
          <c:spPr>
            <a:solidFill>
              <a:schemeClr val="tx2">
                <a:lumMod val="20000"/>
                <a:lumOff val="80000"/>
              </a:schemeClr>
            </a:solidFill>
            <a:ln>
              <a:noFill/>
            </a:ln>
            <a:effectLst/>
          </c:spPr>
          <c:invertIfNegative val="0"/>
          <c:dLbls>
            <c:dLbl>
              <c:idx val="0"/>
              <c:layout>
                <c:manualLayout>
                  <c:x val="-2.0833333333333436E-2"/>
                  <c:y val="-4.629447360746573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444444444444444"/>
                      <c:h val="0.13259259259259257"/>
                    </c:manualLayout>
                  </c15:layout>
                </c:ext>
                <c:ext xmlns:c16="http://schemas.microsoft.com/office/drawing/2014/chart" uri="{C3380CC4-5D6E-409C-BE32-E72D297353CC}">
                  <c16:uniqueId val="{00000001-BF4F-4B85-9F93-C40069F47AF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'Compras '!$O$17:$O$20</c:f>
              <c:strCache>
                <c:ptCount val="4"/>
                <c:pt idx="0">
                  <c:v>VA</c:v>
                </c:pt>
                <c:pt idx="1">
                  <c:v>GGF</c:v>
                </c:pt>
                <c:pt idx="2">
                  <c:v>MA</c:v>
                </c:pt>
                <c:pt idx="3">
                  <c:v>Outros</c:v>
                </c:pt>
              </c:strCache>
            </c:strRef>
          </c:cat>
          <c:val>
            <c:numRef>
              <c:f>'Compras '!$P$17:$P$20</c:f>
              <c:numCache>
                <c:formatCode>_("R$"* #,##0.00_);_("R$"* \(#,##0.00\);_("R$"* "-"??_);_(@_)</c:formatCode>
                <c:ptCount val="4"/>
                <c:pt idx="0">
                  <c:v>4182614.05</c:v>
                </c:pt>
                <c:pt idx="1">
                  <c:v>188115.25</c:v>
                </c:pt>
                <c:pt idx="2">
                  <c:v>194320</c:v>
                </c:pt>
                <c:pt idx="3">
                  <c:v>0</c:v>
                </c:pt>
              </c:numCache>
            </c:numRef>
          </c:val>
          <c:extLst>
            <c:ext xmlns:c16="http://schemas.microsoft.com/office/drawing/2014/chart" uri="{C3380CC4-5D6E-409C-BE32-E72D297353CC}">
              <c16:uniqueId val="{00000000-BF4F-4B85-9F93-C40069F47AF6}"/>
            </c:ext>
          </c:extLst>
        </c:ser>
        <c:dLbls>
          <c:dLblPos val="outEnd"/>
          <c:showLegendKey val="0"/>
          <c:showVal val="1"/>
          <c:showCatName val="0"/>
          <c:showSerName val="0"/>
          <c:showPercent val="0"/>
          <c:showBubbleSize val="0"/>
        </c:dLbls>
        <c:gapWidth val="182"/>
        <c:axId val="1311792000"/>
        <c:axId val="1311792480"/>
      </c:barChart>
      <c:catAx>
        <c:axId val="131179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1792480"/>
        <c:crosses val="autoZero"/>
        <c:auto val="1"/>
        <c:lblAlgn val="ctr"/>
        <c:lblOffset val="100"/>
        <c:noMultiLvlLbl val="0"/>
      </c:catAx>
      <c:valAx>
        <c:axId val="1311792480"/>
        <c:scaling>
          <c:orientation val="minMax"/>
        </c:scaling>
        <c:delete val="1"/>
        <c:axPos val="b"/>
        <c:numFmt formatCode="_(&quot;R$&quot;* #,##0.00_);_(&quot;R$&quot;* \(#,##0.00\);_(&quot;R$&quot;* &quot;-&quot;??_);_(@_)" sourceLinked="1"/>
        <c:majorTickMark val="none"/>
        <c:minorTickMark val="none"/>
        <c:tickLblPos val="nextTo"/>
        <c:crossAx val="13117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Vendas!$K$85</c:f>
              <c:strCache>
                <c:ptCount val="1"/>
                <c:pt idx="0">
                  <c:v>Previsto</c:v>
                </c:pt>
              </c:strCache>
            </c:strRef>
          </c:tx>
          <c:spPr>
            <a:solidFill>
              <a:schemeClr val="accent1"/>
            </a:solidFill>
            <a:ln>
              <a:noFill/>
            </a:ln>
            <a:effectLst/>
          </c:spPr>
          <c:invertIfNegative val="0"/>
          <c:cat>
            <c:numRef>
              <c:f>Vendas!$L$84:$W$84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Vendas!$L$85:$W$85</c:f>
              <c:numCache>
                <c:formatCode>_("R$"* #,##0.00_);_("R$"* \(#,##0.00\);_("R$"* "-"??_);_(@_)</c:formatCode>
                <c:ptCount val="12"/>
                <c:pt idx="0">
                  <c:v>116666.66666666667</c:v>
                </c:pt>
                <c:pt idx="1">
                  <c:v>116666.66666666667</c:v>
                </c:pt>
                <c:pt idx="2">
                  <c:v>171222.96666666667</c:v>
                </c:pt>
                <c:pt idx="3">
                  <c:v>171222.96666666667</c:v>
                </c:pt>
                <c:pt idx="4">
                  <c:v>171222.96666666667</c:v>
                </c:pt>
                <c:pt idx="5">
                  <c:v>246532.70809523811</c:v>
                </c:pt>
                <c:pt idx="6">
                  <c:v>262532.70809523808</c:v>
                </c:pt>
                <c:pt idx="7">
                  <c:v>262532.70809523808</c:v>
                </c:pt>
                <c:pt idx="8">
                  <c:v>262532.70809523808</c:v>
                </c:pt>
                <c:pt idx="9">
                  <c:v>262532.70809523808</c:v>
                </c:pt>
                <c:pt idx="10">
                  <c:v>262532.70809523808</c:v>
                </c:pt>
                <c:pt idx="11">
                  <c:v>262532.70809523808</c:v>
                </c:pt>
              </c:numCache>
            </c:numRef>
          </c:val>
          <c:extLst>
            <c:ext xmlns:c16="http://schemas.microsoft.com/office/drawing/2014/chart" uri="{C3380CC4-5D6E-409C-BE32-E72D297353CC}">
              <c16:uniqueId val="{00000000-6802-4449-9EBD-12A3755F4333}"/>
            </c:ext>
          </c:extLst>
        </c:ser>
        <c:ser>
          <c:idx val="1"/>
          <c:order val="1"/>
          <c:tx>
            <c:strRef>
              <c:f>Vendas!$K$86</c:f>
              <c:strCache>
                <c:ptCount val="1"/>
                <c:pt idx="0">
                  <c:v>Real</c:v>
                </c:pt>
              </c:strCache>
            </c:strRef>
          </c:tx>
          <c:spPr>
            <a:solidFill>
              <a:schemeClr val="accent2"/>
            </a:solidFill>
            <a:ln>
              <a:noFill/>
            </a:ln>
            <a:effectLst/>
          </c:spPr>
          <c:invertIfNegative val="0"/>
          <c:cat>
            <c:numRef>
              <c:f>Vendas!$L$84:$W$84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Vendas!$L$86:$W$86</c:f>
              <c:numCache>
                <c:formatCode>_("R$"* #,##0.00_);_("R$"* \(#,##0.00\);_("R$"* "-"??_);_(@_)</c:formatCode>
                <c:ptCount val="12"/>
                <c:pt idx="0">
                  <c:v>350457.87</c:v>
                </c:pt>
                <c:pt idx="1">
                  <c:v>329747.52</c:v>
                </c:pt>
                <c:pt idx="2">
                  <c:v>407666.16</c:v>
                </c:pt>
                <c:pt idx="3">
                  <c:v>183255.81</c:v>
                </c:pt>
                <c:pt idx="4">
                  <c:v>144628</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802-4449-9EBD-12A3755F4333}"/>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Vendas!$K$87</c:f>
              <c:strCache>
                <c:ptCount val="1"/>
                <c:pt idx="0">
                  <c:v>Q. Projetos </c:v>
                </c:pt>
              </c:strCache>
            </c:strRef>
          </c:tx>
          <c:spPr>
            <a:ln w="28575" cap="rnd">
              <a:solidFill>
                <a:schemeClr val="accent3"/>
              </a:solidFill>
              <a:round/>
            </a:ln>
            <a:effectLst/>
          </c:spPr>
          <c:marker>
            <c:symbol val="none"/>
          </c:marker>
          <c:cat>
            <c:numRef>
              <c:f>Vendas!$L$84:$W$84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Vendas!$L$87:$W$87</c:f>
              <c:numCache>
                <c:formatCode>0</c:formatCode>
                <c:ptCount val="12"/>
                <c:pt idx="0">
                  <c:v>1</c:v>
                </c:pt>
                <c:pt idx="1">
                  <c:v>2</c:v>
                </c:pt>
                <c:pt idx="2">
                  <c:v>1</c:v>
                </c:pt>
                <c:pt idx="3">
                  <c:v>3</c:v>
                </c:pt>
                <c:pt idx="4">
                  <c:v>2</c:v>
                </c:pt>
                <c:pt idx="5">
                  <c:v>1</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6802-4449-9EBD-12A3755F4333}"/>
            </c:ext>
          </c:extLst>
        </c:ser>
        <c:ser>
          <c:idx val="3"/>
          <c:order val="3"/>
          <c:tx>
            <c:strRef>
              <c:f>Vendas!$K$88</c:f>
              <c:strCache>
                <c:ptCount val="1"/>
                <c:pt idx="0">
                  <c:v>Acumulado Previsto</c:v>
                </c:pt>
              </c:strCache>
            </c:strRef>
          </c:tx>
          <c:spPr>
            <a:ln w="28575" cap="rnd">
              <a:solidFill>
                <a:schemeClr val="accent3"/>
              </a:solidFill>
              <a:round/>
            </a:ln>
            <a:effectLst/>
          </c:spPr>
          <c:marker>
            <c:symbol val="none"/>
          </c:marker>
          <c:cat>
            <c:numRef>
              <c:f>Vendas!$L$84:$W$84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Vendas!$L$88:$W$88</c:f>
              <c:numCache>
                <c:formatCode>_("R$"* #,##0.00_);_("R$"* \(#,##0.00\);_("R$"* "-"??_);_(@_)</c:formatCode>
                <c:ptCount val="12"/>
                <c:pt idx="0">
                  <c:v>116666.66666666667</c:v>
                </c:pt>
                <c:pt idx="1">
                  <c:v>233333.33333333334</c:v>
                </c:pt>
                <c:pt idx="2">
                  <c:v>404556.30000000005</c:v>
                </c:pt>
                <c:pt idx="3">
                  <c:v>575779.26666666672</c:v>
                </c:pt>
                <c:pt idx="4">
                  <c:v>747002.2333333334</c:v>
                </c:pt>
                <c:pt idx="5">
                  <c:v>993534.94142857147</c:v>
                </c:pt>
                <c:pt idx="6">
                  <c:v>1256067.6495238096</c:v>
                </c:pt>
                <c:pt idx="7">
                  <c:v>1518600.3576190476</c:v>
                </c:pt>
                <c:pt idx="8">
                  <c:v>1781133.0657142857</c:v>
                </c:pt>
                <c:pt idx="9">
                  <c:v>2043665.7738095238</c:v>
                </c:pt>
                <c:pt idx="10">
                  <c:v>2306198.4819047619</c:v>
                </c:pt>
                <c:pt idx="11">
                  <c:v>2568731.19</c:v>
                </c:pt>
              </c:numCache>
            </c:numRef>
          </c:val>
          <c:smooth val="0"/>
          <c:extLst>
            <c:ext xmlns:c16="http://schemas.microsoft.com/office/drawing/2014/chart" uri="{C3380CC4-5D6E-409C-BE32-E72D297353CC}">
              <c16:uniqueId val="{00000000-F86C-48FA-94E1-CC6AA696E70D}"/>
            </c:ext>
          </c:extLst>
        </c:ser>
        <c:ser>
          <c:idx val="4"/>
          <c:order val="4"/>
          <c:tx>
            <c:strRef>
              <c:f>Vendas!$K$89</c:f>
              <c:strCache>
                <c:ptCount val="1"/>
                <c:pt idx="0">
                  <c:v>Acumulado Real</c:v>
                </c:pt>
              </c:strCache>
            </c:strRef>
          </c:tx>
          <c:spPr>
            <a:ln w="28575" cap="rnd">
              <a:solidFill>
                <a:schemeClr val="accent5"/>
              </a:solidFill>
              <a:round/>
            </a:ln>
            <a:effectLst/>
          </c:spPr>
          <c:marker>
            <c:symbol val="none"/>
          </c:marker>
          <c:cat>
            <c:numRef>
              <c:f>Vendas!$L$84:$W$84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Vendas!$L$89:$W$89</c:f>
              <c:numCache>
                <c:formatCode>_("R$"* #,##0.00_);_("R$"* \(#,##0.00\);_("R$"* "-"??_);_(@_)</c:formatCode>
                <c:ptCount val="12"/>
                <c:pt idx="0">
                  <c:v>350457.87</c:v>
                </c:pt>
                <c:pt idx="1">
                  <c:v>680205.39</c:v>
                </c:pt>
                <c:pt idx="2">
                  <c:v>1087871.55</c:v>
                </c:pt>
                <c:pt idx="3">
                  <c:v>1271127.3600000001</c:v>
                </c:pt>
                <c:pt idx="4">
                  <c:v>1415755.36</c:v>
                </c:pt>
                <c:pt idx="5">
                  <c:v>1415755.36</c:v>
                </c:pt>
                <c:pt idx="6">
                  <c:v>1415755.36</c:v>
                </c:pt>
                <c:pt idx="7">
                  <c:v>1415755.36</c:v>
                </c:pt>
                <c:pt idx="8">
                  <c:v>1415755.36</c:v>
                </c:pt>
                <c:pt idx="9">
                  <c:v>1415755.36</c:v>
                </c:pt>
                <c:pt idx="10">
                  <c:v>1415755.36</c:v>
                </c:pt>
                <c:pt idx="11">
                  <c:v>1415755.36</c:v>
                </c:pt>
              </c:numCache>
            </c:numRef>
          </c:val>
          <c:smooth val="0"/>
          <c:extLst>
            <c:ext xmlns:c16="http://schemas.microsoft.com/office/drawing/2014/chart" uri="{C3380CC4-5D6E-409C-BE32-E72D297353CC}">
              <c16:uniqueId val="{00000001-F86C-48FA-94E1-CC6AA696E70D}"/>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'Compras '!$O$149</c:f>
              <c:strCache>
                <c:ptCount val="1"/>
                <c:pt idx="0">
                  <c:v>Previsto</c:v>
                </c:pt>
              </c:strCache>
            </c:strRef>
          </c:tx>
          <c:spPr>
            <a:solidFill>
              <a:schemeClr val="accent1"/>
            </a:solidFill>
            <a:ln>
              <a:noFill/>
            </a:ln>
            <a:effectLst/>
          </c:spPr>
          <c:invertIfNegative val="0"/>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'!$P$149:$AA$149</c:f>
              <c:numCache>
                <c:formatCode>_("R$"* #,##0.00_);_("R$"* \(#,##0.00\);_("R$"* "-"??_);_(@_)</c:formatCode>
                <c:ptCount val="12"/>
                <c:pt idx="0">
                  <c:v>225981.45916666664</c:v>
                </c:pt>
                <c:pt idx="1">
                  <c:v>267628.9425</c:v>
                </c:pt>
                <c:pt idx="2">
                  <c:v>327267.29750000004</c:v>
                </c:pt>
                <c:pt idx="3">
                  <c:v>367940.71416666673</c:v>
                </c:pt>
                <c:pt idx="4">
                  <c:v>377282.25416666671</c:v>
                </c:pt>
                <c:pt idx="5">
                  <c:v>598058.64833333332</c:v>
                </c:pt>
                <c:pt idx="6">
                  <c:v>729249.23166666669</c:v>
                </c:pt>
                <c:pt idx="7">
                  <c:v>743908.68916666671</c:v>
                </c:pt>
                <c:pt idx="8">
                  <c:v>771732.0842416666</c:v>
                </c:pt>
                <c:pt idx="9">
                  <c:v>875920.41757499997</c:v>
                </c:pt>
                <c:pt idx="10">
                  <c:v>917587.0842416666</c:v>
                </c:pt>
                <c:pt idx="11">
                  <c:v>1115137.0575750002</c:v>
                </c:pt>
              </c:numCache>
            </c:numRef>
          </c:val>
          <c:extLst>
            <c:ext xmlns:c16="http://schemas.microsoft.com/office/drawing/2014/chart" uri="{C3380CC4-5D6E-409C-BE32-E72D297353CC}">
              <c16:uniqueId val="{00000000-C853-4AEA-8B7F-0585911B7312}"/>
            </c:ext>
          </c:extLst>
        </c:ser>
        <c:ser>
          <c:idx val="1"/>
          <c:order val="1"/>
          <c:tx>
            <c:strRef>
              <c:f>'Compras '!$O$150</c:f>
              <c:strCache>
                <c:ptCount val="1"/>
                <c:pt idx="0">
                  <c:v>Real</c:v>
                </c:pt>
              </c:strCache>
            </c:strRef>
          </c:tx>
          <c:spPr>
            <a:solidFill>
              <a:srgbClr val="92D050"/>
            </a:solidFill>
            <a:ln>
              <a:noFill/>
            </a:ln>
            <a:effectLst/>
          </c:spPr>
          <c:invertIfNegative val="0"/>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'!$P$150:$AA$150</c:f>
              <c:numCache>
                <c:formatCode>_("R$"* #,##0.00_);_("R$"* \(#,##0.00\);_("R$"* "-"??_);_(@_)</c:formatCode>
                <c:ptCount val="12"/>
                <c:pt idx="0">
                  <c:v>212117.82</c:v>
                </c:pt>
                <c:pt idx="1">
                  <c:v>212475.94120944</c:v>
                </c:pt>
                <c:pt idx="2">
                  <c:v>172509.70954820001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853-4AEA-8B7F-0585911B7312}"/>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'Compras '!$O$151</c:f>
              <c:strCache>
                <c:ptCount val="1"/>
                <c:pt idx="0">
                  <c:v>Q. Projetos </c:v>
                </c:pt>
              </c:strCache>
            </c:strRef>
          </c:tx>
          <c:spPr>
            <a:ln w="6350" cap="rnd">
              <a:solidFill>
                <a:srgbClr val="FF0000"/>
              </a:solidFill>
              <a:prstDash val="lgDashDot"/>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'!$P$151:$AA$151</c:f>
              <c:numCache>
                <c:formatCode>0</c:formatCode>
                <c:ptCount val="12"/>
                <c:pt idx="0">
                  <c:v>21</c:v>
                </c:pt>
                <c:pt idx="1">
                  <c:v>30</c:v>
                </c:pt>
                <c:pt idx="2">
                  <c:v>32</c:v>
                </c:pt>
                <c:pt idx="3">
                  <c:v>28</c:v>
                </c:pt>
                <c:pt idx="4">
                  <c:v>25</c:v>
                </c:pt>
                <c:pt idx="5">
                  <c:v>19</c:v>
                </c:pt>
                <c:pt idx="6">
                  <c:v>16</c:v>
                </c:pt>
                <c:pt idx="7">
                  <c:v>11</c:v>
                </c:pt>
                <c:pt idx="8">
                  <c:v>7</c:v>
                </c:pt>
                <c:pt idx="9">
                  <c:v>6</c:v>
                </c:pt>
                <c:pt idx="10">
                  <c:v>5</c:v>
                </c:pt>
                <c:pt idx="11">
                  <c:v>5</c:v>
                </c:pt>
              </c:numCache>
            </c:numRef>
          </c:val>
          <c:smooth val="0"/>
          <c:extLst>
            <c:ext xmlns:c16="http://schemas.microsoft.com/office/drawing/2014/chart" uri="{C3380CC4-5D6E-409C-BE32-E72D297353CC}">
              <c16:uniqueId val="{00000002-C853-4AEA-8B7F-0585911B7312}"/>
            </c:ext>
          </c:extLst>
        </c:ser>
        <c:ser>
          <c:idx val="3"/>
          <c:order val="3"/>
          <c:tx>
            <c:strRef>
              <c:f>'Compras '!$O$152</c:f>
              <c:strCache>
                <c:ptCount val="1"/>
                <c:pt idx="0">
                  <c:v>Acumulado Previsto</c:v>
                </c:pt>
              </c:strCache>
            </c:strRef>
          </c:tx>
          <c:spPr>
            <a:ln w="28575" cap="rnd">
              <a:solidFill>
                <a:srgbClr val="92D050"/>
              </a:solidFill>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'!$P$152:$AA$152</c:f>
              <c:numCache>
                <c:formatCode>_("R$"* #,##0.00_);_("R$"* \(#,##0.00\);_("R$"* "-"??_);_(@_)</c:formatCode>
                <c:ptCount val="12"/>
                <c:pt idx="0">
                  <c:v>225981.45916666664</c:v>
                </c:pt>
                <c:pt idx="1">
                  <c:v>493610.40166666661</c:v>
                </c:pt>
                <c:pt idx="2">
                  <c:v>820877.69916666672</c:v>
                </c:pt>
                <c:pt idx="3">
                  <c:v>1188818.4133333336</c:v>
                </c:pt>
                <c:pt idx="4">
                  <c:v>1566100.6675000002</c:v>
                </c:pt>
                <c:pt idx="5">
                  <c:v>2164159.3158333334</c:v>
                </c:pt>
                <c:pt idx="6">
                  <c:v>2893408.5475000003</c:v>
                </c:pt>
                <c:pt idx="7">
                  <c:v>3637317.2366666673</c:v>
                </c:pt>
                <c:pt idx="8">
                  <c:v>4409049.3209083341</c:v>
                </c:pt>
                <c:pt idx="9">
                  <c:v>5284969.738483334</c:v>
                </c:pt>
                <c:pt idx="10">
                  <c:v>6202556.8227250008</c:v>
                </c:pt>
                <c:pt idx="11">
                  <c:v>7317693.8803000012</c:v>
                </c:pt>
              </c:numCache>
            </c:numRef>
          </c:val>
          <c:smooth val="0"/>
          <c:extLst>
            <c:ext xmlns:c16="http://schemas.microsoft.com/office/drawing/2014/chart" uri="{C3380CC4-5D6E-409C-BE32-E72D297353CC}">
              <c16:uniqueId val="{00000003-C853-4AEA-8B7F-0585911B7312}"/>
            </c:ext>
          </c:extLst>
        </c:ser>
        <c:ser>
          <c:idx val="4"/>
          <c:order val="4"/>
          <c:tx>
            <c:strRef>
              <c:f>'Compras '!$O$153</c:f>
              <c:strCache>
                <c:ptCount val="1"/>
                <c:pt idx="0">
                  <c:v>Acumulado Real</c:v>
                </c:pt>
              </c:strCache>
            </c:strRef>
          </c:tx>
          <c:spPr>
            <a:ln w="28575" cap="rnd">
              <a:solidFill>
                <a:schemeClr val="accent5"/>
              </a:solidFill>
              <a:round/>
            </a:ln>
            <a:effectLst/>
          </c:spPr>
          <c:marker>
            <c:symbol val="none"/>
          </c:marker>
          <c:cat>
            <c:numRef>
              <c:f>'Compras '!$P$148:$AA$148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'!$P$153:$AA$153</c:f>
              <c:numCache>
                <c:formatCode>_("R$"* #,##0.00_);_("R$"* \(#,##0.00\);_("R$"* "-"??_);_(@_)</c:formatCode>
                <c:ptCount val="12"/>
                <c:pt idx="0">
                  <c:v>212117.82</c:v>
                </c:pt>
                <c:pt idx="1">
                  <c:v>424593.76120944001</c:v>
                </c:pt>
                <c:pt idx="2">
                  <c:v>597103.47075763997</c:v>
                </c:pt>
                <c:pt idx="3">
                  <c:v>597103.47075763997</c:v>
                </c:pt>
                <c:pt idx="4">
                  <c:v>597103.47075763997</c:v>
                </c:pt>
                <c:pt idx="5">
                  <c:v>597103.47075763997</c:v>
                </c:pt>
                <c:pt idx="6">
                  <c:v>597103.47075763997</c:v>
                </c:pt>
                <c:pt idx="7">
                  <c:v>597103.47075763997</c:v>
                </c:pt>
                <c:pt idx="8">
                  <c:v>597103.47075763997</c:v>
                </c:pt>
                <c:pt idx="9">
                  <c:v>597103.47075763997</c:v>
                </c:pt>
                <c:pt idx="10">
                  <c:v>597103.47075763997</c:v>
                </c:pt>
                <c:pt idx="11">
                  <c:v>597103.47075763997</c:v>
                </c:pt>
              </c:numCache>
            </c:numRef>
          </c:val>
          <c:smooth val="0"/>
          <c:extLst>
            <c:ext xmlns:c16="http://schemas.microsoft.com/office/drawing/2014/chart" uri="{C3380CC4-5D6E-409C-BE32-E72D297353CC}">
              <c16:uniqueId val="{00000004-C853-4AEA-8B7F-0585911B7312}"/>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2">
                <a:lumMod val="20000"/>
                <a:lumOff val="80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Corporativo!$K$71</c:f>
              <c:strCache>
                <c:ptCount val="1"/>
                <c:pt idx="0">
                  <c:v>Previsto</c:v>
                </c:pt>
              </c:strCache>
            </c:strRef>
          </c:tx>
          <c:spPr>
            <a:solidFill>
              <a:schemeClr val="accent1"/>
            </a:solidFill>
            <a:ln>
              <a:noFill/>
            </a:ln>
            <a:effectLst/>
          </c:spPr>
          <c:invertIfNegative val="0"/>
          <c:cat>
            <c:numRef>
              <c:f>Corporativo!$L$70:$W$70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Corporativo!$L$71:$W$71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E4A-4D39-AACE-CA353B2413FB}"/>
            </c:ext>
          </c:extLst>
        </c:ser>
        <c:ser>
          <c:idx val="1"/>
          <c:order val="1"/>
          <c:tx>
            <c:strRef>
              <c:f>Corporativo!$K$72</c:f>
              <c:strCache>
                <c:ptCount val="1"/>
                <c:pt idx="0">
                  <c:v>Real</c:v>
                </c:pt>
              </c:strCache>
            </c:strRef>
          </c:tx>
          <c:spPr>
            <a:solidFill>
              <a:schemeClr val="accent2"/>
            </a:solidFill>
            <a:ln>
              <a:noFill/>
            </a:ln>
            <a:effectLst/>
          </c:spPr>
          <c:invertIfNegative val="0"/>
          <c:cat>
            <c:numRef>
              <c:f>Corporativo!$L$70:$W$70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Corporativo!$L$72:$W$72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E4A-4D39-AACE-CA353B2413FB}"/>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Corporativo!$K$73</c:f>
              <c:strCache>
                <c:ptCount val="1"/>
                <c:pt idx="0">
                  <c:v>Q. Projetos </c:v>
                </c:pt>
              </c:strCache>
            </c:strRef>
          </c:tx>
          <c:spPr>
            <a:ln w="28575" cap="rnd">
              <a:solidFill>
                <a:schemeClr val="accent3"/>
              </a:solidFill>
              <a:round/>
            </a:ln>
            <a:effectLst/>
          </c:spPr>
          <c:marker>
            <c:symbol val="none"/>
          </c:marker>
          <c:cat>
            <c:numRef>
              <c:f>Corporativo!$L$70:$W$70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Corporativo!$L$73:$W$73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E4A-4D39-AACE-CA353B2413FB}"/>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checked="Checked"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checked="Checked"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checked="Checked"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checked="Checked"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checked="Checked"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checked="Checked" lockText="1" noThreeD="1"/>
</file>

<file path=xl/ctrlProps/ctrlProp86.xml><?xml version="1.0" encoding="utf-8"?>
<formControlPr xmlns="http://schemas.microsoft.com/office/spreadsheetml/2009/9/main" objectType="CheckBox" checked="Checked" lockText="1" noThreeD="1"/>
</file>

<file path=xl/ctrlProps/ctrlProp87.xml><?xml version="1.0" encoding="utf-8"?>
<formControlPr xmlns="http://schemas.microsoft.com/office/spreadsheetml/2009/9/main" objectType="CheckBox" checked="Checked"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checked="Checked"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checked="Checked" lockText="1" noThreeD="1"/>
</file>

<file path=xl/ctrlProps/ctrlProp99.xml><?xml version="1.0" encoding="utf-8"?>
<formControlPr xmlns="http://schemas.microsoft.com/office/spreadsheetml/2009/9/main" objectType="CheckBox" checked="Checked"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checked="Checked"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checked="Checked" lockText="1" noThreeD="1"/>
</file>

<file path=xl/ctrlProps/ctrlProp107.xml><?xml version="1.0" encoding="utf-8"?>
<formControlPr xmlns="http://schemas.microsoft.com/office/spreadsheetml/2009/9/main" objectType="CheckBox" checked="Checked" lockText="1" noThreeD="1"/>
</file>

<file path=xl/ctrlProps/ctrlProp108.xml><?xml version="1.0" encoding="utf-8"?>
<formControlPr xmlns="http://schemas.microsoft.com/office/spreadsheetml/2009/9/main" objectType="CheckBox" checked="Checked"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checked="Checked" lockText="1" noThreeD="1"/>
</file>

<file path=xl/ctrlProps/ctrlProp112.xml><?xml version="1.0" encoding="utf-8"?>
<formControlPr xmlns="http://schemas.microsoft.com/office/spreadsheetml/2009/9/main" objectType="CheckBox" checked="Checked"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checked="Checked" lockText="1" noThreeD="1"/>
</file>

<file path=xl/ctrlProps/ctrlProp115.xml><?xml version="1.0" encoding="utf-8"?>
<formControlPr xmlns="http://schemas.microsoft.com/office/spreadsheetml/2009/9/main" objectType="CheckBox" checked="Checked"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checked="Checked"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checked="Checked"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checked="Checked" lockText="1" noThreeD="1"/>
</file>

<file path=xl/ctrlProps/ctrlProp124.xml><?xml version="1.0" encoding="utf-8"?>
<formControlPr xmlns="http://schemas.microsoft.com/office/spreadsheetml/2009/9/main" objectType="CheckBox" checked="Checked"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checked="Checked" lockText="1" noThreeD="1"/>
</file>

<file path=xl/ctrlProps/ctrlProp127.xml><?xml version="1.0" encoding="utf-8"?>
<formControlPr xmlns="http://schemas.microsoft.com/office/spreadsheetml/2009/9/main" objectType="CheckBox" checked="Checked"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checked="Checked"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checked="Checked" lockText="1" noThreeD="1"/>
</file>

<file path=xl/ctrlProps/ctrlProp134.xml><?xml version="1.0" encoding="utf-8"?>
<formControlPr xmlns="http://schemas.microsoft.com/office/spreadsheetml/2009/9/main" objectType="CheckBox" checked="Checked"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checked="Checked"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checked="Checked" lockText="1" noThreeD="1"/>
</file>

<file path=xl/ctrlProps/ctrlProp142.xml><?xml version="1.0" encoding="utf-8"?>
<formControlPr xmlns="http://schemas.microsoft.com/office/spreadsheetml/2009/9/main" objectType="CheckBox" checked="Checked" lockText="1" noThreeD="1"/>
</file>

<file path=xl/ctrlProps/ctrlProp143.xml><?xml version="1.0" encoding="utf-8"?>
<formControlPr xmlns="http://schemas.microsoft.com/office/spreadsheetml/2009/9/main" objectType="CheckBox" checked="Checked"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checked="Checked" lockText="1" noThreeD="1"/>
</file>

<file path=xl/ctrlProps/ctrlProp146.xml><?xml version="1.0" encoding="utf-8"?>
<formControlPr xmlns="http://schemas.microsoft.com/office/spreadsheetml/2009/9/main" objectType="CheckBox" checked="Checked" lockText="1" noThreeD="1"/>
</file>

<file path=xl/ctrlProps/ctrlProp147.xml><?xml version="1.0" encoding="utf-8"?>
<formControlPr xmlns="http://schemas.microsoft.com/office/spreadsheetml/2009/9/main" objectType="CheckBox" checked="Checked"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checked="Checked" lockText="1" noThreeD="1"/>
</file>

<file path=xl/ctrlProps/ctrlProp150.xml><?xml version="1.0" encoding="utf-8"?>
<formControlPr xmlns="http://schemas.microsoft.com/office/spreadsheetml/2009/9/main" objectType="CheckBox" checked="Checked" lockText="1" noThreeD="1"/>
</file>

<file path=xl/ctrlProps/ctrlProp151.xml><?xml version="1.0" encoding="utf-8"?>
<formControlPr xmlns="http://schemas.microsoft.com/office/spreadsheetml/2009/9/main" objectType="CheckBox" checked="Checked"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checked="Checked" lockText="1" noThreeD="1"/>
</file>

<file path=xl/ctrlProps/ctrlProp158.xml><?xml version="1.0" encoding="utf-8"?>
<formControlPr xmlns="http://schemas.microsoft.com/office/spreadsheetml/2009/9/main" objectType="CheckBox" checked="Checked" lockText="1" noThreeD="1"/>
</file>

<file path=xl/ctrlProps/ctrlProp159.xml><?xml version="1.0" encoding="utf-8"?>
<formControlPr xmlns="http://schemas.microsoft.com/office/spreadsheetml/2009/9/main" objectType="CheckBox" checked="Checked"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checked="Checked"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checked="Checked"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checked="Checked" lockText="1" noThreeD="1"/>
</file>

<file path=xl/ctrlProps/ctrlProp178.xml><?xml version="1.0" encoding="utf-8"?>
<formControlPr xmlns="http://schemas.microsoft.com/office/spreadsheetml/2009/9/main" objectType="CheckBox" checked="Checked" lockText="1" noThreeD="1"/>
</file>

<file path=xl/ctrlProps/ctrlProp179.xml><?xml version="1.0" encoding="utf-8"?>
<formControlPr xmlns="http://schemas.microsoft.com/office/spreadsheetml/2009/9/main" objectType="CheckBox" checked="Checked" lockText="1" noThreeD="1"/>
</file>

<file path=xl/ctrlProps/ctrlProp180.xml><?xml version="1.0" encoding="utf-8"?>
<formControlPr xmlns="http://schemas.microsoft.com/office/spreadsheetml/2009/9/main" objectType="CheckBox" checked="Checked" lockText="1" noThreeD="1"/>
</file>

<file path=xl/ctrlProps/ctrlProp181.xml><?xml version="1.0" encoding="utf-8"?>
<formControlPr xmlns="http://schemas.microsoft.com/office/spreadsheetml/2009/9/main" objectType="CheckBox" checked="Checked" lockText="1" noThreeD="1"/>
</file>

<file path=xl/ctrlProps/ctrlProp182.xml><?xml version="1.0" encoding="utf-8"?>
<formControlPr xmlns="http://schemas.microsoft.com/office/spreadsheetml/2009/9/main" objectType="CheckBox" checked="Checked"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checked="Checked" lockText="1" noThreeD="1"/>
</file>

<file path=xl/ctrlProps/ctrlProp185.xml><?xml version="1.0" encoding="utf-8"?>
<formControlPr xmlns="http://schemas.microsoft.com/office/spreadsheetml/2009/9/main" objectType="CheckBox" checked="Checked"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checked="Checked"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checked="Checked" lockText="1" noThreeD="1"/>
</file>

<file path=xl/ctrlProps/ctrlProp191.xml><?xml version="1.0" encoding="utf-8"?>
<formControlPr xmlns="http://schemas.microsoft.com/office/spreadsheetml/2009/9/main" objectType="CheckBox" checked="Checked" lockText="1" noThreeD="1"/>
</file>

<file path=xl/ctrlProps/ctrlProp192.xml><?xml version="1.0" encoding="utf-8"?>
<formControlPr xmlns="http://schemas.microsoft.com/office/spreadsheetml/2009/9/main" objectType="CheckBox" checked="Checked" lockText="1" noThreeD="1"/>
</file>

<file path=xl/ctrlProps/ctrlProp193.xml><?xml version="1.0" encoding="utf-8"?>
<formControlPr xmlns="http://schemas.microsoft.com/office/spreadsheetml/2009/9/main" objectType="CheckBox" checked="Checked" lockText="1" noThreeD="1"/>
</file>

<file path=xl/ctrlProps/ctrlProp194.xml><?xml version="1.0" encoding="utf-8"?>
<formControlPr xmlns="http://schemas.microsoft.com/office/spreadsheetml/2009/9/main" objectType="CheckBox" checked="Checked" lockText="1" noThreeD="1"/>
</file>

<file path=xl/ctrlProps/ctrlProp195.xml><?xml version="1.0" encoding="utf-8"?>
<formControlPr xmlns="http://schemas.microsoft.com/office/spreadsheetml/2009/9/main" objectType="CheckBox" checked="Checked"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checked="Checked"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checked="Checked" lockText="1" noThreeD="1"/>
</file>

<file path=xl/ctrlProps/ctrlProp210.xml><?xml version="1.0" encoding="utf-8"?>
<formControlPr xmlns="http://schemas.microsoft.com/office/spreadsheetml/2009/9/main" objectType="CheckBox" checked="Checked" lockText="1" noThreeD="1"/>
</file>

<file path=xl/ctrlProps/ctrlProp211.xml><?xml version="1.0" encoding="utf-8"?>
<formControlPr xmlns="http://schemas.microsoft.com/office/spreadsheetml/2009/9/main" objectType="CheckBox" checked="Checked" lockText="1" noThreeD="1"/>
</file>

<file path=xl/ctrlProps/ctrlProp212.xml><?xml version="1.0" encoding="utf-8"?>
<formControlPr xmlns="http://schemas.microsoft.com/office/spreadsheetml/2009/9/main" objectType="CheckBox" checked="Checked" lockText="1" noThreeD="1"/>
</file>

<file path=xl/ctrlProps/ctrlProp213.xml><?xml version="1.0" encoding="utf-8"?>
<formControlPr xmlns="http://schemas.microsoft.com/office/spreadsheetml/2009/9/main" objectType="CheckBox" checked="Checked" lockText="1" noThreeD="1"/>
</file>

<file path=xl/ctrlProps/ctrlProp214.xml><?xml version="1.0" encoding="utf-8"?>
<formControlPr xmlns="http://schemas.microsoft.com/office/spreadsheetml/2009/9/main" objectType="CheckBox" checked="Checked" lockText="1" noThreeD="1"/>
</file>

<file path=xl/ctrlProps/ctrlProp215.xml><?xml version="1.0" encoding="utf-8"?>
<formControlPr xmlns="http://schemas.microsoft.com/office/spreadsheetml/2009/9/main" objectType="CheckBox" checked="Checked"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checked="Checked" lockText="1" noThreeD="1"/>
</file>

<file path=xl/ctrlProps/ctrlProp218.xml><?xml version="1.0" encoding="utf-8"?>
<formControlPr xmlns="http://schemas.microsoft.com/office/spreadsheetml/2009/9/main" objectType="CheckBox" checked="Checked" lockText="1" noThreeD="1"/>
</file>

<file path=xl/ctrlProps/ctrlProp219.xml><?xml version="1.0" encoding="utf-8"?>
<formControlPr xmlns="http://schemas.microsoft.com/office/spreadsheetml/2009/9/main" objectType="CheckBox" checked="Checked"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checked="Checked"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checked="Checked"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checked="Checked"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checked="Checked"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checked="Checked"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checked="Checked" lockText="1" noThreeD="1"/>
</file>

<file path=xl/ctrlProps/ctrlProp241.xml><?xml version="1.0" encoding="utf-8"?>
<formControlPr xmlns="http://schemas.microsoft.com/office/spreadsheetml/2009/9/main" objectType="CheckBox" checked="Checked" lockText="1" noThreeD="1"/>
</file>

<file path=xl/ctrlProps/ctrlProp242.xml><?xml version="1.0" encoding="utf-8"?>
<formControlPr xmlns="http://schemas.microsoft.com/office/spreadsheetml/2009/9/main" objectType="CheckBox" checked="Checked" lockText="1" noThreeD="1"/>
</file>

<file path=xl/ctrlProps/ctrlProp243.xml><?xml version="1.0" encoding="utf-8"?>
<formControlPr xmlns="http://schemas.microsoft.com/office/spreadsheetml/2009/9/main" objectType="CheckBox" checked="Checked" lockText="1" noThreeD="1"/>
</file>

<file path=xl/ctrlProps/ctrlProp244.xml><?xml version="1.0" encoding="utf-8"?>
<formControlPr xmlns="http://schemas.microsoft.com/office/spreadsheetml/2009/9/main" objectType="CheckBox" checked="Checked"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checked="Checked"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checked="Checked" lockText="1" noThreeD="1"/>
</file>

<file path=xl/ctrlProps/ctrlProp252.xml><?xml version="1.0" encoding="utf-8"?>
<formControlPr xmlns="http://schemas.microsoft.com/office/spreadsheetml/2009/9/main" objectType="CheckBox" checked="Checked"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checked="Checked" lockText="1" noThreeD="1"/>
</file>

<file path=xl/ctrlProps/ctrlProp255.xml><?xml version="1.0" encoding="utf-8"?>
<formControlPr xmlns="http://schemas.microsoft.com/office/spreadsheetml/2009/9/main" objectType="CheckBox" checked="Checked"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checked="Checked" lockText="1" noThreeD="1"/>
</file>

<file path=xl/ctrlProps/ctrlProp262.xml><?xml version="1.0" encoding="utf-8"?>
<formControlPr xmlns="http://schemas.microsoft.com/office/spreadsheetml/2009/9/main" objectType="CheckBox" checked="Checked"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checked="Checked"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checked="Checked"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checked="Checked"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checked="Checked"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checked="Checked" lockText="1" noThreeD="1"/>
</file>

<file path=xl/ctrlProps/ctrlProp282.xml><?xml version="1.0" encoding="utf-8"?>
<formControlPr xmlns="http://schemas.microsoft.com/office/spreadsheetml/2009/9/main" objectType="CheckBox" checked="Checked" lockText="1" noThreeD="1"/>
</file>

<file path=xl/ctrlProps/ctrlProp283.xml><?xml version="1.0" encoding="utf-8"?>
<formControlPr xmlns="http://schemas.microsoft.com/office/spreadsheetml/2009/9/main" objectType="CheckBox" checked="Checked" lockText="1" noThreeD="1"/>
</file>

<file path=xl/ctrlProps/ctrlProp284.xml><?xml version="1.0" encoding="utf-8"?>
<formControlPr xmlns="http://schemas.microsoft.com/office/spreadsheetml/2009/9/main" objectType="CheckBox" checked="Checked"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checked="Checked" lockText="1" noThreeD="1"/>
</file>

<file path=xl/ctrlProps/ctrlProp288.xml><?xml version="1.0" encoding="utf-8"?>
<formControlPr xmlns="http://schemas.microsoft.com/office/spreadsheetml/2009/9/main" objectType="CheckBox" checked="Checked" lockText="1" noThreeD="1"/>
</file>

<file path=xl/ctrlProps/ctrlProp289.xml><?xml version="1.0" encoding="utf-8"?>
<formControlPr xmlns="http://schemas.microsoft.com/office/spreadsheetml/2009/9/main" objectType="CheckBox" checked="Checked" lockText="1" noThreeD="1"/>
</file>

<file path=xl/ctrlProps/ctrlProp290.xml><?xml version="1.0" encoding="utf-8"?>
<formControlPr xmlns="http://schemas.microsoft.com/office/spreadsheetml/2009/9/main" objectType="CheckBox" checked="Checked" lockText="1" noThreeD="1"/>
</file>

<file path=xl/ctrlProps/ctrlProp291.xml><?xml version="1.0" encoding="utf-8"?>
<formControlPr xmlns="http://schemas.microsoft.com/office/spreadsheetml/2009/9/main" objectType="CheckBox" checked="Checked" lockText="1" noThreeD="1"/>
</file>

<file path=xl/ctrlProps/ctrlProp292.xml><?xml version="1.0" encoding="utf-8"?>
<formControlPr xmlns="http://schemas.microsoft.com/office/spreadsheetml/2009/9/main" objectType="CheckBox" checked="Checked" lockText="1" noThreeD="1"/>
</file>

<file path=xl/ctrlProps/ctrlProp293.xml><?xml version="1.0" encoding="utf-8"?>
<formControlPr xmlns="http://schemas.microsoft.com/office/spreadsheetml/2009/9/main" objectType="CheckBox" checked="Checked"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checked="Checked"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checked="Checked" lockText="1" noThreeD="1"/>
</file>

<file path=xl/ctrlProps/ctrlProp303.xml><?xml version="1.0" encoding="utf-8"?>
<formControlPr xmlns="http://schemas.microsoft.com/office/spreadsheetml/2009/9/main" objectType="CheckBox" checked="Checked"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checked="Checked" lockText="1" noThreeD="1"/>
</file>

<file path=xl/ctrlProps/ctrlProp307.xml><?xml version="1.0" encoding="utf-8"?>
<formControlPr xmlns="http://schemas.microsoft.com/office/spreadsheetml/2009/9/main" objectType="CheckBox" checked="Checked" lockText="1" noThreeD="1"/>
</file>

<file path=xl/ctrlProps/ctrlProp308.xml><?xml version="1.0" encoding="utf-8"?>
<formControlPr xmlns="http://schemas.microsoft.com/office/spreadsheetml/2009/9/main" objectType="CheckBox" checked="Checked" lockText="1" noThreeD="1"/>
</file>

<file path=xl/ctrlProps/ctrlProp309.xml><?xml version="1.0" encoding="utf-8"?>
<formControlPr xmlns="http://schemas.microsoft.com/office/spreadsheetml/2009/9/main" objectType="CheckBox" checked="Checked"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checked="Checked" lockText="1" noThreeD="1"/>
</file>

<file path=xl/ctrlProps/ctrlProp315.xml><?xml version="1.0" encoding="utf-8"?>
<formControlPr xmlns="http://schemas.microsoft.com/office/spreadsheetml/2009/9/main" objectType="CheckBox" checked="Checked"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checked="Checked" lockText="1" noThreeD="1"/>
</file>

<file path=xl/ctrlProps/ctrlProp330.xml><?xml version="1.0" encoding="utf-8"?>
<formControlPr xmlns="http://schemas.microsoft.com/office/spreadsheetml/2009/9/main" objectType="CheckBox" checked="Checked" lockText="1" noThreeD="1"/>
</file>

<file path=xl/ctrlProps/ctrlProp331.xml><?xml version="1.0" encoding="utf-8"?>
<formControlPr xmlns="http://schemas.microsoft.com/office/spreadsheetml/2009/9/main" objectType="CheckBox" checked="Checked" lockText="1" noThreeD="1"/>
</file>

<file path=xl/ctrlProps/ctrlProp332.xml><?xml version="1.0" encoding="utf-8"?>
<formControlPr xmlns="http://schemas.microsoft.com/office/spreadsheetml/2009/9/main" objectType="CheckBox" checked="Checked" lockText="1" noThreeD="1"/>
</file>

<file path=xl/ctrlProps/ctrlProp333.xml><?xml version="1.0" encoding="utf-8"?>
<formControlPr xmlns="http://schemas.microsoft.com/office/spreadsheetml/2009/9/main" objectType="CheckBox" checked="Checked" lockText="1" noThreeD="1"/>
</file>

<file path=xl/ctrlProps/ctrlProp334.xml><?xml version="1.0" encoding="utf-8"?>
<formControlPr xmlns="http://schemas.microsoft.com/office/spreadsheetml/2009/9/main" objectType="CheckBox" checked="Checked" lockText="1" noThreeD="1"/>
</file>

<file path=xl/ctrlProps/ctrlProp335.xml><?xml version="1.0" encoding="utf-8"?>
<formControlPr xmlns="http://schemas.microsoft.com/office/spreadsheetml/2009/9/main" objectType="CheckBox" checked="Checked" lockText="1" noThreeD="1"/>
</file>

<file path=xl/ctrlProps/ctrlProp336.xml><?xml version="1.0" encoding="utf-8"?>
<formControlPr xmlns="http://schemas.microsoft.com/office/spreadsheetml/2009/9/main" objectType="CheckBox" checked="Checked" lockText="1" noThreeD="1"/>
</file>

<file path=xl/ctrlProps/ctrlProp337.xml><?xml version="1.0" encoding="utf-8"?>
<formControlPr xmlns="http://schemas.microsoft.com/office/spreadsheetml/2009/9/main" objectType="CheckBox" checked="Checked" lockText="1" noThreeD="1"/>
</file>

<file path=xl/ctrlProps/ctrlProp338.xml><?xml version="1.0" encoding="utf-8"?>
<formControlPr xmlns="http://schemas.microsoft.com/office/spreadsheetml/2009/9/main" objectType="CheckBox" checked="Checked" lockText="1" noThreeD="1"/>
</file>

<file path=xl/ctrlProps/ctrlProp339.xml><?xml version="1.0" encoding="utf-8"?>
<formControlPr xmlns="http://schemas.microsoft.com/office/spreadsheetml/2009/9/main" objectType="CheckBox" checked="Checked" lockText="1" noThreeD="1"/>
</file>

<file path=xl/ctrlProps/ctrlProp340.xml><?xml version="1.0" encoding="utf-8"?>
<formControlPr xmlns="http://schemas.microsoft.com/office/spreadsheetml/2009/9/main" objectType="CheckBox" checked="Checked" lockText="1" noThreeD="1"/>
</file>

<file path=xl/ctrlProps/ctrlProp341.xml><?xml version="1.0" encoding="utf-8"?>
<formControlPr xmlns="http://schemas.microsoft.com/office/spreadsheetml/2009/9/main" objectType="CheckBox" checked="Checked" lockText="1" noThreeD="1"/>
</file>

<file path=xl/ctrlProps/ctrlProp342.xml><?xml version="1.0" encoding="utf-8"?>
<formControlPr xmlns="http://schemas.microsoft.com/office/spreadsheetml/2009/9/main" objectType="CheckBox" checked="Checked"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checked="Checked"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checked="Checked"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checked="Checked"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checked="Checked" lockText="1" noThreeD="1"/>
</file>

<file path=xl/ctrlProps/ctrlProp372.xml><?xml version="1.0" encoding="utf-8"?>
<formControlPr xmlns="http://schemas.microsoft.com/office/spreadsheetml/2009/9/main" objectType="CheckBox" checked="Checked" lockText="1" noThreeD="1"/>
</file>

<file path=xl/ctrlProps/ctrlProp373.xml><?xml version="1.0" encoding="utf-8"?>
<formControlPr xmlns="http://schemas.microsoft.com/office/spreadsheetml/2009/9/main" objectType="CheckBox" checked="Checked" lockText="1" noThreeD="1"/>
</file>

<file path=xl/ctrlProps/ctrlProp374.xml><?xml version="1.0" encoding="utf-8"?>
<formControlPr xmlns="http://schemas.microsoft.com/office/spreadsheetml/2009/9/main" objectType="CheckBox" checked="Checked"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checked="Checked"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checked="Checked" lockText="1" noThreeD="1"/>
</file>

<file path=xl/ctrlProps/ctrlProp382.xml><?xml version="1.0" encoding="utf-8"?>
<formControlPr xmlns="http://schemas.microsoft.com/office/spreadsheetml/2009/9/main" objectType="CheckBox" checked="Checked" lockText="1" noThreeD="1"/>
</file>

<file path=xl/ctrlProps/ctrlProp383.xml><?xml version="1.0" encoding="utf-8"?>
<formControlPr xmlns="http://schemas.microsoft.com/office/spreadsheetml/2009/9/main" objectType="CheckBox" checked="Checked" lockText="1" noThreeD="1"/>
</file>

<file path=xl/ctrlProps/ctrlProp384.xml><?xml version="1.0" encoding="utf-8"?>
<formControlPr xmlns="http://schemas.microsoft.com/office/spreadsheetml/2009/9/main" objectType="CheckBox" checked="Checked" lockText="1" noThreeD="1"/>
</file>

<file path=xl/ctrlProps/ctrlProp385.xml><?xml version="1.0" encoding="utf-8"?>
<formControlPr xmlns="http://schemas.microsoft.com/office/spreadsheetml/2009/9/main" objectType="CheckBox" checked="Checked" lockText="1" noThreeD="1"/>
</file>

<file path=xl/ctrlProps/ctrlProp386.xml><?xml version="1.0" encoding="utf-8"?>
<formControlPr xmlns="http://schemas.microsoft.com/office/spreadsheetml/2009/9/main" objectType="CheckBox" checked="Checked" lockText="1" noThreeD="1"/>
</file>

<file path=xl/ctrlProps/ctrlProp387.xml><?xml version="1.0" encoding="utf-8"?>
<formControlPr xmlns="http://schemas.microsoft.com/office/spreadsheetml/2009/9/main" objectType="CheckBox" checked="Checked"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checked="Checked" lockText="1" noThreeD="1"/>
</file>

<file path=xl/ctrlProps/ctrlProp390.xml><?xml version="1.0" encoding="utf-8"?>
<formControlPr xmlns="http://schemas.microsoft.com/office/spreadsheetml/2009/9/main" objectType="CheckBox" checked="Checked" lockText="1" noThreeD="1"/>
</file>

<file path=xl/ctrlProps/ctrlProp391.xml><?xml version="1.0" encoding="utf-8"?>
<formControlPr xmlns="http://schemas.microsoft.com/office/spreadsheetml/2009/9/main" objectType="CheckBox" checked="Checked" lockText="1" noThreeD="1"/>
</file>

<file path=xl/ctrlProps/ctrlProp392.xml><?xml version="1.0" encoding="utf-8"?>
<formControlPr xmlns="http://schemas.microsoft.com/office/spreadsheetml/2009/9/main" objectType="CheckBox" checked="Checked" lockText="1" noThreeD="1"/>
</file>

<file path=xl/ctrlProps/ctrlProp393.xml><?xml version="1.0" encoding="utf-8"?>
<formControlPr xmlns="http://schemas.microsoft.com/office/spreadsheetml/2009/9/main" objectType="CheckBox" checked="Checked" lockText="1" noThreeD="1"/>
</file>

<file path=xl/ctrlProps/ctrlProp394.xml><?xml version="1.0" encoding="utf-8"?>
<formControlPr xmlns="http://schemas.microsoft.com/office/spreadsheetml/2009/9/main" objectType="CheckBox" checked="Checked" lockText="1" noThreeD="1"/>
</file>

<file path=xl/ctrlProps/ctrlProp395.xml><?xml version="1.0" encoding="utf-8"?>
<formControlPr xmlns="http://schemas.microsoft.com/office/spreadsheetml/2009/9/main" objectType="CheckBox" checked="Checked"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checked="Checked" lockText="1" noThreeD="1"/>
</file>

<file path=xl/ctrlProps/ctrlProp399.xml><?xml version="1.0" encoding="utf-8"?>
<formControlPr xmlns="http://schemas.microsoft.com/office/spreadsheetml/2009/9/main" objectType="CheckBox" checked="Checked"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checked="Checked"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checked="Checked" lockText="1" noThreeD="1"/>
</file>

<file path=xl/ctrlProps/ctrlProp405.xml><?xml version="1.0" encoding="utf-8"?>
<formControlPr xmlns="http://schemas.microsoft.com/office/spreadsheetml/2009/9/main" objectType="CheckBox" checked="Checked"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checked="Checked"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checked="Checked" lockText="1" noThreeD="1"/>
</file>

<file path=xl/ctrlProps/ctrlProp411.xml><?xml version="1.0" encoding="utf-8"?>
<formControlPr xmlns="http://schemas.microsoft.com/office/spreadsheetml/2009/9/main" objectType="CheckBox" checked="Checked" lockText="1" noThreeD="1"/>
</file>

<file path=xl/ctrlProps/ctrlProp412.xml><?xml version="1.0" encoding="utf-8"?>
<formControlPr xmlns="http://schemas.microsoft.com/office/spreadsheetml/2009/9/main" objectType="CheckBox" checked="Checked" lockText="1" noThreeD="1"/>
</file>

<file path=xl/ctrlProps/ctrlProp413.xml><?xml version="1.0" encoding="utf-8"?>
<formControlPr xmlns="http://schemas.microsoft.com/office/spreadsheetml/2009/9/main" objectType="CheckBox" checked="Checked"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checked="Checked"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checked="Checked"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checked="Checked" lockText="1" noThreeD="1"/>
</file>

<file path=xl/ctrlProps/ctrlProp448.xml><?xml version="1.0" encoding="utf-8"?>
<formControlPr xmlns="http://schemas.microsoft.com/office/spreadsheetml/2009/9/main" objectType="CheckBox" checked="Checked" lockText="1" noThreeD="1"/>
</file>

<file path=xl/ctrlProps/ctrlProp449.xml><?xml version="1.0" encoding="utf-8"?>
<formControlPr xmlns="http://schemas.microsoft.com/office/spreadsheetml/2009/9/main" objectType="CheckBox" checked="Checked"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checked="Checked" lockText="1" noThreeD="1"/>
</file>

<file path=xl/ctrlProps/ctrlProp475.xml><?xml version="1.0" encoding="utf-8"?>
<formControlPr xmlns="http://schemas.microsoft.com/office/spreadsheetml/2009/9/main" objectType="CheckBox" checked="Checked" lockText="1" noThreeD="1"/>
</file>

<file path=xl/ctrlProps/ctrlProp476.xml><?xml version="1.0" encoding="utf-8"?>
<formControlPr xmlns="http://schemas.microsoft.com/office/spreadsheetml/2009/9/main" objectType="CheckBox" checked="Checked" lockText="1" noThreeD="1"/>
</file>

<file path=xl/ctrlProps/ctrlProp477.xml><?xml version="1.0" encoding="utf-8"?>
<formControlPr xmlns="http://schemas.microsoft.com/office/spreadsheetml/2009/9/main" objectType="CheckBox" checked="Checked" lockText="1" noThreeD="1"/>
</file>

<file path=xl/ctrlProps/ctrlProp478.xml><?xml version="1.0" encoding="utf-8"?>
<formControlPr xmlns="http://schemas.microsoft.com/office/spreadsheetml/2009/9/main" objectType="CheckBox" checked="Checked" lockText="1" noThreeD="1"/>
</file>

<file path=xl/ctrlProps/ctrlProp479.xml><?xml version="1.0" encoding="utf-8"?>
<formControlPr xmlns="http://schemas.microsoft.com/office/spreadsheetml/2009/9/main" objectType="CheckBox" checked="Checked" lockText="1" noThreeD="1"/>
</file>

<file path=xl/ctrlProps/ctrlProp480.xml><?xml version="1.0" encoding="utf-8"?>
<formControlPr xmlns="http://schemas.microsoft.com/office/spreadsheetml/2009/9/main" objectType="CheckBox" checked="Checked" lockText="1" noThreeD="1"/>
</file>

<file path=xl/ctrlProps/ctrlProp481.xml><?xml version="1.0" encoding="utf-8"?>
<formControlPr xmlns="http://schemas.microsoft.com/office/spreadsheetml/2009/9/main" objectType="CheckBox" checked="Checked" lockText="1" noThreeD="1"/>
</file>

<file path=xl/ctrlProps/ctrlProp482.xml><?xml version="1.0" encoding="utf-8"?>
<formControlPr xmlns="http://schemas.microsoft.com/office/spreadsheetml/2009/9/main" objectType="CheckBox" checked="Checked" lockText="1" noThreeD="1"/>
</file>

<file path=xl/ctrlProps/ctrlProp483.xml><?xml version="1.0" encoding="utf-8"?>
<formControlPr xmlns="http://schemas.microsoft.com/office/spreadsheetml/2009/9/main" objectType="CheckBox" checked="Checked" lockText="1" noThreeD="1"/>
</file>

<file path=xl/ctrlProps/ctrlProp484.xml><?xml version="1.0" encoding="utf-8"?>
<formControlPr xmlns="http://schemas.microsoft.com/office/spreadsheetml/2009/9/main" objectType="CheckBox" checked="Checked" lockText="1" noThreeD="1"/>
</file>

<file path=xl/ctrlProps/ctrlProp485.xml><?xml version="1.0" encoding="utf-8"?>
<formControlPr xmlns="http://schemas.microsoft.com/office/spreadsheetml/2009/9/main" objectType="CheckBox" checked="Checked" lockText="1" noThreeD="1"/>
</file>

<file path=xl/ctrlProps/ctrlProp486.xml><?xml version="1.0" encoding="utf-8"?>
<formControlPr xmlns="http://schemas.microsoft.com/office/spreadsheetml/2009/9/main" objectType="CheckBox" checked="Checked" lockText="1" noThreeD="1"/>
</file>

<file path=xl/ctrlProps/ctrlProp487.xml><?xml version="1.0" encoding="utf-8"?>
<formControlPr xmlns="http://schemas.microsoft.com/office/spreadsheetml/2009/9/main" objectType="CheckBox" checked="Checked" lockText="1" noThreeD="1"/>
</file>

<file path=xl/ctrlProps/ctrlProp488.xml><?xml version="1.0" encoding="utf-8"?>
<formControlPr xmlns="http://schemas.microsoft.com/office/spreadsheetml/2009/9/main" objectType="CheckBox" checked="Checked"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checked="Checked" lockText="1" noThreeD="1"/>
</file>

<file path=xl/ctrlProps/ctrlProp492.xml><?xml version="1.0" encoding="utf-8"?>
<formControlPr xmlns="http://schemas.microsoft.com/office/spreadsheetml/2009/9/main" objectType="CheckBox" checked="Checked"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checked="Checked" lockText="1" noThreeD="1"/>
</file>

<file path=xl/ctrlProps/ctrlProp500.xml><?xml version="1.0" encoding="utf-8"?>
<formControlPr xmlns="http://schemas.microsoft.com/office/spreadsheetml/2009/9/main" objectType="CheckBox" checked="Checked" lockText="1" noThreeD="1"/>
</file>

<file path=xl/ctrlProps/ctrlProp501.xml><?xml version="1.0" encoding="utf-8"?>
<formControlPr xmlns="http://schemas.microsoft.com/office/spreadsheetml/2009/9/main" objectType="CheckBox" checked="Checked" lockText="1" noThreeD="1"/>
</file>

<file path=xl/ctrlProps/ctrlProp502.xml><?xml version="1.0" encoding="utf-8"?>
<formControlPr xmlns="http://schemas.microsoft.com/office/spreadsheetml/2009/9/main" objectType="CheckBox" checked="Checked" lockText="1" noThreeD="1"/>
</file>

<file path=xl/ctrlProps/ctrlProp503.xml><?xml version="1.0" encoding="utf-8"?>
<formControlPr xmlns="http://schemas.microsoft.com/office/spreadsheetml/2009/9/main" objectType="CheckBox" checked="Checked" lockText="1" noThreeD="1"/>
</file>

<file path=xl/ctrlProps/ctrlProp504.xml><?xml version="1.0" encoding="utf-8"?>
<formControlPr xmlns="http://schemas.microsoft.com/office/spreadsheetml/2009/9/main" objectType="CheckBox" checked="Checked" lockText="1" noThreeD="1"/>
</file>

<file path=xl/ctrlProps/ctrlProp505.xml><?xml version="1.0" encoding="utf-8"?>
<formControlPr xmlns="http://schemas.microsoft.com/office/spreadsheetml/2009/9/main" objectType="CheckBox" checked="Checked" lockText="1" noThreeD="1"/>
</file>

<file path=xl/ctrlProps/ctrlProp506.xml><?xml version="1.0" encoding="utf-8"?>
<formControlPr xmlns="http://schemas.microsoft.com/office/spreadsheetml/2009/9/main" objectType="CheckBox" checked="Checked" lockText="1" noThreeD="1"/>
</file>

<file path=xl/ctrlProps/ctrlProp507.xml><?xml version="1.0" encoding="utf-8"?>
<formControlPr xmlns="http://schemas.microsoft.com/office/spreadsheetml/2009/9/main" objectType="CheckBox" checked="Checked" lockText="1" noThreeD="1"/>
</file>

<file path=xl/ctrlProps/ctrlProp508.xml><?xml version="1.0" encoding="utf-8"?>
<formControlPr xmlns="http://schemas.microsoft.com/office/spreadsheetml/2009/9/main" objectType="CheckBox" checked="Checked" lockText="1" noThreeD="1"/>
</file>

<file path=xl/ctrlProps/ctrlProp509.xml><?xml version="1.0" encoding="utf-8"?>
<formControlPr xmlns="http://schemas.microsoft.com/office/spreadsheetml/2009/9/main" objectType="CheckBox" checked="Checked" lockText="1" noThreeD="1"/>
</file>

<file path=xl/ctrlProps/ctrlProp510.xml><?xml version="1.0" encoding="utf-8"?>
<formControlPr xmlns="http://schemas.microsoft.com/office/spreadsheetml/2009/9/main" objectType="CheckBox" checked="Checked" lockText="1" noThreeD="1"/>
</file>

<file path=xl/ctrlProps/ctrlProp511.xml><?xml version="1.0" encoding="utf-8"?>
<formControlPr xmlns="http://schemas.microsoft.com/office/spreadsheetml/2009/9/main" objectType="CheckBox" checked="Checked"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checked="Checked" lockText="1" noThreeD="1"/>
</file>

<file path=xl/ctrlProps/ctrlProp515.xml><?xml version="1.0" encoding="utf-8"?>
<formControlPr xmlns="http://schemas.microsoft.com/office/spreadsheetml/2009/9/main" objectType="CheckBox" checked="Checked" lockText="1" noThreeD="1"/>
</file>

<file path=xl/ctrlProps/ctrlProp516.xml><?xml version="1.0" encoding="utf-8"?>
<formControlPr xmlns="http://schemas.microsoft.com/office/spreadsheetml/2009/9/main" objectType="CheckBox" checked="Checked" lockText="1" noThreeD="1"/>
</file>

<file path=xl/ctrlProps/ctrlProp517.xml><?xml version="1.0" encoding="utf-8"?>
<formControlPr xmlns="http://schemas.microsoft.com/office/spreadsheetml/2009/9/main" objectType="CheckBox" checked="Checked" lockText="1" noThreeD="1"/>
</file>

<file path=xl/ctrlProps/ctrlProp518.xml><?xml version="1.0" encoding="utf-8"?>
<formControlPr xmlns="http://schemas.microsoft.com/office/spreadsheetml/2009/9/main" objectType="CheckBox" checked="Checked" lockText="1" noThreeD="1"/>
</file>

<file path=xl/ctrlProps/ctrlProp519.xml><?xml version="1.0" encoding="utf-8"?>
<formControlPr xmlns="http://schemas.microsoft.com/office/spreadsheetml/2009/9/main" objectType="CheckBox" checked="Checked" lockText="1" noThreeD="1"/>
</file>

<file path=xl/ctrlProps/ctrlProp520.xml><?xml version="1.0" encoding="utf-8"?>
<formControlPr xmlns="http://schemas.microsoft.com/office/spreadsheetml/2009/9/main" objectType="CheckBox" checked="Checked" lockText="1" noThreeD="1"/>
</file>

<file path=xl/ctrlProps/ctrlProp521.xml><?xml version="1.0" encoding="utf-8"?>
<formControlPr xmlns="http://schemas.microsoft.com/office/spreadsheetml/2009/9/main" objectType="CheckBox" checked="Checked" lockText="1" noThreeD="1"/>
</file>

<file path=xl/ctrlProps/ctrlProp522.xml><?xml version="1.0" encoding="utf-8"?>
<formControlPr xmlns="http://schemas.microsoft.com/office/spreadsheetml/2009/9/main" objectType="CheckBox" checked="Checked" lockText="1" noThreeD="1"/>
</file>

<file path=xl/ctrlProps/ctrlProp523.xml><?xml version="1.0" encoding="utf-8"?>
<formControlPr xmlns="http://schemas.microsoft.com/office/spreadsheetml/2009/9/main" objectType="CheckBox" checked="Checked"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checked="Checked" lockText="1" noThreeD="1"/>
</file>

<file path=xl/ctrlProps/ctrlProp531.xml><?xml version="1.0" encoding="utf-8"?>
<formControlPr xmlns="http://schemas.microsoft.com/office/spreadsheetml/2009/9/main" objectType="CheckBox" checked="Checked" lockText="1" noThreeD="1"/>
</file>

<file path=xl/ctrlProps/ctrlProp532.xml><?xml version="1.0" encoding="utf-8"?>
<formControlPr xmlns="http://schemas.microsoft.com/office/spreadsheetml/2009/9/main" objectType="CheckBox" checked="Checked"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checked="Checked"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checked="Checked" lockText="1" noThreeD="1"/>
</file>

<file path=xl/ctrlProps/ctrlProp539.xml><?xml version="1.0" encoding="utf-8"?>
<formControlPr xmlns="http://schemas.microsoft.com/office/spreadsheetml/2009/9/main" objectType="CheckBox" checked="Checked" lockText="1" noThreeD="1"/>
</file>

<file path=xl/ctrlProps/ctrlProp540.xml><?xml version="1.0" encoding="utf-8"?>
<formControlPr xmlns="http://schemas.microsoft.com/office/spreadsheetml/2009/9/main" objectType="CheckBox" checked="Checked" lockText="1" noThreeD="1"/>
</file>

<file path=xl/ctrlProps/ctrlProp541.xml><?xml version="1.0" encoding="utf-8"?>
<formControlPr xmlns="http://schemas.microsoft.com/office/spreadsheetml/2009/9/main" objectType="CheckBox" checked="Checked" lockText="1" noThreeD="1"/>
</file>

<file path=xl/ctrlProps/ctrlProp542.xml><?xml version="1.0" encoding="utf-8"?>
<formControlPr xmlns="http://schemas.microsoft.com/office/spreadsheetml/2009/9/main" objectType="CheckBox" checked="Checked"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checked="Checked" lockText="1" noThreeD="1"/>
</file>

<file path=xl/ctrlProps/ctrlProp545.xml><?xml version="1.0" encoding="utf-8"?>
<formControlPr xmlns="http://schemas.microsoft.com/office/spreadsheetml/2009/9/main" objectType="CheckBox" checked="Checked" lockText="1" noThreeD="1"/>
</file>

<file path=xl/ctrlProps/ctrlProp546.xml><?xml version="1.0" encoding="utf-8"?>
<formControlPr xmlns="http://schemas.microsoft.com/office/spreadsheetml/2009/9/main" objectType="CheckBox" checked="Checked" lockText="1" noThreeD="1"/>
</file>

<file path=xl/ctrlProps/ctrlProp547.xml><?xml version="1.0" encoding="utf-8"?>
<formControlPr xmlns="http://schemas.microsoft.com/office/spreadsheetml/2009/9/main" objectType="CheckBox" checked="Checked" lockText="1" noThreeD="1"/>
</file>

<file path=xl/ctrlProps/ctrlProp548.xml><?xml version="1.0" encoding="utf-8"?>
<formControlPr xmlns="http://schemas.microsoft.com/office/spreadsheetml/2009/9/main" objectType="CheckBox" checked="Checked"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checked="Checked" lockText="1" noThreeD="1"/>
</file>

<file path=xl/ctrlProps/ctrlProp566.xml><?xml version="1.0" encoding="utf-8"?>
<formControlPr xmlns="http://schemas.microsoft.com/office/spreadsheetml/2009/9/main" objectType="CheckBox" checked="Checked" lockText="1" noThreeD="1"/>
</file>

<file path=xl/ctrlProps/ctrlProp567.xml><?xml version="1.0" encoding="utf-8"?>
<formControlPr xmlns="http://schemas.microsoft.com/office/spreadsheetml/2009/9/main" objectType="CheckBox" checked="Checked" lockText="1" noThreeD="1"/>
</file>

<file path=xl/ctrlProps/ctrlProp568.xml><?xml version="1.0" encoding="utf-8"?>
<formControlPr xmlns="http://schemas.microsoft.com/office/spreadsheetml/2009/9/main" objectType="CheckBox" checked="Checked" lockText="1" noThreeD="1"/>
</file>

<file path=xl/ctrlProps/ctrlProp569.xml><?xml version="1.0" encoding="utf-8"?>
<formControlPr xmlns="http://schemas.microsoft.com/office/spreadsheetml/2009/9/main" objectType="CheckBox" checked="Checked" lockText="1" noThreeD="1"/>
</file>

<file path=xl/ctrlProps/ctrlProp570.xml><?xml version="1.0" encoding="utf-8"?>
<formControlPr xmlns="http://schemas.microsoft.com/office/spreadsheetml/2009/9/main" objectType="CheckBox" checked="Checked" lockText="1" noThreeD="1"/>
</file>

<file path=xl/ctrlProps/ctrlProp571.xml><?xml version="1.0" encoding="utf-8"?>
<formControlPr xmlns="http://schemas.microsoft.com/office/spreadsheetml/2009/9/main" objectType="CheckBox" checked="Checked" lockText="1" noThreeD="1"/>
</file>

<file path=xl/ctrlProps/ctrlProp572.xml><?xml version="1.0" encoding="utf-8"?>
<formControlPr xmlns="http://schemas.microsoft.com/office/spreadsheetml/2009/9/main" objectType="CheckBox" checked="Checked" lockText="1" noThreeD="1"/>
</file>

<file path=xl/ctrlProps/ctrlProp573.xml><?xml version="1.0" encoding="utf-8"?>
<formControlPr xmlns="http://schemas.microsoft.com/office/spreadsheetml/2009/9/main" objectType="CheckBox" checked="Checked" lockText="1" noThreeD="1"/>
</file>

<file path=xl/ctrlProps/ctrlProp574.xml><?xml version="1.0" encoding="utf-8"?>
<formControlPr xmlns="http://schemas.microsoft.com/office/spreadsheetml/2009/9/main" objectType="CheckBox" checked="Checked"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checked="Checked"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checked="Checked" lockText="1" noThreeD="1"/>
</file>

<file path=xl/ctrlProps/ctrlProp580.xml><?xml version="1.0" encoding="utf-8"?>
<formControlPr xmlns="http://schemas.microsoft.com/office/spreadsheetml/2009/9/main" objectType="CheckBox" checked="Checked" lockText="1" noThreeD="1"/>
</file>

<file path=xl/ctrlProps/ctrlProp581.xml><?xml version="1.0" encoding="utf-8"?>
<formControlPr xmlns="http://schemas.microsoft.com/office/spreadsheetml/2009/9/main" objectType="CheckBox" checked="Checked" lockText="1" noThreeD="1"/>
</file>

<file path=xl/ctrlProps/ctrlProp582.xml><?xml version="1.0" encoding="utf-8"?>
<formControlPr xmlns="http://schemas.microsoft.com/office/spreadsheetml/2009/9/main" objectType="CheckBox" checked="Checked" lockText="1" noThreeD="1"/>
</file>

<file path=xl/ctrlProps/ctrlProp583.xml><?xml version="1.0" encoding="utf-8"?>
<formControlPr xmlns="http://schemas.microsoft.com/office/spreadsheetml/2009/9/main" objectType="CheckBox" checked="Checked" lockText="1" noThreeD="1"/>
</file>

<file path=xl/ctrlProps/ctrlProp584.xml><?xml version="1.0" encoding="utf-8"?>
<formControlPr xmlns="http://schemas.microsoft.com/office/spreadsheetml/2009/9/main" objectType="CheckBox" checked="Checked" lockText="1" noThreeD="1"/>
</file>

<file path=xl/ctrlProps/ctrlProp585.xml><?xml version="1.0" encoding="utf-8"?>
<formControlPr xmlns="http://schemas.microsoft.com/office/spreadsheetml/2009/9/main" objectType="CheckBox" checked="Checked" lockText="1" noThreeD="1"/>
</file>

<file path=xl/ctrlProps/ctrlProp586.xml><?xml version="1.0" encoding="utf-8"?>
<formControlPr xmlns="http://schemas.microsoft.com/office/spreadsheetml/2009/9/main" objectType="CheckBox" checked="Checked" lockText="1" noThreeD="1"/>
</file>

<file path=xl/ctrlProps/ctrlProp587.xml><?xml version="1.0" encoding="utf-8"?>
<formControlPr xmlns="http://schemas.microsoft.com/office/spreadsheetml/2009/9/main" objectType="CheckBox" checked="Checked" lockText="1" noThreeD="1"/>
</file>

<file path=xl/ctrlProps/ctrlProp588.xml><?xml version="1.0" encoding="utf-8"?>
<formControlPr xmlns="http://schemas.microsoft.com/office/spreadsheetml/2009/9/main" objectType="CheckBox" checked="Checked" lockText="1" noThreeD="1"/>
</file>

<file path=xl/ctrlProps/ctrlProp589.xml><?xml version="1.0" encoding="utf-8"?>
<formControlPr xmlns="http://schemas.microsoft.com/office/spreadsheetml/2009/9/main" objectType="CheckBox" checked="Checked" lockText="1" noThreeD="1"/>
</file>

<file path=xl/ctrlProps/ctrlProp590.xml><?xml version="1.0" encoding="utf-8"?>
<formControlPr xmlns="http://schemas.microsoft.com/office/spreadsheetml/2009/9/main" objectType="CheckBox" checked="Checked" lockText="1" noThreeD="1"/>
</file>

<file path=xl/ctrlProps/ctrlProp591.xml><?xml version="1.0" encoding="utf-8"?>
<formControlPr xmlns="http://schemas.microsoft.com/office/spreadsheetml/2009/9/main" objectType="CheckBox" checked="Checked"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checked="Checked"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checked="Checked"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checked="Checked" lockText="1" noThreeD="1"/>
</file>

<file path=xl/ctrlProps/ctrlProp641.xml><?xml version="1.0" encoding="utf-8"?>
<formControlPr xmlns="http://schemas.microsoft.com/office/spreadsheetml/2009/9/main" objectType="CheckBox" checked="Checked" lockText="1" noThreeD="1"/>
</file>

<file path=xl/ctrlProps/ctrlProp642.xml><?xml version="1.0" encoding="utf-8"?>
<formControlPr xmlns="http://schemas.microsoft.com/office/spreadsheetml/2009/9/main" objectType="CheckBox" checked="Checked" lockText="1" noThreeD="1"/>
</file>

<file path=xl/ctrlProps/ctrlProp643.xml><?xml version="1.0" encoding="utf-8"?>
<formControlPr xmlns="http://schemas.microsoft.com/office/spreadsheetml/2009/9/main" objectType="CheckBox" checked="Checked"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checked="Checked"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checked="Checked"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checked="Checked"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checked="Checked"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checked="Checked" lockText="1" noThreeD="1"/>
</file>

<file path=xl/ctrlProps/ctrlProp659.xml><?xml version="1.0" encoding="utf-8"?>
<formControlPr xmlns="http://schemas.microsoft.com/office/spreadsheetml/2009/9/main" objectType="CheckBox" checked="Checked" lockText="1" noThreeD="1"/>
</file>

<file path=xl/ctrlProps/ctrlProp660.xml><?xml version="1.0" encoding="utf-8"?>
<formControlPr xmlns="http://schemas.microsoft.com/office/spreadsheetml/2009/9/main" objectType="CheckBox" checked="Checked" lockText="1" noThreeD="1"/>
</file>

<file path=xl/ctrlProps/ctrlProp661.xml><?xml version="1.0" encoding="utf-8"?>
<formControlPr xmlns="http://schemas.microsoft.com/office/spreadsheetml/2009/9/main" objectType="CheckBox" checked="Checked" lockText="1" noThreeD="1"/>
</file>

<file path=xl/ctrlProps/ctrlProp662.xml><?xml version="1.0" encoding="utf-8"?>
<formControlPr xmlns="http://schemas.microsoft.com/office/spreadsheetml/2009/9/main" objectType="CheckBox" checked="Checked" lockText="1" noThreeD="1"/>
</file>

<file path=xl/ctrlProps/ctrlProp663.xml><?xml version="1.0" encoding="utf-8"?>
<formControlPr xmlns="http://schemas.microsoft.com/office/spreadsheetml/2009/9/main" objectType="CheckBox" checked="Checked" lockText="1" noThreeD="1"/>
</file>

<file path=xl/ctrlProps/ctrlProp664.xml><?xml version="1.0" encoding="utf-8"?>
<formControlPr xmlns="http://schemas.microsoft.com/office/spreadsheetml/2009/9/main" objectType="CheckBox" checked="Checked"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checked="Checked" lockText="1" noThreeD="1"/>
</file>

<file path=xl/ctrlProps/ctrlProp668.xml><?xml version="1.0" encoding="utf-8"?>
<formControlPr xmlns="http://schemas.microsoft.com/office/spreadsheetml/2009/9/main" objectType="CheckBox" checked="Checked" lockText="1" noThreeD="1"/>
</file>

<file path=xl/ctrlProps/ctrlProp669.xml><?xml version="1.0" encoding="utf-8"?>
<formControlPr xmlns="http://schemas.microsoft.com/office/spreadsheetml/2009/9/main" objectType="CheckBox" checked="Checked" lockText="1" noThreeD="1"/>
</file>

<file path=xl/ctrlProps/ctrlProp670.xml><?xml version="1.0" encoding="utf-8"?>
<formControlPr xmlns="http://schemas.microsoft.com/office/spreadsheetml/2009/9/main" objectType="CheckBox" checked="Checked" lockText="1" noThreeD="1"/>
</file>

<file path=xl/ctrlProps/ctrlProp671.xml><?xml version="1.0" encoding="utf-8"?>
<formControlPr xmlns="http://schemas.microsoft.com/office/spreadsheetml/2009/9/main" objectType="CheckBox" checked="Checked" lockText="1" noThreeD="1"/>
</file>

<file path=xl/ctrlProps/ctrlProp672.xml><?xml version="1.0" encoding="utf-8"?>
<formControlPr xmlns="http://schemas.microsoft.com/office/spreadsheetml/2009/9/main" objectType="CheckBox" checked="Checked" lockText="1" noThreeD="1"/>
</file>

<file path=xl/ctrlProps/ctrlProp673.xml><?xml version="1.0" encoding="utf-8"?>
<formControlPr xmlns="http://schemas.microsoft.com/office/spreadsheetml/2009/9/main" objectType="CheckBox" checked="Checked" lockText="1" noThreeD="1"/>
</file>

<file path=xl/ctrlProps/ctrlProp674.xml><?xml version="1.0" encoding="utf-8"?>
<formControlPr xmlns="http://schemas.microsoft.com/office/spreadsheetml/2009/9/main" objectType="CheckBox" checked="Checked"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checked="Checked" lockText="1" noThreeD="1"/>
</file>

<file path=xl/ctrlProps/ctrlProp677.xml><?xml version="1.0" encoding="utf-8"?>
<formControlPr xmlns="http://schemas.microsoft.com/office/spreadsheetml/2009/9/main" objectType="CheckBox" checked="Checked" lockText="1" noThreeD="1"/>
</file>

<file path=xl/ctrlProps/ctrlProp678.xml><?xml version="1.0" encoding="utf-8"?>
<formControlPr xmlns="http://schemas.microsoft.com/office/spreadsheetml/2009/9/main" objectType="CheckBox" checked="Checked" lockText="1" noThreeD="1"/>
</file>

<file path=xl/ctrlProps/ctrlProp679.xml><?xml version="1.0" encoding="utf-8"?>
<formControlPr xmlns="http://schemas.microsoft.com/office/spreadsheetml/2009/9/main" objectType="CheckBox" checked="Checked"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checked="Checked"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checked="Checked"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checked="Checked" lockText="1" noThreeD="1"/>
</file>

<file path=xl/ctrlProps/ctrlProp689.xml><?xml version="1.0" encoding="utf-8"?>
<formControlPr xmlns="http://schemas.microsoft.com/office/spreadsheetml/2009/9/main" objectType="CheckBox" checked="Checked" lockText="1" noThreeD="1"/>
</file>

<file path=xl/ctrlProps/ctrlProp690.xml><?xml version="1.0" encoding="utf-8"?>
<formControlPr xmlns="http://schemas.microsoft.com/office/spreadsheetml/2009/9/main" objectType="CheckBox" checked="Checked" lockText="1" noThreeD="1"/>
</file>

<file path=xl/ctrlProps/ctrlProp691.xml><?xml version="1.0" encoding="utf-8"?>
<formControlPr xmlns="http://schemas.microsoft.com/office/spreadsheetml/2009/9/main" objectType="CheckBox" checked="Checked"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checked="Checked"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checked="Checked"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checked="Checked" lockText="1" noThreeD="1"/>
</file>

<file path=xl/ctrlProps/ctrlProp701.xml><?xml version="1.0" encoding="utf-8"?>
<formControlPr xmlns="http://schemas.microsoft.com/office/spreadsheetml/2009/9/main" objectType="CheckBox" checked="Checked" lockText="1" noThreeD="1"/>
</file>

<file path=xl/ctrlProps/ctrlProp702.xml><?xml version="1.0" encoding="utf-8"?>
<formControlPr xmlns="http://schemas.microsoft.com/office/spreadsheetml/2009/9/main" objectType="CheckBox" checked="Checked" lockText="1" noThreeD="1"/>
</file>

<file path=xl/ctrlProps/ctrlProp703.xml><?xml version="1.0" encoding="utf-8"?>
<formControlPr xmlns="http://schemas.microsoft.com/office/spreadsheetml/2009/9/main" objectType="CheckBox" checked="Checked"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checked="Checked" lockText="1" noThreeD="1"/>
</file>

<file path=xl/ctrlProps/ctrlProp707.xml><?xml version="1.0" encoding="utf-8"?>
<formControlPr xmlns="http://schemas.microsoft.com/office/spreadsheetml/2009/9/main" objectType="CheckBox" checked="Checked" lockText="1" noThreeD="1"/>
</file>

<file path=xl/ctrlProps/ctrlProp708.xml><?xml version="1.0" encoding="utf-8"?>
<formControlPr xmlns="http://schemas.microsoft.com/office/spreadsheetml/2009/9/main" objectType="CheckBox" checked="Checked" lockText="1" noThreeD="1"/>
</file>

<file path=xl/ctrlProps/ctrlProp709.xml><?xml version="1.0" encoding="utf-8"?>
<formControlPr xmlns="http://schemas.microsoft.com/office/spreadsheetml/2009/9/main" objectType="CheckBox" checked="Checked" lockText="1" noThreeD="1"/>
</file>

<file path=xl/ctrlProps/ctrlProp710.xml><?xml version="1.0" encoding="utf-8"?>
<formControlPr xmlns="http://schemas.microsoft.com/office/spreadsheetml/2009/9/main" objectType="CheckBox" checked="Checked" lockText="1" noThreeD="1"/>
</file>

<file path=xl/ctrlProps/ctrlProp711.xml><?xml version="1.0" encoding="utf-8"?>
<formControlPr xmlns="http://schemas.microsoft.com/office/spreadsheetml/2009/9/main" objectType="CheckBox" checked="Checked" lockText="1" noThreeD="1"/>
</file>

<file path=xl/ctrlProps/ctrlProp712.xml><?xml version="1.0" encoding="utf-8"?>
<formControlPr xmlns="http://schemas.microsoft.com/office/spreadsheetml/2009/9/main" objectType="CheckBox" checked="Checked" lockText="1" noThreeD="1"/>
</file>

<file path=xl/ctrlProps/ctrlProp713.xml><?xml version="1.0" encoding="utf-8"?>
<formControlPr xmlns="http://schemas.microsoft.com/office/spreadsheetml/2009/9/main" objectType="CheckBox" checked="Checked" lockText="1" noThreeD="1"/>
</file>

<file path=xl/ctrlProps/ctrlProp714.xml><?xml version="1.0" encoding="utf-8"?>
<formControlPr xmlns="http://schemas.microsoft.com/office/spreadsheetml/2009/9/main" objectType="CheckBox" checked="Checked" lockText="1" noThreeD="1"/>
</file>

<file path=xl/ctrlProps/ctrlProp715.xml><?xml version="1.0" encoding="utf-8"?>
<formControlPr xmlns="http://schemas.microsoft.com/office/spreadsheetml/2009/9/main" objectType="CheckBox" checked="Checked" lockText="1" noThreeD="1"/>
</file>

<file path=xl/ctrlProps/ctrlProp716.xml><?xml version="1.0" encoding="utf-8"?>
<formControlPr xmlns="http://schemas.microsoft.com/office/spreadsheetml/2009/9/main" objectType="CheckBox" checked="Checked" lockText="1" noThreeD="1"/>
</file>

<file path=xl/ctrlProps/ctrlProp717.xml><?xml version="1.0" encoding="utf-8"?>
<formControlPr xmlns="http://schemas.microsoft.com/office/spreadsheetml/2009/9/main" objectType="CheckBox" checked="Checked" lockText="1" noThreeD="1"/>
</file>

<file path=xl/ctrlProps/ctrlProp718.xml><?xml version="1.0" encoding="utf-8"?>
<formControlPr xmlns="http://schemas.microsoft.com/office/spreadsheetml/2009/9/main" objectType="CheckBox" checked="Checked"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checked="Checked" lockText="1" noThreeD="1"/>
</file>

<file path=xl/ctrlProps/ctrlProp722.xml><?xml version="1.0" encoding="utf-8"?>
<formControlPr xmlns="http://schemas.microsoft.com/office/spreadsheetml/2009/9/main" objectType="CheckBox" checked="Checked" lockText="1" noThreeD="1"/>
</file>

<file path=xl/ctrlProps/ctrlProp723.xml><?xml version="1.0" encoding="utf-8"?>
<formControlPr xmlns="http://schemas.microsoft.com/office/spreadsheetml/2009/9/main" objectType="CheckBox" checked="Checked" lockText="1" noThreeD="1"/>
</file>

<file path=xl/ctrlProps/ctrlProp724.xml><?xml version="1.0" encoding="utf-8"?>
<formControlPr xmlns="http://schemas.microsoft.com/office/spreadsheetml/2009/9/main" objectType="CheckBox" checked="Checked" lockText="1" noThreeD="1"/>
</file>

<file path=xl/ctrlProps/ctrlProp725.xml><?xml version="1.0" encoding="utf-8"?>
<formControlPr xmlns="http://schemas.microsoft.com/office/spreadsheetml/2009/9/main" objectType="CheckBox" checked="Checked" lockText="1" noThreeD="1"/>
</file>

<file path=xl/ctrlProps/ctrlProp726.xml><?xml version="1.0" encoding="utf-8"?>
<formControlPr xmlns="http://schemas.microsoft.com/office/spreadsheetml/2009/9/main" objectType="CheckBox" checked="Checked" lockText="1" noThreeD="1"/>
</file>

<file path=xl/ctrlProps/ctrlProp727.xml><?xml version="1.0" encoding="utf-8"?>
<formControlPr xmlns="http://schemas.microsoft.com/office/spreadsheetml/2009/9/main" objectType="CheckBox" checked="Checked" lockText="1" noThreeD="1"/>
</file>

<file path=xl/ctrlProps/ctrlProp728.xml><?xml version="1.0" encoding="utf-8"?>
<formControlPr xmlns="http://schemas.microsoft.com/office/spreadsheetml/2009/9/main" objectType="CheckBox" checked="Checked" lockText="1" noThreeD="1"/>
</file>

<file path=xl/ctrlProps/ctrlProp729.xml><?xml version="1.0" encoding="utf-8"?>
<formControlPr xmlns="http://schemas.microsoft.com/office/spreadsheetml/2009/9/main" objectType="CheckBox" checked="Checked" lockText="1" noThreeD="1"/>
</file>

<file path=xl/ctrlProps/ctrlProp730.xml><?xml version="1.0" encoding="utf-8"?>
<formControlPr xmlns="http://schemas.microsoft.com/office/spreadsheetml/2009/9/main" objectType="CheckBox" checked="Checked"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checked="Checked" lockText="1" noThreeD="1"/>
</file>

<file path=xl/ctrlProps/ctrlProp738.xml><?xml version="1.0" encoding="utf-8"?>
<formControlPr xmlns="http://schemas.microsoft.com/office/spreadsheetml/2009/9/main" objectType="CheckBox" checked="Checked" lockText="1" noThreeD="1"/>
</file>

<file path=xl/ctrlProps/ctrlProp739.xml><?xml version="1.0" encoding="utf-8"?>
<formControlPr xmlns="http://schemas.microsoft.com/office/spreadsheetml/2009/9/main" objectType="CheckBox" checked="Checked"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checked="Checked"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checked="Checked"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checked="Checked"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checked="Checked"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checked="Checked" lockText="1" noThreeD="1"/>
</file>

<file path=xl/ctrlProps/ctrlProp756.xml><?xml version="1.0" encoding="utf-8"?>
<formControlPr xmlns="http://schemas.microsoft.com/office/spreadsheetml/2009/9/main" objectType="CheckBox" checked="Checked"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checked="Checked"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checked="Checked"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checked="Checked" lockText="1" noThreeD="1"/>
</file>

<file path=xl/ctrlProps/ctrlProp765.xml><?xml version="1.0" encoding="utf-8"?>
<formControlPr xmlns="http://schemas.microsoft.com/office/spreadsheetml/2009/9/main" objectType="CheckBox" checked="Checked" lockText="1" noThreeD="1"/>
</file>

<file path=xl/ctrlProps/ctrlProp766.xml><?xml version="1.0" encoding="utf-8"?>
<formControlPr xmlns="http://schemas.microsoft.com/office/spreadsheetml/2009/9/main" objectType="CheckBox" checked="Checked" lockText="1" noThreeD="1"/>
</file>

<file path=xl/ctrlProps/ctrlProp767.xml><?xml version="1.0" encoding="utf-8"?>
<formControlPr xmlns="http://schemas.microsoft.com/office/spreadsheetml/2009/9/main" objectType="CheckBox" checked="Checked"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checked="Checked"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checked="Checked"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checked="Checked"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checked="Checked"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checked="Checked"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checked="Checked"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checked="Checked"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checked="Checked" lockText="1" noThreeD="1"/>
</file>

<file path=xl/ctrlProps/ctrlProp807.xml><?xml version="1.0" encoding="utf-8"?>
<formControlPr xmlns="http://schemas.microsoft.com/office/spreadsheetml/2009/9/main" objectType="CheckBox" checked="Checked" lockText="1" noThreeD="1"/>
</file>

<file path=xl/ctrlProps/ctrlProp808.xml><?xml version="1.0" encoding="utf-8"?>
<formControlPr xmlns="http://schemas.microsoft.com/office/spreadsheetml/2009/9/main" objectType="CheckBox" checked="Checked" lockText="1" noThreeD="1"/>
</file>

<file path=xl/ctrlProps/ctrlProp809.xml><?xml version="1.0" encoding="utf-8"?>
<formControlPr xmlns="http://schemas.microsoft.com/office/spreadsheetml/2009/9/main" objectType="CheckBox" checked="Checked"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checked="Checked"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checked="Checked"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checked="Checked"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checked="Checked"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15</xdr:col>
      <xdr:colOff>332527</xdr:colOff>
      <xdr:row>16</xdr:row>
      <xdr:rowOff>21131</xdr:rowOff>
    </xdr:from>
    <xdr:to>
      <xdr:col>22</xdr:col>
      <xdr:colOff>318535</xdr:colOff>
      <xdr:row>31</xdr:row>
      <xdr:rowOff>107144</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1156607</xdr:colOff>
      <xdr:row>31</xdr:row>
      <xdr:rowOff>56334</xdr:rowOff>
    </xdr:from>
    <xdr:to>
      <xdr:col>19</xdr:col>
      <xdr:colOff>25916</xdr:colOff>
      <xdr:row>48</xdr:row>
      <xdr:rowOff>2724968</xdr:rowOff>
    </xdr:to>
    <xdr:graphicFrame macro="">
      <xdr:nvGraphicFramePr>
        <xdr:cNvPr id="3" name="Gráfico 3">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54428</xdr:colOff>
      <xdr:row>16</xdr:row>
      <xdr:rowOff>32660</xdr:rowOff>
    </xdr:from>
    <xdr:to>
      <xdr:col>15</xdr:col>
      <xdr:colOff>1284515</xdr:colOff>
      <xdr:row>30</xdr:row>
      <xdr:rowOff>195944</xdr:rowOff>
    </xdr:to>
    <xdr:graphicFrame macro="">
      <xdr:nvGraphicFramePr>
        <xdr:cNvPr id="5" name="Gráfico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13607</xdr:colOff>
      <xdr:row>31</xdr:row>
      <xdr:rowOff>68035</xdr:rowOff>
    </xdr:from>
    <xdr:to>
      <xdr:col>6</xdr:col>
      <xdr:colOff>1061468</xdr:colOff>
      <xdr:row>48</xdr:row>
      <xdr:rowOff>2720452</xdr:rowOff>
    </xdr:to>
    <xdr:graphicFrame macro="">
      <xdr:nvGraphicFramePr>
        <xdr:cNvPr id="7" name="Gráfico 2">
          <a:extLst>
            <a:ext uri="{FF2B5EF4-FFF2-40B4-BE49-F238E27FC236}">
              <a16:creationId xmlns:a16="http://schemas.microsoft.com/office/drawing/2014/main" id="{75D343F3-C5E0-4FAE-BCF6-779F9D504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88991</xdr:rowOff>
    </xdr:from>
    <xdr:to>
      <xdr:col>4</xdr:col>
      <xdr:colOff>1412875</xdr:colOff>
      <xdr:row>25</xdr:row>
      <xdr:rowOff>112123</xdr:rowOff>
    </xdr:to>
    <xdr:graphicFrame macro="">
      <xdr:nvGraphicFramePr>
        <xdr:cNvPr id="9" name="Gráfico 4">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736962</xdr:colOff>
      <xdr:row>11</xdr:row>
      <xdr:rowOff>62866</xdr:rowOff>
    </xdr:from>
    <xdr:to>
      <xdr:col>13</xdr:col>
      <xdr:colOff>17961</xdr:colOff>
      <xdr:row>25</xdr:row>
      <xdr:rowOff>112123</xdr:rowOff>
    </xdr:to>
    <xdr:graphicFrame macro="">
      <xdr:nvGraphicFramePr>
        <xdr:cNvPr id="8" name="Gráfico 3">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12</xdr:col>
          <xdr:colOff>171450</xdr:colOff>
          <xdr:row>54</xdr:row>
          <xdr:rowOff>266700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2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259080</xdr:rowOff>
        </xdr:from>
        <xdr:to>
          <xdr:col>12</xdr:col>
          <xdr:colOff>171450</xdr:colOff>
          <xdr:row>55</xdr:row>
          <xdr:rowOff>139065</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2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106680</xdr:rowOff>
        </xdr:from>
        <xdr:to>
          <xdr:col>12</xdr:col>
          <xdr:colOff>171450</xdr:colOff>
          <xdr:row>55</xdr:row>
          <xdr:rowOff>323850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2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12</xdr:col>
          <xdr:colOff>171450</xdr:colOff>
          <xdr:row>56</xdr:row>
          <xdr:rowOff>247650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2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259080</xdr:rowOff>
        </xdr:from>
        <xdr:to>
          <xdr:col>12</xdr:col>
          <xdr:colOff>171450</xdr:colOff>
          <xdr:row>57</xdr:row>
          <xdr:rowOff>190500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2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106680</xdr:rowOff>
        </xdr:from>
        <xdr:to>
          <xdr:col>12</xdr:col>
          <xdr:colOff>171450</xdr:colOff>
          <xdr:row>57</xdr:row>
          <xdr:rowOff>323850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2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12</xdr:col>
          <xdr:colOff>171450</xdr:colOff>
          <xdr:row>58</xdr:row>
          <xdr:rowOff>247650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2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259080</xdr:rowOff>
        </xdr:from>
        <xdr:to>
          <xdr:col>12</xdr:col>
          <xdr:colOff>171450</xdr:colOff>
          <xdr:row>59</xdr:row>
          <xdr:rowOff>171450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2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106680</xdr:rowOff>
        </xdr:from>
        <xdr:to>
          <xdr:col>12</xdr:col>
          <xdr:colOff>171450</xdr:colOff>
          <xdr:row>59</xdr:row>
          <xdr:rowOff>323850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2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259080</xdr:rowOff>
        </xdr:from>
        <xdr:to>
          <xdr:col>12</xdr:col>
          <xdr:colOff>171450</xdr:colOff>
          <xdr:row>61</xdr:row>
          <xdr:rowOff>171450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2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106680</xdr:rowOff>
        </xdr:from>
        <xdr:to>
          <xdr:col>12</xdr:col>
          <xdr:colOff>171450</xdr:colOff>
          <xdr:row>61</xdr:row>
          <xdr:rowOff>323850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2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259080</xdr:rowOff>
        </xdr:from>
        <xdr:to>
          <xdr:col>12</xdr:col>
          <xdr:colOff>171450</xdr:colOff>
          <xdr:row>63</xdr:row>
          <xdr:rowOff>171450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2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106680</xdr:rowOff>
        </xdr:from>
        <xdr:to>
          <xdr:col>12</xdr:col>
          <xdr:colOff>171450</xdr:colOff>
          <xdr:row>63</xdr:row>
          <xdr:rowOff>323850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2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259080</xdr:rowOff>
        </xdr:from>
        <xdr:to>
          <xdr:col>12</xdr:col>
          <xdr:colOff>171450</xdr:colOff>
          <xdr:row>65</xdr:row>
          <xdr:rowOff>171450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2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106680</xdr:rowOff>
        </xdr:from>
        <xdr:to>
          <xdr:col>12</xdr:col>
          <xdr:colOff>171450</xdr:colOff>
          <xdr:row>65</xdr:row>
          <xdr:rowOff>323850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2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259080</xdr:rowOff>
        </xdr:from>
        <xdr:to>
          <xdr:col>12</xdr:col>
          <xdr:colOff>171450</xdr:colOff>
          <xdr:row>67</xdr:row>
          <xdr:rowOff>171450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2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106680</xdr:rowOff>
        </xdr:from>
        <xdr:to>
          <xdr:col>12</xdr:col>
          <xdr:colOff>171450</xdr:colOff>
          <xdr:row>67</xdr:row>
          <xdr:rowOff>323850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2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259080</xdr:rowOff>
        </xdr:from>
        <xdr:to>
          <xdr:col>12</xdr:col>
          <xdr:colOff>171450</xdr:colOff>
          <xdr:row>69</xdr:row>
          <xdr:rowOff>139065</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2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106680</xdr:rowOff>
        </xdr:from>
        <xdr:to>
          <xdr:col>12</xdr:col>
          <xdr:colOff>171450</xdr:colOff>
          <xdr:row>69</xdr:row>
          <xdr:rowOff>323850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2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259080</xdr:rowOff>
        </xdr:from>
        <xdr:to>
          <xdr:col>12</xdr:col>
          <xdr:colOff>171450</xdr:colOff>
          <xdr:row>71</xdr:row>
          <xdr:rowOff>171450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2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106680</xdr:rowOff>
        </xdr:from>
        <xdr:to>
          <xdr:col>12</xdr:col>
          <xdr:colOff>171450</xdr:colOff>
          <xdr:row>71</xdr:row>
          <xdr:rowOff>323850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2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259080</xdr:rowOff>
        </xdr:from>
        <xdr:to>
          <xdr:col>12</xdr:col>
          <xdr:colOff>171450</xdr:colOff>
          <xdr:row>73</xdr:row>
          <xdr:rowOff>171450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2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106680</xdr:rowOff>
        </xdr:from>
        <xdr:to>
          <xdr:col>12</xdr:col>
          <xdr:colOff>171450</xdr:colOff>
          <xdr:row>73</xdr:row>
          <xdr:rowOff>323850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2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259080</xdr:rowOff>
        </xdr:from>
        <xdr:to>
          <xdr:col>12</xdr:col>
          <xdr:colOff>171450</xdr:colOff>
          <xdr:row>75</xdr:row>
          <xdr:rowOff>171450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2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106680</xdr:rowOff>
        </xdr:from>
        <xdr:to>
          <xdr:col>12</xdr:col>
          <xdr:colOff>171450</xdr:colOff>
          <xdr:row>75</xdr:row>
          <xdr:rowOff>323850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2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259080</xdr:rowOff>
        </xdr:from>
        <xdr:to>
          <xdr:col>12</xdr:col>
          <xdr:colOff>171450</xdr:colOff>
          <xdr:row>77</xdr:row>
          <xdr:rowOff>190500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2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106680</xdr:rowOff>
        </xdr:from>
        <xdr:to>
          <xdr:col>12</xdr:col>
          <xdr:colOff>171450</xdr:colOff>
          <xdr:row>77</xdr:row>
          <xdr:rowOff>323850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2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12</xdr:col>
          <xdr:colOff>171450</xdr:colOff>
          <xdr:row>78</xdr:row>
          <xdr:rowOff>247650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2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259080</xdr:rowOff>
        </xdr:from>
        <xdr:to>
          <xdr:col>12</xdr:col>
          <xdr:colOff>171450</xdr:colOff>
          <xdr:row>79</xdr:row>
          <xdr:rowOff>171450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2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106680</xdr:rowOff>
        </xdr:from>
        <xdr:to>
          <xdr:col>12</xdr:col>
          <xdr:colOff>171450</xdr:colOff>
          <xdr:row>79</xdr:row>
          <xdr:rowOff>323850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200-00007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259080</xdr:rowOff>
        </xdr:from>
        <xdr:to>
          <xdr:col>12</xdr:col>
          <xdr:colOff>171450</xdr:colOff>
          <xdr:row>81</xdr:row>
          <xdr:rowOff>139065</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200-00007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106680</xdr:rowOff>
        </xdr:from>
        <xdr:to>
          <xdr:col>12</xdr:col>
          <xdr:colOff>171450</xdr:colOff>
          <xdr:row>81</xdr:row>
          <xdr:rowOff>323850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200-00007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259080</xdr:rowOff>
        </xdr:from>
        <xdr:to>
          <xdr:col>12</xdr:col>
          <xdr:colOff>171450</xdr:colOff>
          <xdr:row>83</xdr:row>
          <xdr:rowOff>190500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2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106680</xdr:rowOff>
        </xdr:from>
        <xdr:to>
          <xdr:col>12</xdr:col>
          <xdr:colOff>171450</xdr:colOff>
          <xdr:row>83</xdr:row>
          <xdr:rowOff>323850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2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259080</xdr:rowOff>
        </xdr:from>
        <xdr:to>
          <xdr:col>12</xdr:col>
          <xdr:colOff>171450</xdr:colOff>
          <xdr:row>85</xdr:row>
          <xdr:rowOff>139065</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2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106680</xdr:rowOff>
        </xdr:from>
        <xdr:to>
          <xdr:col>12</xdr:col>
          <xdr:colOff>171450</xdr:colOff>
          <xdr:row>85</xdr:row>
          <xdr:rowOff>323850</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2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259080</xdr:rowOff>
        </xdr:from>
        <xdr:to>
          <xdr:col>12</xdr:col>
          <xdr:colOff>171450</xdr:colOff>
          <xdr:row>87</xdr:row>
          <xdr:rowOff>139065</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200-00007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106680</xdr:rowOff>
        </xdr:from>
        <xdr:to>
          <xdr:col>12</xdr:col>
          <xdr:colOff>171450</xdr:colOff>
          <xdr:row>87</xdr:row>
          <xdr:rowOff>323850</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200-00007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259080</xdr:rowOff>
        </xdr:from>
        <xdr:to>
          <xdr:col>12</xdr:col>
          <xdr:colOff>171450</xdr:colOff>
          <xdr:row>91</xdr:row>
          <xdr:rowOff>171450</xdr:rowOff>
        </xdr:to>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200-00008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106680</xdr:rowOff>
        </xdr:from>
        <xdr:to>
          <xdr:col>12</xdr:col>
          <xdr:colOff>171450</xdr:colOff>
          <xdr:row>91</xdr:row>
          <xdr:rowOff>323850</xdr:rowOff>
        </xdr:to>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200-00008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259080</xdr:rowOff>
        </xdr:from>
        <xdr:to>
          <xdr:col>12</xdr:col>
          <xdr:colOff>171450</xdr:colOff>
          <xdr:row>93</xdr:row>
          <xdr:rowOff>171450</xdr:rowOff>
        </xdr:to>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200-00008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106680</xdr:rowOff>
        </xdr:from>
        <xdr:to>
          <xdr:col>12</xdr:col>
          <xdr:colOff>171450</xdr:colOff>
          <xdr:row>93</xdr:row>
          <xdr:rowOff>323850</xdr:rowOff>
        </xdr:to>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200-00008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259080</xdr:rowOff>
        </xdr:from>
        <xdr:to>
          <xdr:col>12</xdr:col>
          <xdr:colOff>171450</xdr:colOff>
          <xdr:row>95</xdr:row>
          <xdr:rowOff>139065</xdr:rowOff>
        </xdr:to>
        <xdr:sp macro="" textlink="">
          <xdr:nvSpPr>
            <xdr:cNvPr id="3208" name="Check Box 136" hidden="1">
              <a:extLst>
                <a:ext uri="{63B3BB69-23CF-44E3-9099-C40C66FF867C}">
                  <a14:compatExt spid="_x0000_s3208"/>
                </a:ext>
                <a:ext uri="{FF2B5EF4-FFF2-40B4-BE49-F238E27FC236}">
                  <a16:creationId xmlns:a16="http://schemas.microsoft.com/office/drawing/2014/main" id="{00000000-0008-0000-0200-00008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106680</xdr:rowOff>
        </xdr:from>
        <xdr:to>
          <xdr:col>12</xdr:col>
          <xdr:colOff>171450</xdr:colOff>
          <xdr:row>95</xdr:row>
          <xdr:rowOff>323850</xdr:rowOff>
        </xdr:to>
        <xdr:sp macro="" textlink="">
          <xdr:nvSpPr>
            <xdr:cNvPr id="3209" name="Check Box 137" hidden="1">
              <a:extLst>
                <a:ext uri="{63B3BB69-23CF-44E3-9099-C40C66FF867C}">
                  <a14:compatExt spid="_x0000_s3209"/>
                </a:ext>
                <a:ext uri="{FF2B5EF4-FFF2-40B4-BE49-F238E27FC236}">
                  <a16:creationId xmlns:a16="http://schemas.microsoft.com/office/drawing/2014/main" id="{00000000-0008-0000-0200-00008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259080</xdr:rowOff>
        </xdr:from>
        <xdr:to>
          <xdr:col>12</xdr:col>
          <xdr:colOff>171450</xdr:colOff>
          <xdr:row>97</xdr:row>
          <xdr:rowOff>139065</xdr:rowOff>
        </xdr:to>
        <xdr:sp macro="" textlink="">
          <xdr:nvSpPr>
            <xdr:cNvPr id="3211" name="Check Box 139" hidden="1">
              <a:extLst>
                <a:ext uri="{63B3BB69-23CF-44E3-9099-C40C66FF867C}">
                  <a14:compatExt spid="_x0000_s3211"/>
                </a:ext>
                <a:ext uri="{FF2B5EF4-FFF2-40B4-BE49-F238E27FC236}">
                  <a16:creationId xmlns:a16="http://schemas.microsoft.com/office/drawing/2014/main" id="{00000000-0008-0000-0200-00008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106680</xdr:rowOff>
        </xdr:from>
        <xdr:to>
          <xdr:col>12</xdr:col>
          <xdr:colOff>171450</xdr:colOff>
          <xdr:row>97</xdr:row>
          <xdr:rowOff>323850</xdr:rowOff>
        </xdr:to>
        <xdr:sp macro="" textlink="">
          <xdr:nvSpPr>
            <xdr:cNvPr id="3212" name="Check Box 140" hidden="1">
              <a:extLst>
                <a:ext uri="{63B3BB69-23CF-44E3-9099-C40C66FF867C}">
                  <a14:compatExt spid="_x0000_s3212"/>
                </a:ext>
                <a:ext uri="{FF2B5EF4-FFF2-40B4-BE49-F238E27FC236}">
                  <a16:creationId xmlns:a16="http://schemas.microsoft.com/office/drawing/2014/main" id="{00000000-0008-0000-0200-00008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259080</xdr:rowOff>
        </xdr:from>
        <xdr:to>
          <xdr:col>12</xdr:col>
          <xdr:colOff>171450</xdr:colOff>
          <xdr:row>99</xdr:row>
          <xdr:rowOff>139065</xdr:rowOff>
        </xdr:to>
        <xdr:sp macro="" textlink="">
          <xdr:nvSpPr>
            <xdr:cNvPr id="3214" name="Check Box 142" hidden="1">
              <a:extLst>
                <a:ext uri="{63B3BB69-23CF-44E3-9099-C40C66FF867C}">
                  <a14:compatExt spid="_x0000_s3214"/>
                </a:ext>
                <a:ext uri="{FF2B5EF4-FFF2-40B4-BE49-F238E27FC236}">
                  <a16:creationId xmlns:a16="http://schemas.microsoft.com/office/drawing/2014/main" id="{00000000-0008-0000-0200-00008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106680</xdr:rowOff>
        </xdr:from>
        <xdr:to>
          <xdr:col>12</xdr:col>
          <xdr:colOff>171450</xdr:colOff>
          <xdr:row>99</xdr:row>
          <xdr:rowOff>323850</xdr:rowOff>
        </xdr:to>
        <xdr:sp macro="" textlink="">
          <xdr:nvSpPr>
            <xdr:cNvPr id="3215" name="Check Box 143" hidden="1">
              <a:extLst>
                <a:ext uri="{63B3BB69-23CF-44E3-9099-C40C66FF867C}">
                  <a14:compatExt spid="_x0000_s3215"/>
                </a:ext>
                <a:ext uri="{FF2B5EF4-FFF2-40B4-BE49-F238E27FC236}">
                  <a16:creationId xmlns:a16="http://schemas.microsoft.com/office/drawing/2014/main" id="{00000000-0008-0000-0200-00008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12</xdr:col>
          <xdr:colOff>171450</xdr:colOff>
          <xdr:row>60</xdr:row>
          <xdr:rowOff>247650</xdr:rowOff>
        </xdr:to>
        <xdr:sp macro="" textlink="">
          <xdr:nvSpPr>
            <xdr:cNvPr id="3232" name="Check Box 160" hidden="1">
              <a:extLst>
                <a:ext uri="{63B3BB69-23CF-44E3-9099-C40C66FF867C}">
                  <a14:compatExt spid="_x0000_s3232"/>
                </a:ext>
                <a:ext uri="{FF2B5EF4-FFF2-40B4-BE49-F238E27FC236}">
                  <a16:creationId xmlns:a16="http://schemas.microsoft.com/office/drawing/2014/main" id="{00000000-0008-0000-0200-0000A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12</xdr:col>
          <xdr:colOff>171450</xdr:colOff>
          <xdr:row>62</xdr:row>
          <xdr:rowOff>247650</xdr:rowOff>
        </xdr:to>
        <xdr:sp macro="" textlink="">
          <xdr:nvSpPr>
            <xdr:cNvPr id="3234" name="Check Box 162" hidden="1">
              <a:extLst>
                <a:ext uri="{63B3BB69-23CF-44E3-9099-C40C66FF867C}">
                  <a14:compatExt spid="_x0000_s3234"/>
                </a:ext>
                <a:ext uri="{FF2B5EF4-FFF2-40B4-BE49-F238E27FC236}">
                  <a16:creationId xmlns:a16="http://schemas.microsoft.com/office/drawing/2014/main" id="{00000000-0008-0000-0200-0000A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12</xdr:col>
          <xdr:colOff>171450</xdr:colOff>
          <xdr:row>64</xdr:row>
          <xdr:rowOff>247650</xdr:rowOff>
        </xdr:to>
        <xdr:sp macro="" textlink="">
          <xdr:nvSpPr>
            <xdr:cNvPr id="3236" name="Check Box 164" hidden="1">
              <a:extLst>
                <a:ext uri="{63B3BB69-23CF-44E3-9099-C40C66FF867C}">
                  <a14:compatExt spid="_x0000_s3236"/>
                </a:ext>
                <a:ext uri="{FF2B5EF4-FFF2-40B4-BE49-F238E27FC236}">
                  <a16:creationId xmlns:a16="http://schemas.microsoft.com/office/drawing/2014/main" id="{00000000-0008-0000-0200-0000A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12</xdr:col>
          <xdr:colOff>171450</xdr:colOff>
          <xdr:row>66</xdr:row>
          <xdr:rowOff>247650</xdr:rowOff>
        </xdr:to>
        <xdr:sp macro="" textlink="">
          <xdr:nvSpPr>
            <xdr:cNvPr id="3238" name="Check Box 166" hidden="1">
              <a:extLst>
                <a:ext uri="{63B3BB69-23CF-44E3-9099-C40C66FF867C}">
                  <a14:compatExt spid="_x0000_s3238"/>
                </a:ext>
                <a:ext uri="{FF2B5EF4-FFF2-40B4-BE49-F238E27FC236}">
                  <a16:creationId xmlns:a16="http://schemas.microsoft.com/office/drawing/2014/main" id="{00000000-0008-0000-0200-0000A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12</xdr:col>
          <xdr:colOff>171450</xdr:colOff>
          <xdr:row>68</xdr:row>
          <xdr:rowOff>247650</xdr:rowOff>
        </xdr:to>
        <xdr:sp macro="" textlink="">
          <xdr:nvSpPr>
            <xdr:cNvPr id="3239" name="Check Box 167" hidden="1">
              <a:extLst>
                <a:ext uri="{63B3BB69-23CF-44E3-9099-C40C66FF867C}">
                  <a14:compatExt spid="_x0000_s3239"/>
                </a:ext>
                <a:ext uri="{FF2B5EF4-FFF2-40B4-BE49-F238E27FC236}">
                  <a16:creationId xmlns:a16="http://schemas.microsoft.com/office/drawing/2014/main" id="{00000000-0008-0000-0200-0000A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12</xdr:col>
          <xdr:colOff>171450</xdr:colOff>
          <xdr:row>70</xdr:row>
          <xdr:rowOff>247650</xdr:rowOff>
        </xdr:to>
        <xdr:sp macro="" textlink="">
          <xdr:nvSpPr>
            <xdr:cNvPr id="3241" name="Check Box 169" hidden="1">
              <a:extLst>
                <a:ext uri="{63B3BB69-23CF-44E3-9099-C40C66FF867C}">
                  <a14:compatExt spid="_x0000_s3241"/>
                </a:ext>
                <a:ext uri="{FF2B5EF4-FFF2-40B4-BE49-F238E27FC236}">
                  <a16:creationId xmlns:a16="http://schemas.microsoft.com/office/drawing/2014/main" id="{00000000-0008-0000-0200-0000A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12</xdr:col>
          <xdr:colOff>171450</xdr:colOff>
          <xdr:row>72</xdr:row>
          <xdr:rowOff>247650</xdr:rowOff>
        </xdr:to>
        <xdr:sp macro="" textlink="">
          <xdr:nvSpPr>
            <xdr:cNvPr id="3243" name="Check Box 171" hidden="1">
              <a:extLst>
                <a:ext uri="{63B3BB69-23CF-44E3-9099-C40C66FF867C}">
                  <a14:compatExt spid="_x0000_s3243"/>
                </a:ext>
                <a:ext uri="{FF2B5EF4-FFF2-40B4-BE49-F238E27FC236}">
                  <a16:creationId xmlns:a16="http://schemas.microsoft.com/office/drawing/2014/main" id="{00000000-0008-0000-0200-0000A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12</xdr:col>
          <xdr:colOff>171450</xdr:colOff>
          <xdr:row>74</xdr:row>
          <xdr:rowOff>247650</xdr:rowOff>
        </xdr:to>
        <xdr:sp macro="" textlink="">
          <xdr:nvSpPr>
            <xdr:cNvPr id="3245" name="Check Box 173" hidden="1">
              <a:extLst>
                <a:ext uri="{63B3BB69-23CF-44E3-9099-C40C66FF867C}">
                  <a14:compatExt spid="_x0000_s3245"/>
                </a:ext>
                <a:ext uri="{FF2B5EF4-FFF2-40B4-BE49-F238E27FC236}">
                  <a16:creationId xmlns:a16="http://schemas.microsoft.com/office/drawing/2014/main" id="{00000000-0008-0000-0200-0000A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12</xdr:col>
          <xdr:colOff>171450</xdr:colOff>
          <xdr:row>76</xdr:row>
          <xdr:rowOff>247650</xdr:rowOff>
        </xdr:to>
        <xdr:sp macro="" textlink="">
          <xdr:nvSpPr>
            <xdr:cNvPr id="3246" name="Check Box 174" hidden="1">
              <a:extLst>
                <a:ext uri="{63B3BB69-23CF-44E3-9099-C40C66FF867C}">
                  <a14:compatExt spid="_x0000_s3246"/>
                </a:ext>
                <a:ext uri="{FF2B5EF4-FFF2-40B4-BE49-F238E27FC236}">
                  <a16:creationId xmlns:a16="http://schemas.microsoft.com/office/drawing/2014/main" id="{00000000-0008-0000-0200-0000A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12</xdr:col>
          <xdr:colOff>171450</xdr:colOff>
          <xdr:row>80</xdr:row>
          <xdr:rowOff>266700</xdr:rowOff>
        </xdr:to>
        <xdr:sp macro="" textlink="">
          <xdr:nvSpPr>
            <xdr:cNvPr id="3247" name="Check Box 175" hidden="1">
              <a:extLst>
                <a:ext uri="{63B3BB69-23CF-44E3-9099-C40C66FF867C}">
                  <a14:compatExt spid="_x0000_s3247"/>
                </a:ext>
                <a:ext uri="{FF2B5EF4-FFF2-40B4-BE49-F238E27FC236}">
                  <a16:creationId xmlns:a16="http://schemas.microsoft.com/office/drawing/2014/main" id="{00000000-0008-0000-0200-0000A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12</xdr:col>
          <xdr:colOff>171450</xdr:colOff>
          <xdr:row>82</xdr:row>
          <xdr:rowOff>247650</xdr:rowOff>
        </xdr:to>
        <xdr:sp macro="" textlink="">
          <xdr:nvSpPr>
            <xdr:cNvPr id="3248" name="Check Box 176" hidden="1">
              <a:extLst>
                <a:ext uri="{63B3BB69-23CF-44E3-9099-C40C66FF867C}">
                  <a14:compatExt spid="_x0000_s3248"/>
                </a:ext>
                <a:ext uri="{FF2B5EF4-FFF2-40B4-BE49-F238E27FC236}">
                  <a16:creationId xmlns:a16="http://schemas.microsoft.com/office/drawing/2014/main" id="{00000000-0008-0000-0200-0000B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12</xdr:col>
          <xdr:colOff>171450</xdr:colOff>
          <xdr:row>84</xdr:row>
          <xdr:rowOff>247650</xdr:rowOff>
        </xdr:to>
        <xdr:sp macro="" textlink="">
          <xdr:nvSpPr>
            <xdr:cNvPr id="3249" name="Check Box 177" hidden="1">
              <a:extLst>
                <a:ext uri="{63B3BB69-23CF-44E3-9099-C40C66FF867C}">
                  <a14:compatExt spid="_x0000_s3249"/>
                </a:ext>
                <a:ext uri="{FF2B5EF4-FFF2-40B4-BE49-F238E27FC236}">
                  <a16:creationId xmlns:a16="http://schemas.microsoft.com/office/drawing/2014/main" id="{00000000-0008-0000-0200-0000B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12</xdr:col>
          <xdr:colOff>171450</xdr:colOff>
          <xdr:row>86</xdr:row>
          <xdr:rowOff>266700</xdr:rowOff>
        </xdr:to>
        <xdr:sp macro="" textlink="">
          <xdr:nvSpPr>
            <xdr:cNvPr id="3250" name="Check Box 178" hidden="1">
              <a:extLst>
                <a:ext uri="{63B3BB69-23CF-44E3-9099-C40C66FF867C}">
                  <a14:compatExt spid="_x0000_s3250"/>
                </a:ext>
                <a:ext uri="{FF2B5EF4-FFF2-40B4-BE49-F238E27FC236}">
                  <a16:creationId xmlns:a16="http://schemas.microsoft.com/office/drawing/2014/main" id="{00000000-0008-0000-0200-0000B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88</xdr:row>
          <xdr:rowOff>228600</xdr:rowOff>
        </xdr:from>
        <xdr:to>
          <xdr:col>12</xdr:col>
          <xdr:colOff>171450</xdr:colOff>
          <xdr:row>89</xdr:row>
          <xdr:rowOff>133350</xdr:rowOff>
        </xdr:to>
        <xdr:sp macro="" textlink="">
          <xdr:nvSpPr>
            <xdr:cNvPr id="3251" name="Check Box 179" hidden="1">
              <a:extLst>
                <a:ext uri="{63B3BB69-23CF-44E3-9099-C40C66FF867C}">
                  <a14:compatExt spid="_x0000_s3251"/>
                </a:ext>
                <a:ext uri="{FF2B5EF4-FFF2-40B4-BE49-F238E27FC236}">
                  <a16:creationId xmlns:a16="http://schemas.microsoft.com/office/drawing/2014/main" id="{00000000-0008-0000-0200-0000B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12</xdr:col>
          <xdr:colOff>171450</xdr:colOff>
          <xdr:row>90</xdr:row>
          <xdr:rowOff>247650</xdr:rowOff>
        </xdr:to>
        <xdr:sp macro="" textlink="">
          <xdr:nvSpPr>
            <xdr:cNvPr id="3252" name="Check Box 180" hidden="1">
              <a:extLst>
                <a:ext uri="{63B3BB69-23CF-44E3-9099-C40C66FF867C}">
                  <a14:compatExt spid="_x0000_s3252"/>
                </a:ext>
                <a:ext uri="{FF2B5EF4-FFF2-40B4-BE49-F238E27FC236}">
                  <a16:creationId xmlns:a16="http://schemas.microsoft.com/office/drawing/2014/main" id="{00000000-0008-0000-0200-0000B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12</xdr:col>
          <xdr:colOff>171450</xdr:colOff>
          <xdr:row>92</xdr:row>
          <xdr:rowOff>247650</xdr:rowOff>
        </xdr:to>
        <xdr:sp macro="" textlink="">
          <xdr:nvSpPr>
            <xdr:cNvPr id="3253" name="Check Box 181" hidden="1">
              <a:extLst>
                <a:ext uri="{63B3BB69-23CF-44E3-9099-C40C66FF867C}">
                  <a14:compatExt spid="_x0000_s3253"/>
                </a:ext>
                <a:ext uri="{FF2B5EF4-FFF2-40B4-BE49-F238E27FC236}">
                  <a16:creationId xmlns:a16="http://schemas.microsoft.com/office/drawing/2014/main" id="{00000000-0008-0000-0200-0000B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12</xdr:col>
          <xdr:colOff>171450</xdr:colOff>
          <xdr:row>94</xdr:row>
          <xdr:rowOff>266700</xdr:rowOff>
        </xdr:to>
        <xdr:sp macro="" textlink="">
          <xdr:nvSpPr>
            <xdr:cNvPr id="3254" name="Check Box 182" hidden="1">
              <a:extLst>
                <a:ext uri="{63B3BB69-23CF-44E3-9099-C40C66FF867C}">
                  <a14:compatExt spid="_x0000_s3254"/>
                </a:ext>
                <a:ext uri="{FF2B5EF4-FFF2-40B4-BE49-F238E27FC236}">
                  <a16:creationId xmlns:a16="http://schemas.microsoft.com/office/drawing/2014/main" id="{00000000-0008-0000-0200-0000B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12</xdr:col>
          <xdr:colOff>171450</xdr:colOff>
          <xdr:row>96</xdr:row>
          <xdr:rowOff>266700</xdr:rowOff>
        </xdr:to>
        <xdr:sp macro="" textlink="">
          <xdr:nvSpPr>
            <xdr:cNvPr id="3255" name="Check Box 183" hidden="1">
              <a:extLst>
                <a:ext uri="{63B3BB69-23CF-44E3-9099-C40C66FF867C}">
                  <a14:compatExt spid="_x0000_s3255"/>
                </a:ext>
                <a:ext uri="{FF2B5EF4-FFF2-40B4-BE49-F238E27FC236}">
                  <a16:creationId xmlns:a16="http://schemas.microsoft.com/office/drawing/2014/main" id="{00000000-0008-0000-0200-0000B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12</xdr:col>
          <xdr:colOff>171450</xdr:colOff>
          <xdr:row>98</xdr:row>
          <xdr:rowOff>247650</xdr:rowOff>
        </xdr:to>
        <xdr:sp macro="" textlink="">
          <xdr:nvSpPr>
            <xdr:cNvPr id="3256" name="Check Box 184" hidden="1">
              <a:extLst>
                <a:ext uri="{63B3BB69-23CF-44E3-9099-C40C66FF867C}">
                  <a14:compatExt spid="_x0000_s3256"/>
                </a:ext>
                <a:ext uri="{FF2B5EF4-FFF2-40B4-BE49-F238E27FC236}">
                  <a16:creationId xmlns:a16="http://schemas.microsoft.com/office/drawing/2014/main" id="{00000000-0008-0000-0200-0000B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259080</xdr:rowOff>
        </xdr:from>
        <xdr:to>
          <xdr:col>12</xdr:col>
          <xdr:colOff>171450</xdr:colOff>
          <xdr:row>105</xdr:row>
          <xdr:rowOff>190500</xdr:rowOff>
        </xdr:to>
        <xdr:sp macro="" textlink="">
          <xdr:nvSpPr>
            <xdr:cNvPr id="3261" name="Check Box 189" hidden="1">
              <a:extLst>
                <a:ext uri="{63B3BB69-23CF-44E3-9099-C40C66FF867C}">
                  <a14:compatExt spid="_x0000_s3261"/>
                </a:ext>
                <a:ext uri="{FF2B5EF4-FFF2-40B4-BE49-F238E27FC236}">
                  <a16:creationId xmlns:a16="http://schemas.microsoft.com/office/drawing/2014/main" id="{00000000-0008-0000-0200-0000B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106680</xdr:rowOff>
        </xdr:from>
        <xdr:to>
          <xdr:col>12</xdr:col>
          <xdr:colOff>171450</xdr:colOff>
          <xdr:row>105</xdr:row>
          <xdr:rowOff>323850</xdr:rowOff>
        </xdr:to>
        <xdr:sp macro="" textlink="">
          <xdr:nvSpPr>
            <xdr:cNvPr id="3262" name="Check Box 190" hidden="1">
              <a:extLst>
                <a:ext uri="{63B3BB69-23CF-44E3-9099-C40C66FF867C}">
                  <a14:compatExt spid="_x0000_s3262"/>
                </a:ext>
                <a:ext uri="{FF2B5EF4-FFF2-40B4-BE49-F238E27FC236}">
                  <a16:creationId xmlns:a16="http://schemas.microsoft.com/office/drawing/2014/main" id="{00000000-0008-0000-0200-0000B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259080</xdr:rowOff>
        </xdr:from>
        <xdr:to>
          <xdr:col>12</xdr:col>
          <xdr:colOff>171450</xdr:colOff>
          <xdr:row>107</xdr:row>
          <xdr:rowOff>190500</xdr:rowOff>
        </xdr:to>
        <xdr:sp macro="" textlink="">
          <xdr:nvSpPr>
            <xdr:cNvPr id="3263" name="Check Box 191" hidden="1">
              <a:extLst>
                <a:ext uri="{63B3BB69-23CF-44E3-9099-C40C66FF867C}">
                  <a14:compatExt spid="_x0000_s3263"/>
                </a:ext>
                <a:ext uri="{FF2B5EF4-FFF2-40B4-BE49-F238E27FC236}">
                  <a16:creationId xmlns:a16="http://schemas.microsoft.com/office/drawing/2014/main" id="{00000000-0008-0000-0200-0000B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106680</xdr:rowOff>
        </xdr:from>
        <xdr:to>
          <xdr:col>12</xdr:col>
          <xdr:colOff>171450</xdr:colOff>
          <xdr:row>107</xdr:row>
          <xdr:rowOff>323850</xdr:rowOff>
        </xdr:to>
        <xdr:sp macro="" textlink="">
          <xdr:nvSpPr>
            <xdr:cNvPr id="3264" name="Check Box 192" hidden="1">
              <a:extLst>
                <a:ext uri="{63B3BB69-23CF-44E3-9099-C40C66FF867C}">
                  <a14:compatExt spid="_x0000_s3264"/>
                </a:ext>
                <a:ext uri="{FF2B5EF4-FFF2-40B4-BE49-F238E27FC236}">
                  <a16:creationId xmlns:a16="http://schemas.microsoft.com/office/drawing/2014/main" id="{00000000-0008-0000-0200-0000C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12</xdr:col>
          <xdr:colOff>171450</xdr:colOff>
          <xdr:row>104</xdr:row>
          <xdr:rowOff>266700</xdr:rowOff>
        </xdr:to>
        <xdr:sp macro="" textlink="">
          <xdr:nvSpPr>
            <xdr:cNvPr id="3265" name="Check Box 193" hidden="1">
              <a:extLst>
                <a:ext uri="{63B3BB69-23CF-44E3-9099-C40C66FF867C}">
                  <a14:compatExt spid="_x0000_s3265"/>
                </a:ext>
                <a:ext uri="{FF2B5EF4-FFF2-40B4-BE49-F238E27FC236}">
                  <a16:creationId xmlns:a16="http://schemas.microsoft.com/office/drawing/2014/main" id="{00000000-0008-0000-0200-0000C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12</xdr:col>
          <xdr:colOff>171450</xdr:colOff>
          <xdr:row>106</xdr:row>
          <xdr:rowOff>266700</xdr:rowOff>
        </xdr:to>
        <xdr:sp macro="" textlink="">
          <xdr:nvSpPr>
            <xdr:cNvPr id="3266" name="Check Box 194" hidden="1">
              <a:extLst>
                <a:ext uri="{63B3BB69-23CF-44E3-9099-C40C66FF867C}">
                  <a14:compatExt spid="_x0000_s3266"/>
                </a:ext>
                <a:ext uri="{FF2B5EF4-FFF2-40B4-BE49-F238E27FC236}">
                  <a16:creationId xmlns:a16="http://schemas.microsoft.com/office/drawing/2014/main" id="{00000000-0008-0000-0200-0000C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259080</xdr:rowOff>
        </xdr:from>
        <xdr:to>
          <xdr:col>12</xdr:col>
          <xdr:colOff>171450</xdr:colOff>
          <xdr:row>101</xdr:row>
          <xdr:rowOff>139065</xdr:rowOff>
        </xdr:to>
        <xdr:sp macro="" textlink="">
          <xdr:nvSpPr>
            <xdr:cNvPr id="3267" name="Check Box 195" hidden="1">
              <a:extLst>
                <a:ext uri="{63B3BB69-23CF-44E3-9099-C40C66FF867C}">
                  <a14:compatExt spid="_x0000_s3267"/>
                </a:ext>
                <a:ext uri="{FF2B5EF4-FFF2-40B4-BE49-F238E27FC236}">
                  <a16:creationId xmlns:a16="http://schemas.microsoft.com/office/drawing/2014/main" id="{00000000-0008-0000-0200-0000C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106680</xdr:rowOff>
        </xdr:from>
        <xdr:to>
          <xdr:col>12</xdr:col>
          <xdr:colOff>171450</xdr:colOff>
          <xdr:row>101</xdr:row>
          <xdr:rowOff>323850</xdr:rowOff>
        </xdr:to>
        <xdr:sp macro="" textlink="">
          <xdr:nvSpPr>
            <xdr:cNvPr id="3268" name="Check Box 196" hidden="1">
              <a:extLst>
                <a:ext uri="{63B3BB69-23CF-44E3-9099-C40C66FF867C}">
                  <a14:compatExt spid="_x0000_s3268"/>
                </a:ext>
                <a:ext uri="{FF2B5EF4-FFF2-40B4-BE49-F238E27FC236}">
                  <a16:creationId xmlns:a16="http://schemas.microsoft.com/office/drawing/2014/main" id="{00000000-0008-0000-0200-0000C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259080</xdr:rowOff>
        </xdr:from>
        <xdr:to>
          <xdr:col>12</xdr:col>
          <xdr:colOff>171450</xdr:colOff>
          <xdr:row>103</xdr:row>
          <xdr:rowOff>139065</xdr:rowOff>
        </xdr:to>
        <xdr:sp macro="" textlink="">
          <xdr:nvSpPr>
            <xdr:cNvPr id="3269" name="Check Box 197" hidden="1">
              <a:extLst>
                <a:ext uri="{63B3BB69-23CF-44E3-9099-C40C66FF867C}">
                  <a14:compatExt spid="_x0000_s3269"/>
                </a:ext>
                <a:ext uri="{FF2B5EF4-FFF2-40B4-BE49-F238E27FC236}">
                  <a16:creationId xmlns:a16="http://schemas.microsoft.com/office/drawing/2014/main" id="{00000000-0008-0000-0200-0000C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106680</xdr:rowOff>
        </xdr:from>
        <xdr:to>
          <xdr:col>12</xdr:col>
          <xdr:colOff>171450</xdr:colOff>
          <xdr:row>103</xdr:row>
          <xdr:rowOff>323850</xdr:rowOff>
        </xdr:to>
        <xdr:sp macro="" textlink="">
          <xdr:nvSpPr>
            <xdr:cNvPr id="3270" name="Check Box 198" hidden="1">
              <a:extLst>
                <a:ext uri="{63B3BB69-23CF-44E3-9099-C40C66FF867C}">
                  <a14:compatExt spid="_x0000_s3270"/>
                </a:ext>
                <a:ext uri="{FF2B5EF4-FFF2-40B4-BE49-F238E27FC236}">
                  <a16:creationId xmlns:a16="http://schemas.microsoft.com/office/drawing/2014/main" id="{00000000-0008-0000-0200-0000C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12</xdr:col>
          <xdr:colOff>171450</xdr:colOff>
          <xdr:row>100</xdr:row>
          <xdr:rowOff>266700</xdr:rowOff>
        </xdr:to>
        <xdr:sp macro="" textlink="">
          <xdr:nvSpPr>
            <xdr:cNvPr id="3271" name="Check Box 199" hidden="1">
              <a:extLst>
                <a:ext uri="{63B3BB69-23CF-44E3-9099-C40C66FF867C}">
                  <a14:compatExt spid="_x0000_s3271"/>
                </a:ext>
                <a:ext uri="{FF2B5EF4-FFF2-40B4-BE49-F238E27FC236}">
                  <a16:creationId xmlns:a16="http://schemas.microsoft.com/office/drawing/2014/main" id="{00000000-0008-0000-0200-0000C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12</xdr:col>
          <xdr:colOff>171450</xdr:colOff>
          <xdr:row>102</xdr:row>
          <xdr:rowOff>266700</xdr:rowOff>
        </xdr:to>
        <xdr:sp macro="" textlink="">
          <xdr:nvSpPr>
            <xdr:cNvPr id="3272" name="Check Box 200" hidden="1">
              <a:extLst>
                <a:ext uri="{63B3BB69-23CF-44E3-9099-C40C66FF867C}">
                  <a14:compatExt spid="_x0000_s3272"/>
                </a:ext>
                <a:ext uri="{FF2B5EF4-FFF2-40B4-BE49-F238E27FC236}">
                  <a16:creationId xmlns:a16="http://schemas.microsoft.com/office/drawing/2014/main" id="{00000000-0008-0000-0200-0000C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266700</xdr:rowOff>
        </xdr:from>
        <xdr:to>
          <xdr:col>12</xdr:col>
          <xdr:colOff>171450</xdr:colOff>
          <xdr:row>129</xdr:row>
          <xdr:rowOff>171450</xdr:rowOff>
        </xdr:to>
        <xdr:sp macro="" textlink="">
          <xdr:nvSpPr>
            <xdr:cNvPr id="3281" name="Check Box 209" hidden="1">
              <a:extLst>
                <a:ext uri="{63B3BB69-23CF-44E3-9099-C40C66FF867C}">
                  <a14:compatExt spid="_x0000_s3281"/>
                </a:ext>
                <a:ext uri="{FF2B5EF4-FFF2-40B4-BE49-F238E27FC236}">
                  <a16:creationId xmlns:a16="http://schemas.microsoft.com/office/drawing/2014/main" id="{00000000-0008-0000-0200-0000D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144780</xdr:rowOff>
        </xdr:from>
        <xdr:to>
          <xdr:col>12</xdr:col>
          <xdr:colOff>171450</xdr:colOff>
          <xdr:row>130</xdr:row>
          <xdr:rowOff>0</xdr:rowOff>
        </xdr:to>
        <xdr:sp macro="" textlink="">
          <xdr:nvSpPr>
            <xdr:cNvPr id="3282" name="Check Box 210" hidden="1">
              <a:extLst>
                <a:ext uri="{63B3BB69-23CF-44E3-9099-C40C66FF867C}">
                  <a14:compatExt spid="_x0000_s3282"/>
                </a:ext>
                <a:ext uri="{FF2B5EF4-FFF2-40B4-BE49-F238E27FC236}">
                  <a16:creationId xmlns:a16="http://schemas.microsoft.com/office/drawing/2014/main" id="{00000000-0008-0000-0200-0000D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12</xdr:col>
          <xdr:colOff>171450</xdr:colOff>
          <xdr:row>128</xdr:row>
          <xdr:rowOff>323850</xdr:rowOff>
        </xdr:to>
        <xdr:sp macro="" textlink="">
          <xdr:nvSpPr>
            <xdr:cNvPr id="3283" name="Check Box 211" hidden="1">
              <a:extLst>
                <a:ext uri="{63B3BB69-23CF-44E3-9099-C40C66FF867C}">
                  <a14:compatExt spid="_x0000_s3283"/>
                </a:ext>
                <a:ext uri="{FF2B5EF4-FFF2-40B4-BE49-F238E27FC236}">
                  <a16:creationId xmlns:a16="http://schemas.microsoft.com/office/drawing/2014/main" id="{00000000-0008-0000-0200-0000D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266700</xdr:rowOff>
        </xdr:from>
        <xdr:to>
          <xdr:col>12</xdr:col>
          <xdr:colOff>171450</xdr:colOff>
          <xdr:row>131</xdr:row>
          <xdr:rowOff>171450</xdr:rowOff>
        </xdr:to>
        <xdr:sp macro="" textlink="">
          <xdr:nvSpPr>
            <xdr:cNvPr id="3284" name="Check Box 212" hidden="1">
              <a:extLst>
                <a:ext uri="{63B3BB69-23CF-44E3-9099-C40C66FF867C}">
                  <a14:compatExt spid="_x0000_s3284"/>
                </a:ext>
                <a:ext uri="{FF2B5EF4-FFF2-40B4-BE49-F238E27FC236}">
                  <a16:creationId xmlns:a16="http://schemas.microsoft.com/office/drawing/2014/main" id="{00000000-0008-0000-0200-0000D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144780</xdr:rowOff>
        </xdr:from>
        <xdr:to>
          <xdr:col>12</xdr:col>
          <xdr:colOff>171450</xdr:colOff>
          <xdr:row>132</xdr:row>
          <xdr:rowOff>0</xdr:rowOff>
        </xdr:to>
        <xdr:sp macro="" textlink="">
          <xdr:nvSpPr>
            <xdr:cNvPr id="3285" name="Check Box 213" hidden="1">
              <a:extLst>
                <a:ext uri="{63B3BB69-23CF-44E3-9099-C40C66FF867C}">
                  <a14:compatExt spid="_x0000_s3285"/>
                </a:ext>
                <a:ext uri="{FF2B5EF4-FFF2-40B4-BE49-F238E27FC236}">
                  <a16:creationId xmlns:a16="http://schemas.microsoft.com/office/drawing/2014/main" id="{00000000-0008-0000-0200-0000D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12</xdr:col>
          <xdr:colOff>171450</xdr:colOff>
          <xdr:row>130</xdr:row>
          <xdr:rowOff>323850</xdr:rowOff>
        </xdr:to>
        <xdr:sp macro="" textlink="">
          <xdr:nvSpPr>
            <xdr:cNvPr id="3286" name="Check Box 214" hidden="1">
              <a:extLst>
                <a:ext uri="{63B3BB69-23CF-44E3-9099-C40C66FF867C}">
                  <a14:compatExt spid="_x0000_s3286"/>
                </a:ext>
                <a:ext uri="{FF2B5EF4-FFF2-40B4-BE49-F238E27FC236}">
                  <a16:creationId xmlns:a16="http://schemas.microsoft.com/office/drawing/2014/main" id="{00000000-0008-0000-0200-0000D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12</xdr:col>
          <xdr:colOff>171450</xdr:colOff>
          <xdr:row>109</xdr:row>
          <xdr:rowOff>171450</xdr:rowOff>
        </xdr:to>
        <xdr:sp macro="" textlink="">
          <xdr:nvSpPr>
            <xdr:cNvPr id="3311" name="Check Box 239" hidden="1">
              <a:extLst>
                <a:ext uri="{63B3BB69-23CF-44E3-9099-C40C66FF867C}">
                  <a14:compatExt spid="_x0000_s3311"/>
                </a:ext>
                <a:ext uri="{FF2B5EF4-FFF2-40B4-BE49-F238E27FC236}">
                  <a16:creationId xmlns:a16="http://schemas.microsoft.com/office/drawing/2014/main" id="{00000000-0008-0000-0200-0000E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12</xdr:col>
          <xdr:colOff>171450</xdr:colOff>
          <xdr:row>110</xdr:row>
          <xdr:rowOff>0</xdr:rowOff>
        </xdr:to>
        <xdr:sp macro="" textlink="">
          <xdr:nvSpPr>
            <xdr:cNvPr id="3312" name="Check Box 240" hidden="1">
              <a:extLst>
                <a:ext uri="{63B3BB69-23CF-44E3-9099-C40C66FF867C}">
                  <a14:compatExt spid="_x0000_s3312"/>
                </a:ext>
                <a:ext uri="{FF2B5EF4-FFF2-40B4-BE49-F238E27FC236}">
                  <a16:creationId xmlns:a16="http://schemas.microsoft.com/office/drawing/2014/main" id="{00000000-0008-0000-0200-0000F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12</xdr:col>
          <xdr:colOff>171450</xdr:colOff>
          <xdr:row>108</xdr:row>
          <xdr:rowOff>285750</xdr:rowOff>
        </xdr:to>
        <xdr:sp macro="" textlink="">
          <xdr:nvSpPr>
            <xdr:cNvPr id="3313" name="Check Box 241" hidden="1">
              <a:extLst>
                <a:ext uri="{63B3BB69-23CF-44E3-9099-C40C66FF867C}">
                  <a14:compatExt spid="_x0000_s3313"/>
                </a:ext>
                <a:ext uri="{FF2B5EF4-FFF2-40B4-BE49-F238E27FC236}">
                  <a16:creationId xmlns:a16="http://schemas.microsoft.com/office/drawing/2014/main" id="{00000000-0008-0000-0200-0000F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12</xdr:col>
          <xdr:colOff>171450</xdr:colOff>
          <xdr:row>111</xdr:row>
          <xdr:rowOff>171450</xdr:rowOff>
        </xdr:to>
        <xdr:sp macro="" textlink="">
          <xdr:nvSpPr>
            <xdr:cNvPr id="3314" name="Check Box 242" hidden="1">
              <a:extLst>
                <a:ext uri="{63B3BB69-23CF-44E3-9099-C40C66FF867C}">
                  <a14:compatExt spid="_x0000_s3314"/>
                </a:ext>
                <a:ext uri="{FF2B5EF4-FFF2-40B4-BE49-F238E27FC236}">
                  <a16:creationId xmlns:a16="http://schemas.microsoft.com/office/drawing/2014/main" id="{00000000-0008-0000-0200-0000F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12</xdr:col>
          <xdr:colOff>171450</xdr:colOff>
          <xdr:row>112</xdr:row>
          <xdr:rowOff>0</xdr:rowOff>
        </xdr:to>
        <xdr:sp macro="" textlink="">
          <xdr:nvSpPr>
            <xdr:cNvPr id="3315" name="Check Box 243" hidden="1">
              <a:extLst>
                <a:ext uri="{63B3BB69-23CF-44E3-9099-C40C66FF867C}">
                  <a14:compatExt spid="_x0000_s3315"/>
                </a:ext>
                <a:ext uri="{FF2B5EF4-FFF2-40B4-BE49-F238E27FC236}">
                  <a16:creationId xmlns:a16="http://schemas.microsoft.com/office/drawing/2014/main" id="{00000000-0008-0000-0200-0000F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12</xdr:col>
          <xdr:colOff>171450</xdr:colOff>
          <xdr:row>110</xdr:row>
          <xdr:rowOff>323850</xdr:rowOff>
        </xdr:to>
        <xdr:sp macro="" textlink="">
          <xdr:nvSpPr>
            <xdr:cNvPr id="3316" name="Check Box 244" hidden="1">
              <a:extLst>
                <a:ext uri="{63B3BB69-23CF-44E3-9099-C40C66FF867C}">
                  <a14:compatExt spid="_x0000_s3316"/>
                </a:ext>
                <a:ext uri="{FF2B5EF4-FFF2-40B4-BE49-F238E27FC236}">
                  <a16:creationId xmlns:a16="http://schemas.microsoft.com/office/drawing/2014/main" id="{00000000-0008-0000-0200-0000F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12</xdr:col>
          <xdr:colOff>171450</xdr:colOff>
          <xdr:row>113</xdr:row>
          <xdr:rowOff>171450</xdr:rowOff>
        </xdr:to>
        <xdr:sp macro="" textlink="">
          <xdr:nvSpPr>
            <xdr:cNvPr id="3317" name="Check Box 245" hidden="1">
              <a:extLst>
                <a:ext uri="{63B3BB69-23CF-44E3-9099-C40C66FF867C}">
                  <a14:compatExt spid="_x0000_s3317"/>
                </a:ext>
                <a:ext uri="{FF2B5EF4-FFF2-40B4-BE49-F238E27FC236}">
                  <a16:creationId xmlns:a16="http://schemas.microsoft.com/office/drawing/2014/main" id="{00000000-0008-0000-0200-0000F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12</xdr:col>
          <xdr:colOff>171450</xdr:colOff>
          <xdr:row>114</xdr:row>
          <xdr:rowOff>0</xdr:rowOff>
        </xdr:to>
        <xdr:sp macro="" textlink="">
          <xdr:nvSpPr>
            <xdr:cNvPr id="3318" name="Check Box 246" hidden="1">
              <a:extLst>
                <a:ext uri="{63B3BB69-23CF-44E3-9099-C40C66FF867C}">
                  <a14:compatExt spid="_x0000_s3318"/>
                </a:ext>
                <a:ext uri="{FF2B5EF4-FFF2-40B4-BE49-F238E27FC236}">
                  <a16:creationId xmlns:a16="http://schemas.microsoft.com/office/drawing/2014/main" id="{00000000-0008-0000-0200-0000F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12</xdr:col>
          <xdr:colOff>171450</xdr:colOff>
          <xdr:row>112</xdr:row>
          <xdr:rowOff>285750</xdr:rowOff>
        </xdr:to>
        <xdr:sp macro="" textlink="">
          <xdr:nvSpPr>
            <xdr:cNvPr id="3319" name="Check Box 247" hidden="1">
              <a:extLst>
                <a:ext uri="{63B3BB69-23CF-44E3-9099-C40C66FF867C}">
                  <a14:compatExt spid="_x0000_s3319"/>
                </a:ext>
                <a:ext uri="{FF2B5EF4-FFF2-40B4-BE49-F238E27FC236}">
                  <a16:creationId xmlns:a16="http://schemas.microsoft.com/office/drawing/2014/main" id="{00000000-0008-0000-0200-0000F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12</xdr:col>
          <xdr:colOff>171450</xdr:colOff>
          <xdr:row>115</xdr:row>
          <xdr:rowOff>76200</xdr:rowOff>
        </xdr:to>
        <xdr:sp macro="" textlink="">
          <xdr:nvSpPr>
            <xdr:cNvPr id="3320" name="Check Box 248" hidden="1">
              <a:extLst>
                <a:ext uri="{63B3BB69-23CF-44E3-9099-C40C66FF867C}">
                  <a14:compatExt spid="_x0000_s3320"/>
                </a:ext>
                <a:ext uri="{FF2B5EF4-FFF2-40B4-BE49-F238E27FC236}">
                  <a16:creationId xmlns:a16="http://schemas.microsoft.com/office/drawing/2014/main" id="{00000000-0008-0000-0200-0000F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106680</xdr:rowOff>
        </xdr:from>
        <xdr:to>
          <xdr:col>12</xdr:col>
          <xdr:colOff>171450</xdr:colOff>
          <xdr:row>115</xdr:row>
          <xdr:rowOff>323850</xdr:rowOff>
        </xdr:to>
        <xdr:sp macro="" textlink="">
          <xdr:nvSpPr>
            <xdr:cNvPr id="3321" name="Check Box 249" hidden="1">
              <a:extLst>
                <a:ext uri="{63B3BB69-23CF-44E3-9099-C40C66FF867C}">
                  <a14:compatExt spid="_x0000_s3321"/>
                </a:ext>
                <a:ext uri="{FF2B5EF4-FFF2-40B4-BE49-F238E27FC236}">
                  <a16:creationId xmlns:a16="http://schemas.microsoft.com/office/drawing/2014/main" id="{00000000-0008-0000-0200-0000F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12</xdr:col>
          <xdr:colOff>171450</xdr:colOff>
          <xdr:row>114</xdr:row>
          <xdr:rowOff>323850</xdr:rowOff>
        </xdr:to>
        <xdr:sp macro="" textlink="">
          <xdr:nvSpPr>
            <xdr:cNvPr id="3322" name="Check Box 250" hidden="1">
              <a:extLst>
                <a:ext uri="{63B3BB69-23CF-44E3-9099-C40C66FF867C}">
                  <a14:compatExt spid="_x0000_s3322"/>
                </a:ext>
                <a:ext uri="{FF2B5EF4-FFF2-40B4-BE49-F238E27FC236}">
                  <a16:creationId xmlns:a16="http://schemas.microsoft.com/office/drawing/2014/main" id="{00000000-0008-0000-0200-0000F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12</xdr:col>
          <xdr:colOff>171450</xdr:colOff>
          <xdr:row>117</xdr:row>
          <xdr:rowOff>171450</xdr:rowOff>
        </xdr:to>
        <xdr:sp macro="" textlink="">
          <xdr:nvSpPr>
            <xdr:cNvPr id="3323" name="Check Box 251" hidden="1">
              <a:extLst>
                <a:ext uri="{63B3BB69-23CF-44E3-9099-C40C66FF867C}">
                  <a14:compatExt spid="_x0000_s3323"/>
                </a:ext>
                <a:ext uri="{FF2B5EF4-FFF2-40B4-BE49-F238E27FC236}">
                  <a16:creationId xmlns:a16="http://schemas.microsoft.com/office/drawing/2014/main" id="{00000000-0008-0000-0200-0000F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12</xdr:col>
          <xdr:colOff>171450</xdr:colOff>
          <xdr:row>118</xdr:row>
          <xdr:rowOff>0</xdr:rowOff>
        </xdr:to>
        <xdr:sp macro="" textlink="">
          <xdr:nvSpPr>
            <xdr:cNvPr id="3324" name="Check Box 252" hidden="1">
              <a:extLst>
                <a:ext uri="{63B3BB69-23CF-44E3-9099-C40C66FF867C}">
                  <a14:compatExt spid="_x0000_s3324"/>
                </a:ext>
                <a:ext uri="{FF2B5EF4-FFF2-40B4-BE49-F238E27FC236}">
                  <a16:creationId xmlns:a16="http://schemas.microsoft.com/office/drawing/2014/main" id="{00000000-0008-0000-0200-0000F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12</xdr:col>
          <xdr:colOff>171450</xdr:colOff>
          <xdr:row>116</xdr:row>
          <xdr:rowOff>323850</xdr:rowOff>
        </xdr:to>
        <xdr:sp macro="" textlink="">
          <xdr:nvSpPr>
            <xdr:cNvPr id="3325" name="Check Box 253" hidden="1">
              <a:extLst>
                <a:ext uri="{63B3BB69-23CF-44E3-9099-C40C66FF867C}">
                  <a14:compatExt spid="_x0000_s3325"/>
                </a:ext>
                <a:ext uri="{FF2B5EF4-FFF2-40B4-BE49-F238E27FC236}">
                  <a16:creationId xmlns:a16="http://schemas.microsoft.com/office/drawing/2014/main" id="{00000000-0008-0000-0200-0000F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12</xdr:col>
          <xdr:colOff>171450</xdr:colOff>
          <xdr:row>119</xdr:row>
          <xdr:rowOff>171450</xdr:rowOff>
        </xdr:to>
        <xdr:sp macro="" textlink="">
          <xdr:nvSpPr>
            <xdr:cNvPr id="3326" name="Check Box 254" hidden="1">
              <a:extLst>
                <a:ext uri="{63B3BB69-23CF-44E3-9099-C40C66FF867C}">
                  <a14:compatExt spid="_x0000_s3326"/>
                </a:ext>
                <a:ext uri="{FF2B5EF4-FFF2-40B4-BE49-F238E27FC236}">
                  <a16:creationId xmlns:a16="http://schemas.microsoft.com/office/drawing/2014/main" id="{00000000-0008-0000-0200-0000F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12</xdr:col>
          <xdr:colOff>171450</xdr:colOff>
          <xdr:row>120</xdr:row>
          <xdr:rowOff>0</xdr:rowOff>
        </xdr:to>
        <xdr:sp macro="" textlink="">
          <xdr:nvSpPr>
            <xdr:cNvPr id="3327" name="Check Box 255" hidden="1">
              <a:extLst>
                <a:ext uri="{63B3BB69-23CF-44E3-9099-C40C66FF867C}">
                  <a14:compatExt spid="_x0000_s3327"/>
                </a:ext>
                <a:ext uri="{FF2B5EF4-FFF2-40B4-BE49-F238E27FC236}">
                  <a16:creationId xmlns:a16="http://schemas.microsoft.com/office/drawing/2014/main" id="{00000000-0008-0000-0200-0000F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12</xdr:col>
          <xdr:colOff>171450</xdr:colOff>
          <xdr:row>118</xdr:row>
          <xdr:rowOff>323850</xdr:rowOff>
        </xdr:to>
        <xdr:sp macro="" textlink="">
          <xdr:nvSpPr>
            <xdr:cNvPr id="3328" name="Check Box 256" hidden="1">
              <a:extLst>
                <a:ext uri="{63B3BB69-23CF-44E3-9099-C40C66FF867C}">
                  <a14:compatExt spid="_x0000_s3328"/>
                </a:ext>
                <a:ext uri="{FF2B5EF4-FFF2-40B4-BE49-F238E27FC236}">
                  <a16:creationId xmlns:a16="http://schemas.microsoft.com/office/drawing/2014/main" id="{00000000-0008-0000-0200-00000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266700</xdr:rowOff>
        </xdr:from>
        <xdr:to>
          <xdr:col>12</xdr:col>
          <xdr:colOff>171450</xdr:colOff>
          <xdr:row>121</xdr:row>
          <xdr:rowOff>171450</xdr:rowOff>
        </xdr:to>
        <xdr:sp macro="" textlink="">
          <xdr:nvSpPr>
            <xdr:cNvPr id="3329" name="Check Box 257" hidden="1">
              <a:extLst>
                <a:ext uri="{63B3BB69-23CF-44E3-9099-C40C66FF867C}">
                  <a14:compatExt spid="_x0000_s3329"/>
                </a:ext>
                <a:ext uri="{FF2B5EF4-FFF2-40B4-BE49-F238E27FC236}">
                  <a16:creationId xmlns:a16="http://schemas.microsoft.com/office/drawing/2014/main" id="{00000000-0008-0000-0200-00000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144780</xdr:rowOff>
        </xdr:from>
        <xdr:to>
          <xdr:col>12</xdr:col>
          <xdr:colOff>171450</xdr:colOff>
          <xdr:row>122</xdr:row>
          <xdr:rowOff>0</xdr:rowOff>
        </xdr:to>
        <xdr:sp macro="" textlink="">
          <xdr:nvSpPr>
            <xdr:cNvPr id="3330" name="Check Box 258" hidden="1">
              <a:extLst>
                <a:ext uri="{63B3BB69-23CF-44E3-9099-C40C66FF867C}">
                  <a14:compatExt spid="_x0000_s3330"/>
                </a:ext>
                <a:ext uri="{FF2B5EF4-FFF2-40B4-BE49-F238E27FC236}">
                  <a16:creationId xmlns:a16="http://schemas.microsoft.com/office/drawing/2014/main" id="{00000000-0008-0000-0200-00000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12</xdr:col>
          <xdr:colOff>171450</xdr:colOff>
          <xdr:row>120</xdr:row>
          <xdr:rowOff>323850</xdr:rowOff>
        </xdr:to>
        <xdr:sp macro="" textlink="">
          <xdr:nvSpPr>
            <xdr:cNvPr id="3331" name="Check Box 259" hidden="1">
              <a:extLst>
                <a:ext uri="{63B3BB69-23CF-44E3-9099-C40C66FF867C}">
                  <a14:compatExt spid="_x0000_s3331"/>
                </a:ext>
                <a:ext uri="{FF2B5EF4-FFF2-40B4-BE49-F238E27FC236}">
                  <a16:creationId xmlns:a16="http://schemas.microsoft.com/office/drawing/2014/main" id="{00000000-0008-0000-0200-00000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12</xdr:col>
          <xdr:colOff>171450</xdr:colOff>
          <xdr:row>123</xdr:row>
          <xdr:rowOff>171450</xdr:rowOff>
        </xdr:to>
        <xdr:sp macro="" textlink="">
          <xdr:nvSpPr>
            <xdr:cNvPr id="3332" name="Check Box 260" hidden="1">
              <a:extLst>
                <a:ext uri="{63B3BB69-23CF-44E3-9099-C40C66FF867C}">
                  <a14:compatExt spid="_x0000_s3332"/>
                </a:ext>
                <a:ext uri="{FF2B5EF4-FFF2-40B4-BE49-F238E27FC236}">
                  <a16:creationId xmlns:a16="http://schemas.microsoft.com/office/drawing/2014/main" id="{00000000-0008-0000-0200-00000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12</xdr:col>
          <xdr:colOff>171450</xdr:colOff>
          <xdr:row>124</xdr:row>
          <xdr:rowOff>0</xdr:rowOff>
        </xdr:to>
        <xdr:sp macro="" textlink="">
          <xdr:nvSpPr>
            <xdr:cNvPr id="3333" name="Check Box 261" hidden="1">
              <a:extLst>
                <a:ext uri="{63B3BB69-23CF-44E3-9099-C40C66FF867C}">
                  <a14:compatExt spid="_x0000_s3333"/>
                </a:ext>
                <a:ext uri="{FF2B5EF4-FFF2-40B4-BE49-F238E27FC236}">
                  <a16:creationId xmlns:a16="http://schemas.microsoft.com/office/drawing/2014/main" id="{00000000-0008-0000-0200-00000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12</xdr:col>
          <xdr:colOff>171450</xdr:colOff>
          <xdr:row>122</xdr:row>
          <xdr:rowOff>323850</xdr:rowOff>
        </xdr:to>
        <xdr:sp macro="" textlink="">
          <xdr:nvSpPr>
            <xdr:cNvPr id="3334" name="Check Box 262" hidden="1">
              <a:extLst>
                <a:ext uri="{63B3BB69-23CF-44E3-9099-C40C66FF867C}">
                  <a14:compatExt spid="_x0000_s3334"/>
                </a:ext>
                <a:ext uri="{FF2B5EF4-FFF2-40B4-BE49-F238E27FC236}">
                  <a16:creationId xmlns:a16="http://schemas.microsoft.com/office/drawing/2014/main" id="{00000000-0008-0000-0200-00000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12</xdr:col>
          <xdr:colOff>171450</xdr:colOff>
          <xdr:row>125</xdr:row>
          <xdr:rowOff>171450</xdr:rowOff>
        </xdr:to>
        <xdr:sp macro="" textlink="">
          <xdr:nvSpPr>
            <xdr:cNvPr id="3335" name="Check Box 263" hidden="1">
              <a:extLst>
                <a:ext uri="{63B3BB69-23CF-44E3-9099-C40C66FF867C}">
                  <a14:compatExt spid="_x0000_s3335"/>
                </a:ext>
                <a:ext uri="{FF2B5EF4-FFF2-40B4-BE49-F238E27FC236}">
                  <a16:creationId xmlns:a16="http://schemas.microsoft.com/office/drawing/2014/main" id="{00000000-0008-0000-0200-00000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12</xdr:col>
          <xdr:colOff>171450</xdr:colOff>
          <xdr:row>126</xdr:row>
          <xdr:rowOff>0</xdr:rowOff>
        </xdr:to>
        <xdr:sp macro="" textlink="">
          <xdr:nvSpPr>
            <xdr:cNvPr id="3336" name="Check Box 264" hidden="1">
              <a:extLst>
                <a:ext uri="{63B3BB69-23CF-44E3-9099-C40C66FF867C}">
                  <a14:compatExt spid="_x0000_s3336"/>
                </a:ext>
                <a:ext uri="{FF2B5EF4-FFF2-40B4-BE49-F238E27FC236}">
                  <a16:creationId xmlns:a16="http://schemas.microsoft.com/office/drawing/2014/main" id="{00000000-0008-0000-0200-00000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12</xdr:col>
          <xdr:colOff>171450</xdr:colOff>
          <xdr:row>124</xdr:row>
          <xdr:rowOff>323850</xdr:rowOff>
        </xdr:to>
        <xdr:sp macro="" textlink="">
          <xdr:nvSpPr>
            <xdr:cNvPr id="3337" name="Check Box 265" hidden="1">
              <a:extLst>
                <a:ext uri="{63B3BB69-23CF-44E3-9099-C40C66FF867C}">
                  <a14:compatExt spid="_x0000_s3337"/>
                </a:ext>
                <a:ext uri="{FF2B5EF4-FFF2-40B4-BE49-F238E27FC236}">
                  <a16:creationId xmlns:a16="http://schemas.microsoft.com/office/drawing/2014/main" id="{00000000-0008-0000-0200-00000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12</xdr:col>
          <xdr:colOff>171450</xdr:colOff>
          <xdr:row>127</xdr:row>
          <xdr:rowOff>171450</xdr:rowOff>
        </xdr:to>
        <xdr:sp macro="" textlink="">
          <xdr:nvSpPr>
            <xdr:cNvPr id="3338" name="Check Box 266" hidden="1">
              <a:extLst>
                <a:ext uri="{63B3BB69-23CF-44E3-9099-C40C66FF867C}">
                  <a14:compatExt spid="_x0000_s3338"/>
                </a:ext>
                <a:ext uri="{FF2B5EF4-FFF2-40B4-BE49-F238E27FC236}">
                  <a16:creationId xmlns:a16="http://schemas.microsoft.com/office/drawing/2014/main" id="{00000000-0008-0000-0200-00000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12</xdr:col>
          <xdr:colOff>171450</xdr:colOff>
          <xdr:row>128</xdr:row>
          <xdr:rowOff>0</xdr:rowOff>
        </xdr:to>
        <xdr:sp macro="" textlink="">
          <xdr:nvSpPr>
            <xdr:cNvPr id="3339" name="Check Box 267" hidden="1">
              <a:extLst>
                <a:ext uri="{63B3BB69-23CF-44E3-9099-C40C66FF867C}">
                  <a14:compatExt spid="_x0000_s3339"/>
                </a:ext>
                <a:ext uri="{FF2B5EF4-FFF2-40B4-BE49-F238E27FC236}">
                  <a16:creationId xmlns:a16="http://schemas.microsoft.com/office/drawing/2014/main" id="{00000000-0008-0000-0200-00000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12</xdr:col>
          <xdr:colOff>171450</xdr:colOff>
          <xdr:row>126</xdr:row>
          <xdr:rowOff>323850</xdr:rowOff>
        </xdr:to>
        <xdr:sp macro="" textlink="">
          <xdr:nvSpPr>
            <xdr:cNvPr id="3340" name="Check Box 268" hidden="1">
              <a:extLst>
                <a:ext uri="{63B3BB69-23CF-44E3-9099-C40C66FF867C}">
                  <a14:compatExt spid="_x0000_s3340"/>
                </a:ext>
                <a:ext uri="{FF2B5EF4-FFF2-40B4-BE49-F238E27FC236}">
                  <a16:creationId xmlns:a16="http://schemas.microsoft.com/office/drawing/2014/main" id="{00000000-0008-0000-0200-00000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266700</xdr:rowOff>
        </xdr:from>
        <xdr:to>
          <xdr:col>12</xdr:col>
          <xdr:colOff>171450</xdr:colOff>
          <xdr:row>135</xdr:row>
          <xdr:rowOff>171450</xdr:rowOff>
        </xdr:to>
        <xdr:sp macro="" textlink="">
          <xdr:nvSpPr>
            <xdr:cNvPr id="3350" name="Check Box 278" hidden="1">
              <a:extLst>
                <a:ext uri="{63B3BB69-23CF-44E3-9099-C40C66FF867C}">
                  <a14:compatExt spid="_x0000_s3350"/>
                </a:ext>
                <a:ext uri="{FF2B5EF4-FFF2-40B4-BE49-F238E27FC236}">
                  <a16:creationId xmlns:a16="http://schemas.microsoft.com/office/drawing/2014/main" id="{00000000-0008-0000-0200-00001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144780</xdr:rowOff>
        </xdr:from>
        <xdr:to>
          <xdr:col>12</xdr:col>
          <xdr:colOff>171450</xdr:colOff>
          <xdr:row>136</xdr:row>
          <xdr:rowOff>0</xdr:rowOff>
        </xdr:to>
        <xdr:sp macro="" textlink="">
          <xdr:nvSpPr>
            <xdr:cNvPr id="3351" name="Check Box 279" hidden="1">
              <a:extLst>
                <a:ext uri="{63B3BB69-23CF-44E3-9099-C40C66FF867C}">
                  <a14:compatExt spid="_x0000_s3351"/>
                </a:ext>
                <a:ext uri="{FF2B5EF4-FFF2-40B4-BE49-F238E27FC236}">
                  <a16:creationId xmlns:a16="http://schemas.microsoft.com/office/drawing/2014/main" id="{00000000-0008-0000-0200-00001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12</xdr:col>
          <xdr:colOff>171450</xdr:colOff>
          <xdr:row>134</xdr:row>
          <xdr:rowOff>323850</xdr:rowOff>
        </xdr:to>
        <xdr:sp macro="" textlink="">
          <xdr:nvSpPr>
            <xdr:cNvPr id="3352" name="Check Box 280" hidden="1">
              <a:extLst>
                <a:ext uri="{63B3BB69-23CF-44E3-9099-C40C66FF867C}">
                  <a14:compatExt spid="_x0000_s3352"/>
                </a:ext>
                <a:ext uri="{FF2B5EF4-FFF2-40B4-BE49-F238E27FC236}">
                  <a16:creationId xmlns:a16="http://schemas.microsoft.com/office/drawing/2014/main" id="{00000000-0008-0000-0200-00001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266700</xdr:rowOff>
        </xdr:from>
        <xdr:to>
          <xdr:col>12</xdr:col>
          <xdr:colOff>171450</xdr:colOff>
          <xdr:row>133</xdr:row>
          <xdr:rowOff>171450</xdr:rowOff>
        </xdr:to>
        <xdr:sp macro="" textlink="">
          <xdr:nvSpPr>
            <xdr:cNvPr id="3392" name="Check Box 320" hidden="1">
              <a:extLst>
                <a:ext uri="{63B3BB69-23CF-44E3-9099-C40C66FF867C}">
                  <a14:compatExt spid="_x0000_s3392"/>
                </a:ext>
                <a:ext uri="{FF2B5EF4-FFF2-40B4-BE49-F238E27FC236}">
                  <a16:creationId xmlns:a16="http://schemas.microsoft.com/office/drawing/2014/main" id="{00000000-0008-0000-0200-00004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144780</xdr:rowOff>
        </xdr:from>
        <xdr:to>
          <xdr:col>12</xdr:col>
          <xdr:colOff>171450</xdr:colOff>
          <xdr:row>134</xdr:row>
          <xdr:rowOff>0</xdr:rowOff>
        </xdr:to>
        <xdr:sp macro="" textlink="">
          <xdr:nvSpPr>
            <xdr:cNvPr id="3393" name="Check Box 321" hidden="1">
              <a:extLst>
                <a:ext uri="{63B3BB69-23CF-44E3-9099-C40C66FF867C}">
                  <a14:compatExt spid="_x0000_s3393"/>
                </a:ext>
                <a:ext uri="{FF2B5EF4-FFF2-40B4-BE49-F238E27FC236}">
                  <a16:creationId xmlns:a16="http://schemas.microsoft.com/office/drawing/2014/main" id="{00000000-0008-0000-0200-00004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12</xdr:col>
          <xdr:colOff>171450</xdr:colOff>
          <xdr:row>132</xdr:row>
          <xdr:rowOff>323850</xdr:rowOff>
        </xdr:to>
        <xdr:sp macro="" textlink="">
          <xdr:nvSpPr>
            <xdr:cNvPr id="3394" name="Check Box 322" hidden="1">
              <a:extLst>
                <a:ext uri="{63B3BB69-23CF-44E3-9099-C40C66FF867C}">
                  <a14:compatExt spid="_x0000_s3394"/>
                </a:ext>
                <a:ext uri="{FF2B5EF4-FFF2-40B4-BE49-F238E27FC236}">
                  <a16:creationId xmlns:a16="http://schemas.microsoft.com/office/drawing/2014/main" id="{00000000-0008-0000-0200-00004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266700</xdr:rowOff>
        </xdr:from>
        <xdr:to>
          <xdr:col>12</xdr:col>
          <xdr:colOff>171450</xdr:colOff>
          <xdr:row>143</xdr:row>
          <xdr:rowOff>171450</xdr:rowOff>
        </xdr:to>
        <xdr:sp macro="" textlink="">
          <xdr:nvSpPr>
            <xdr:cNvPr id="3416" name="Check Box 344" hidden="1">
              <a:extLst>
                <a:ext uri="{63B3BB69-23CF-44E3-9099-C40C66FF867C}">
                  <a14:compatExt spid="_x0000_s3416"/>
                </a:ext>
                <a:ext uri="{FF2B5EF4-FFF2-40B4-BE49-F238E27FC236}">
                  <a16:creationId xmlns:a16="http://schemas.microsoft.com/office/drawing/2014/main" id="{00000000-0008-0000-0200-00005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144780</xdr:rowOff>
        </xdr:from>
        <xdr:to>
          <xdr:col>12</xdr:col>
          <xdr:colOff>171450</xdr:colOff>
          <xdr:row>144</xdr:row>
          <xdr:rowOff>0</xdr:rowOff>
        </xdr:to>
        <xdr:sp macro="" textlink="">
          <xdr:nvSpPr>
            <xdr:cNvPr id="3417" name="Check Box 345" hidden="1">
              <a:extLst>
                <a:ext uri="{63B3BB69-23CF-44E3-9099-C40C66FF867C}">
                  <a14:compatExt spid="_x0000_s3417"/>
                </a:ext>
                <a:ext uri="{FF2B5EF4-FFF2-40B4-BE49-F238E27FC236}">
                  <a16:creationId xmlns:a16="http://schemas.microsoft.com/office/drawing/2014/main" id="{00000000-0008-0000-0200-00005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12</xdr:col>
          <xdr:colOff>171450</xdr:colOff>
          <xdr:row>142</xdr:row>
          <xdr:rowOff>323850</xdr:rowOff>
        </xdr:to>
        <xdr:sp macro="" textlink="">
          <xdr:nvSpPr>
            <xdr:cNvPr id="3418" name="Check Box 346" hidden="1">
              <a:extLst>
                <a:ext uri="{63B3BB69-23CF-44E3-9099-C40C66FF867C}">
                  <a14:compatExt spid="_x0000_s3418"/>
                </a:ext>
                <a:ext uri="{FF2B5EF4-FFF2-40B4-BE49-F238E27FC236}">
                  <a16:creationId xmlns:a16="http://schemas.microsoft.com/office/drawing/2014/main" id="{00000000-0008-0000-0200-00005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266700</xdr:rowOff>
        </xdr:from>
        <xdr:to>
          <xdr:col>12</xdr:col>
          <xdr:colOff>171450</xdr:colOff>
          <xdr:row>141</xdr:row>
          <xdr:rowOff>171450</xdr:rowOff>
        </xdr:to>
        <xdr:sp macro="" textlink="">
          <xdr:nvSpPr>
            <xdr:cNvPr id="3419" name="Check Box 347" hidden="1">
              <a:extLst>
                <a:ext uri="{63B3BB69-23CF-44E3-9099-C40C66FF867C}">
                  <a14:compatExt spid="_x0000_s3419"/>
                </a:ext>
                <a:ext uri="{FF2B5EF4-FFF2-40B4-BE49-F238E27FC236}">
                  <a16:creationId xmlns:a16="http://schemas.microsoft.com/office/drawing/2014/main" id="{00000000-0008-0000-0200-00005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144780</xdr:rowOff>
        </xdr:from>
        <xdr:to>
          <xdr:col>12</xdr:col>
          <xdr:colOff>171450</xdr:colOff>
          <xdr:row>142</xdr:row>
          <xdr:rowOff>0</xdr:rowOff>
        </xdr:to>
        <xdr:sp macro="" textlink="">
          <xdr:nvSpPr>
            <xdr:cNvPr id="3420" name="Check Box 348" hidden="1">
              <a:extLst>
                <a:ext uri="{63B3BB69-23CF-44E3-9099-C40C66FF867C}">
                  <a14:compatExt spid="_x0000_s3420"/>
                </a:ext>
                <a:ext uri="{FF2B5EF4-FFF2-40B4-BE49-F238E27FC236}">
                  <a16:creationId xmlns:a16="http://schemas.microsoft.com/office/drawing/2014/main" id="{00000000-0008-0000-0200-00005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12</xdr:col>
          <xdr:colOff>171450</xdr:colOff>
          <xdr:row>140</xdr:row>
          <xdr:rowOff>285750</xdr:rowOff>
        </xdr:to>
        <xdr:sp macro="" textlink="">
          <xdr:nvSpPr>
            <xdr:cNvPr id="3421" name="Check Box 349" hidden="1">
              <a:extLst>
                <a:ext uri="{63B3BB69-23CF-44E3-9099-C40C66FF867C}">
                  <a14:compatExt spid="_x0000_s3421"/>
                </a:ext>
                <a:ext uri="{FF2B5EF4-FFF2-40B4-BE49-F238E27FC236}">
                  <a16:creationId xmlns:a16="http://schemas.microsoft.com/office/drawing/2014/main" id="{00000000-0008-0000-0200-00005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266700</xdr:rowOff>
        </xdr:from>
        <xdr:to>
          <xdr:col>12</xdr:col>
          <xdr:colOff>171450</xdr:colOff>
          <xdr:row>145</xdr:row>
          <xdr:rowOff>171450</xdr:rowOff>
        </xdr:to>
        <xdr:sp macro="" textlink="">
          <xdr:nvSpPr>
            <xdr:cNvPr id="3423" name="Check Box 351" hidden="1">
              <a:extLst>
                <a:ext uri="{63B3BB69-23CF-44E3-9099-C40C66FF867C}">
                  <a14:compatExt spid="_x0000_s3423"/>
                </a:ext>
                <a:ext uri="{FF2B5EF4-FFF2-40B4-BE49-F238E27FC236}">
                  <a16:creationId xmlns:a16="http://schemas.microsoft.com/office/drawing/2014/main" id="{00000000-0008-0000-0200-00005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145</xdr:row>
          <xdr:rowOff>144780</xdr:rowOff>
        </xdr:from>
        <xdr:to>
          <xdr:col>12</xdr:col>
          <xdr:colOff>171450</xdr:colOff>
          <xdr:row>146</xdr:row>
          <xdr:rowOff>0</xdr:rowOff>
        </xdr:to>
        <xdr:sp macro="" textlink="">
          <xdr:nvSpPr>
            <xdr:cNvPr id="3424" name="Check Box 352" hidden="1">
              <a:extLst>
                <a:ext uri="{63B3BB69-23CF-44E3-9099-C40C66FF867C}">
                  <a14:compatExt spid="_x0000_s3424"/>
                </a:ext>
                <a:ext uri="{FF2B5EF4-FFF2-40B4-BE49-F238E27FC236}">
                  <a16:creationId xmlns:a16="http://schemas.microsoft.com/office/drawing/2014/main" id="{00000000-0008-0000-0200-00006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30480</xdr:rowOff>
        </xdr:from>
        <xdr:to>
          <xdr:col>12</xdr:col>
          <xdr:colOff>171450</xdr:colOff>
          <xdr:row>144</xdr:row>
          <xdr:rowOff>285750</xdr:rowOff>
        </xdr:to>
        <xdr:sp macro="" textlink="">
          <xdr:nvSpPr>
            <xdr:cNvPr id="3425" name="Check Box 353" hidden="1">
              <a:extLst>
                <a:ext uri="{63B3BB69-23CF-44E3-9099-C40C66FF867C}">
                  <a14:compatExt spid="_x0000_s3425"/>
                </a:ext>
                <a:ext uri="{FF2B5EF4-FFF2-40B4-BE49-F238E27FC236}">
                  <a16:creationId xmlns:a16="http://schemas.microsoft.com/office/drawing/2014/main" id="{00000000-0008-0000-0200-00006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160</xdr:row>
          <xdr:rowOff>266700</xdr:rowOff>
        </xdr:from>
        <xdr:to>
          <xdr:col>12</xdr:col>
          <xdr:colOff>171450</xdr:colOff>
          <xdr:row>161</xdr:row>
          <xdr:rowOff>171450</xdr:rowOff>
        </xdr:to>
        <xdr:sp macro="" textlink="">
          <xdr:nvSpPr>
            <xdr:cNvPr id="3427" name="Check Box 355" hidden="1">
              <a:extLst>
                <a:ext uri="{63B3BB69-23CF-44E3-9099-C40C66FF867C}">
                  <a14:compatExt spid="_x0000_s3427"/>
                </a:ext>
                <a:ext uri="{FF2B5EF4-FFF2-40B4-BE49-F238E27FC236}">
                  <a16:creationId xmlns:a16="http://schemas.microsoft.com/office/drawing/2014/main" id="{00000000-0008-0000-0200-00006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161</xdr:row>
          <xdr:rowOff>144780</xdr:rowOff>
        </xdr:from>
        <xdr:to>
          <xdr:col>12</xdr:col>
          <xdr:colOff>171450</xdr:colOff>
          <xdr:row>162</xdr:row>
          <xdr:rowOff>0</xdr:rowOff>
        </xdr:to>
        <xdr:sp macro="" textlink="">
          <xdr:nvSpPr>
            <xdr:cNvPr id="3428" name="Check Box 356" hidden="1">
              <a:extLst>
                <a:ext uri="{63B3BB69-23CF-44E3-9099-C40C66FF867C}">
                  <a14:compatExt spid="_x0000_s3428"/>
                </a:ext>
                <a:ext uri="{FF2B5EF4-FFF2-40B4-BE49-F238E27FC236}">
                  <a16:creationId xmlns:a16="http://schemas.microsoft.com/office/drawing/2014/main" id="{00000000-0008-0000-0200-00006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160</xdr:row>
          <xdr:rowOff>30480</xdr:rowOff>
        </xdr:from>
        <xdr:to>
          <xdr:col>12</xdr:col>
          <xdr:colOff>171450</xdr:colOff>
          <xdr:row>160</xdr:row>
          <xdr:rowOff>285750</xdr:rowOff>
        </xdr:to>
        <xdr:sp macro="" textlink="">
          <xdr:nvSpPr>
            <xdr:cNvPr id="3429" name="Check Box 357" hidden="1">
              <a:extLst>
                <a:ext uri="{63B3BB69-23CF-44E3-9099-C40C66FF867C}">
                  <a14:compatExt spid="_x0000_s3429"/>
                </a:ext>
                <a:ext uri="{FF2B5EF4-FFF2-40B4-BE49-F238E27FC236}">
                  <a16:creationId xmlns:a16="http://schemas.microsoft.com/office/drawing/2014/main" id="{00000000-0008-0000-0200-00006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162</xdr:row>
          <xdr:rowOff>266700</xdr:rowOff>
        </xdr:from>
        <xdr:to>
          <xdr:col>12</xdr:col>
          <xdr:colOff>171450</xdr:colOff>
          <xdr:row>163</xdr:row>
          <xdr:rowOff>171450</xdr:rowOff>
        </xdr:to>
        <xdr:sp macro="" textlink="">
          <xdr:nvSpPr>
            <xdr:cNvPr id="3430" name="Check Box 358" hidden="1">
              <a:extLst>
                <a:ext uri="{63B3BB69-23CF-44E3-9099-C40C66FF867C}">
                  <a14:compatExt spid="_x0000_s3430"/>
                </a:ext>
                <a:ext uri="{FF2B5EF4-FFF2-40B4-BE49-F238E27FC236}">
                  <a16:creationId xmlns:a16="http://schemas.microsoft.com/office/drawing/2014/main" id="{00000000-0008-0000-0200-00006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163</xdr:row>
          <xdr:rowOff>144780</xdr:rowOff>
        </xdr:from>
        <xdr:to>
          <xdr:col>12</xdr:col>
          <xdr:colOff>171450</xdr:colOff>
          <xdr:row>164</xdr:row>
          <xdr:rowOff>0</xdr:rowOff>
        </xdr:to>
        <xdr:sp macro="" textlink="">
          <xdr:nvSpPr>
            <xdr:cNvPr id="3431" name="Check Box 359" hidden="1">
              <a:extLst>
                <a:ext uri="{63B3BB69-23CF-44E3-9099-C40C66FF867C}">
                  <a14:compatExt spid="_x0000_s3431"/>
                </a:ext>
                <a:ext uri="{FF2B5EF4-FFF2-40B4-BE49-F238E27FC236}">
                  <a16:creationId xmlns:a16="http://schemas.microsoft.com/office/drawing/2014/main" id="{00000000-0008-0000-0200-00006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162</xdr:row>
          <xdr:rowOff>30480</xdr:rowOff>
        </xdr:from>
        <xdr:to>
          <xdr:col>12</xdr:col>
          <xdr:colOff>171450</xdr:colOff>
          <xdr:row>162</xdr:row>
          <xdr:rowOff>285750</xdr:rowOff>
        </xdr:to>
        <xdr:sp macro="" textlink="">
          <xdr:nvSpPr>
            <xdr:cNvPr id="3432" name="Check Box 360" hidden="1">
              <a:extLst>
                <a:ext uri="{63B3BB69-23CF-44E3-9099-C40C66FF867C}">
                  <a14:compatExt spid="_x0000_s3432"/>
                </a:ext>
                <a:ext uri="{FF2B5EF4-FFF2-40B4-BE49-F238E27FC236}">
                  <a16:creationId xmlns:a16="http://schemas.microsoft.com/office/drawing/2014/main" id="{00000000-0008-0000-0200-00006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146</xdr:row>
          <xdr:rowOff>266700</xdr:rowOff>
        </xdr:from>
        <xdr:to>
          <xdr:col>12</xdr:col>
          <xdr:colOff>57150</xdr:colOff>
          <xdr:row>147</xdr:row>
          <xdr:rowOff>76200</xdr:rowOff>
        </xdr:to>
        <xdr:sp macro="" textlink="">
          <xdr:nvSpPr>
            <xdr:cNvPr id="3433" name="Check Box 361" hidden="1">
              <a:extLst>
                <a:ext uri="{63B3BB69-23CF-44E3-9099-C40C66FF867C}">
                  <a14:compatExt spid="_x0000_s3433"/>
                </a:ext>
                <a:ext uri="{FF2B5EF4-FFF2-40B4-BE49-F238E27FC236}">
                  <a16:creationId xmlns:a16="http://schemas.microsoft.com/office/drawing/2014/main" id="{00000000-0008-0000-0200-00006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147</xdr:row>
          <xdr:rowOff>106680</xdr:rowOff>
        </xdr:from>
        <xdr:to>
          <xdr:col>12</xdr:col>
          <xdr:colOff>57150</xdr:colOff>
          <xdr:row>147</xdr:row>
          <xdr:rowOff>323850</xdr:rowOff>
        </xdr:to>
        <xdr:sp macro="" textlink="">
          <xdr:nvSpPr>
            <xdr:cNvPr id="3434" name="Check Box 362" hidden="1">
              <a:extLst>
                <a:ext uri="{63B3BB69-23CF-44E3-9099-C40C66FF867C}">
                  <a14:compatExt spid="_x0000_s3434"/>
                </a:ext>
                <a:ext uri="{FF2B5EF4-FFF2-40B4-BE49-F238E27FC236}">
                  <a16:creationId xmlns:a16="http://schemas.microsoft.com/office/drawing/2014/main" id="{00000000-0008-0000-0200-00006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146</xdr:row>
          <xdr:rowOff>30480</xdr:rowOff>
        </xdr:from>
        <xdr:to>
          <xdr:col>12</xdr:col>
          <xdr:colOff>57150</xdr:colOff>
          <xdr:row>146</xdr:row>
          <xdr:rowOff>285750</xdr:rowOff>
        </xdr:to>
        <xdr:sp macro="" textlink="">
          <xdr:nvSpPr>
            <xdr:cNvPr id="3435" name="Check Box 363" hidden="1">
              <a:extLst>
                <a:ext uri="{63B3BB69-23CF-44E3-9099-C40C66FF867C}">
                  <a14:compatExt spid="_x0000_s3435"/>
                </a:ext>
                <a:ext uri="{FF2B5EF4-FFF2-40B4-BE49-F238E27FC236}">
                  <a16:creationId xmlns:a16="http://schemas.microsoft.com/office/drawing/2014/main" id="{00000000-0008-0000-0200-00006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148</xdr:row>
          <xdr:rowOff>266700</xdr:rowOff>
        </xdr:from>
        <xdr:to>
          <xdr:col>12</xdr:col>
          <xdr:colOff>57150</xdr:colOff>
          <xdr:row>149</xdr:row>
          <xdr:rowOff>171450</xdr:rowOff>
        </xdr:to>
        <xdr:sp macro="" textlink="">
          <xdr:nvSpPr>
            <xdr:cNvPr id="3436" name="Check Box 364" hidden="1">
              <a:extLst>
                <a:ext uri="{63B3BB69-23CF-44E3-9099-C40C66FF867C}">
                  <a14:compatExt spid="_x0000_s3436"/>
                </a:ext>
                <a:ext uri="{FF2B5EF4-FFF2-40B4-BE49-F238E27FC236}">
                  <a16:creationId xmlns:a16="http://schemas.microsoft.com/office/drawing/2014/main" id="{00000000-0008-0000-0200-00006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149</xdr:row>
          <xdr:rowOff>144780</xdr:rowOff>
        </xdr:from>
        <xdr:to>
          <xdr:col>12</xdr:col>
          <xdr:colOff>57150</xdr:colOff>
          <xdr:row>150</xdr:row>
          <xdr:rowOff>0</xdr:rowOff>
        </xdr:to>
        <xdr:sp macro="" textlink="">
          <xdr:nvSpPr>
            <xdr:cNvPr id="3437" name="Check Box 365" hidden="1">
              <a:extLst>
                <a:ext uri="{63B3BB69-23CF-44E3-9099-C40C66FF867C}">
                  <a14:compatExt spid="_x0000_s3437"/>
                </a:ext>
                <a:ext uri="{FF2B5EF4-FFF2-40B4-BE49-F238E27FC236}">
                  <a16:creationId xmlns:a16="http://schemas.microsoft.com/office/drawing/2014/main" id="{00000000-0008-0000-0200-00006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148</xdr:row>
          <xdr:rowOff>30480</xdr:rowOff>
        </xdr:from>
        <xdr:to>
          <xdr:col>12</xdr:col>
          <xdr:colOff>57150</xdr:colOff>
          <xdr:row>148</xdr:row>
          <xdr:rowOff>285750</xdr:rowOff>
        </xdr:to>
        <xdr:sp macro="" textlink="">
          <xdr:nvSpPr>
            <xdr:cNvPr id="3438" name="Check Box 366" hidden="1">
              <a:extLst>
                <a:ext uri="{63B3BB69-23CF-44E3-9099-C40C66FF867C}">
                  <a14:compatExt spid="_x0000_s3438"/>
                </a:ext>
                <a:ext uri="{FF2B5EF4-FFF2-40B4-BE49-F238E27FC236}">
                  <a16:creationId xmlns:a16="http://schemas.microsoft.com/office/drawing/2014/main" id="{00000000-0008-0000-0200-00006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150</xdr:row>
          <xdr:rowOff>266700</xdr:rowOff>
        </xdr:from>
        <xdr:to>
          <xdr:col>12</xdr:col>
          <xdr:colOff>57150</xdr:colOff>
          <xdr:row>151</xdr:row>
          <xdr:rowOff>171450</xdr:rowOff>
        </xdr:to>
        <xdr:sp macro="" textlink="">
          <xdr:nvSpPr>
            <xdr:cNvPr id="3439" name="Check Box 367" hidden="1">
              <a:extLst>
                <a:ext uri="{63B3BB69-23CF-44E3-9099-C40C66FF867C}">
                  <a14:compatExt spid="_x0000_s3439"/>
                </a:ext>
                <a:ext uri="{FF2B5EF4-FFF2-40B4-BE49-F238E27FC236}">
                  <a16:creationId xmlns:a16="http://schemas.microsoft.com/office/drawing/2014/main" id="{00000000-0008-0000-0200-00006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151</xdr:row>
          <xdr:rowOff>144780</xdr:rowOff>
        </xdr:from>
        <xdr:to>
          <xdr:col>12</xdr:col>
          <xdr:colOff>57150</xdr:colOff>
          <xdr:row>152</xdr:row>
          <xdr:rowOff>0</xdr:rowOff>
        </xdr:to>
        <xdr:sp macro="" textlink="">
          <xdr:nvSpPr>
            <xdr:cNvPr id="3440" name="Check Box 368" hidden="1">
              <a:extLst>
                <a:ext uri="{63B3BB69-23CF-44E3-9099-C40C66FF867C}">
                  <a14:compatExt spid="_x0000_s3440"/>
                </a:ext>
                <a:ext uri="{FF2B5EF4-FFF2-40B4-BE49-F238E27FC236}">
                  <a16:creationId xmlns:a16="http://schemas.microsoft.com/office/drawing/2014/main" id="{00000000-0008-0000-0200-00007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150</xdr:row>
          <xdr:rowOff>30480</xdr:rowOff>
        </xdr:from>
        <xdr:to>
          <xdr:col>12</xdr:col>
          <xdr:colOff>57150</xdr:colOff>
          <xdr:row>150</xdr:row>
          <xdr:rowOff>285750</xdr:rowOff>
        </xdr:to>
        <xdr:sp macro="" textlink="">
          <xdr:nvSpPr>
            <xdr:cNvPr id="3441" name="Check Box 369" hidden="1">
              <a:extLst>
                <a:ext uri="{63B3BB69-23CF-44E3-9099-C40C66FF867C}">
                  <a14:compatExt spid="_x0000_s3441"/>
                </a:ext>
                <a:ext uri="{FF2B5EF4-FFF2-40B4-BE49-F238E27FC236}">
                  <a16:creationId xmlns:a16="http://schemas.microsoft.com/office/drawing/2014/main" id="{00000000-0008-0000-0200-00007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152</xdr:row>
          <xdr:rowOff>266700</xdr:rowOff>
        </xdr:from>
        <xdr:to>
          <xdr:col>12</xdr:col>
          <xdr:colOff>57150</xdr:colOff>
          <xdr:row>153</xdr:row>
          <xdr:rowOff>171450</xdr:rowOff>
        </xdr:to>
        <xdr:sp macro="" textlink="">
          <xdr:nvSpPr>
            <xdr:cNvPr id="3442" name="Check Box 370" hidden="1">
              <a:extLst>
                <a:ext uri="{63B3BB69-23CF-44E3-9099-C40C66FF867C}">
                  <a14:compatExt spid="_x0000_s3442"/>
                </a:ext>
                <a:ext uri="{FF2B5EF4-FFF2-40B4-BE49-F238E27FC236}">
                  <a16:creationId xmlns:a16="http://schemas.microsoft.com/office/drawing/2014/main" id="{00000000-0008-0000-0200-00007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153</xdr:row>
          <xdr:rowOff>144780</xdr:rowOff>
        </xdr:from>
        <xdr:to>
          <xdr:col>12</xdr:col>
          <xdr:colOff>57150</xdr:colOff>
          <xdr:row>154</xdr:row>
          <xdr:rowOff>0</xdr:rowOff>
        </xdr:to>
        <xdr:sp macro="" textlink="">
          <xdr:nvSpPr>
            <xdr:cNvPr id="3443" name="Check Box 371" hidden="1">
              <a:extLst>
                <a:ext uri="{63B3BB69-23CF-44E3-9099-C40C66FF867C}">
                  <a14:compatExt spid="_x0000_s3443"/>
                </a:ext>
                <a:ext uri="{FF2B5EF4-FFF2-40B4-BE49-F238E27FC236}">
                  <a16:creationId xmlns:a16="http://schemas.microsoft.com/office/drawing/2014/main" id="{00000000-0008-0000-0200-00007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152</xdr:row>
          <xdr:rowOff>30480</xdr:rowOff>
        </xdr:from>
        <xdr:to>
          <xdr:col>12</xdr:col>
          <xdr:colOff>57150</xdr:colOff>
          <xdr:row>152</xdr:row>
          <xdr:rowOff>285750</xdr:rowOff>
        </xdr:to>
        <xdr:sp macro="" textlink="">
          <xdr:nvSpPr>
            <xdr:cNvPr id="3444" name="Check Box 372" hidden="1">
              <a:extLst>
                <a:ext uri="{63B3BB69-23CF-44E3-9099-C40C66FF867C}">
                  <a14:compatExt spid="_x0000_s3444"/>
                </a:ext>
                <a:ext uri="{FF2B5EF4-FFF2-40B4-BE49-F238E27FC236}">
                  <a16:creationId xmlns:a16="http://schemas.microsoft.com/office/drawing/2014/main" id="{00000000-0008-0000-0200-00007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154</xdr:row>
          <xdr:rowOff>266700</xdr:rowOff>
        </xdr:from>
        <xdr:to>
          <xdr:col>12</xdr:col>
          <xdr:colOff>57150</xdr:colOff>
          <xdr:row>155</xdr:row>
          <xdr:rowOff>171450</xdr:rowOff>
        </xdr:to>
        <xdr:sp macro="" textlink="">
          <xdr:nvSpPr>
            <xdr:cNvPr id="3445" name="Check Box 373" hidden="1">
              <a:extLst>
                <a:ext uri="{63B3BB69-23CF-44E3-9099-C40C66FF867C}">
                  <a14:compatExt spid="_x0000_s3445"/>
                </a:ext>
                <a:ext uri="{FF2B5EF4-FFF2-40B4-BE49-F238E27FC236}">
                  <a16:creationId xmlns:a16="http://schemas.microsoft.com/office/drawing/2014/main" id="{00000000-0008-0000-0200-00007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155</xdr:row>
          <xdr:rowOff>144780</xdr:rowOff>
        </xdr:from>
        <xdr:to>
          <xdr:col>12</xdr:col>
          <xdr:colOff>57150</xdr:colOff>
          <xdr:row>156</xdr:row>
          <xdr:rowOff>0</xdr:rowOff>
        </xdr:to>
        <xdr:sp macro="" textlink="">
          <xdr:nvSpPr>
            <xdr:cNvPr id="3446" name="Check Box 374" hidden="1">
              <a:extLst>
                <a:ext uri="{63B3BB69-23CF-44E3-9099-C40C66FF867C}">
                  <a14:compatExt spid="_x0000_s3446"/>
                </a:ext>
                <a:ext uri="{FF2B5EF4-FFF2-40B4-BE49-F238E27FC236}">
                  <a16:creationId xmlns:a16="http://schemas.microsoft.com/office/drawing/2014/main" id="{00000000-0008-0000-0200-00007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154</xdr:row>
          <xdr:rowOff>30480</xdr:rowOff>
        </xdr:from>
        <xdr:to>
          <xdr:col>12</xdr:col>
          <xdr:colOff>57150</xdr:colOff>
          <xdr:row>154</xdr:row>
          <xdr:rowOff>285750</xdr:rowOff>
        </xdr:to>
        <xdr:sp macro="" textlink="">
          <xdr:nvSpPr>
            <xdr:cNvPr id="3447" name="Check Box 375" hidden="1">
              <a:extLst>
                <a:ext uri="{63B3BB69-23CF-44E3-9099-C40C66FF867C}">
                  <a14:compatExt spid="_x0000_s3447"/>
                </a:ext>
                <a:ext uri="{FF2B5EF4-FFF2-40B4-BE49-F238E27FC236}">
                  <a16:creationId xmlns:a16="http://schemas.microsoft.com/office/drawing/2014/main" id="{00000000-0008-0000-0200-00007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156</xdr:row>
          <xdr:rowOff>266700</xdr:rowOff>
        </xdr:from>
        <xdr:to>
          <xdr:col>12</xdr:col>
          <xdr:colOff>57150</xdr:colOff>
          <xdr:row>157</xdr:row>
          <xdr:rowOff>171450</xdr:rowOff>
        </xdr:to>
        <xdr:sp macro="" textlink="">
          <xdr:nvSpPr>
            <xdr:cNvPr id="3448" name="Check Box 376" hidden="1">
              <a:extLst>
                <a:ext uri="{63B3BB69-23CF-44E3-9099-C40C66FF867C}">
                  <a14:compatExt spid="_x0000_s3448"/>
                </a:ext>
                <a:ext uri="{FF2B5EF4-FFF2-40B4-BE49-F238E27FC236}">
                  <a16:creationId xmlns:a16="http://schemas.microsoft.com/office/drawing/2014/main" id="{00000000-0008-0000-0200-00007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157</xdr:row>
          <xdr:rowOff>144780</xdr:rowOff>
        </xdr:from>
        <xdr:to>
          <xdr:col>12</xdr:col>
          <xdr:colOff>57150</xdr:colOff>
          <xdr:row>158</xdr:row>
          <xdr:rowOff>0</xdr:rowOff>
        </xdr:to>
        <xdr:sp macro="" textlink="">
          <xdr:nvSpPr>
            <xdr:cNvPr id="3449" name="Check Box 377" hidden="1">
              <a:extLst>
                <a:ext uri="{63B3BB69-23CF-44E3-9099-C40C66FF867C}">
                  <a14:compatExt spid="_x0000_s3449"/>
                </a:ext>
                <a:ext uri="{FF2B5EF4-FFF2-40B4-BE49-F238E27FC236}">
                  <a16:creationId xmlns:a16="http://schemas.microsoft.com/office/drawing/2014/main" id="{00000000-0008-0000-0200-00007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156</xdr:row>
          <xdr:rowOff>30480</xdr:rowOff>
        </xdr:from>
        <xdr:to>
          <xdr:col>12</xdr:col>
          <xdr:colOff>57150</xdr:colOff>
          <xdr:row>156</xdr:row>
          <xdr:rowOff>323850</xdr:rowOff>
        </xdr:to>
        <xdr:sp macro="" textlink="">
          <xdr:nvSpPr>
            <xdr:cNvPr id="3450" name="Check Box 378" hidden="1">
              <a:extLst>
                <a:ext uri="{63B3BB69-23CF-44E3-9099-C40C66FF867C}">
                  <a14:compatExt spid="_x0000_s3450"/>
                </a:ext>
                <a:ext uri="{FF2B5EF4-FFF2-40B4-BE49-F238E27FC236}">
                  <a16:creationId xmlns:a16="http://schemas.microsoft.com/office/drawing/2014/main" id="{00000000-0008-0000-0200-00007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158</xdr:row>
          <xdr:rowOff>266700</xdr:rowOff>
        </xdr:from>
        <xdr:to>
          <xdr:col>12</xdr:col>
          <xdr:colOff>57150</xdr:colOff>
          <xdr:row>159</xdr:row>
          <xdr:rowOff>171450</xdr:rowOff>
        </xdr:to>
        <xdr:sp macro="" textlink="">
          <xdr:nvSpPr>
            <xdr:cNvPr id="3451" name="Check Box 379" hidden="1">
              <a:extLst>
                <a:ext uri="{63B3BB69-23CF-44E3-9099-C40C66FF867C}">
                  <a14:compatExt spid="_x0000_s3451"/>
                </a:ext>
                <a:ext uri="{FF2B5EF4-FFF2-40B4-BE49-F238E27FC236}">
                  <a16:creationId xmlns:a16="http://schemas.microsoft.com/office/drawing/2014/main" id="{00000000-0008-0000-0200-00007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159</xdr:row>
          <xdr:rowOff>144780</xdr:rowOff>
        </xdr:from>
        <xdr:to>
          <xdr:col>12</xdr:col>
          <xdr:colOff>57150</xdr:colOff>
          <xdr:row>160</xdr:row>
          <xdr:rowOff>0</xdr:rowOff>
        </xdr:to>
        <xdr:sp macro="" textlink="">
          <xdr:nvSpPr>
            <xdr:cNvPr id="3452" name="Check Box 380" hidden="1">
              <a:extLst>
                <a:ext uri="{63B3BB69-23CF-44E3-9099-C40C66FF867C}">
                  <a14:compatExt spid="_x0000_s3452"/>
                </a:ext>
                <a:ext uri="{FF2B5EF4-FFF2-40B4-BE49-F238E27FC236}">
                  <a16:creationId xmlns:a16="http://schemas.microsoft.com/office/drawing/2014/main" id="{00000000-0008-0000-0200-00007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158</xdr:row>
          <xdr:rowOff>30480</xdr:rowOff>
        </xdr:from>
        <xdr:to>
          <xdr:col>12</xdr:col>
          <xdr:colOff>57150</xdr:colOff>
          <xdr:row>158</xdr:row>
          <xdr:rowOff>285750</xdr:rowOff>
        </xdr:to>
        <xdr:sp macro="" textlink="">
          <xdr:nvSpPr>
            <xdr:cNvPr id="3453" name="Check Box 381" hidden="1">
              <a:extLst>
                <a:ext uri="{63B3BB69-23CF-44E3-9099-C40C66FF867C}">
                  <a14:compatExt spid="_x0000_s3453"/>
                </a:ext>
                <a:ext uri="{FF2B5EF4-FFF2-40B4-BE49-F238E27FC236}">
                  <a16:creationId xmlns:a16="http://schemas.microsoft.com/office/drawing/2014/main" id="{00000000-0008-0000-0200-00007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166</xdr:row>
          <xdr:rowOff>266700</xdr:rowOff>
        </xdr:from>
        <xdr:to>
          <xdr:col>12</xdr:col>
          <xdr:colOff>171450</xdr:colOff>
          <xdr:row>167</xdr:row>
          <xdr:rowOff>171450</xdr:rowOff>
        </xdr:to>
        <xdr:sp macro="" textlink="">
          <xdr:nvSpPr>
            <xdr:cNvPr id="3454" name="Check Box 382" hidden="1">
              <a:extLst>
                <a:ext uri="{63B3BB69-23CF-44E3-9099-C40C66FF867C}">
                  <a14:compatExt spid="_x0000_s3454"/>
                </a:ext>
                <a:ext uri="{FF2B5EF4-FFF2-40B4-BE49-F238E27FC236}">
                  <a16:creationId xmlns:a16="http://schemas.microsoft.com/office/drawing/2014/main" id="{00000000-0008-0000-0200-00007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167</xdr:row>
          <xdr:rowOff>144780</xdr:rowOff>
        </xdr:from>
        <xdr:to>
          <xdr:col>12</xdr:col>
          <xdr:colOff>171450</xdr:colOff>
          <xdr:row>168</xdr:row>
          <xdr:rowOff>0</xdr:rowOff>
        </xdr:to>
        <xdr:sp macro="" textlink="">
          <xdr:nvSpPr>
            <xdr:cNvPr id="3455" name="Check Box 383" hidden="1">
              <a:extLst>
                <a:ext uri="{63B3BB69-23CF-44E3-9099-C40C66FF867C}">
                  <a14:compatExt spid="_x0000_s3455"/>
                </a:ext>
                <a:ext uri="{FF2B5EF4-FFF2-40B4-BE49-F238E27FC236}">
                  <a16:creationId xmlns:a16="http://schemas.microsoft.com/office/drawing/2014/main" id="{00000000-0008-0000-0200-00007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166</xdr:row>
          <xdr:rowOff>30480</xdr:rowOff>
        </xdr:from>
        <xdr:to>
          <xdr:col>12</xdr:col>
          <xdr:colOff>171450</xdr:colOff>
          <xdr:row>166</xdr:row>
          <xdr:rowOff>323850</xdr:rowOff>
        </xdr:to>
        <xdr:sp macro="" textlink="">
          <xdr:nvSpPr>
            <xdr:cNvPr id="3456" name="Check Box 384" hidden="1">
              <a:extLst>
                <a:ext uri="{63B3BB69-23CF-44E3-9099-C40C66FF867C}">
                  <a14:compatExt spid="_x0000_s3456"/>
                </a:ext>
                <a:ext uri="{FF2B5EF4-FFF2-40B4-BE49-F238E27FC236}">
                  <a16:creationId xmlns:a16="http://schemas.microsoft.com/office/drawing/2014/main" id="{00000000-0008-0000-0200-00008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164</xdr:row>
          <xdr:rowOff>266700</xdr:rowOff>
        </xdr:from>
        <xdr:to>
          <xdr:col>12</xdr:col>
          <xdr:colOff>171450</xdr:colOff>
          <xdr:row>165</xdr:row>
          <xdr:rowOff>171450</xdr:rowOff>
        </xdr:to>
        <xdr:sp macro="" textlink="">
          <xdr:nvSpPr>
            <xdr:cNvPr id="3457" name="Check Box 385" hidden="1">
              <a:extLst>
                <a:ext uri="{63B3BB69-23CF-44E3-9099-C40C66FF867C}">
                  <a14:compatExt spid="_x0000_s3457"/>
                </a:ext>
                <a:ext uri="{FF2B5EF4-FFF2-40B4-BE49-F238E27FC236}">
                  <a16:creationId xmlns:a16="http://schemas.microsoft.com/office/drawing/2014/main" id="{00000000-0008-0000-0200-00008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165</xdr:row>
          <xdr:rowOff>144780</xdr:rowOff>
        </xdr:from>
        <xdr:to>
          <xdr:col>12</xdr:col>
          <xdr:colOff>171450</xdr:colOff>
          <xdr:row>166</xdr:row>
          <xdr:rowOff>0</xdr:rowOff>
        </xdr:to>
        <xdr:sp macro="" textlink="">
          <xdr:nvSpPr>
            <xdr:cNvPr id="3458" name="Check Box 386" hidden="1">
              <a:extLst>
                <a:ext uri="{63B3BB69-23CF-44E3-9099-C40C66FF867C}">
                  <a14:compatExt spid="_x0000_s3458"/>
                </a:ext>
                <a:ext uri="{FF2B5EF4-FFF2-40B4-BE49-F238E27FC236}">
                  <a16:creationId xmlns:a16="http://schemas.microsoft.com/office/drawing/2014/main" id="{00000000-0008-0000-0200-00008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164</xdr:row>
          <xdr:rowOff>30480</xdr:rowOff>
        </xdr:from>
        <xdr:to>
          <xdr:col>12</xdr:col>
          <xdr:colOff>171450</xdr:colOff>
          <xdr:row>164</xdr:row>
          <xdr:rowOff>285750</xdr:rowOff>
        </xdr:to>
        <xdr:sp macro="" textlink="">
          <xdr:nvSpPr>
            <xdr:cNvPr id="3459" name="Check Box 387" hidden="1">
              <a:extLst>
                <a:ext uri="{63B3BB69-23CF-44E3-9099-C40C66FF867C}">
                  <a14:compatExt spid="_x0000_s3459"/>
                </a:ext>
                <a:ext uri="{FF2B5EF4-FFF2-40B4-BE49-F238E27FC236}">
                  <a16:creationId xmlns:a16="http://schemas.microsoft.com/office/drawing/2014/main" id="{00000000-0008-0000-0200-00008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168</xdr:row>
          <xdr:rowOff>266700</xdr:rowOff>
        </xdr:from>
        <xdr:to>
          <xdr:col>12</xdr:col>
          <xdr:colOff>171450</xdr:colOff>
          <xdr:row>169</xdr:row>
          <xdr:rowOff>171450</xdr:rowOff>
        </xdr:to>
        <xdr:sp macro="" textlink="">
          <xdr:nvSpPr>
            <xdr:cNvPr id="3465" name="Check Box 393" hidden="1">
              <a:extLst>
                <a:ext uri="{63B3BB69-23CF-44E3-9099-C40C66FF867C}">
                  <a14:compatExt spid="_x0000_s3465"/>
                </a:ext>
                <a:ext uri="{FF2B5EF4-FFF2-40B4-BE49-F238E27FC236}">
                  <a16:creationId xmlns:a16="http://schemas.microsoft.com/office/drawing/2014/main" id="{00000000-0008-0000-0200-00008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169</xdr:row>
          <xdr:rowOff>144780</xdr:rowOff>
        </xdr:from>
        <xdr:to>
          <xdr:col>12</xdr:col>
          <xdr:colOff>171450</xdr:colOff>
          <xdr:row>170</xdr:row>
          <xdr:rowOff>0</xdr:rowOff>
        </xdr:to>
        <xdr:sp macro="" textlink="">
          <xdr:nvSpPr>
            <xdr:cNvPr id="3466" name="Check Box 394" hidden="1">
              <a:extLst>
                <a:ext uri="{63B3BB69-23CF-44E3-9099-C40C66FF867C}">
                  <a14:compatExt spid="_x0000_s3466"/>
                </a:ext>
                <a:ext uri="{FF2B5EF4-FFF2-40B4-BE49-F238E27FC236}">
                  <a16:creationId xmlns:a16="http://schemas.microsoft.com/office/drawing/2014/main" id="{00000000-0008-0000-0200-00008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168</xdr:row>
          <xdr:rowOff>30480</xdr:rowOff>
        </xdr:from>
        <xdr:to>
          <xdr:col>12</xdr:col>
          <xdr:colOff>171450</xdr:colOff>
          <xdr:row>168</xdr:row>
          <xdr:rowOff>285750</xdr:rowOff>
        </xdr:to>
        <xdr:sp macro="" textlink="">
          <xdr:nvSpPr>
            <xdr:cNvPr id="3467" name="Check Box 395" hidden="1">
              <a:extLst>
                <a:ext uri="{63B3BB69-23CF-44E3-9099-C40C66FF867C}">
                  <a14:compatExt spid="_x0000_s3467"/>
                </a:ext>
                <a:ext uri="{FF2B5EF4-FFF2-40B4-BE49-F238E27FC236}">
                  <a16:creationId xmlns:a16="http://schemas.microsoft.com/office/drawing/2014/main" id="{00000000-0008-0000-0200-00008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170</xdr:row>
          <xdr:rowOff>266700</xdr:rowOff>
        </xdr:from>
        <xdr:to>
          <xdr:col>12</xdr:col>
          <xdr:colOff>171450</xdr:colOff>
          <xdr:row>171</xdr:row>
          <xdr:rowOff>171450</xdr:rowOff>
        </xdr:to>
        <xdr:sp macro="" textlink="">
          <xdr:nvSpPr>
            <xdr:cNvPr id="3468" name="Check Box 396" hidden="1">
              <a:extLst>
                <a:ext uri="{63B3BB69-23CF-44E3-9099-C40C66FF867C}">
                  <a14:compatExt spid="_x0000_s3468"/>
                </a:ext>
                <a:ext uri="{FF2B5EF4-FFF2-40B4-BE49-F238E27FC236}">
                  <a16:creationId xmlns:a16="http://schemas.microsoft.com/office/drawing/2014/main" id="{00000000-0008-0000-0200-00008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171</xdr:row>
          <xdr:rowOff>144780</xdr:rowOff>
        </xdr:from>
        <xdr:to>
          <xdr:col>12</xdr:col>
          <xdr:colOff>171450</xdr:colOff>
          <xdr:row>172</xdr:row>
          <xdr:rowOff>0</xdr:rowOff>
        </xdr:to>
        <xdr:sp macro="" textlink="">
          <xdr:nvSpPr>
            <xdr:cNvPr id="3469" name="Check Box 397" hidden="1">
              <a:extLst>
                <a:ext uri="{63B3BB69-23CF-44E3-9099-C40C66FF867C}">
                  <a14:compatExt spid="_x0000_s3469"/>
                </a:ext>
                <a:ext uri="{FF2B5EF4-FFF2-40B4-BE49-F238E27FC236}">
                  <a16:creationId xmlns:a16="http://schemas.microsoft.com/office/drawing/2014/main" id="{00000000-0008-0000-0200-00008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170</xdr:row>
          <xdr:rowOff>30480</xdr:rowOff>
        </xdr:from>
        <xdr:to>
          <xdr:col>12</xdr:col>
          <xdr:colOff>171450</xdr:colOff>
          <xdr:row>170</xdr:row>
          <xdr:rowOff>285750</xdr:rowOff>
        </xdr:to>
        <xdr:sp macro="" textlink="">
          <xdr:nvSpPr>
            <xdr:cNvPr id="3470" name="Check Box 398" hidden="1">
              <a:extLst>
                <a:ext uri="{63B3BB69-23CF-44E3-9099-C40C66FF867C}">
                  <a14:compatExt spid="_x0000_s3470"/>
                </a:ext>
                <a:ext uri="{FF2B5EF4-FFF2-40B4-BE49-F238E27FC236}">
                  <a16:creationId xmlns:a16="http://schemas.microsoft.com/office/drawing/2014/main" id="{00000000-0008-0000-0200-00008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172</xdr:row>
          <xdr:rowOff>266700</xdr:rowOff>
        </xdr:from>
        <xdr:to>
          <xdr:col>12</xdr:col>
          <xdr:colOff>171450</xdr:colOff>
          <xdr:row>173</xdr:row>
          <xdr:rowOff>171450</xdr:rowOff>
        </xdr:to>
        <xdr:sp macro="" textlink="">
          <xdr:nvSpPr>
            <xdr:cNvPr id="3471" name="Check Box 399" hidden="1">
              <a:extLst>
                <a:ext uri="{63B3BB69-23CF-44E3-9099-C40C66FF867C}">
                  <a14:compatExt spid="_x0000_s3471"/>
                </a:ext>
                <a:ext uri="{FF2B5EF4-FFF2-40B4-BE49-F238E27FC236}">
                  <a16:creationId xmlns:a16="http://schemas.microsoft.com/office/drawing/2014/main" id="{00000000-0008-0000-0200-00008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173</xdr:row>
          <xdr:rowOff>144780</xdr:rowOff>
        </xdr:from>
        <xdr:to>
          <xdr:col>12</xdr:col>
          <xdr:colOff>171450</xdr:colOff>
          <xdr:row>174</xdr:row>
          <xdr:rowOff>0</xdr:rowOff>
        </xdr:to>
        <xdr:sp macro="" textlink="">
          <xdr:nvSpPr>
            <xdr:cNvPr id="3472" name="Check Box 400" hidden="1">
              <a:extLst>
                <a:ext uri="{63B3BB69-23CF-44E3-9099-C40C66FF867C}">
                  <a14:compatExt spid="_x0000_s3472"/>
                </a:ext>
                <a:ext uri="{FF2B5EF4-FFF2-40B4-BE49-F238E27FC236}">
                  <a16:creationId xmlns:a16="http://schemas.microsoft.com/office/drawing/2014/main" id="{00000000-0008-0000-0200-00009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172</xdr:row>
          <xdr:rowOff>30480</xdr:rowOff>
        </xdr:from>
        <xdr:to>
          <xdr:col>12</xdr:col>
          <xdr:colOff>171450</xdr:colOff>
          <xdr:row>172</xdr:row>
          <xdr:rowOff>285750</xdr:rowOff>
        </xdr:to>
        <xdr:sp macro="" textlink="">
          <xdr:nvSpPr>
            <xdr:cNvPr id="3473" name="Check Box 401" hidden="1">
              <a:extLst>
                <a:ext uri="{63B3BB69-23CF-44E3-9099-C40C66FF867C}">
                  <a14:compatExt spid="_x0000_s3473"/>
                </a:ext>
                <a:ext uri="{FF2B5EF4-FFF2-40B4-BE49-F238E27FC236}">
                  <a16:creationId xmlns:a16="http://schemas.microsoft.com/office/drawing/2014/main" id="{00000000-0008-0000-0200-00009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174</xdr:row>
          <xdr:rowOff>266700</xdr:rowOff>
        </xdr:from>
        <xdr:to>
          <xdr:col>12</xdr:col>
          <xdr:colOff>171450</xdr:colOff>
          <xdr:row>175</xdr:row>
          <xdr:rowOff>171450</xdr:rowOff>
        </xdr:to>
        <xdr:sp macro="" textlink="">
          <xdr:nvSpPr>
            <xdr:cNvPr id="3474" name="Check Box 402" hidden="1">
              <a:extLst>
                <a:ext uri="{63B3BB69-23CF-44E3-9099-C40C66FF867C}">
                  <a14:compatExt spid="_x0000_s3474"/>
                </a:ext>
                <a:ext uri="{FF2B5EF4-FFF2-40B4-BE49-F238E27FC236}">
                  <a16:creationId xmlns:a16="http://schemas.microsoft.com/office/drawing/2014/main" id="{00000000-0008-0000-0200-00009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175</xdr:row>
          <xdr:rowOff>144780</xdr:rowOff>
        </xdr:from>
        <xdr:to>
          <xdr:col>12</xdr:col>
          <xdr:colOff>171450</xdr:colOff>
          <xdr:row>176</xdr:row>
          <xdr:rowOff>0</xdr:rowOff>
        </xdr:to>
        <xdr:sp macro="" textlink="">
          <xdr:nvSpPr>
            <xdr:cNvPr id="3475" name="Check Box 403" hidden="1">
              <a:extLst>
                <a:ext uri="{63B3BB69-23CF-44E3-9099-C40C66FF867C}">
                  <a14:compatExt spid="_x0000_s3475"/>
                </a:ext>
                <a:ext uri="{FF2B5EF4-FFF2-40B4-BE49-F238E27FC236}">
                  <a16:creationId xmlns:a16="http://schemas.microsoft.com/office/drawing/2014/main" id="{00000000-0008-0000-0200-00009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174</xdr:row>
          <xdr:rowOff>30480</xdr:rowOff>
        </xdr:from>
        <xdr:to>
          <xdr:col>12</xdr:col>
          <xdr:colOff>171450</xdr:colOff>
          <xdr:row>174</xdr:row>
          <xdr:rowOff>285750</xdr:rowOff>
        </xdr:to>
        <xdr:sp macro="" textlink="">
          <xdr:nvSpPr>
            <xdr:cNvPr id="3476" name="Check Box 404" hidden="1">
              <a:extLst>
                <a:ext uri="{63B3BB69-23CF-44E3-9099-C40C66FF867C}">
                  <a14:compatExt spid="_x0000_s3476"/>
                </a:ext>
                <a:ext uri="{FF2B5EF4-FFF2-40B4-BE49-F238E27FC236}">
                  <a16:creationId xmlns:a16="http://schemas.microsoft.com/office/drawing/2014/main" id="{00000000-0008-0000-0200-00009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266700</xdr:rowOff>
        </xdr:from>
        <xdr:to>
          <xdr:col>12</xdr:col>
          <xdr:colOff>171450</xdr:colOff>
          <xdr:row>137</xdr:row>
          <xdr:rowOff>171450</xdr:rowOff>
        </xdr:to>
        <xdr:sp macro="" textlink="">
          <xdr:nvSpPr>
            <xdr:cNvPr id="3506" name="Check Box 434" hidden="1">
              <a:extLst>
                <a:ext uri="{63B3BB69-23CF-44E3-9099-C40C66FF867C}">
                  <a14:compatExt spid="_x0000_s3506"/>
                </a:ext>
                <a:ext uri="{FF2B5EF4-FFF2-40B4-BE49-F238E27FC236}">
                  <a16:creationId xmlns:a16="http://schemas.microsoft.com/office/drawing/2014/main" id="{00000000-0008-0000-0200-0000B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144780</xdr:rowOff>
        </xdr:from>
        <xdr:to>
          <xdr:col>12</xdr:col>
          <xdr:colOff>171450</xdr:colOff>
          <xdr:row>138</xdr:row>
          <xdr:rowOff>0</xdr:rowOff>
        </xdr:to>
        <xdr:sp macro="" textlink="">
          <xdr:nvSpPr>
            <xdr:cNvPr id="3507" name="Check Box 435" hidden="1">
              <a:extLst>
                <a:ext uri="{63B3BB69-23CF-44E3-9099-C40C66FF867C}">
                  <a14:compatExt spid="_x0000_s3507"/>
                </a:ext>
                <a:ext uri="{FF2B5EF4-FFF2-40B4-BE49-F238E27FC236}">
                  <a16:creationId xmlns:a16="http://schemas.microsoft.com/office/drawing/2014/main" id="{00000000-0008-0000-0200-0000B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12</xdr:col>
          <xdr:colOff>171450</xdr:colOff>
          <xdr:row>136</xdr:row>
          <xdr:rowOff>285750</xdr:rowOff>
        </xdr:to>
        <xdr:sp macro="" textlink="">
          <xdr:nvSpPr>
            <xdr:cNvPr id="3508" name="Check Box 436" hidden="1">
              <a:extLst>
                <a:ext uri="{63B3BB69-23CF-44E3-9099-C40C66FF867C}">
                  <a14:compatExt spid="_x0000_s3508"/>
                </a:ext>
                <a:ext uri="{FF2B5EF4-FFF2-40B4-BE49-F238E27FC236}">
                  <a16:creationId xmlns:a16="http://schemas.microsoft.com/office/drawing/2014/main" id="{00000000-0008-0000-0200-0000B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266700</xdr:rowOff>
        </xdr:from>
        <xdr:to>
          <xdr:col>12</xdr:col>
          <xdr:colOff>171450</xdr:colOff>
          <xdr:row>139</xdr:row>
          <xdr:rowOff>171450</xdr:rowOff>
        </xdr:to>
        <xdr:sp macro="" textlink="">
          <xdr:nvSpPr>
            <xdr:cNvPr id="3531" name="Check Box 459" hidden="1">
              <a:extLst>
                <a:ext uri="{63B3BB69-23CF-44E3-9099-C40C66FF867C}">
                  <a14:compatExt spid="_x0000_s3531"/>
                </a:ext>
                <a:ext uri="{FF2B5EF4-FFF2-40B4-BE49-F238E27FC236}">
                  <a16:creationId xmlns:a16="http://schemas.microsoft.com/office/drawing/2014/main" id="{00000000-0008-0000-0200-0000C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144780</xdr:rowOff>
        </xdr:from>
        <xdr:to>
          <xdr:col>12</xdr:col>
          <xdr:colOff>171450</xdr:colOff>
          <xdr:row>140</xdr:row>
          <xdr:rowOff>0</xdr:rowOff>
        </xdr:to>
        <xdr:sp macro="" textlink="">
          <xdr:nvSpPr>
            <xdr:cNvPr id="3532" name="Check Box 460" hidden="1">
              <a:extLst>
                <a:ext uri="{63B3BB69-23CF-44E3-9099-C40C66FF867C}">
                  <a14:compatExt spid="_x0000_s3532"/>
                </a:ext>
                <a:ext uri="{FF2B5EF4-FFF2-40B4-BE49-F238E27FC236}">
                  <a16:creationId xmlns:a16="http://schemas.microsoft.com/office/drawing/2014/main" id="{00000000-0008-0000-0200-0000C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12</xdr:col>
          <xdr:colOff>171450</xdr:colOff>
          <xdr:row>138</xdr:row>
          <xdr:rowOff>285750</xdr:rowOff>
        </xdr:to>
        <xdr:sp macro="" textlink="">
          <xdr:nvSpPr>
            <xdr:cNvPr id="3533" name="Check Box 461" hidden="1">
              <a:extLst>
                <a:ext uri="{63B3BB69-23CF-44E3-9099-C40C66FF867C}">
                  <a14:compatExt spid="_x0000_s3533"/>
                </a:ext>
                <a:ext uri="{FF2B5EF4-FFF2-40B4-BE49-F238E27FC236}">
                  <a16:creationId xmlns:a16="http://schemas.microsoft.com/office/drawing/2014/main" id="{00000000-0008-0000-0200-0000C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0</xdr:colOff>
      <xdr:row>207</xdr:row>
      <xdr:rowOff>21771</xdr:rowOff>
    </xdr:from>
    <xdr:to>
      <xdr:col>5</xdr:col>
      <xdr:colOff>894261</xdr:colOff>
      <xdr:row>227</xdr:row>
      <xdr:rowOff>89808</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462643</xdr:colOff>
      <xdr:row>13</xdr:row>
      <xdr:rowOff>110874</xdr:rowOff>
    </xdr:from>
    <xdr:to>
      <xdr:col>8</xdr:col>
      <xdr:colOff>674259</xdr:colOff>
      <xdr:row>25</xdr:row>
      <xdr:rowOff>112508</xdr:rowOff>
    </xdr:to>
    <xdr:graphicFrame macro="">
      <xdr:nvGraphicFramePr>
        <xdr:cNvPr id="13" name="Gráfico 4">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1467304</xdr:colOff>
      <xdr:row>13</xdr:row>
      <xdr:rowOff>112128</xdr:rowOff>
    </xdr:from>
    <xdr:to>
      <xdr:col>7</xdr:col>
      <xdr:colOff>408215</xdr:colOff>
      <xdr:row>25</xdr:row>
      <xdr:rowOff>108654</xdr:rowOff>
    </xdr:to>
    <xdr:graphicFrame macro="">
      <xdr:nvGraphicFramePr>
        <xdr:cNvPr id="12" name="Gráfico 5">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54429</xdr:colOff>
      <xdr:row>13</xdr:row>
      <xdr:rowOff>20970</xdr:rowOff>
    </xdr:from>
    <xdr:to>
      <xdr:col>8</xdr:col>
      <xdr:colOff>775607</xdr:colOff>
      <xdr:row>25</xdr:row>
      <xdr:rowOff>151135</xdr:rowOff>
    </xdr:to>
    <xdr:graphicFrame macro="">
      <xdr:nvGraphicFramePr>
        <xdr:cNvPr id="7" name="Gráfico 5">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819151</xdr:colOff>
      <xdr:row>11</xdr:row>
      <xdr:rowOff>200263</xdr:rowOff>
    </xdr:from>
    <xdr:to>
      <xdr:col>12</xdr:col>
      <xdr:colOff>1729469</xdr:colOff>
      <xdr:row>25</xdr:row>
      <xdr:rowOff>219171</xdr:rowOff>
    </xdr:to>
    <xdr:graphicFrame macro="">
      <xdr:nvGraphicFramePr>
        <xdr:cNvPr id="3" name="Gráfico 1">
          <a:extLst>
            <a:ext uri="{FF2B5EF4-FFF2-40B4-BE49-F238E27FC236}">
              <a16:creationId xmlns:a16="http://schemas.microsoft.com/office/drawing/2014/main" id="{00000000-0008-0000-0300-000003000000}"/>
            </a:ext>
            <a:ext uri="{147F2762-F138-4A5C-976F-8EAC2B608ADB}">
              <a16:predDERef xmlns:a16="http://schemas.microsoft.com/office/drawing/2014/main" pred="{FE921EB7-D820-49F0-9430-A509932B4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11</xdr:col>
          <xdr:colOff>1809750</xdr:colOff>
          <xdr:row>55</xdr:row>
          <xdr:rowOff>190500</xdr:rowOff>
        </xdr:to>
        <xdr:sp macro="" textlink="">
          <xdr:nvSpPr>
            <xdr:cNvPr id="8305" name="Check Box 113" hidden="1">
              <a:extLst>
                <a:ext uri="{63B3BB69-23CF-44E3-9099-C40C66FF867C}">
                  <a14:compatExt spid="_x0000_s8305"/>
                </a:ext>
                <a:ext uri="{FF2B5EF4-FFF2-40B4-BE49-F238E27FC236}">
                  <a16:creationId xmlns:a16="http://schemas.microsoft.com/office/drawing/2014/main" id="{00000000-0008-0000-0300-00007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11</xdr:col>
          <xdr:colOff>1809750</xdr:colOff>
          <xdr:row>55</xdr:row>
          <xdr:rowOff>342900</xdr:rowOff>
        </xdr:to>
        <xdr:sp macro="" textlink="">
          <xdr:nvSpPr>
            <xdr:cNvPr id="8306" name="Check Box 114" hidden="1">
              <a:extLst>
                <a:ext uri="{63B3BB69-23CF-44E3-9099-C40C66FF867C}">
                  <a14:compatExt spid="_x0000_s8306"/>
                </a:ext>
                <a:ext uri="{FF2B5EF4-FFF2-40B4-BE49-F238E27FC236}">
                  <a16:creationId xmlns:a16="http://schemas.microsoft.com/office/drawing/2014/main" id="{00000000-0008-0000-0300-00007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1809750</xdr:colOff>
          <xdr:row>54</xdr:row>
          <xdr:rowOff>253365</xdr:rowOff>
        </xdr:to>
        <xdr:sp macro="" textlink="">
          <xdr:nvSpPr>
            <xdr:cNvPr id="8307" name="Check Box 115" hidden="1">
              <a:extLst>
                <a:ext uri="{63B3BB69-23CF-44E3-9099-C40C66FF867C}">
                  <a14:compatExt spid="_x0000_s8307"/>
                </a:ext>
                <a:ext uri="{FF2B5EF4-FFF2-40B4-BE49-F238E27FC236}">
                  <a16:creationId xmlns:a16="http://schemas.microsoft.com/office/drawing/2014/main" id="{00000000-0008-0000-0300-00007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1809750</xdr:colOff>
          <xdr:row>57</xdr:row>
          <xdr:rowOff>152400</xdr:rowOff>
        </xdr:to>
        <xdr:sp macro="" textlink="">
          <xdr:nvSpPr>
            <xdr:cNvPr id="8308" name="Check Box 116" hidden="1">
              <a:extLst>
                <a:ext uri="{63B3BB69-23CF-44E3-9099-C40C66FF867C}">
                  <a14:compatExt spid="_x0000_s8308"/>
                </a:ext>
                <a:ext uri="{FF2B5EF4-FFF2-40B4-BE49-F238E27FC236}">
                  <a16:creationId xmlns:a16="http://schemas.microsoft.com/office/drawing/2014/main" id="{00000000-0008-0000-0300-00007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1809750</xdr:colOff>
          <xdr:row>57</xdr:row>
          <xdr:rowOff>342900</xdr:rowOff>
        </xdr:to>
        <xdr:sp macro="" textlink="">
          <xdr:nvSpPr>
            <xdr:cNvPr id="8309" name="Check Box 117" hidden="1">
              <a:extLst>
                <a:ext uri="{63B3BB69-23CF-44E3-9099-C40C66FF867C}">
                  <a14:compatExt spid="_x0000_s8309"/>
                </a:ext>
                <a:ext uri="{FF2B5EF4-FFF2-40B4-BE49-F238E27FC236}">
                  <a16:creationId xmlns:a16="http://schemas.microsoft.com/office/drawing/2014/main" id="{00000000-0008-0000-0300-00007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1809750</xdr:colOff>
          <xdr:row>56</xdr:row>
          <xdr:rowOff>253365</xdr:rowOff>
        </xdr:to>
        <xdr:sp macro="" textlink="">
          <xdr:nvSpPr>
            <xdr:cNvPr id="8310" name="Check Box 118" hidden="1">
              <a:extLst>
                <a:ext uri="{63B3BB69-23CF-44E3-9099-C40C66FF867C}">
                  <a14:compatExt spid="_x0000_s8310"/>
                </a:ext>
                <a:ext uri="{FF2B5EF4-FFF2-40B4-BE49-F238E27FC236}">
                  <a16:creationId xmlns:a16="http://schemas.microsoft.com/office/drawing/2014/main" id="{00000000-0008-0000-0300-00007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1815465</xdr:colOff>
          <xdr:row>59</xdr:row>
          <xdr:rowOff>171450</xdr:rowOff>
        </xdr:to>
        <xdr:sp macro="" textlink="">
          <xdr:nvSpPr>
            <xdr:cNvPr id="8311" name="Check Box 119" hidden="1">
              <a:extLst>
                <a:ext uri="{63B3BB69-23CF-44E3-9099-C40C66FF867C}">
                  <a14:compatExt spid="_x0000_s8311"/>
                </a:ext>
                <a:ext uri="{FF2B5EF4-FFF2-40B4-BE49-F238E27FC236}">
                  <a16:creationId xmlns:a16="http://schemas.microsoft.com/office/drawing/2014/main" id="{00000000-0008-0000-0300-00007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1815465</xdr:colOff>
          <xdr:row>59</xdr:row>
          <xdr:rowOff>342900</xdr:rowOff>
        </xdr:to>
        <xdr:sp macro="" textlink="">
          <xdr:nvSpPr>
            <xdr:cNvPr id="8312" name="Check Box 120" hidden="1">
              <a:extLst>
                <a:ext uri="{63B3BB69-23CF-44E3-9099-C40C66FF867C}">
                  <a14:compatExt spid="_x0000_s8312"/>
                </a:ext>
                <a:ext uri="{FF2B5EF4-FFF2-40B4-BE49-F238E27FC236}">
                  <a16:creationId xmlns:a16="http://schemas.microsoft.com/office/drawing/2014/main" id="{00000000-0008-0000-0300-00007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1815465</xdr:colOff>
          <xdr:row>58</xdr:row>
          <xdr:rowOff>253365</xdr:rowOff>
        </xdr:to>
        <xdr:sp macro="" textlink="">
          <xdr:nvSpPr>
            <xdr:cNvPr id="8313" name="Check Box 121" hidden="1">
              <a:extLst>
                <a:ext uri="{63B3BB69-23CF-44E3-9099-C40C66FF867C}">
                  <a14:compatExt spid="_x0000_s8313"/>
                </a:ext>
                <a:ext uri="{FF2B5EF4-FFF2-40B4-BE49-F238E27FC236}">
                  <a16:creationId xmlns:a16="http://schemas.microsoft.com/office/drawing/2014/main" id="{00000000-0008-0000-0300-00007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1809750</xdr:colOff>
          <xdr:row>61</xdr:row>
          <xdr:rowOff>171450</xdr:rowOff>
        </xdr:to>
        <xdr:sp macro="" textlink="">
          <xdr:nvSpPr>
            <xdr:cNvPr id="8314" name="Check Box 122" hidden="1">
              <a:extLst>
                <a:ext uri="{63B3BB69-23CF-44E3-9099-C40C66FF867C}">
                  <a14:compatExt spid="_x0000_s8314"/>
                </a:ext>
                <a:ext uri="{FF2B5EF4-FFF2-40B4-BE49-F238E27FC236}">
                  <a16:creationId xmlns:a16="http://schemas.microsoft.com/office/drawing/2014/main" id="{00000000-0008-0000-0300-00007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1809750</xdr:colOff>
          <xdr:row>61</xdr:row>
          <xdr:rowOff>342900</xdr:rowOff>
        </xdr:to>
        <xdr:sp macro="" textlink="">
          <xdr:nvSpPr>
            <xdr:cNvPr id="8315" name="Check Box 123" hidden="1">
              <a:extLst>
                <a:ext uri="{63B3BB69-23CF-44E3-9099-C40C66FF867C}">
                  <a14:compatExt spid="_x0000_s8315"/>
                </a:ext>
                <a:ext uri="{FF2B5EF4-FFF2-40B4-BE49-F238E27FC236}">
                  <a16:creationId xmlns:a16="http://schemas.microsoft.com/office/drawing/2014/main" id="{00000000-0008-0000-0300-00007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1809750</xdr:colOff>
          <xdr:row>60</xdr:row>
          <xdr:rowOff>228600</xdr:rowOff>
        </xdr:to>
        <xdr:sp macro="" textlink="">
          <xdr:nvSpPr>
            <xdr:cNvPr id="8316" name="Check Box 124" hidden="1">
              <a:extLst>
                <a:ext uri="{63B3BB69-23CF-44E3-9099-C40C66FF867C}">
                  <a14:compatExt spid="_x0000_s8316"/>
                </a:ext>
                <a:ext uri="{FF2B5EF4-FFF2-40B4-BE49-F238E27FC236}">
                  <a16:creationId xmlns:a16="http://schemas.microsoft.com/office/drawing/2014/main" id="{00000000-0008-0000-0300-00007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1809750</xdr:colOff>
          <xdr:row>63</xdr:row>
          <xdr:rowOff>171450</xdr:rowOff>
        </xdr:to>
        <xdr:sp macro="" textlink="">
          <xdr:nvSpPr>
            <xdr:cNvPr id="8317" name="Check Box 125" hidden="1">
              <a:extLst>
                <a:ext uri="{63B3BB69-23CF-44E3-9099-C40C66FF867C}">
                  <a14:compatExt spid="_x0000_s8317"/>
                </a:ext>
                <a:ext uri="{FF2B5EF4-FFF2-40B4-BE49-F238E27FC236}">
                  <a16:creationId xmlns:a16="http://schemas.microsoft.com/office/drawing/2014/main" id="{00000000-0008-0000-0300-00007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1809750</xdr:colOff>
          <xdr:row>63</xdr:row>
          <xdr:rowOff>342900</xdr:rowOff>
        </xdr:to>
        <xdr:sp macro="" textlink="">
          <xdr:nvSpPr>
            <xdr:cNvPr id="8318" name="Check Box 126" hidden="1">
              <a:extLst>
                <a:ext uri="{63B3BB69-23CF-44E3-9099-C40C66FF867C}">
                  <a14:compatExt spid="_x0000_s8318"/>
                </a:ext>
                <a:ext uri="{FF2B5EF4-FFF2-40B4-BE49-F238E27FC236}">
                  <a16:creationId xmlns:a16="http://schemas.microsoft.com/office/drawing/2014/main" id="{00000000-0008-0000-0300-00007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1809750</xdr:colOff>
          <xdr:row>62</xdr:row>
          <xdr:rowOff>253365</xdr:rowOff>
        </xdr:to>
        <xdr:sp macro="" textlink="">
          <xdr:nvSpPr>
            <xdr:cNvPr id="8319" name="Check Box 127" hidden="1">
              <a:extLst>
                <a:ext uri="{63B3BB69-23CF-44E3-9099-C40C66FF867C}">
                  <a14:compatExt spid="_x0000_s8319"/>
                </a:ext>
                <a:ext uri="{FF2B5EF4-FFF2-40B4-BE49-F238E27FC236}">
                  <a16:creationId xmlns:a16="http://schemas.microsoft.com/office/drawing/2014/main" id="{00000000-0008-0000-0300-00007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1809750</xdr:colOff>
          <xdr:row>65</xdr:row>
          <xdr:rowOff>171450</xdr:rowOff>
        </xdr:to>
        <xdr:sp macro="" textlink="">
          <xdr:nvSpPr>
            <xdr:cNvPr id="8320" name="Check Box 128" hidden="1">
              <a:extLst>
                <a:ext uri="{63B3BB69-23CF-44E3-9099-C40C66FF867C}">
                  <a14:compatExt spid="_x0000_s8320"/>
                </a:ext>
                <a:ext uri="{FF2B5EF4-FFF2-40B4-BE49-F238E27FC236}">
                  <a16:creationId xmlns:a16="http://schemas.microsoft.com/office/drawing/2014/main" id="{00000000-0008-0000-0300-00008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1809750</xdr:colOff>
          <xdr:row>65</xdr:row>
          <xdr:rowOff>342900</xdr:rowOff>
        </xdr:to>
        <xdr:sp macro="" textlink="">
          <xdr:nvSpPr>
            <xdr:cNvPr id="8321" name="Check Box 129" hidden="1">
              <a:extLst>
                <a:ext uri="{63B3BB69-23CF-44E3-9099-C40C66FF867C}">
                  <a14:compatExt spid="_x0000_s8321"/>
                </a:ext>
                <a:ext uri="{FF2B5EF4-FFF2-40B4-BE49-F238E27FC236}">
                  <a16:creationId xmlns:a16="http://schemas.microsoft.com/office/drawing/2014/main" id="{00000000-0008-0000-0300-00008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1809750</xdr:colOff>
          <xdr:row>64</xdr:row>
          <xdr:rowOff>253365</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3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1809750</xdr:colOff>
          <xdr:row>67</xdr:row>
          <xdr:rowOff>190500</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3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1809750</xdr:colOff>
          <xdr:row>67</xdr:row>
          <xdr:rowOff>342900</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3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1809750</xdr:colOff>
          <xdr:row>66</xdr:row>
          <xdr:rowOff>253365</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3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1809750</xdr:colOff>
          <xdr:row>69</xdr:row>
          <xdr:rowOff>190500</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3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1809750</xdr:colOff>
          <xdr:row>71</xdr:row>
          <xdr:rowOff>190500</xdr:rowOff>
        </xdr:to>
        <xdr:sp macro="" textlink="">
          <xdr:nvSpPr>
            <xdr:cNvPr id="8329" name="Check Box 137" hidden="1">
              <a:extLst>
                <a:ext uri="{63B3BB69-23CF-44E3-9099-C40C66FF867C}">
                  <a14:compatExt spid="_x0000_s8329"/>
                </a:ext>
                <a:ext uri="{FF2B5EF4-FFF2-40B4-BE49-F238E27FC236}">
                  <a16:creationId xmlns:a16="http://schemas.microsoft.com/office/drawing/2014/main" id="{00000000-0008-0000-03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1809750</xdr:colOff>
          <xdr:row>71</xdr:row>
          <xdr:rowOff>342900</xdr:rowOff>
        </xdr:to>
        <xdr:sp macro="" textlink="">
          <xdr:nvSpPr>
            <xdr:cNvPr id="8330" name="Check Box 138" hidden="1">
              <a:extLst>
                <a:ext uri="{63B3BB69-23CF-44E3-9099-C40C66FF867C}">
                  <a14:compatExt spid="_x0000_s8330"/>
                </a:ext>
                <a:ext uri="{FF2B5EF4-FFF2-40B4-BE49-F238E27FC236}">
                  <a16:creationId xmlns:a16="http://schemas.microsoft.com/office/drawing/2014/main" id="{00000000-0008-0000-03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1809750</xdr:colOff>
          <xdr:row>73</xdr:row>
          <xdr:rowOff>190500</xdr:rowOff>
        </xdr:to>
        <xdr:sp macro="" textlink="">
          <xdr:nvSpPr>
            <xdr:cNvPr id="8332" name="Check Box 140" hidden="1">
              <a:extLst>
                <a:ext uri="{63B3BB69-23CF-44E3-9099-C40C66FF867C}">
                  <a14:compatExt spid="_x0000_s8332"/>
                </a:ext>
                <a:ext uri="{FF2B5EF4-FFF2-40B4-BE49-F238E27FC236}">
                  <a16:creationId xmlns:a16="http://schemas.microsoft.com/office/drawing/2014/main" id="{00000000-0008-0000-03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1809750</xdr:colOff>
          <xdr:row>73</xdr:row>
          <xdr:rowOff>342900</xdr:rowOff>
        </xdr:to>
        <xdr:sp macro="" textlink="">
          <xdr:nvSpPr>
            <xdr:cNvPr id="8333" name="Check Box 141" hidden="1">
              <a:extLst>
                <a:ext uri="{63B3BB69-23CF-44E3-9099-C40C66FF867C}">
                  <a14:compatExt spid="_x0000_s8333"/>
                </a:ext>
                <a:ext uri="{FF2B5EF4-FFF2-40B4-BE49-F238E27FC236}">
                  <a16:creationId xmlns:a16="http://schemas.microsoft.com/office/drawing/2014/main" id="{00000000-0008-0000-03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1809750</xdr:colOff>
          <xdr:row>72</xdr:row>
          <xdr:rowOff>253365</xdr:rowOff>
        </xdr:to>
        <xdr:sp macro="" textlink="">
          <xdr:nvSpPr>
            <xdr:cNvPr id="8334" name="Check Box 142" hidden="1">
              <a:extLst>
                <a:ext uri="{63B3BB69-23CF-44E3-9099-C40C66FF867C}">
                  <a14:compatExt spid="_x0000_s8334"/>
                </a:ext>
                <a:ext uri="{FF2B5EF4-FFF2-40B4-BE49-F238E27FC236}">
                  <a16:creationId xmlns:a16="http://schemas.microsoft.com/office/drawing/2014/main" id="{00000000-0008-0000-03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11</xdr:col>
          <xdr:colOff>1809750</xdr:colOff>
          <xdr:row>75</xdr:row>
          <xdr:rowOff>190500</xdr:rowOff>
        </xdr:to>
        <xdr:sp macro="" textlink="">
          <xdr:nvSpPr>
            <xdr:cNvPr id="8335" name="Check Box 143" hidden="1">
              <a:extLst>
                <a:ext uri="{63B3BB69-23CF-44E3-9099-C40C66FF867C}">
                  <a14:compatExt spid="_x0000_s8335"/>
                </a:ext>
                <a:ext uri="{FF2B5EF4-FFF2-40B4-BE49-F238E27FC236}">
                  <a16:creationId xmlns:a16="http://schemas.microsoft.com/office/drawing/2014/main" id="{00000000-0008-0000-03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11</xdr:col>
          <xdr:colOff>1809750</xdr:colOff>
          <xdr:row>75</xdr:row>
          <xdr:rowOff>342900</xdr:rowOff>
        </xdr:to>
        <xdr:sp macro="" textlink="">
          <xdr:nvSpPr>
            <xdr:cNvPr id="8336" name="Check Box 144" hidden="1">
              <a:extLst>
                <a:ext uri="{63B3BB69-23CF-44E3-9099-C40C66FF867C}">
                  <a14:compatExt spid="_x0000_s8336"/>
                </a:ext>
                <a:ext uri="{FF2B5EF4-FFF2-40B4-BE49-F238E27FC236}">
                  <a16:creationId xmlns:a16="http://schemas.microsoft.com/office/drawing/2014/main" id="{00000000-0008-0000-03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1809750</xdr:colOff>
          <xdr:row>74</xdr:row>
          <xdr:rowOff>253365</xdr:rowOff>
        </xdr:to>
        <xdr:sp macro="" textlink="">
          <xdr:nvSpPr>
            <xdr:cNvPr id="8337" name="Check Box 145" hidden="1">
              <a:extLst>
                <a:ext uri="{63B3BB69-23CF-44E3-9099-C40C66FF867C}">
                  <a14:compatExt spid="_x0000_s8337"/>
                </a:ext>
                <a:ext uri="{FF2B5EF4-FFF2-40B4-BE49-F238E27FC236}">
                  <a16:creationId xmlns:a16="http://schemas.microsoft.com/office/drawing/2014/main" id="{00000000-0008-0000-03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1809750</xdr:colOff>
          <xdr:row>77</xdr:row>
          <xdr:rowOff>177165</xdr:rowOff>
        </xdr:to>
        <xdr:sp macro="" textlink="">
          <xdr:nvSpPr>
            <xdr:cNvPr id="8338" name="Check Box 146" hidden="1">
              <a:extLst>
                <a:ext uri="{63B3BB69-23CF-44E3-9099-C40C66FF867C}">
                  <a14:compatExt spid="_x0000_s8338"/>
                </a:ext>
                <a:ext uri="{FF2B5EF4-FFF2-40B4-BE49-F238E27FC236}">
                  <a16:creationId xmlns:a16="http://schemas.microsoft.com/office/drawing/2014/main" id="{00000000-0008-0000-0300-00009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11</xdr:col>
          <xdr:colOff>1809750</xdr:colOff>
          <xdr:row>77</xdr:row>
          <xdr:rowOff>342900</xdr:rowOff>
        </xdr:to>
        <xdr:sp macro="" textlink="">
          <xdr:nvSpPr>
            <xdr:cNvPr id="8339" name="Check Box 147" hidden="1">
              <a:extLst>
                <a:ext uri="{63B3BB69-23CF-44E3-9099-C40C66FF867C}">
                  <a14:compatExt spid="_x0000_s8339"/>
                </a:ext>
                <a:ext uri="{FF2B5EF4-FFF2-40B4-BE49-F238E27FC236}">
                  <a16:creationId xmlns:a16="http://schemas.microsoft.com/office/drawing/2014/main" id="{00000000-0008-0000-0300-00009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1809750</xdr:colOff>
          <xdr:row>76</xdr:row>
          <xdr:rowOff>253365</xdr:rowOff>
        </xdr:to>
        <xdr:sp macro="" textlink="">
          <xdr:nvSpPr>
            <xdr:cNvPr id="8340" name="Check Box 148" hidden="1">
              <a:extLst>
                <a:ext uri="{63B3BB69-23CF-44E3-9099-C40C66FF867C}">
                  <a14:compatExt spid="_x0000_s8340"/>
                </a:ext>
                <a:ext uri="{FF2B5EF4-FFF2-40B4-BE49-F238E27FC236}">
                  <a16:creationId xmlns:a16="http://schemas.microsoft.com/office/drawing/2014/main" id="{00000000-0008-0000-03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1809750</xdr:colOff>
          <xdr:row>79</xdr:row>
          <xdr:rowOff>171450</xdr:rowOff>
        </xdr:to>
        <xdr:sp macro="" textlink="">
          <xdr:nvSpPr>
            <xdr:cNvPr id="8341" name="Check Box 149" hidden="1">
              <a:extLst>
                <a:ext uri="{63B3BB69-23CF-44E3-9099-C40C66FF867C}">
                  <a14:compatExt spid="_x0000_s8341"/>
                </a:ext>
                <a:ext uri="{FF2B5EF4-FFF2-40B4-BE49-F238E27FC236}">
                  <a16:creationId xmlns:a16="http://schemas.microsoft.com/office/drawing/2014/main" id="{00000000-0008-0000-03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1809750</xdr:colOff>
          <xdr:row>79</xdr:row>
          <xdr:rowOff>342900</xdr:rowOff>
        </xdr:to>
        <xdr:sp macro="" textlink="">
          <xdr:nvSpPr>
            <xdr:cNvPr id="8342" name="Check Box 150" hidden="1">
              <a:extLst>
                <a:ext uri="{63B3BB69-23CF-44E3-9099-C40C66FF867C}">
                  <a14:compatExt spid="_x0000_s8342"/>
                </a:ext>
                <a:ext uri="{FF2B5EF4-FFF2-40B4-BE49-F238E27FC236}">
                  <a16:creationId xmlns:a16="http://schemas.microsoft.com/office/drawing/2014/main" id="{00000000-0008-0000-03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1809750</xdr:colOff>
          <xdr:row>78</xdr:row>
          <xdr:rowOff>253365</xdr:rowOff>
        </xdr:to>
        <xdr:sp macro="" textlink="">
          <xdr:nvSpPr>
            <xdr:cNvPr id="8343" name="Check Box 151" hidden="1">
              <a:extLst>
                <a:ext uri="{63B3BB69-23CF-44E3-9099-C40C66FF867C}">
                  <a14:compatExt spid="_x0000_s8343"/>
                </a:ext>
                <a:ext uri="{FF2B5EF4-FFF2-40B4-BE49-F238E27FC236}">
                  <a16:creationId xmlns:a16="http://schemas.microsoft.com/office/drawing/2014/main" id="{00000000-0008-0000-03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1809750</xdr:colOff>
          <xdr:row>81</xdr:row>
          <xdr:rowOff>171450</xdr:rowOff>
        </xdr:to>
        <xdr:sp macro="" textlink="">
          <xdr:nvSpPr>
            <xdr:cNvPr id="8344" name="Check Box 152" hidden="1">
              <a:extLst>
                <a:ext uri="{63B3BB69-23CF-44E3-9099-C40C66FF867C}">
                  <a14:compatExt spid="_x0000_s8344"/>
                </a:ext>
                <a:ext uri="{FF2B5EF4-FFF2-40B4-BE49-F238E27FC236}">
                  <a16:creationId xmlns:a16="http://schemas.microsoft.com/office/drawing/2014/main" id="{00000000-0008-0000-03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1809750</xdr:colOff>
          <xdr:row>81</xdr:row>
          <xdr:rowOff>342900</xdr:rowOff>
        </xdr:to>
        <xdr:sp macro="" textlink="">
          <xdr:nvSpPr>
            <xdr:cNvPr id="8345" name="Check Box 153" hidden="1">
              <a:extLst>
                <a:ext uri="{63B3BB69-23CF-44E3-9099-C40C66FF867C}">
                  <a14:compatExt spid="_x0000_s8345"/>
                </a:ext>
                <a:ext uri="{FF2B5EF4-FFF2-40B4-BE49-F238E27FC236}">
                  <a16:creationId xmlns:a16="http://schemas.microsoft.com/office/drawing/2014/main" id="{00000000-0008-0000-03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1809750</xdr:colOff>
          <xdr:row>80</xdr:row>
          <xdr:rowOff>253365</xdr:rowOff>
        </xdr:to>
        <xdr:sp macro="" textlink="">
          <xdr:nvSpPr>
            <xdr:cNvPr id="8346" name="Check Box 154" hidden="1">
              <a:extLst>
                <a:ext uri="{63B3BB69-23CF-44E3-9099-C40C66FF867C}">
                  <a14:compatExt spid="_x0000_s8346"/>
                </a:ext>
                <a:ext uri="{FF2B5EF4-FFF2-40B4-BE49-F238E27FC236}">
                  <a16:creationId xmlns:a16="http://schemas.microsoft.com/office/drawing/2014/main" id="{00000000-0008-0000-03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1809750</xdr:colOff>
          <xdr:row>83</xdr:row>
          <xdr:rowOff>171450</xdr:rowOff>
        </xdr:to>
        <xdr:sp macro="" textlink="">
          <xdr:nvSpPr>
            <xdr:cNvPr id="8347" name="Check Box 155" hidden="1">
              <a:extLst>
                <a:ext uri="{63B3BB69-23CF-44E3-9099-C40C66FF867C}">
                  <a14:compatExt spid="_x0000_s8347"/>
                </a:ext>
                <a:ext uri="{FF2B5EF4-FFF2-40B4-BE49-F238E27FC236}">
                  <a16:creationId xmlns:a16="http://schemas.microsoft.com/office/drawing/2014/main" id="{00000000-0008-0000-03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11</xdr:col>
          <xdr:colOff>1809750</xdr:colOff>
          <xdr:row>83</xdr:row>
          <xdr:rowOff>342900</xdr:rowOff>
        </xdr:to>
        <xdr:sp macro="" textlink="">
          <xdr:nvSpPr>
            <xdr:cNvPr id="8348" name="Check Box 156" hidden="1">
              <a:extLst>
                <a:ext uri="{63B3BB69-23CF-44E3-9099-C40C66FF867C}">
                  <a14:compatExt spid="_x0000_s8348"/>
                </a:ext>
                <a:ext uri="{FF2B5EF4-FFF2-40B4-BE49-F238E27FC236}">
                  <a16:creationId xmlns:a16="http://schemas.microsoft.com/office/drawing/2014/main" id="{00000000-0008-0000-03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1809750</xdr:colOff>
          <xdr:row>82</xdr:row>
          <xdr:rowOff>253365</xdr:rowOff>
        </xdr:to>
        <xdr:sp macro="" textlink="">
          <xdr:nvSpPr>
            <xdr:cNvPr id="8349" name="Check Box 157" hidden="1">
              <a:extLst>
                <a:ext uri="{63B3BB69-23CF-44E3-9099-C40C66FF867C}">
                  <a14:compatExt spid="_x0000_s8349"/>
                </a:ext>
                <a:ext uri="{FF2B5EF4-FFF2-40B4-BE49-F238E27FC236}">
                  <a16:creationId xmlns:a16="http://schemas.microsoft.com/office/drawing/2014/main" id="{00000000-0008-0000-03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1809750</xdr:colOff>
          <xdr:row>84</xdr:row>
          <xdr:rowOff>291465</xdr:rowOff>
        </xdr:to>
        <xdr:sp macro="" textlink="">
          <xdr:nvSpPr>
            <xdr:cNvPr id="8350" name="Check Box 158" hidden="1">
              <a:extLst>
                <a:ext uri="{63B3BB69-23CF-44E3-9099-C40C66FF867C}">
                  <a14:compatExt spid="_x0000_s8350"/>
                </a:ext>
                <a:ext uri="{FF2B5EF4-FFF2-40B4-BE49-F238E27FC236}">
                  <a16:creationId xmlns:a16="http://schemas.microsoft.com/office/drawing/2014/main" id="{00000000-0008-0000-03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11</xdr:col>
          <xdr:colOff>1809750</xdr:colOff>
          <xdr:row>85</xdr:row>
          <xdr:rowOff>171450</xdr:rowOff>
        </xdr:to>
        <xdr:sp macro="" textlink="">
          <xdr:nvSpPr>
            <xdr:cNvPr id="8359" name="Check Box 167" hidden="1">
              <a:extLst>
                <a:ext uri="{63B3BB69-23CF-44E3-9099-C40C66FF867C}">
                  <a14:compatExt spid="_x0000_s8359"/>
                </a:ext>
                <a:ext uri="{FF2B5EF4-FFF2-40B4-BE49-F238E27FC236}">
                  <a16:creationId xmlns:a16="http://schemas.microsoft.com/office/drawing/2014/main" id="{00000000-0008-0000-03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1809750</xdr:colOff>
          <xdr:row>85</xdr:row>
          <xdr:rowOff>342900</xdr:rowOff>
        </xdr:to>
        <xdr:sp macro="" textlink="">
          <xdr:nvSpPr>
            <xdr:cNvPr id="8360" name="Check Box 168" hidden="1">
              <a:extLst>
                <a:ext uri="{63B3BB69-23CF-44E3-9099-C40C66FF867C}">
                  <a14:compatExt spid="_x0000_s8360"/>
                </a:ext>
                <a:ext uri="{FF2B5EF4-FFF2-40B4-BE49-F238E27FC236}">
                  <a16:creationId xmlns:a16="http://schemas.microsoft.com/office/drawing/2014/main" id="{00000000-0008-0000-03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1809750</xdr:colOff>
          <xdr:row>87</xdr:row>
          <xdr:rowOff>190500</xdr:rowOff>
        </xdr:to>
        <xdr:sp macro="" textlink="">
          <xdr:nvSpPr>
            <xdr:cNvPr id="8362" name="Check Box 170" hidden="1">
              <a:extLst>
                <a:ext uri="{63B3BB69-23CF-44E3-9099-C40C66FF867C}">
                  <a14:compatExt spid="_x0000_s8362"/>
                </a:ext>
                <a:ext uri="{FF2B5EF4-FFF2-40B4-BE49-F238E27FC236}">
                  <a16:creationId xmlns:a16="http://schemas.microsoft.com/office/drawing/2014/main" id="{00000000-0008-0000-03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1809750</xdr:colOff>
          <xdr:row>87</xdr:row>
          <xdr:rowOff>342900</xdr:rowOff>
        </xdr:to>
        <xdr:sp macro="" textlink="">
          <xdr:nvSpPr>
            <xdr:cNvPr id="8363" name="Check Box 171" hidden="1">
              <a:extLst>
                <a:ext uri="{63B3BB69-23CF-44E3-9099-C40C66FF867C}">
                  <a14:compatExt spid="_x0000_s8363"/>
                </a:ext>
                <a:ext uri="{FF2B5EF4-FFF2-40B4-BE49-F238E27FC236}">
                  <a16:creationId xmlns:a16="http://schemas.microsoft.com/office/drawing/2014/main" id="{00000000-0008-0000-03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1809750</xdr:colOff>
          <xdr:row>86</xdr:row>
          <xdr:rowOff>291465</xdr:rowOff>
        </xdr:to>
        <xdr:sp macro="" textlink="">
          <xdr:nvSpPr>
            <xdr:cNvPr id="8364" name="Check Box 172" hidden="1">
              <a:extLst>
                <a:ext uri="{63B3BB69-23CF-44E3-9099-C40C66FF867C}">
                  <a14:compatExt spid="_x0000_s8364"/>
                </a:ext>
                <a:ext uri="{FF2B5EF4-FFF2-40B4-BE49-F238E27FC236}">
                  <a16:creationId xmlns:a16="http://schemas.microsoft.com/office/drawing/2014/main" id="{00000000-0008-0000-03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1809750</xdr:colOff>
          <xdr:row>89</xdr:row>
          <xdr:rowOff>190500</xdr:rowOff>
        </xdr:to>
        <xdr:sp macro="" textlink="">
          <xdr:nvSpPr>
            <xdr:cNvPr id="8365" name="Check Box 173" hidden="1">
              <a:extLst>
                <a:ext uri="{63B3BB69-23CF-44E3-9099-C40C66FF867C}">
                  <a14:compatExt spid="_x0000_s8365"/>
                </a:ext>
                <a:ext uri="{FF2B5EF4-FFF2-40B4-BE49-F238E27FC236}">
                  <a16:creationId xmlns:a16="http://schemas.microsoft.com/office/drawing/2014/main" id="{00000000-0008-0000-03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1809750</xdr:colOff>
          <xdr:row>93</xdr:row>
          <xdr:rowOff>190500</xdr:rowOff>
        </xdr:to>
        <xdr:sp macro="" textlink="">
          <xdr:nvSpPr>
            <xdr:cNvPr id="8371" name="Check Box 179" hidden="1">
              <a:extLst>
                <a:ext uri="{63B3BB69-23CF-44E3-9099-C40C66FF867C}">
                  <a14:compatExt spid="_x0000_s8371"/>
                </a:ext>
                <a:ext uri="{FF2B5EF4-FFF2-40B4-BE49-F238E27FC236}">
                  <a16:creationId xmlns:a16="http://schemas.microsoft.com/office/drawing/2014/main" id="{00000000-0008-0000-0300-0000B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1809750</xdr:colOff>
          <xdr:row>93</xdr:row>
          <xdr:rowOff>342900</xdr:rowOff>
        </xdr:to>
        <xdr:sp macro="" textlink="">
          <xdr:nvSpPr>
            <xdr:cNvPr id="8372" name="Check Box 180" hidden="1">
              <a:extLst>
                <a:ext uri="{63B3BB69-23CF-44E3-9099-C40C66FF867C}">
                  <a14:compatExt spid="_x0000_s8372"/>
                </a:ext>
                <a:ext uri="{FF2B5EF4-FFF2-40B4-BE49-F238E27FC236}">
                  <a16:creationId xmlns:a16="http://schemas.microsoft.com/office/drawing/2014/main" id="{00000000-0008-0000-0300-0000B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1809750</xdr:colOff>
          <xdr:row>95</xdr:row>
          <xdr:rowOff>190500</xdr:rowOff>
        </xdr:to>
        <xdr:sp macro="" textlink="">
          <xdr:nvSpPr>
            <xdr:cNvPr id="8374" name="Check Box 182" hidden="1">
              <a:extLst>
                <a:ext uri="{63B3BB69-23CF-44E3-9099-C40C66FF867C}">
                  <a14:compatExt spid="_x0000_s8374"/>
                </a:ext>
                <a:ext uri="{FF2B5EF4-FFF2-40B4-BE49-F238E27FC236}">
                  <a16:creationId xmlns:a16="http://schemas.microsoft.com/office/drawing/2014/main" id="{00000000-0008-0000-03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1809750</xdr:colOff>
          <xdr:row>95</xdr:row>
          <xdr:rowOff>342900</xdr:rowOff>
        </xdr:to>
        <xdr:sp macro="" textlink="">
          <xdr:nvSpPr>
            <xdr:cNvPr id="8375" name="Check Box 183" hidden="1">
              <a:extLst>
                <a:ext uri="{63B3BB69-23CF-44E3-9099-C40C66FF867C}">
                  <a14:compatExt spid="_x0000_s8375"/>
                </a:ext>
                <a:ext uri="{FF2B5EF4-FFF2-40B4-BE49-F238E27FC236}">
                  <a16:creationId xmlns:a16="http://schemas.microsoft.com/office/drawing/2014/main" id="{00000000-0008-0000-03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1809750</xdr:colOff>
          <xdr:row>94</xdr:row>
          <xdr:rowOff>329565</xdr:rowOff>
        </xdr:to>
        <xdr:sp macro="" textlink="">
          <xdr:nvSpPr>
            <xdr:cNvPr id="8376" name="Check Box 184" hidden="1">
              <a:extLst>
                <a:ext uri="{63B3BB69-23CF-44E3-9099-C40C66FF867C}">
                  <a14:compatExt spid="_x0000_s8376"/>
                </a:ext>
                <a:ext uri="{FF2B5EF4-FFF2-40B4-BE49-F238E27FC236}">
                  <a16:creationId xmlns:a16="http://schemas.microsoft.com/office/drawing/2014/main" id="{00000000-0008-0000-0300-0000B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11</xdr:col>
          <xdr:colOff>1809750</xdr:colOff>
          <xdr:row>125</xdr:row>
          <xdr:rowOff>152400</xdr:rowOff>
        </xdr:to>
        <xdr:sp macro="" textlink="">
          <xdr:nvSpPr>
            <xdr:cNvPr id="8377" name="Check Box 185" hidden="1">
              <a:extLst>
                <a:ext uri="{63B3BB69-23CF-44E3-9099-C40C66FF867C}">
                  <a14:compatExt spid="_x0000_s8377"/>
                </a:ext>
                <a:ext uri="{FF2B5EF4-FFF2-40B4-BE49-F238E27FC236}">
                  <a16:creationId xmlns:a16="http://schemas.microsoft.com/office/drawing/2014/main" id="{00000000-0008-0000-0300-0000B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11</xdr:col>
          <xdr:colOff>1809750</xdr:colOff>
          <xdr:row>126</xdr:row>
          <xdr:rowOff>38100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3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1809750</xdr:colOff>
          <xdr:row>124</xdr:row>
          <xdr:rowOff>291465</xdr:rowOff>
        </xdr:to>
        <xdr:sp macro="" textlink="">
          <xdr:nvSpPr>
            <xdr:cNvPr id="8379" name="Check Box 187" hidden="1">
              <a:extLst>
                <a:ext uri="{63B3BB69-23CF-44E3-9099-C40C66FF867C}">
                  <a14:compatExt spid="_x0000_s8379"/>
                </a:ext>
                <a:ext uri="{FF2B5EF4-FFF2-40B4-BE49-F238E27FC236}">
                  <a16:creationId xmlns:a16="http://schemas.microsoft.com/office/drawing/2014/main" id="{00000000-0008-0000-0300-0000B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11</xdr:col>
          <xdr:colOff>1809750</xdr:colOff>
          <xdr:row>127</xdr:row>
          <xdr:rowOff>152400</xdr:rowOff>
        </xdr:to>
        <xdr:sp macro="" textlink="">
          <xdr:nvSpPr>
            <xdr:cNvPr id="8380" name="Check Box 188" hidden="1">
              <a:extLst>
                <a:ext uri="{63B3BB69-23CF-44E3-9099-C40C66FF867C}">
                  <a14:compatExt spid="_x0000_s8380"/>
                </a:ext>
                <a:ext uri="{FF2B5EF4-FFF2-40B4-BE49-F238E27FC236}">
                  <a16:creationId xmlns:a16="http://schemas.microsoft.com/office/drawing/2014/main" id="{00000000-0008-0000-0300-0000B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11</xdr:col>
          <xdr:colOff>1809750</xdr:colOff>
          <xdr:row>128</xdr:row>
          <xdr:rowOff>38100</xdr:rowOff>
        </xdr:to>
        <xdr:sp macro="" textlink="">
          <xdr:nvSpPr>
            <xdr:cNvPr id="8381" name="Check Box 189" hidden="1">
              <a:extLst>
                <a:ext uri="{63B3BB69-23CF-44E3-9099-C40C66FF867C}">
                  <a14:compatExt spid="_x0000_s8381"/>
                </a:ext>
                <a:ext uri="{FF2B5EF4-FFF2-40B4-BE49-F238E27FC236}">
                  <a16:creationId xmlns:a16="http://schemas.microsoft.com/office/drawing/2014/main" id="{00000000-0008-0000-0300-0000B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1809750</xdr:colOff>
          <xdr:row>126</xdr:row>
          <xdr:rowOff>291465</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3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0</xdr:colOff>
      <xdr:row>13</xdr:row>
      <xdr:rowOff>24317</xdr:rowOff>
    </xdr:from>
    <xdr:to>
      <xdr:col>4</xdr:col>
      <xdr:colOff>1172807</xdr:colOff>
      <xdr:row>25</xdr:row>
      <xdr:rowOff>162598</xdr:rowOff>
    </xdr:to>
    <xdr:graphicFrame macro="">
      <xdr:nvGraphicFramePr>
        <xdr:cNvPr id="4" name="Gráfico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1809750</xdr:colOff>
          <xdr:row>97</xdr:row>
          <xdr:rowOff>190500</xdr:rowOff>
        </xdr:to>
        <xdr:sp macro="" textlink="">
          <xdr:nvSpPr>
            <xdr:cNvPr id="8408" name="Check Box 216" hidden="1">
              <a:extLst>
                <a:ext uri="{63B3BB69-23CF-44E3-9099-C40C66FF867C}">
                  <a14:compatExt spid="_x0000_s8408"/>
                </a:ext>
                <a:ext uri="{FF2B5EF4-FFF2-40B4-BE49-F238E27FC236}">
                  <a16:creationId xmlns:a16="http://schemas.microsoft.com/office/drawing/2014/main" id="{00000000-0008-0000-0300-0000D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1809750</xdr:colOff>
          <xdr:row>97</xdr:row>
          <xdr:rowOff>342900</xdr:rowOff>
        </xdr:to>
        <xdr:sp macro="" textlink="">
          <xdr:nvSpPr>
            <xdr:cNvPr id="8409" name="Check Box 217" hidden="1">
              <a:extLst>
                <a:ext uri="{63B3BB69-23CF-44E3-9099-C40C66FF867C}">
                  <a14:compatExt spid="_x0000_s8409"/>
                </a:ext>
                <a:ext uri="{FF2B5EF4-FFF2-40B4-BE49-F238E27FC236}">
                  <a16:creationId xmlns:a16="http://schemas.microsoft.com/office/drawing/2014/main" id="{00000000-0008-0000-0300-0000D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1809750</xdr:colOff>
          <xdr:row>96</xdr:row>
          <xdr:rowOff>253365</xdr:rowOff>
        </xdr:to>
        <xdr:sp macro="" textlink="">
          <xdr:nvSpPr>
            <xdr:cNvPr id="8410" name="Check Box 218" hidden="1">
              <a:extLst>
                <a:ext uri="{63B3BB69-23CF-44E3-9099-C40C66FF867C}">
                  <a14:compatExt spid="_x0000_s8410"/>
                </a:ext>
                <a:ext uri="{FF2B5EF4-FFF2-40B4-BE49-F238E27FC236}">
                  <a16:creationId xmlns:a16="http://schemas.microsoft.com/office/drawing/2014/main" id="{00000000-0008-0000-0300-0000D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1809750</xdr:colOff>
          <xdr:row>99</xdr:row>
          <xdr:rowOff>190500</xdr:rowOff>
        </xdr:to>
        <xdr:sp macro="" textlink="">
          <xdr:nvSpPr>
            <xdr:cNvPr id="8411" name="Check Box 219" hidden="1">
              <a:extLst>
                <a:ext uri="{63B3BB69-23CF-44E3-9099-C40C66FF867C}">
                  <a14:compatExt spid="_x0000_s8411"/>
                </a:ext>
                <a:ext uri="{FF2B5EF4-FFF2-40B4-BE49-F238E27FC236}">
                  <a16:creationId xmlns:a16="http://schemas.microsoft.com/office/drawing/2014/main" id="{00000000-0008-0000-0300-0000D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1809750</xdr:colOff>
          <xdr:row>101</xdr:row>
          <xdr:rowOff>152400</xdr:rowOff>
        </xdr:to>
        <xdr:sp macro="" textlink="">
          <xdr:nvSpPr>
            <xdr:cNvPr id="8414" name="Check Box 222" hidden="1">
              <a:extLst>
                <a:ext uri="{63B3BB69-23CF-44E3-9099-C40C66FF867C}">
                  <a14:compatExt spid="_x0000_s8414"/>
                </a:ext>
                <a:ext uri="{FF2B5EF4-FFF2-40B4-BE49-F238E27FC236}">
                  <a16:creationId xmlns:a16="http://schemas.microsoft.com/office/drawing/2014/main" id="{00000000-0008-0000-0300-0000D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1809750</xdr:colOff>
          <xdr:row>102</xdr:row>
          <xdr:rowOff>62865</xdr:rowOff>
        </xdr:to>
        <xdr:sp macro="" textlink="">
          <xdr:nvSpPr>
            <xdr:cNvPr id="8415" name="Check Box 223" hidden="1">
              <a:extLst>
                <a:ext uri="{63B3BB69-23CF-44E3-9099-C40C66FF867C}">
                  <a14:compatExt spid="_x0000_s8415"/>
                </a:ext>
                <a:ext uri="{FF2B5EF4-FFF2-40B4-BE49-F238E27FC236}">
                  <a16:creationId xmlns:a16="http://schemas.microsoft.com/office/drawing/2014/main" id="{00000000-0008-0000-0300-0000D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11</xdr:col>
          <xdr:colOff>1809750</xdr:colOff>
          <xdr:row>103</xdr:row>
          <xdr:rowOff>152400</xdr:rowOff>
        </xdr:to>
        <xdr:sp macro="" textlink="">
          <xdr:nvSpPr>
            <xdr:cNvPr id="8417" name="Check Box 225" hidden="1">
              <a:extLst>
                <a:ext uri="{63B3BB69-23CF-44E3-9099-C40C66FF867C}">
                  <a14:compatExt spid="_x0000_s8417"/>
                </a:ext>
                <a:ext uri="{FF2B5EF4-FFF2-40B4-BE49-F238E27FC236}">
                  <a16:creationId xmlns:a16="http://schemas.microsoft.com/office/drawing/2014/main" id="{00000000-0008-0000-0300-0000E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11</xdr:col>
          <xdr:colOff>1809750</xdr:colOff>
          <xdr:row>104</xdr:row>
          <xdr:rowOff>62865</xdr:rowOff>
        </xdr:to>
        <xdr:sp macro="" textlink="">
          <xdr:nvSpPr>
            <xdr:cNvPr id="8418" name="Check Box 226" hidden="1">
              <a:extLst>
                <a:ext uri="{63B3BB69-23CF-44E3-9099-C40C66FF867C}">
                  <a14:compatExt spid="_x0000_s8418"/>
                </a:ext>
                <a:ext uri="{FF2B5EF4-FFF2-40B4-BE49-F238E27FC236}">
                  <a16:creationId xmlns:a16="http://schemas.microsoft.com/office/drawing/2014/main" id="{00000000-0008-0000-0300-0000E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1809750</xdr:colOff>
          <xdr:row>102</xdr:row>
          <xdr:rowOff>291465</xdr:rowOff>
        </xdr:to>
        <xdr:sp macro="" textlink="">
          <xdr:nvSpPr>
            <xdr:cNvPr id="8419" name="Check Box 227" hidden="1">
              <a:extLst>
                <a:ext uri="{63B3BB69-23CF-44E3-9099-C40C66FF867C}">
                  <a14:compatExt spid="_x0000_s8419"/>
                </a:ext>
                <a:ext uri="{FF2B5EF4-FFF2-40B4-BE49-F238E27FC236}">
                  <a16:creationId xmlns:a16="http://schemas.microsoft.com/office/drawing/2014/main" id="{00000000-0008-0000-0300-0000E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11</xdr:col>
          <xdr:colOff>1809750</xdr:colOff>
          <xdr:row>105</xdr:row>
          <xdr:rowOff>152400</xdr:rowOff>
        </xdr:to>
        <xdr:sp macro="" textlink="">
          <xdr:nvSpPr>
            <xdr:cNvPr id="8420" name="Check Box 228" hidden="1">
              <a:extLst>
                <a:ext uri="{63B3BB69-23CF-44E3-9099-C40C66FF867C}">
                  <a14:compatExt spid="_x0000_s8420"/>
                </a:ext>
                <a:ext uri="{FF2B5EF4-FFF2-40B4-BE49-F238E27FC236}">
                  <a16:creationId xmlns:a16="http://schemas.microsoft.com/office/drawing/2014/main" id="{00000000-0008-0000-0300-0000E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11</xdr:col>
          <xdr:colOff>1809750</xdr:colOff>
          <xdr:row>106</xdr:row>
          <xdr:rowOff>100965</xdr:rowOff>
        </xdr:to>
        <xdr:sp macro="" textlink="">
          <xdr:nvSpPr>
            <xdr:cNvPr id="8421" name="Check Box 229" hidden="1">
              <a:extLst>
                <a:ext uri="{63B3BB69-23CF-44E3-9099-C40C66FF867C}">
                  <a14:compatExt spid="_x0000_s8421"/>
                </a:ext>
                <a:ext uri="{FF2B5EF4-FFF2-40B4-BE49-F238E27FC236}">
                  <a16:creationId xmlns:a16="http://schemas.microsoft.com/office/drawing/2014/main" id="{00000000-0008-0000-0300-0000E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1809750</xdr:colOff>
          <xdr:row>104</xdr:row>
          <xdr:rowOff>291465</xdr:rowOff>
        </xdr:to>
        <xdr:sp macro="" textlink="">
          <xdr:nvSpPr>
            <xdr:cNvPr id="8422" name="Check Box 230" hidden="1">
              <a:extLst>
                <a:ext uri="{63B3BB69-23CF-44E3-9099-C40C66FF867C}">
                  <a14:compatExt spid="_x0000_s8422"/>
                </a:ext>
                <a:ext uri="{FF2B5EF4-FFF2-40B4-BE49-F238E27FC236}">
                  <a16:creationId xmlns:a16="http://schemas.microsoft.com/office/drawing/2014/main" id="{00000000-0008-0000-0300-0000E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0</xdr:rowOff>
        </xdr:from>
        <xdr:to>
          <xdr:col>11</xdr:col>
          <xdr:colOff>1809750</xdr:colOff>
          <xdr:row>106</xdr:row>
          <xdr:rowOff>253365</xdr:rowOff>
        </xdr:to>
        <xdr:sp macro="" textlink="">
          <xdr:nvSpPr>
            <xdr:cNvPr id="8423" name="Check Box 231" hidden="1">
              <a:extLst>
                <a:ext uri="{63B3BB69-23CF-44E3-9099-C40C66FF867C}">
                  <a14:compatExt spid="_x0000_s8423"/>
                </a:ext>
                <a:ext uri="{FF2B5EF4-FFF2-40B4-BE49-F238E27FC236}">
                  <a16:creationId xmlns:a16="http://schemas.microsoft.com/office/drawing/2014/main" id="{00000000-0008-0000-0300-0000E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266700</xdr:rowOff>
        </xdr:from>
        <xdr:to>
          <xdr:col>11</xdr:col>
          <xdr:colOff>1809750</xdr:colOff>
          <xdr:row>107</xdr:row>
          <xdr:rowOff>152400</xdr:rowOff>
        </xdr:to>
        <xdr:sp macro="" textlink="">
          <xdr:nvSpPr>
            <xdr:cNvPr id="8426" name="Check Box 234" hidden="1">
              <a:extLst>
                <a:ext uri="{63B3BB69-23CF-44E3-9099-C40C66FF867C}">
                  <a14:compatExt spid="_x0000_s8426"/>
                </a:ext>
                <a:ext uri="{FF2B5EF4-FFF2-40B4-BE49-F238E27FC236}">
                  <a16:creationId xmlns:a16="http://schemas.microsoft.com/office/drawing/2014/main" id="{00000000-0008-0000-0300-0000E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144780</xdr:rowOff>
        </xdr:from>
        <xdr:to>
          <xdr:col>11</xdr:col>
          <xdr:colOff>1809750</xdr:colOff>
          <xdr:row>108</xdr:row>
          <xdr:rowOff>38100</xdr:rowOff>
        </xdr:to>
        <xdr:sp macro="" textlink="">
          <xdr:nvSpPr>
            <xdr:cNvPr id="8427" name="Check Box 235" hidden="1">
              <a:extLst>
                <a:ext uri="{63B3BB69-23CF-44E3-9099-C40C66FF867C}">
                  <a14:compatExt spid="_x0000_s8427"/>
                </a:ext>
                <a:ext uri="{FF2B5EF4-FFF2-40B4-BE49-F238E27FC236}">
                  <a16:creationId xmlns:a16="http://schemas.microsoft.com/office/drawing/2014/main" id="{00000000-0008-0000-0300-0000E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11</xdr:col>
          <xdr:colOff>1809750</xdr:colOff>
          <xdr:row>109</xdr:row>
          <xdr:rowOff>152400</xdr:rowOff>
        </xdr:to>
        <xdr:sp macro="" textlink="">
          <xdr:nvSpPr>
            <xdr:cNvPr id="8429" name="Check Box 237" hidden="1">
              <a:extLst>
                <a:ext uri="{63B3BB69-23CF-44E3-9099-C40C66FF867C}">
                  <a14:compatExt spid="_x0000_s8429"/>
                </a:ext>
                <a:ext uri="{FF2B5EF4-FFF2-40B4-BE49-F238E27FC236}">
                  <a16:creationId xmlns:a16="http://schemas.microsoft.com/office/drawing/2014/main" id="{00000000-0008-0000-0300-0000E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1809750</xdr:colOff>
          <xdr:row>110</xdr:row>
          <xdr:rowOff>38100</xdr:rowOff>
        </xdr:to>
        <xdr:sp macro="" textlink="">
          <xdr:nvSpPr>
            <xdr:cNvPr id="8430" name="Check Box 238" hidden="1">
              <a:extLst>
                <a:ext uri="{63B3BB69-23CF-44E3-9099-C40C66FF867C}">
                  <a14:compatExt spid="_x0000_s8430"/>
                </a:ext>
                <a:ext uri="{FF2B5EF4-FFF2-40B4-BE49-F238E27FC236}">
                  <a16:creationId xmlns:a16="http://schemas.microsoft.com/office/drawing/2014/main" id="{00000000-0008-0000-0300-0000E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1809750</xdr:colOff>
          <xdr:row>108</xdr:row>
          <xdr:rowOff>291465</xdr:rowOff>
        </xdr:to>
        <xdr:sp macro="" textlink="">
          <xdr:nvSpPr>
            <xdr:cNvPr id="8431" name="Check Box 239" hidden="1">
              <a:extLst>
                <a:ext uri="{63B3BB69-23CF-44E3-9099-C40C66FF867C}">
                  <a14:compatExt spid="_x0000_s8431"/>
                </a:ext>
                <a:ext uri="{FF2B5EF4-FFF2-40B4-BE49-F238E27FC236}">
                  <a16:creationId xmlns:a16="http://schemas.microsoft.com/office/drawing/2014/main" id="{00000000-0008-0000-0300-0000E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11</xdr:col>
          <xdr:colOff>1809750</xdr:colOff>
          <xdr:row>111</xdr:row>
          <xdr:rowOff>152400</xdr:rowOff>
        </xdr:to>
        <xdr:sp macro="" textlink="">
          <xdr:nvSpPr>
            <xdr:cNvPr id="8432" name="Check Box 240" hidden="1">
              <a:extLst>
                <a:ext uri="{63B3BB69-23CF-44E3-9099-C40C66FF867C}">
                  <a14:compatExt spid="_x0000_s8432"/>
                </a:ext>
                <a:ext uri="{FF2B5EF4-FFF2-40B4-BE49-F238E27FC236}">
                  <a16:creationId xmlns:a16="http://schemas.microsoft.com/office/drawing/2014/main" id="{00000000-0008-0000-0300-0000F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1809750</xdr:colOff>
          <xdr:row>112</xdr:row>
          <xdr:rowOff>38100</xdr:rowOff>
        </xdr:to>
        <xdr:sp macro="" textlink="">
          <xdr:nvSpPr>
            <xdr:cNvPr id="8433" name="Check Box 241" hidden="1">
              <a:extLst>
                <a:ext uri="{63B3BB69-23CF-44E3-9099-C40C66FF867C}">
                  <a14:compatExt spid="_x0000_s8433"/>
                </a:ext>
                <a:ext uri="{FF2B5EF4-FFF2-40B4-BE49-F238E27FC236}">
                  <a16:creationId xmlns:a16="http://schemas.microsoft.com/office/drawing/2014/main" id="{00000000-0008-0000-0300-0000F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1809750</xdr:colOff>
          <xdr:row>110</xdr:row>
          <xdr:rowOff>285750</xdr:rowOff>
        </xdr:to>
        <xdr:sp macro="" textlink="">
          <xdr:nvSpPr>
            <xdr:cNvPr id="8434" name="Check Box 242" hidden="1">
              <a:extLst>
                <a:ext uri="{63B3BB69-23CF-44E3-9099-C40C66FF867C}">
                  <a14:compatExt spid="_x0000_s8434"/>
                </a:ext>
                <a:ext uri="{FF2B5EF4-FFF2-40B4-BE49-F238E27FC236}">
                  <a16:creationId xmlns:a16="http://schemas.microsoft.com/office/drawing/2014/main" id="{00000000-0008-0000-0300-0000F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11</xdr:col>
          <xdr:colOff>1809750</xdr:colOff>
          <xdr:row>113</xdr:row>
          <xdr:rowOff>152400</xdr:rowOff>
        </xdr:to>
        <xdr:sp macro="" textlink="">
          <xdr:nvSpPr>
            <xdr:cNvPr id="8435" name="Check Box 243" hidden="1">
              <a:extLst>
                <a:ext uri="{63B3BB69-23CF-44E3-9099-C40C66FF867C}">
                  <a14:compatExt spid="_x0000_s8435"/>
                </a:ext>
                <a:ext uri="{FF2B5EF4-FFF2-40B4-BE49-F238E27FC236}">
                  <a16:creationId xmlns:a16="http://schemas.microsoft.com/office/drawing/2014/main" id="{00000000-0008-0000-0300-0000F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11</xdr:col>
          <xdr:colOff>1809750</xdr:colOff>
          <xdr:row>114</xdr:row>
          <xdr:rowOff>38100</xdr:rowOff>
        </xdr:to>
        <xdr:sp macro="" textlink="">
          <xdr:nvSpPr>
            <xdr:cNvPr id="8436" name="Check Box 244" hidden="1">
              <a:extLst>
                <a:ext uri="{63B3BB69-23CF-44E3-9099-C40C66FF867C}">
                  <a14:compatExt spid="_x0000_s8436"/>
                </a:ext>
                <a:ext uri="{FF2B5EF4-FFF2-40B4-BE49-F238E27FC236}">
                  <a16:creationId xmlns:a16="http://schemas.microsoft.com/office/drawing/2014/main" id="{00000000-0008-0000-0300-0000F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1809750</xdr:colOff>
          <xdr:row>112</xdr:row>
          <xdr:rowOff>285750</xdr:rowOff>
        </xdr:to>
        <xdr:sp macro="" textlink="">
          <xdr:nvSpPr>
            <xdr:cNvPr id="8437" name="Check Box 245" hidden="1">
              <a:extLst>
                <a:ext uri="{63B3BB69-23CF-44E3-9099-C40C66FF867C}">
                  <a14:compatExt spid="_x0000_s8437"/>
                </a:ext>
                <a:ext uri="{FF2B5EF4-FFF2-40B4-BE49-F238E27FC236}">
                  <a16:creationId xmlns:a16="http://schemas.microsoft.com/office/drawing/2014/main" id="{00000000-0008-0000-0300-0000F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11</xdr:col>
          <xdr:colOff>1809750</xdr:colOff>
          <xdr:row>115</xdr:row>
          <xdr:rowOff>152400</xdr:rowOff>
        </xdr:to>
        <xdr:sp macro="" textlink="">
          <xdr:nvSpPr>
            <xdr:cNvPr id="8438" name="Check Box 246" hidden="1">
              <a:extLst>
                <a:ext uri="{63B3BB69-23CF-44E3-9099-C40C66FF867C}">
                  <a14:compatExt spid="_x0000_s8438"/>
                </a:ext>
                <a:ext uri="{FF2B5EF4-FFF2-40B4-BE49-F238E27FC236}">
                  <a16:creationId xmlns:a16="http://schemas.microsoft.com/office/drawing/2014/main" id="{00000000-0008-0000-0300-0000F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144780</xdr:rowOff>
        </xdr:from>
        <xdr:to>
          <xdr:col>11</xdr:col>
          <xdr:colOff>1809750</xdr:colOff>
          <xdr:row>116</xdr:row>
          <xdr:rowOff>38100</xdr:rowOff>
        </xdr:to>
        <xdr:sp macro="" textlink="">
          <xdr:nvSpPr>
            <xdr:cNvPr id="8439" name="Check Box 247" hidden="1">
              <a:extLst>
                <a:ext uri="{63B3BB69-23CF-44E3-9099-C40C66FF867C}">
                  <a14:compatExt spid="_x0000_s8439"/>
                </a:ext>
                <a:ext uri="{FF2B5EF4-FFF2-40B4-BE49-F238E27FC236}">
                  <a16:creationId xmlns:a16="http://schemas.microsoft.com/office/drawing/2014/main" id="{00000000-0008-0000-0300-0000F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1809750</xdr:colOff>
          <xdr:row>114</xdr:row>
          <xdr:rowOff>285750</xdr:rowOff>
        </xdr:to>
        <xdr:sp macro="" textlink="">
          <xdr:nvSpPr>
            <xdr:cNvPr id="8440" name="Check Box 248" hidden="1">
              <a:extLst>
                <a:ext uri="{63B3BB69-23CF-44E3-9099-C40C66FF867C}">
                  <a14:compatExt spid="_x0000_s8440"/>
                </a:ext>
                <a:ext uri="{FF2B5EF4-FFF2-40B4-BE49-F238E27FC236}">
                  <a16:creationId xmlns:a16="http://schemas.microsoft.com/office/drawing/2014/main" id="{00000000-0008-0000-0300-0000F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11</xdr:col>
          <xdr:colOff>1809750</xdr:colOff>
          <xdr:row>117</xdr:row>
          <xdr:rowOff>152400</xdr:rowOff>
        </xdr:to>
        <xdr:sp macro="" textlink="">
          <xdr:nvSpPr>
            <xdr:cNvPr id="8441" name="Check Box 249" hidden="1">
              <a:extLst>
                <a:ext uri="{63B3BB69-23CF-44E3-9099-C40C66FF867C}">
                  <a14:compatExt spid="_x0000_s8441"/>
                </a:ext>
                <a:ext uri="{FF2B5EF4-FFF2-40B4-BE49-F238E27FC236}">
                  <a16:creationId xmlns:a16="http://schemas.microsoft.com/office/drawing/2014/main" id="{00000000-0008-0000-0300-0000F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11</xdr:col>
          <xdr:colOff>1809750</xdr:colOff>
          <xdr:row>118</xdr:row>
          <xdr:rowOff>38100</xdr:rowOff>
        </xdr:to>
        <xdr:sp macro="" textlink="">
          <xdr:nvSpPr>
            <xdr:cNvPr id="8442" name="Check Box 250" hidden="1">
              <a:extLst>
                <a:ext uri="{63B3BB69-23CF-44E3-9099-C40C66FF867C}">
                  <a14:compatExt spid="_x0000_s8442"/>
                </a:ext>
                <a:ext uri="{FF2B5EF4-FFF2-40B4-BE49-F238E27FC236}">
                  <a16:creationId xmlns:a16="http://schemas.microsoft.com/office/drawing/2014/main" id="{00000000-0008-0000-0300-0000F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1809750</xdr:colOff>
          <xdr:row>116</xdr:row>
          <xdr:rowOff>285750</xdr:rowOff>
        </xdr:to>
        <xdr:sp macro="" textlink="">
          <xdr:nvSpPr>
            <xdr:cNvPr id="8443" name="Check Box 251" hidden="1">
              <a:extLst>
                <a:ext uri="{63B3BB69-23CF-44E3-9099-C40C66FF867C}">
                  <a14:compatExt spid="_x0000_s8443"/>
                </a:ext>
                <a:ext uri="{FF2B5EF4-FFF2-40B4-BE49-F238E27FC236}">
                  <a16:creationId xmlns:a16="http://schemas.microsoft.com/office/drawing/2014/main" id="{00000000-0008-0000-0300-0000F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11</xdr:col>
          <xdr:colOff>1809750</xdr:colOff>
          <xdr:row>119</xdr:row>
          <xdr:rowOff>152400</xdr:rowOff>
        </xdr:to>
        <xdr:sp macro="" textlink="">
          <xdr:nvSpPr>
            <xdr:cNvPr id="8444" name="Check Box 252" hidden="1">
              <a:extLst>
                <a:ext uri="{63B3BB69-23CF-44E3-9099-C40C66FF867C}">
                  <a14:compatExt spid="_x0000_s8444"/>
                </a:ext>
                <a:ext uri="{FF2B5EF4-FFF2-40B4-BE49-F238E27FC236}">
                  <a16:creationId xmlns:a16="http://schemas.microsoft.com/office/drawing/2014/main" id="{00000000-0008-0000-0300-0000F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11</xdr:col>
          <xdr:colOff>1809750</xdr:colOff>
          <xdr:row>120</xdr:row>
          <xdr:rowOff>38100</xdr:rowOff>
        </xdr:to>
        <xdr:sp macro="" textlink="">
          <xdr:nvSpPr>
            <xdr:cNvPr id="8445" name="Check Box 253" hidden="1">
              <a:extLst>
                <a:ext uri="{63B3BB69-23CF-44E3-9099-C40C66FF867C}">
                  <a14:compatExt spid="_x0000_s8445"/>
                </a:ext>
                <a:ext uri="{FF2B5EF4-FFF2-40B4-BE49-F238E27FC236}">
                  <a16:creationId xmlns:a16="http://schemas.microsoft.com/office/drawing/2014/main" id="{00000000-0008-0000-0300-0000F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1809750</xdr:colOff>
          <xdr:row>118</xdr:row>
          <xdr:rowOff>291465</xdr:rowOff>
        </xdr:to>
        <xdr:sp macro="" textlink="">
          <xdr:nvSpPr>
            <xdr:cNvPr id="8446" name="Check Box 254" hidden="1">
              <a:extLst>
                <a:ext uri="{63B3BB69-23CF-44E3-9099-C40C66FF867C}">
                  <a14:compatExt spid="_x0000_s8446"/>
                </a:ext>
                <a:ext uri="{FF2B5EF4-FFF2-40B4-BE49-F238E27FC236}">
                  <a16:creationId xmlns:a16="http://schemas.microsoft.com/office/drawing/2014/main" id="{00000000-0008-0000-0300-0000F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11</xdr:col>
          <xdr:colOff>1809750</xdr:colOff>
          <xdr:row>123</xdr:row>
          <xdr:rowOff>152400</xdr:rowOff>
        </xdr:to>
        <xdr:sp macro="" textlink="">
          <xdr:nvSpPr>
            <xdr:cNvPr id="8453" name="Check Box 261" hidden="1">
              <a:extLst>
                <a:ext uri="{63B3BB69-23CF-44E3-9099-C40C66FF867C}">
                  <a14:compatExt spid="_x0000_s8453"/>
                </a:ext>
                <a:ext uri="{FF2B5EF4-FFF2-40B4-BE49-F238E27FC236}">
                  <a16:creationId xmlns:a16="http://schemas.microsoft.com/office/drawing/2014/main" id="{00000000-0008-0000-0300-000005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11</xdr:col>
          <xdr:colOff>1809750</xdr:colOff>
          <xdr:row>124</xdr:row>
          <xdr:rowOff>38100</xdr:rowOff>
        </xdr:to>
        <xdr:sp macro="" textlink="">
          <xdr:nvSpPr>
            <xdr:cNvPr id="8454" name="Check Box 262" hidden="1">
              <a:extLst>
                <a:ext uri="{63B3BB69-23CF-44E3-9099-C40C66FF867C}">
                  <a14:compatExt spid="_x0000_s8454"/>
                </a:ext>
                <a:ext uri="{FF2B5EF4-FFF2-40B4-BE49-F238E27FC236}">
                  <a16:creationId xmlns:a16="http://schemas.microsoft.com/office/drawing/2014/main" id="{00000000-0008-0000-0300-00000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1809750</xdr:colOff>
          <xdr:row>122</xdr:row>
          <xdr:rowOff>285750</xdr:rowOff>
        </xdr:to>
        <xdr:sp macro="" textlink="">
          <xdr:nvSpPr>
            <xdr:cNvPr id="8455" name="Check Box 263" hidden="1">
              <a:extLst>
                <a:ext uri="{63B3BB69-23CF-44E3-9099-C40C66FF867C}">
                  <a14:compatExt spid="_x0000_s8455"/>
                </a:ext>
                <a:ext uri="{FF2B5EF4-FFF2-40B4-BE49-F238E27FC236}">
                  <a16:creationId xmlns:a16="http://schemas.microsoft.com/office/drawing/2014/main" id="{00000000-0008-0000-0300-00000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0</xdr:colOff>
      <xdr:row>159</xdr:row>
      <xdr:rowOff>31711</xdr:rowOff>
    </xdr:from>
    <xdr:to>
      <xdr:col>6</xdr:col>
      <xdr:colOff>0</xdr:colOff>
      <xdr:row>177</xdr:row>
      <xdr:rowOff>268940</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7620</xdr:colOff>
          <xdr:row>120</xdr:row>
          <xdr:rowOff>243840</xdr:rowOff>
        </xdr:from>
        <xdr:to>
          <xdr:col>11</xdr:col>
          <xdr:colOff>1809750</xdr:colOff>
          <xdr:row>121</xdr:row>
          <xdr:rowOff>133350</xdr:rowOff>
        </xdr:to>
        <xdr:sp macro="" textlink="">
          <xdr:nvSpPr>
            <xdr:cNvPr id="8535" name="Check Box 343" hidden="1">
              <a:extLst>
                <a:ext uri="{63B3BB69-23CF-44E3-9099-C40C66FF867C}">
                  <a14:compatExt spid="_x0000_s8535"/>
                </a:ext>
                <a:ext uri="{FF2B5EF4-FFF2-40B4-BE49-F238E27FC236}">
                  <a16:creationId xmlns:a16="http://schemas.microsoft.com/office/drawing/2014/main" id="{00000000-0008-0000-0300-00005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xdr:twoCellAnchor>
    <xdr:from>
      <xdr:col>4</xdr:col>
      <xdr:colOff>1202838</xdr:colOff>
      <xdr:row>13</xdr:row>
      <xdr:rowOff>20635</xdr:rowOff>
    </xdr:from>
    <xdr:to>
      <xdr:col>6</xdr:col>
      <xdr:colOff>1165412</xdr:colOff>
      <xdr:row>25</xdr:row>
      <xdr:rowOff>144189</xdr:rowOff>
    </xdr:to>
    <xdr:graphicFrame macro="">
      <xdr:nvGraphicFramePr>
        <xdr:cNvPr id="5" name="Gráfico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1204492</xdr:colOff>
      <xdr:row>11</xdr:row>
      <xdr:rowOff>130884</xdr:rowOff>
    </xdr:from>
    <xdr:to>
      <xdr:col>12</xdr:col>
      <xdr:colOff>1870906</xdr:colOff>
      <xdr:row>25</xdr:row>
      <xdr:rowOff>130661</xdr:rowOff>
    </xdr:to>
    <xdr:graphicFrame macro="">
      <xdr:nvGraphicFramePr>
        <xdr:cNvPr id="6" name="Gráfico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312761</xdr:colOff>
      <xdr:row>13</xdr:row>
      <xdr:rowOff>31905</xdr:rowOff>
    </xdr:from>
    <xdr:to>
      <xdr:col>8</xdr:col>
      <xdr:colOff>1141723</xdr:colOff>
      <xdr:row>25</xdr:row>
      <xdr:rowOff>148687</xdr:rowOff>
    </xdr:to>
    <xdr:graphicFrame macro="">
      <xdr:nvGraphicFramePr>
        <xdr:cNvPr id="18" name="Gráfico 8">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259080</xdr:rowOff>
        </xdr:from>
        <xdr:to>
          <xdr:col>11</xdr:col>
          <xdr:colOff>1777365</xdr:colOff>
          <xdr:row>55</xdr:row>
          <xdr:rowOff>100965</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4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106680</xdr:rowOff>
        </xdr:from>
        <xdr:to>
          <xdr:col>11</xdr:col>
          <xdr:colOff>1777365</xdr:colOff>
          <xdr:row>55</xdr:row>
          <xdr:rowOff>329565</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4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259080</xdr:rowOff>
        </xdr:from>
        <xdr:to>
          <xdr:col>11</xdr:col>
          <xdr:colOff>1777365</xdr:colOff>
          <xdr:row>57</xdr:row>
          <xdr:rowOff>100965</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4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106680</xdr:rowOff>
        </xdr:from>
        <xdr:to>
          <xdr:col>11</xdr:col>
          <xdr:colOff>1777365</xdr:colOff>
          <xdr:row>57</xdr:row>
          <xdr:rowOff>304800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4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259080</xdr:rowOff>
        </xdr:from>
        <xdr:to>
          <xdr:col>11</xdr:col>
          <xdr:colOff>1777365</xdr:colOff>
          <xdr:row>59</xdr:row>
          <xdr:rowOff>100965</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4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106680</xdr:rowOff>
        </xdr:from>
        <xdr:to>
          <xdr:col>11</xdr:col>
          <xdr:colOff>1777365</xdr:colOff>
          <xdr:row>59</xdr:row>
          <xdr:rowOff>304800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4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259080</xdr:rowOff>
        </xdr:from>
        <xdr:to>
          <xdr:col>11</xdr:col>
          <xdr:colOff>1777365</xdr:colOff>
          <xdr:row>61</xdr:row>
          <xdr:rowOff>100965</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4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106680</xdr:rowOff>
        </xdr:from>
        <xdr:to>
          <xdr:col>11</xdr:col>
          <xdr:colOff>1777365</xdr:colOff>
          <xdr:row>61</xdr:row>
          <xdr:rowOff>323850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4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259080</xdr:rowOff>
        </xdr:from>
        <xdr:to>
          <xdr:col>11</xdr:col>
          <xdr:colOff>1777365</xdr:colOff>
          <xdr:row>63</xdr:row>
          <xdr:rowOff>139065</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4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106680</xdr:rowOff>
        </xdr:from>
        <xdr:to>
          <xdr:col>11</xdr:col>
          <xdr:colOff>1777365</xdr:colOff>
          <xdr:row>63</xdr:row>
          <xdr:rowOff>291465</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4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259080</xdr:rowOff>
        </xdr:from>
        <xdr:to>
          <xdr:col>11</xdr:col>
          <xdr:colOff>1777365</xdr:colOff>
          <xdr:row>65</xdr:row>
          <xdr:rowOff>100965</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4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106680</xdr:rowOff>
        </xdr:from>
        <xdr:to>
          <xdr:col>11</xdr:col>
          <xdr:colOff>1777365</xdr:colOff>
          <xdr:row>65</xdr:row>
          <xdr:rowOff>304800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4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259080</xdr:rowOff>
        </xdr:from>
        <xdr:to>
          <xdr:col>11</xdr:col>
          <xdr:colOff>1777365</xdr:colOff>
          <xdr:row>67</xdr:row>
          <xdr:rowOff>100965</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4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106680</xdr:rowOff>
        </xdr:from>
        <xdr:to>
          <xdr:col>11</xdr:col>
          <xdr:colOff>1777365</xdr:colOff>
          <xdr:row>67</xdr:row>
          <xdr:rowOff>304800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4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0</xdr:rowOff>
        </xdr:from>
        <xdr:to>
          <xdr:col>11</xdr:col>
          <xdr:colOff>1777365</xdr:colOff>
          <xdr:row>68</xdr:row>
          <xdr:rowOff>228600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4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259080</xdr:rowOff>
        </xdr:from>
        <xdr:to>
          <xdr:col>11</xdr:col>
          <xdr:colOff>1777365</xdr:colOff>
          <xdr:row>69</xdr:row>
          <xdr:rowOff>100965</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4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106680</xdr:rowOff>
        </xdr:from>
        <xdr:to>
          <xdr:col>11</xdr:col>
          <xdr:colOff>1777365</xdr:colOff>
          <xdr:row>69</xdr:row>
          <xdr:rowOff>329565</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4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259080</xdr:rowOff>
        </xdr:from>
        <xdr:to>
          <xdr:col>11</xdr:col>
          <xdr:colOff>1777365</xdr:colOff>
          <xdr:row>71</xdr:row>
          <xdr:rowOff>100965</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4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106680</xdr:rowOff>
        </xdr:from>
        <xdr:to>
          <xdr:col>11</xdr:col>
          <xdr:colOff>1777365</xdr:colOff>
          <xdr:row>71</xdr:row>
          <xdr:rowOff>304800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4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259080</xdr:rowOff>
        </xdr:from>
        <xdr:to>
          <xdr:col>11</xdr:col>
          <xdr:colOff>1777365</xdr:colOff>
          <xdr:row>73</xdr:row>
          <xdr:rowOff>139065</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4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106680</xdr:rowOff>
        </xdr:from>
        <xdr:to>
          <xdr:col>11</xdr:col>
          <xdr:colOff>1777365</xdr:colOff>
          <xdr:row>73</xdr:row>
          <xdr:rowOff>291465</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4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259080</xdr:rowOff>
        </xdr:from>
        <xdr:to>
          <xdr:col>11</xdr:col>
          <xdr:colOff>1777365</xdr:colOff>
          <xdr:row>75</xdr:row>
          <xdr:rowOff>139065</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4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106680</xdr:rowOff>
        </xdr:from>
        <xdr:to>
          <xdr:col>11</xdr:col>
          <xdr:colOff>1777365</xdr:colOff>
          <xdr:row>75</xdr:row>
          <xdr:rowOff>291465</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4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259080</xdr:rowOff>
        </xdr:from>
        <xdr:to>
          <xdr:col>11</xdr:col>
          <xdr:colOff>1777365</xdr:colOff>
          <xdr:row>77</xdr:row>
          <xdr:rowOff>100965</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4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106680</xdr:rowOff>
        </xdr:from>
        <xdr:to>
          <xdr:col>11</xdr:col>
          <xdr:colOff>1777365</xdr:colOff>
          <xdr:row>77</xdr:row>
          <xdr:rowOff>304800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4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259080</xdr:rowOff>
        </xdr:from>
        <xdr:to>
          <xdr:col>11</xdr:col>
          <xdr:colOff>1777365</xdr:colOff>
          <xdr:row>79</xdr:row>
          <xdr:rowOff>100965</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4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106680</xdr:rowOff>
        </xdr:from>
        <xdr:to>
          <xdr:col>11</xdr:col>
          <xdr:colOff>1777365</xdr:colOff>
          <xdr:row>79</xdr:row>
          <xdr:rowOff>323850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4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259080</xdr:rowOff>
        </xdr:from>
        <xdr:to>
          <xdr:col>11</xdr:col>
          <xdr:colOff>1777365</xdr:colOff>
          <xdr:row>81</xdr:row>
          <xdr:rowOff>139065</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4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106680</xdr:rowOff>
        </xdr:from>
        <xdr:to>
          <xdr:col>11</xdr:col>
          <xdr:colOff>1777365</xdr:colOff>
          <xdr:row>81</xdr:row>
          <xdr:rowOff>291465</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4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259080</xdr:rowOff>
        </xdr:from>
        <xdr:to>
          <xdr:col>11</xdr:col>
          <xdr:colOff>1777365</xdr:colOff>
          <xdr:row>83</xdr:row>
          <xdr:rowOff>100965</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4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106680</xdr:rowOff>
        </xdr:from>
        <xdr:to>
          <xdr:col>11</xdr:col>
          <xdr:colOff>1777365</xdr:colOff>
          <xdr:row>83</xdr:row>
          <xdr:rowOff>304800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4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259080</xdr:rowOff>
        </xdr:from>
        <xdr:to>
          <xdr:col>11</xdr:col>
          <xdr:colOff>1777365</xdr:colOff>
          <xdr:row>85</xdr:row>
          <xdr:rowOff>100965</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4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106680</xdr:rowOff>
        </xdr:from>
        <xdr:to>
          <xdr:col>11</xdr:col>
          <xdr:colOff>1777365</xdr:colOff>
          <xdr:row>85</xdr:row>
          <xdr:rowOff>304800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4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259080</xdr:rowOff>
        </xdr:from>
        <xdr:to>
          <xdr:col>11</xdr:col>
          <xdr:colOff>1777365</xdr:colOff>
          <xdr:row>87</xdr:row>
          <xdr:rowOff>100965</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4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106680</xdr:rowOff>
        </xdr:from>
        <xdr:to>
          <xdr:col>11</xdr:col>
          <xdr:colOff>1777365</xdr:colOff>
          <xdr:row>87</xdr:row>
          <xdr:rowOff>304800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4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259080</xdr:rowOff>
        </xdr:from>
        <xdr:to>
          <xdr:col>11</xdr:col>
          <xdr:colOff>1777365</xdr:colOff>
          <xdr:row>89</xdr:row>
          <xdr:rowOff>139065</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4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106680</xdr:rowOff>
        </xdr:from>
        <xdr:to>
          <xdr:col>11</xdr:col>
          <xdr:colOff>1777365</xdr:colOff>
          <xdr:row>89</xdr:row>
          <xdr:rowOff>291465</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4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259080</xdr:rowOff>
        </xdr:from>
        <xdr:to>
          <xdr:col>11</xdr:col>
          <xdr:colOff>1777365</xdr:colOff>
          <xdr:row>91</xdr:row>
          <xdr:rowOff>100965</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4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106680</xdr:rowOff>
        </xdr:from>
        <xdr:to>
          <xdr:col>11</xdr:col>
          <xdr:colOff>1777365</xdr:colOff>
          <xdr:row>91</xdr:row>
          <xdr:rowOff>304800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4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259080</xdr:rowOff>
        </xdr:from>
        <xdr:to>
          <xdr:col>11</xdr:col>
          <xdr:colOff>1777365</xdr:colOff>
          <xdr:row>93</xdr:row>
          <xdr:rowOff>139065</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4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106680</xdr:rowOff>
        </xdr:from>
        <xdr:to>
          <xdr:col>11</xdr:col>
          <xdr:colOff>1777365</xdr:colOff>
          <xdr:row>93</xdr:row>
          <xdr:rowOff>291465</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4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259080</xdr:rowOff>
        </xdr:from>
        <xdr:to>
          <xdr:col>11</xdr:col>
          <xdr:colOff>1777365</xdr:colOff>
          <xdr:row>95</xdr:row>
          <xdr:rowOff>139065</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4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106680</xdr:rowOff>
        </xdr:from>
        <xdr:to>
          <xdr:col>11</xdr:col>
          <xdr:colOff>1777365</xdr:colOff>
          <xdr:row>95</xdr:row>
          <xdr:rowOff>291465</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4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1777365</xdr:colOff>
          <xdr:row>96</xdr:row>
          <xdr:rowOff>228600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4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259080</xdr:rowOff>
        </xdr:from>
        <xdr:to>
          <xdr:col>11</xdr:col>
          <xdr:colOff>1777365</xdr:colOff>
          <xdr:row>97</xdr:row>
          <xdr:rowOff>139065</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4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106680</xdr:rowOff>
        </xdr:from>
        <xdr:to>
          <xdr:col>11</xdr:col>
          <xdr:colOff>1777365</xdr:colOff>
          <xdr:row>97</xdr:row>
          <xdr:rowOff>291465</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4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259080</xdr:rowOff>
        </xdr:from>
        <xdr:to>
          <xdr:col>11</xdr:col>
          <xdr:colOff>1777365</xdr:colOff>
          <xdr:row>111</xdr:row>
          <xdr:rowOff>139065</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4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106680</xdr:rowOff>
        </xdr:from>
        <xdr:to>
          <xdr:col>11</xdr:col>
          <xdr:colOff>1777365</xdr:colOff>
          <xdr:row>111</xdr:row>
          <xdr:rowOff>291465</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4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259080</xdr:rowOff>
        </xdr:from>
        <xdr:to>
          <xdr:col>11</xdr:col>
          <xdr:colOff>1777365</xdr:colOff>
          <xdr:row>113</xdr:row>
          <xdr:rowOff>139065</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4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106680</xdr:rowOff>
        </xdr:from>
        <xdr:to>
          <xdr:col>11</xdr:col>
          <xdr:colOff>1777365</xdr:colOff>
          <xdr:row>113</xdr:row>
          <xdr:rowOff>291465</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4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1777365</xdr:colOff>
          <xdr:row>54</xdr:row>
          <xdr:rowOff>253365</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4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1777365</xdr:colOff>
          <xdr:row>56</xdr:row>
          <xdr:rowOff>253365</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4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1777365</xdr:colOff>
          <xdr:row>58</xdr:row>
          <xdr:rowOff>253365</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4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1777365</xdr:colOff>
          <xdr:row>60</xdr:row>
          <xdr:rowOff>253365</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4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1777365</xdr:colOff>
          <xdr:row>62</xdr:row>
          <xdr:rowOff>253365</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4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1777365</xdr:colOff>
          <xdr:row>64</xdr:row>
          <xdr:rowOff>253365</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4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1777365</xdr:colOff>
          <xdr:row>66</xdr:row>
          <xdr:rowOff>253365</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4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1777365</xdr:colOff>
          <xdr:row>70</xdr:row>
          <xdr:rowOff>253365</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4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1777365</xdr:colOff>
          <xdr:row>72</xdr:row>
          <xdr:rowOff>253365</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4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1777365</xdr:colOff>
          <xdr:row>74</xdr:row>
          <xdr:rowOff>253365</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4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1777365</xdr:colOff>
          <xdr:row>76</xdr:row>
          <xdr:rowOff>253365</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4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1777365</xdr:colOff>
          <xdr:row>78</xdr:row>
          <xdr:rowOff>253365</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4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1777365</xdr:colOff>
          <xdr:row>80</xdr:row>
          <xdr:rowOff>253365</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400-00009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1777365</xdr:colOff>
          <xdr:row>82</xdr:row>
          <xdr:rowOff>253365</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400-00009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11</xdr:col>
          <xdr:colOff>1777365</xdr:colOff>
          <xdr:row>84</xdr:row>
          <xdr:rowOff>253365</xdr:rowOff>
        </xdr:to>
        <xdr:sp macro="" textlink="">
          <xdr:nvSpPr>
            <xdr:cNvPr id="4249" name="Check Box 153" hidden="1">
              <a:extLst>
                <a:ext uri="{63B3BB69-23CF-44E3-9099-C40C66FF867C}">
                  <a14:compatExt spid="_x0000_s4249"/>
                </a:ext>
                <a:ext uri="{FF2B5EF4-FFF2-40B4-BE49-F238E27FC236}">
                  <a16:creationId xmlns:a16="http://schemas.microsoft.com/office/drawing/2014/main" id="{00000000-0008-0000-0400-00009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1777365</xdr:colOff>
          <xdr:row>86</xdr:row>
          <xdr:rowOff>253365</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4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1777365</xdr:colOff>
          <xdr:row>88</xdr:row>
          <xdr:rowOff>253365</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4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1777365</xdr:colOff>
          <xdr:row>90</xdr:row>
          <xdr:rowOff>253365</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4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1777365</xdr:colOff>
          <xdr:row>92</xdr:row>
          <xdr:rowOff>253365</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4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1777365</xdr:colOff>
          <xdr:row>94</xdr:row>
          <xdr:rowOff>253365</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4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1777365</xdr:colOff>
          <xdr:row>110</xdr:row>
          <xdr:rowOff>253365</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4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1777365</xdr:colOff>
          <xdr:row>112</xdr:row>
          <xdr:rowOff>253365</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4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40822</xdr:colOff>
      <xdr:row>13</xdr:row>
      <xdr:rowOff>40821</xdr:rowOff>
    </xdr:from>
    <xdr:to>
      <xdr:col>5</xdr:col>
      <xdr:colOff>81644</xdr:colOff>
      <xdr:row>25</xdr:row>
      <xdr:rowOff>147773</xdr:rowOff>
    </xdr:to>
    <xdr:graphicFrame macro="">
      <xdr:nvGraphicFramePr>
        <xdr:cNvPr id="4" name="Gráfico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98</xdr:row>
          <xdr:rowOff>259080</xdr:rowOff>
        </xdr:from>
        <xdr:to>
          <xdr:col>11</xdr:col>
          <xdr:colOff>1777365</xdr:colOff>
          <xdr:row>99</xdr:row>
          <xdr:rowOff>139065</xdr:rowOff>
        </xdr:to>
        <xdr:sp macro="" textlink="">
          <xdr:nvSpPr>
            <xdr:cNvPr id="4413" name="Check Box 317" hidden="1">
              <a:extLst>
                <a:ext uri="{63B3BB69-23CF-44E3-9099-C40C66FF867C}">
                  <a14:compatExt spid="_x0000_s4413"/>
                </a:ext>
                <a:ext uri="{FF2B5EF4-FFF2-40B4-BE49-F238E27FC236}">
                  <a16:creationId xmlns:a16="http://schemas.microsoft.com/office/drawing/2014/main" id="{00000000-0008-0000-0400-00003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106680</xdr:rowOff>
        </xdr:from>
        <xdr:to>
          <xdr:col>11</xdr:col>
          <xdr:colOff>1777365</xdr:colOff>
          <xdr:row>99</xdr:row>
          <xdr:rowOff>291465</xdr:rowOff>
        </xdr:to>
        <xdr:sp macro="" textlink="">
          <xdr:nvSpPr>
            <xdr:cNvPr id="4414" name="Check Box 318" hidden="1">
              <a:extLst>
                <a:ext uri="{63B3BB69-23CF-44E3-9099-C40C66FF867C}">
                  <a14:compatExt spid="_x0000_s4414"/>
                </a:ext>
                <a:ext uri="{FF2B5EF4-FFF2-40B4-BE49-F238E27FC236}">
                  <a16:creationId xmlns:a16="http://schemas.microsoft.com/office/drawing/2014/main" id="{00000000-0008-0000-0400-00003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1777365</xdr:colOff>
          <xdr:row>98</xdr:row>
          <xdr:rowOff>253365</xdr:rowOff>
        </xdr:to>
        <xdr:sp macro="" textlink="">
          <xdr:nvSpPr>
            <xdr:cNvPr id="4415" name="Check Box 319" hidden="1">
              <a:extLst>
                <a:ext uri="{63B3BB69-23CF-44E3-9099-C40C66FF867C}">
                  <a14:compatExt spid="_x0000_s4415"/>
                </a:ext>
                <a:ext uri="{FF2B5EF4-FFF2-40B4-BE49-F238E27FC236}">
                  <a16:creationId xmlns:a16="http://schemas.microsoft.com/office/drawing/2014/main" id="{00000000-0008-0000-0400-00003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259080</xdr:rowOff>
        </xdr:from>
        <xdr:to>
          <xdr:col>11</xdr:col>
          <xdr:colOff>1777365</xdr:colOff>
          <xdr:row>101</xdr:row>
          <xdr:rowOff>139065</xdr:rowOff>
        </xdr:to>
        <xdr:sp macro="" textlink="">
          <xdr:nvSpPr>
            <xdr:cNvPr id="4416" name="Check Box 320" hidden="1">
              <a:extLst>
                <a:ext uri="{63B3BB69-23CF-44E3-9099-C40C66FF867C}">
                  <a14:compatExt spid="_x0000_s4416"/>
                </a:ext>
                <a:ext uri="{FF2B5EF4-FFF2-40B4-BE49-F238E27FC236}">
                  <a16:creationId xmlns:a16="http://schemas.microsoft.com/office/drawing/2014/main" id="{00000000-0008-0000-0400-00004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106680</xdr:rowOff>
        </xdr:from>
        <xdr:to>
          <xdr:col>11</xdr:col>
          <xdr:colOff>1777365</xdr:colOff>
          <xdr:row>101</xdr:row>
          <xdr:rowOff>291465</xdr:rowOff>
        </xdr:to>
        <xdr:sp macro="" textlink="">
          <xdr:nvSpPr>
            <xdr:cNvPr id="4417" name="Check Box 321" hidden="1">
              <a:extLst>
                <a:ext uri="{63B3BB69-23CF-44E3-9099-C40C66FF867C}">
                  <a14:compatExt spid="_x0000_s4417"/>
                </a:ext>
                <a:ext uri="{FF2B5EF4-FFF2-40B4-BE49-F238E27FC236}">
                  <a16:creationId xmlns:a16="http://schemas.microsoft.com/office/drawing/2014/main" id="{00000000-0008-0000-0400-00004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1777365</xdr:colOff>
          <xdr:row>100</xdr:row>
          <xdr:rowOff>253365</xdr:rowOff>
        </xdr:to>
        <xdr:sp macro="" textlink="">
          <xdr:nvSpPr>
            <xdr:cNvPr id="4418" name="Check Box 322" hidden="1">
              <a:extLst>
                <a:ext uri="{63B3BB69-23CF-44E3-9099-C40C66FF867C}">
                  <a14:compatExt spid="_x0000_s4418"/>
                </a:ext>
                <a:ext uri="{FF2B5EF4-FFF2-40B4-BE49-F238E27FC236}">
                  <a16:creationId xmlns:a16="http://schemas.microsoft.com/office/drawing/2014/main" id="{00000000-0008-0000-0400-00004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259080</xdr:rowOff>
        </xdr:from>
        <xdr:to>
          <xdr:col>11</xdr:col>
          <xdr:colOff>1777365</xdr:colOff>
          <xdr:row>103</xdr:row>
          <xdr:rowOff>139065</xdr:rowOff>
        </xdr:to>
        <xdr:sp macro="" textlink="">
          <xdr:nvSpPr>
            <xdr:cNvPr id="4419" name="Check Box 323" hidden="1">
              <a:extLst>
                <a:ext uri="{63B3BB69-23CF-44E3-9099-C40C66FF867C}">
                  <a14:compatExt spid="_x0000_s4419"/>
                </a:ext>
                <a:ext uri="{FF2B5EF4-FFF2-40B4-BE49-F238E27FC236}">
                  <a16:creationId xmlns:a16="http://schemas.microsoft.com/office/drawing/2014/main" id="{00000000-0008-0000-0400-00004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106680</xdr:rowOff>
        </xdr:from>
        <xdr:to>
          <xdr:col>11</xdr:col>
          <xdr:colOff>1777365</xdr:colOff>
          <xdr:row>103</xdr:row>
          <xdr:rowOff>291465</xdr:rowOff>
        </xdr:to>
        <xdr:sp macro="" textlink="">
          <xdr:nvSpPr>
            <xdr:cNvPr id="4420" name="Check Box 324" hidden="1">
              <a:extLst>
                <a:ext uri="{63B3BB69-23CF-44E3-9099-C40C66FF867C}">
                  <a14:compatExt spid="_x0000_s4420"/>
                </a:ext>
                <a:ext uri="{FF2B5EF4-FFF2-40B4-BE49-F238E27FC236}">
                  <a16:creationId xmlns:a16="http://schemas.microsoft.com/office/drawing/2014/main" id="{00000000-0008-0000-0400-00004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1777365</xdr:colOff>
          <xdr:row>102</xdr:row>
          <xdr:rowOff>253365</xdr:rowOff>
        </xdr:to>
        <xdr:sp macro="" textlink="">
          <xdr:nvSpPr>
            <xdr:cNvPr id="4421" name="Check Box 325" hidden="1">
              <a:extLst>
                <a:ext uri="{63B3BB69-23CF-44E3-9099-C40C66FF867C}">
                  <a14:compatExt spid="_x0000_s4421"/>
                </a:ext>
                <a:ext uri="{FF2B5EF4-FFF2-40B4-BE49-F238E27FC236}">
                  <a16:creationId xmlns:a16="http://schemas.microsoft.com/office/drawing/2014/main" id="{00000000-0008-0000-0400-00004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259080</xdr:rowOff>
        </xdr:from>
        <xdr:to>
          <xdr:col>11</xdr:col>
          <xdr:colOff>1777365</xdr:colOff>
          <xdr:row>105</xdr:row>
          <xdr:rowOff>139065</xdr:rowOff>
        </xdr:to>
        <xdr:sp macro="" textlink="">
          <xdr:nvSpPr>
            <xdr:cNvPr id="4422" name="Check Box 326" hidden="1">
              <a:extLst>
                <a:ext uri="{63B3BB69-23CF-44E3-9099-C40C66FF867C}">
                  <a14:compatExt spid="_x0000_s4422"/>
                </a:ext>
                <a:ext uri="{FF2B5EF4-FFF2-40B4-BE49-F238E27FC236}">
                  <a16:creationId xmlns:a16="http://schemas.microsoft.com/office/drawing/2014/main" id="{00000000-0008-0000-0400-00004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106680</xdr:rowOff>
        </xdr:from>
        <xdr:to>
          <xdr:col>11</xdr:col>
          <xdr:colOff>1777365</xdr:colOff>
          <xdr:row>105</xdr:row>
          <xdr:rowOff>291465</xdr:rowOff>
        </xdr:to>
        <xdr:sp macro="" textlink="">
          <xdr:nvSpPr>
            <xdr:cNvPr id="4423" name="Check Box 327" hidden="1">
              <a:extLst>
                <a:ext uri="{63B3BB69-23CF-44E3-9099-C40C66FF867C}">
                  <a14:compatExt spid="_x0000_s4423"/>
                </a:ext>
                <a:ext uri="{FF2B5EF4-FFF2-40B4-BE49-F238E27FC236}">
                  <a16:creationId xmlns:a16="http://schemas.microsoft.com/office/drawing/2014/main" id="{00000000-0008-0000-0400-00004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1777365</xdr:colOff>
          <xdr:row>104</xdr:row>
          <xdr:rowOff>253365</xdr:rowOff>
        </xdr:to>
        <xdr:sp macro="" textlink="">
          <xdr:nvSpPr>
            <xdr:cNvPr id="4424" name="Check Box 328" hidden="1">
              <a:extLst>
                <a:ext uri="{63B3BB69-23CF-44E3-9099-C40C66FF867C}">
                  <a14:compatExt spid="_x0000_s4424"/>
                </a:ext>
                <a:ext uri="{FF2B5EF4-FFF2-40B4-BE49-F238E27FC236}">
                  <a16:creationId xmlns:a16="http://schemas.microsoft.com/office/drawing/2014/main" id="{00000000-0008-0000-0400-00004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259080</xdr:rowOff>
        </xdr:from>
        <xdr:to>
          <xdr:col>11</xdr:col>
          <xdr:colOff>1777365</xdr:colOff>
          <xdr:row>107</xdr:row>
          <xdr:rowOff>139065</xdr:rowOff>
        </xdr:to>
        <xdr:sp macro="" textlink="">
          <xdr:nvSpPr>
            <xdr:cNvPr id="4425" name="Check Box 329" hidden="1">
              <a:extLst>
                <a:ext uri="{63B3BB69-23CF-44E3-9099-C40C66FF867C}">
                  <a14:compatExt spid="_x0000_s4425"/>
                </a:ext>
                <a:ext uri="{FF2B5EF4-FFF2-40B4-BE49-F238E27FC236}">
                  <a16:creationId xmlns:a16="http://schemas.microsoft.com/office/drawing/2014/main" id="{00000000-0008-0000-0400-00004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106680</xdr:rowOff>
        </xdr:from>
        <xdr:to>
          <xdr:col>11</xdr:col>
          <xdr:colOff>1777365</xdr:colOff>
          <xdr:row>107</xdr:row>
          <xdr:rowOff>291465</xdr:rowOff>
        </xdr:to>
        <xdr:sp macro="" textlink="">
          <xdr:nvSpPr>
            <xdr:cNvPr id="4426" name="Check Box 330" hidden="1">
              <a:extLst>
                <a:ext uri="{63B3BB69-23CF-44E3-9099-C40C66FF867C}">
                  <a14:compatExt spid="_x0000_s4426"/>
                </a:ext>
                <a:ext uri="{FF2B5EF4-FFF2-40B4-BE49-F238E27FC236}">
                  <a16:creationId xmlns:a16="http://schemas.microsoft.com/office/drawing/2014/main" id="{00000000-0008-0000-0400-00004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11</xdr:col>
          <xdr:colOff>1777365</xdr:colOff>
          <xdr:row>106</xdr:row>
          <xdr:rowOff>253365</xdr:rowOff>
        </xdr:to>
        <xdr:sp macro="" textlink="">
          <xdr:nvSpPr>
            <xdr:cNvPr id="4427" name="Check Box 331" hidden="1">
              <a:extLst>
                <a:ext uri="{63B3BB69-23CF-44E3-9099-C40C66FF867C}">
                  <a14:compatExt spid="_x0000_s4427"/>
                </a:ext>
                <a:ext uri="{FF2B5EF4-FFF2-40B4-BE49-F238E27FC236}">
                  <a16:creationId xmlns:a16="http://schemas.microsoft.com/office/drawing/2014/main" id="{00000000-0008-0000-0400-00004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259080</xdr:rowOff>
        </xdr:from>
        <xdr:to>
          <xdr:col>11</xdr:col>
          <xdr:colOff>1777365</xdr:colOff>
          <xdr:row>109</xdr:row>
          <xdr:rowOff>139065</xdr:rowOff>
        </xdr:to>
        <xdr:sp macro="" textlink="">
          <xdr:nvSpPr>
            <xdr:cNvPr id="4428" name="Check Box 332" hidden="1">
              <a:extLst>
                <a:ext uri="{63B3BB69-23CF-44E3-9099-C40C66FF867C}">
                  <a14:compatExt spid="_x0000_s4428"/>
                </a:ext>
                <a:ext uri="{FF2B5EF4-FFF2-40B4-BE49-F238E27FC236}">
                  <a16:creationId xmlns:a16="http://schemas.microsoft.com/office/drawing/2014/main" id="{00000000-0008-0000-0400-00004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106680</xdr:rowOff>
        </xdr:from>
        <xdr:to>
          <xdr:col>11</xdr:col>
          <xdr:colOff>1777365</xdr:colOff>
          <xdr:row>109</xdr:row>
          <xdr:rowOff>291465</xdr:rowOff>
        </xdr:to>
        <xdr:sp macro="" textlink="">
          <xdr:nvSpPr>
            <xdr:cNvPr id="4429" name="Check Box 333" hidden="1">
              <a:extLst>
                <a:ext uri="{63B3BB69-23CF-44E3-9099-C40C66FF867C}">
                  <a14:compatExt spid="_x0000_s4429"/>
                </a:ext>
                <a:ext uri="{FF2B5EF4-FFF2-40B4-BE49-F238E27FC236}">
                  <a16:creationId xmlns:a16="http://schemas.microsoft.com/office/drawing/2014/main" id="{00000000-0008-0000-0400-00004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1777365</xdr:colOff>
          <xdr:row>108</xdr:row>
          <xdr:rowOff>253365</xdr:rowOff>
        </xdr:to>
        <xdr:sp macro="" textlink="">
          <xdr:nvSpPr>
            <xdr:cNvPr id="4430" name="Check Box 334" hidden="1">
              <a:extLst>
                <a:ext uri="{63B3BB69-23CF-44E3-9099-C40C66FF867C}">
                  <a14:compatExt spid="_x0000_s4430"/>
                </a:ext>
                <a:ext uri="{FF2B5EF4-FFF2-40B4-BE49-F238E27FC236}">
                  <a16:creationId xmlns:a16="http://schemas.microsoft.com/office/drawing/2014/main" id="{00000000-0008-0000-0400-00004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0</xdr:colOff>
      <xdr:row>145</xdr:row>
      <xdr:rowOff>35860</xdr:rowOff>
    </xdr:from>
    <xdr:to>
      <xdr:col>5</xdr:col>
      <xdr:colOff>849358</xdr:colOff>
      <xdr:row>164</xdr:row>
      <xdr:rowOff>102327</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130278</xdr:colOff>
      <xdr:row>13</xdr:row>
      <xdr:rowOff>28434</xdr:rowOff>
    </xdr:from>
    <xdr:to>
      <xdr:col>7</xdr:col>
      <xdr:colOff>270112</xdr:colOff>
      <xdr:row>25</xdr:row>
      <xdr:rowOff>136451</xdr:rowOff>
    </xdr:to>
    <xdr:graphicFrame macro="">
      <xdr:nvGraphicFramePr>
        <xdr:cNvPr id="7" name="Gráfico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100927</xdr:colOff>
      <xdr:row>155</xdr:row>
      <xdr:rowOff>46181</xdr:rowOff>
    </xdr:from>
    <xdr:to>
      <xdr:col>5</xdr:col>
      <xdr:colOff>1293091</xdr:colOff>
      <xdr:row>174</xdr:row>
      <xdr:rowOff>132787</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307249</xdr:colOff>
      <xdr:row>13</xdr:row>
      <xdr:rowOff>94384</xdr:rowOff>
    </xdr:from>
    <xdr:to>
      <xdr:col>8</xdr:col>
      <xdr:colOff>907386</xdr:colOff>
      <xdr:row>25</xdr:row>
      <xdr:rowOff>172122</xdr:rowOff>
    </xdr:to>
    <xdr:graphicFrame macro="">
      <xdr:nvGraphicFramePr>
        <xdr:cNvPr id="5" name="Gráfico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80907</xdr:rowOff>
    </xdr:from>
    <xdr:to>
      <xdr:col>5</xdr:col>
      <xdr:colOff>2707</xdr:colOff>
      <xdr:row>25</xdr:row>
      <xdr:rowOff>178575</xdr:rowOff>
    </xdr:to>
    <xdr:graphicFrame macro="">
      <xdr:nvGraphicFramePr>
        <xdr:cNvPr id="27" name="Gráfico 5">
          <a:extLst>
            <a:ext uri="{FF2B5EF4-FFF2-40B4-BE49-F238E27FC236}">
              <a16:creationId xmlns:a16="http://schemas.microsoft.com/office/drawing/2014/main" id="{00000000-0008-0000-0500-00001B000000}"/>
            </a:ext>
            <a:ext uri="{147F2762-F138-4A5C-976F-8EAC2B608ADB}">
              <a16:predDERef xmlns:a16="http://schemas.microsoft.com/office/drawing/2014/main" pred="{78777687-3D60-4378-8C02-1AD109D27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933898</xdr:colOff>
      <xdr:row>11</xdr:row>
      <xdr:rowOff>65330</xdr:rowOff>
    </xdr:from>
    <xdr:to>
      <xdr:col>13</xdr:col>
      <xdr:colOff>13111</xdr:colOff>
      <xdr:row>25</xdr:row>
      <xdr:rowOff>179294</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12</xdr:col>
          <xdr:colOff>152400</xdr:colOff>
          <xdr:row>55</xdr:row>
          <xdr:rowOff>95250</xdr:rowOff>
        </xdr:to>
        <xdr:sp macro="" textlink="">
          <xdr:nvSpPr>
            <xdr:cNvPr id="5215" name="Check Box 95" hidden="1">
              <a:extLst>
                <a:ext uri="{63B3BB69-23CF-44E3-9099-C40C66FF867C}">
                  <a14:compatExt spid="_x0000_s5215"/>
                </a:ext>
                <a:ext uri="{FF2B5EF4-FFF2-40B4-BE49-F238E27FC236}">
                  <a16:creationId xmlns:a16="http://schemas.microsoft.com/office/drawing/2014/main" id="{00000000-0008-0000-0500-00005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12</xdr:col>
          <xdr:colOff>152400</xdr:colOff>
          <xdr:row>55</xdr:row>
          <xdr:rowOff>321945</xdr:rowOff>
        </xdr:to>
        <xdr:sp macro="" textlink="">
          <xdr:nvSpPr>
            <xdr:cNvPr id="5216" name="Check Box 96" hidden="1">
              <a:extLst>
                <a:ext uri="{63B3BB69-23CF-44E3-9099-C40C66FF867C}">
                  <a14:compatExt spid="_x0000_s5216"/>
                </a:ext>
                <a:ext uri="{FF2B5EF4-FFF2-40B4-BE49-F238E27FC236}">
                  <a16:creationId xmlns:a16="http://schemas.microsoft.com/office/drawing/2014/main" id="{00000000-0008-0000-0500-00006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12</xdr:col>
          <xdr:colOff>152400</xdr:colOff>
          <xdr:row>54</xdr:row>
          <xdr:rowOff>285750</xdr:rowOff>
        </xdr:to>
        <xdr:sp macro="" textlink="">
          <xdr:nvSpPr>
            <xdr:cNvPr id="5217" name="Check Box 97" hidden="1">
              <a:extLst>
                <a:ext uri="{63B3BB69-23CF-44E3-9099-C40C66FF867C}">
                  <a14:compatExt spid="_x0000_s5217"/>
                </a:ext>
                <a:ext uri="{FF2B5EF4-FFF2-40B4-BE49-F238E27FC236}">
                  <a16:creationId xmlns:a16="http://schemas.microsoft.com/office/drawing/2014/main" id="{00000000-0008-0000-0500-00006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12</xdr:col>
          <xdr:colOff>152400</xdr:colOff>
          <xdr:row>57</xdr:row>
          <xdr:rowOff>131445</xdr:rowOff>
        </xdr:to>
        <xdr:sp macro="" textlink="">
          <xdr:nvSpPr>
            <xdr:cNvPr id="5218" name="Check Box 98" hidden="1">
              <a:extLst>
                <a:ext uri="{63B3BB69-23CF-44E3-9099-C40C66FF867C}">
                  <a14:compatExt spid="_x0000_s5218"/>
                </a:ext>
                <a:ext uri="{FF2B5EF4-FFF2-40B4-BE49-F238E27FC236}">
                  <a16:creationId xmlns:a16="http://schemas.microsoft.com/office/drawing/2014/main" id="{00000000-0008-0000-0500-00006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12</xdr:col>
          <xdr:colOff>152400</xdr:colOff>
          <xdr:row>57</xdr:row>
          <xdr:rowOff>321945</xdr:rowOff>
        </xdr:to>
        <xdr:sp macro="" textlink="">
          <xdr:nvSpPr>
            <xdr:cNvPr id="5219" name="Check Box 99" hidden="1">
              <a:extLst>
                <a:ext uri="{63B3BB69-23CF-44E3-9099-C40C66FF867C}">
                  <a14:compatExt spid="_x0000_s5219"/>
                </a:ext>
                <a:ext uri="{FF2B5EF4-FFF2-40B4-BE49-F238E27FC236}">
                  <a16:creationId xmlns:a16="http://schemas.microsoft.com/office/drawing/2014/main" id="{00000000-0008-0000-0500-00006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12</xdr:col>
          <xdr:colOff>152400</xdr:colOff>
          <xdr:row>56</xdr:row>
          <xdr:rowOff>285750</xdr:rowOff>
        </xdr:to>
        <xdr:sp macro="" textlink="">
          <xdr:nvSpPr>
            <xdr:cNvPr id="5220" name="Check Box 100" hidden="1">
              <a:extLst>
                <a:ext uri="{63B3BB69-23CF-44E3-9099-C40C66FF867C}">
                  <a14:compatExt spid="_x0000_s5220"/>
                </a:ext>
                <a:ext uri="{FF2B5EF4-FFF2-40B4-BE49-F238E27FC236}">
                  <a16:creationId xmlns:a16="http://schemas.microsoft.com/office/drawing/2014/main" id="{00000000-0008-0000-0500-00006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12</xdr:col>
          <xdr:colOff>152400</xdr:colOff>
          <xdr:row>59</xdr:row>
          <xdr:rowOff>131445</xdr:rowOff>
        </xdr:to>
        <xdr:sp macro="" textlink="">
          <xdr:nvSpPr>
            <xdr:cNvPr id="5221" name="Check Box 101" hidden="1">
              <a:extLst>
                <a:ext uri="{63B3BB69-23CF-44E3-9099-C40C66FF867C}">
                  <a14:compatExt spid="_x0000_s5221"/>
                </a:ext>
                <a:ext uri="{FF2B5EF4-FFF2-40B4-BE49-F238E27FC236}">
                  <a16:creationId xmlns:a16="http://schemas.microsoft.com/office/drawing/2014/main" id="{00000000-0008-0000-0500-00006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12</xdr:col>
          <xdr:colOff>152400</xdr:colOff>
          <xdr:row>59</xdr:row>
          <xdr:rowOff>321945</xdr:rowOff>
        </xdr:to>
        <xdr:sp macro="" textlink="">
          <xdr:nvSpPr>
            <xdr:cNvPr id="5222" name="Check Box 102" hidden="1">
              <a:extLst>
                <a:ext uri="{63B3BB69-23CF-44E3-9099-C40C66FF867C}">
                  <a14:compatExt spid="_x0000_s5222"/>
                </a:ext>
                <a:ext uri="{FF2B5EF4-FFF2-40B4-BE49-F238E27FC236}">
                  <a16:creationId xmlns:a16="http://schemas.microsoft.com/office/drawing/2014/main" id="{00000000-0008-0000-0500-00006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12</xdr:col>
          <xdr:colOff>152400</xdr:colOff>
          <xdr:row>58</xdr:row>
          <xdr:rowOff>285750</xdr:rowOff>
        </xdr:to>
        <xdr:sp macro="" textlink="">
          <xdr:nvSpPr>
            <xdr:cNvPr id="5223" name="Check Box 103" hidden="1">
              <a:extLst>
                <a:ext uri="{63B3BB69-23CF-44E3-9099-C40C66FF867C}">
                  <a14:compatExt spid="_x0000_s5223"/>
                </a:ext>
                <a:ext uri="{FF2B5EF4-FFF2-40B4-BE49-F238E27FC236}">
                  <a16:creationId xmlns:a16="http://schemas.microsoft.com/office/drawing/2014/main" id="{00000000-0008-0000-0500-00006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0</xdr:rowOff>
        </xdr:from>
        <xdr:to>
          <xdr:col>12</xdr:col>
          <xdr:colOff>152400</xdr:colOff>
          <xdr:row>60</xdr:row>
          <xdr:rowOff>228600</xdr:rowOff>
        </xdr:to>
        <xdr:sp macro="" textlink="">
          <xdr:nvSpPr>
            <xdr:cNvPr id="5224" name="Check Box 104" hidden="1">
              <a:extLst>
                <a:ext uri="{63B3BB69-23CF-44E3-9099-C40C66FF867C}">
                  <a14:compatExt spid="_x0000_s5224"/>
                </a:ext>
                <a:ext uri="{FF2B5EF4-FFF2-40B4-BE49-F238E27FC236}">
                  <a16:creationId xmlns:a16="http://schemas.microsoft.com/office/drawing/2014/main" id="{00000000-0008-0000-0500-00006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12</xdr:col>
          <xdr:colOff>152400</xdr:colOff>
          <xdr:row>61</xdr:row>
          <xdr:rowOff>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5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12</xdr:col>
          <xdr:colOff>152400</xdr:colOff>
          <xdr:row>61</xdr:row>
          <xdr:rowOff>321945</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5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12</xdr:col>
          <xdr:colOff>152400</xdr:colOff>
          <xdr:row>63</xdr:row>
          <xdr:rowOff>131445</xdr:rowOff>
        </xdr:to>
        <xdr:sp macro="" textlink="">
          <xdr:nvSpPr>
            <xdr:cNvPr id="5236" name="Check Box 116" hidden="1">
              <a:extLst>
                <a:ext uri="{63B3BB69-23CF-44E3-9099-C40C66FF867C}">
                  <a14:compatExt spid="_x0000_s5236"/>
                </a:ext>
                <a:ext uri="{FF2B5EF4-FFF2-40B4-BE49-F238E27FC236}">
                  <a16:creationId xmlns:a16="http://schemas.microsoft.com/office/drawing/2014/main" id="{00000000-0008-0000-0500-00007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12</xdr:col>
          <xdr:colOff>152400</xdr:colOff>
          <xdr:row>63</xdr:row>
          <xdr:rowOff>321945</xdr:rowOff>
        </xdr:to>
        <xdr:sp macro="" textlink="">
          <xdr:nvSpPr>
            <xdr:cNvPr id="5237" name="Check Box 117" hidden="1">
              <a:extLst>
                <a:ext uri="{63B3BB69-23CF-44E3-9099-C40C66FF867C}">
                  <a14:compatExt spid="_x0000_s5237"/>
                </a:ext>
                <a:ext uri="{FF2B5EF4-FFF2-40B4-BE49-F238E27FC236}">
                  <a16:creationId xmlns:a16="http://schemas.microsoft.com/office/drawing/2014/main" id="{00000000-0008-0000-0500-00007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12</xdr:col>
          <xdr:colOff>152400</xdr:colOff>
          <xdr:row>62</xdr:row>
          <xdr:rowOff>285750</xdr:rowOff>
        </xdr:to>
        <xdr:sp macro="" textlink="">
          <xdr:nvSpPr>
            <xdr:cNvPr id="5238" name="Check Box 118" hidden="1">
              <a:extLst>
                <a:ext uri="{63B3BB69-23CF-44E3-9099-C40C66FF867C}">
                  <a14:compatExt spid="_x0000_s5238"/>
                </a:ext>
                <a:ext uri="{FF2B5EF4-FFF2-40B4-BE49-F238E27FC236}">
                  <a16:creationId xmlns:a16="http://schemas.microsoft.com/office/drawing/2014/main" id="{00000000-0008-0000-0500-00007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12</xdr:col>
          <xdr:colOff>152400</xdr:colOff>
          <xdr:row>65</xdr:row>
          <xdr:rowOff>0</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05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12</xdr:col>
          <xdr:colOff>152400</xdr:colOff>
          <xdr:row>65</xdr:row>
          <xdr:rowOff>321945</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05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12</xdr:col>
          <xdr:colOff>152400</xdr:colOff>
          <xdr:row>64</xdr:row>
          <xdr:rowOff>285750</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05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12</xdr:col>
          <xdr:colOff>152400</xdr:colOff>
          <xdr:row>67</xdr:row>
          <xdr:rowOff>0</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05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12</xdr:col>
          <xdr:colOff>152400</xdr:colOff>
          <xdr:row>67</xdr:row>
          <xdr:rowOff>321945</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05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12</xdr:col>
          <xdr:colOff>152400</xdr:colOff>
          <xdr:row>66</xdr:row>
          <xdr:rowOff>285750</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05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12</xdr:col>
          <xdr:colOff>152400</xdr:colOff>
          <xdr:row>69</xdr:row>
          <xdr:rowOff>17145</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05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12</xdr:col>
          <xdr:colOff>152400</xdr:colOff>
          <xdr:row>69</xdr:row>
          <xdr:rowOff>321945</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5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12</xdr:col>
          <xdr:colOff>152400</xdr:colOff>
          <xdr:row>68</xdr:row>
          <xdr:rowOff>245745</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5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12</xdr:col>
          <xdr:colOff>152400</xdr:colOff>
          <xdr:row>71</xdr:row>
          <xdr:rowOff>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5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12</xdr:col>
          <xdr:colOff>152400</xdr:colOff>
          <xdr:row>71</xdr:row>
          <xdr:rowOff>321945</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5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12</xdr:col>
          <xdr:colOff>152400</xdr:colOff>
          <xdr:row>70</xdr:row>
          <xdr:rowOff>245745</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5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12</xdr:col>
          <xdr:colOff>152400</xdr:colOff>
          <xdr:row>73</xdr:row>
          <xdr:rowOff>0</xdr:rowOff>
        </xdr:to>
        <xdr:sp macro="" textlink="">
          <xdr:nvSpPr>
            <xdr:cNvPr id="5251" name="Check Box 131" hidden="1">
              <a:extLst>
                <a:ext uri="{63B3BB69-23CF-44E3-9099-C40C66FF867C}">
                  <a14:compatExt spid="_x0000_s5251"/>
                </a:ext>
                <a:ext uri="{FF2B5EF4-FFF2-40B4-BE49-F238E27FC236}">
                  <a16:creationId xmlns:a16="http://schemas.microsoft.com/office/drawing/2014/main" id="{00000000-0008-0000-0500-00008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12</xdr:col>
          <xdr:colOff>152400</xdr:colOff>
          <xdr:row>73</xdr:row>
          <xdr:rowOff>321945</xdr:rowOff>
        </xdr:to>
        <xdr:sp macro="" textlink="">
          <xdr:nvSpPr>
            <xdr:cNvPr id="5252" name="Check Box 132" hidden="1">
              <a:extLst>
                <a:ext uri="{63B3BB69-23CF-44E3-9099-C40C66FF867C}">
                  <a14:compatExt spid="_x0000_s5252"/>
                </a:ext>
                <a:ext uri="{FF2B5EF4-FFF2-40B4-BE49-F238E27FC236}">
                  <a16:creationId xmlns:a16="http://schemas.microsoft.com/office/drawing/2014/main" id="{00000000-0008-0000-0500-00008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12</xdr:col>
          <xdr:colOff>152400</xdr:colOff>
          <xdr:row>72</xdr:row>
          <xdr:rowOff>245745</xdr:rowOff>
        </xdr:to>
        <xdr:sp macro="" textlink="">
          <xdr:nvSpPr>
            <xdr:cNvPr id="5253" name="Check Box 133" hidden="1">
              <a:extLst>
                <a:ext uri="{63B3BB69-23CF-44E3-9099-C40C66FF867C}">
                  <a14:compatExt spid="_x0000_s5253"/>
                </a:ext>
                <a:ext uri="{FF2B5EF4-FFF2-40B4-BE49-F238E27FC236}">
                  <a16:creationId xmlns:a16="http://schemas.microsoft.com/office/drawing/2014/main" id="{00000000-0008-0000-0500-00008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12</xdr:col>
          <xdr:colOff>152400</xdr:colOff>
          <xdr:row>75</xdr:row>
          <xdr:rowOff>0</xdr:rowOff>
        </xdr:to>
        <xdr:sp macro="" textlink="">
          <xdr:nvSpPr>
            <xdr:cNvPr id="5254" name="Check Box 134" hidden="1">
              <a:extLst>
                <a:ext uri="{63B3BB69-23CF-44E3-9099-C40C66FF867C}">
                  <a14:compatExt spid="_x0000_s5254"/>
                </a:ext>
                <a:ext uri="{FF2B5EF4-FFF2-40B4-BE49-F238E27FC236}">
                  <a16:creationId xmlns:a16="http://schemas.microsoft.com/office/drawing/2014/main" id="{00000000-0008-0000-0500-00008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12</xdr:col>
          <xdr:colOff>152400</xdr:colOff>
          <xdr:row>75</xdr:row>
          <xdr:rowOff>321945</xdr:rowOff>
        </xdr:to>
        <xdr:sp macro="" textlink="">
          <xdr:nvSpPr>
            <xdr:cNvPr id="5255" name="Check Box 135" hidden="1">
              <a:extLst>
                <a:ext uri="{63B3BB69-23CF-44E3-9099-C40C66FF867C}">
                  <a14:compatExt spid="_x0000_s5255"/>
                </a:ext>
                <a:ext uri="{FF2B5EF4-FFF2-40B4-BE49-F238E27FC236}">
                  <a16:creationId xmlns:a16="http://schemas.microsoft.com/office/drawing/2014/main" id="{00000000-0008-0000-0500-00008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12</xdr:col>
          <xdr:colOff>152400</xdr:colOff>
          <xdr:row>74</xdr:row>
          <xdr:rowOff>245745</xdr:rowOff>
        </xdr:to>
        <xdr:sp macro="" textlink="">
          <xdr:nvSpPr>
            <xdr:cNvPr id="5256" name="Check Box 136" hidden="1">
              <a:extLst>
                <a:ext uri="{63B3BB69-23CF-44E3-9099-C40C66FF867C}">
                  <a14:compatExt spid="_x0000_s5256"/>
                </a:ext>
                <a:ext uri="{FF2B5EF4-FFF2-40B4-BE49-F238E27FC236}">
                  <a16:creationId xmlns:a16="http://schemas.microsoft.com/office/drawing/2014/main" id="{00000000-0008-0000-0500-00008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12</xdr:col>
          <xdr:colOff>152400</xdr:colOff>
          <xdr:row>77</xdr:row>
          <xdr:rowOff>152400</xdr:rowOff>
        </xdr:to>
        <xdr:sp macro="" textlink="">
          <xdr:nvSpPr>
            <xdr:cNvPr id="5257" name="Check Box 137" hidden="1">
              <a:extLst>
                <a:ext uri="{63B3BB69-23CF-44E3-9099-C40C66FF867C}">
                  <a14:compatExt spid="_x0000_s5257"/>
                </a:ext>
                <a:ext uri="{FF2B5EF4-FFF2-40B4-BE49-F238E27FC236}">
                  <a16:creationId xmlns:a16="http://schemas.microsoft.com/office/drawing/2014/main" id="{00000000-0008-0000-05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12</xdr:col>
          <xdr:colOff>152400</xdr:colOff>
          <xdr:row>77</xdr:row>
          <xdr:rowOff>321945</xdr:rowOff>
        </xdr:to>
        <xdr:sp macro="" textlink="">
          <xdr:nvSpPr>
            <xdr:cNvPr id="5258" name="Check Box 138" hidden="1">
              <a:extLst>
                <a:ext uri="{63B3BB69-23CF-44E3-9099-C40C66FF867C}">
                  <a14:compatExt spid="_x0000_s5258"/>
                </a:ext>
                <a:ext uri="{FF2B5EF4-FFF2-40B4-BE49-F238E27FC236}">
                  <a16:creationId xmlns:a16="http://schemas.microsoft.com/office/drawing/2014/main" id="{00000000-0008-0000-0500-00008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12</xdr:col>
          <xdr:colOff>152400</xdr:colOff>
          <xdr:row>76</xdr:row>
          <xdr:rowOff>245745</xdr:rowOff>
        </xdr:to>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05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12</xdr:col>
          <xdr:colOff>152400</xdr:colOff>
          <xdr:row>79</xdr:row>
          <xdr:rowOff>0</xdr:rowOff>
        </xdr:to>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05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12</xdr:col>
          <xdr:colOff>152400</xdr:colOff>
          <xdr:row>79</xdr:row>
          <xdr:rowOff>321945</xdr:rowOff>
        </xdr:to>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0500-00008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12</xdr:col>
          <xdr:colOff>152400</xdr:colOff>
          <xdr:row>78</xdr:row>
          <xdr:rowOff>245745</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5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12</xdr:col>
          <xdr:colOff>152400</xdr:colOff>
          <xdr:row>81</xdr:row>
          <xdr:rowOff>17145</xdr:rowOff>
        </xdr:to>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05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12</xdr:col>
          <xdr:colOff>152400</xdr:colOff>
          <xdr:row>81</xdr:row>
          <xdr:rowOff>321945</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5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12</xdr:col>
          <xdr:colOff>152400</xdr:colOff>
          <xdr:row>80</xdr:row>
          <xdr:rowOff>245745</xdr:rowOff>
        </xdr:to>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05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12</xdr:col>
          <xdr:colOff>152400</xdr:colOff>
          <xdr:row>83</xdr:row>
          <xdr:rowOff>17145</xdr:rowOff>
        </xdr:to>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0500-00009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12</xdr:col>
          <xdr:colOff>152400</xdr:colOff>
          <xdr:row>83</xdr:row>
          <xdr:rowOff>321945</xdr:rowOff>
        </xdr:to>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05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12</xdr:col>
          <xdr:colOff>152400</xdr:colOff>
          <xdr:row>82</xdr:row>
          <xdr:rowOff>245745</xdr:rowOff>
        </xdr:to>
        <xdr:sp macro="" textlink="">
          <xdr:nvSpPr>
            <xdr:cNvPr id="5268" name="Check Box 148" hidden="1">
              <a:extLst>
                <a:ext uri="{63B3BB69-23CF-44E3-9099-C40C66FF867C}">
                  <a14:compatExt spid="_x0000_s5268"/>
                </a:ext>
                <a:ext uri="{FF2B5EF4-FFF2-40B4-BE49-F238E27FC236}">
                  <a16:creationId xmlns:a16="http://schemas.microsoft.com/office/drawing/2014/main" id="{00000000-0008-0000-0500-00009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12</xdr:col>
          <xdr:colOff>152400</xdr:colOff>
          <xdr:row>85</xdr:row>
          <xdr:rowOff>0</xdr:rowOff>
        </xdr:to>
        <xdr:sp macro="" textlink="">
          <xdr:nvSpPr>
            <xdr:cNvPr id="5269" name="Check Box 149" hidden="1">
              <a:extLst>
                <a:ext uri="{63B3BB69-23CF-44E3-9099-C40C66FF867C}">
                  <a14:compatExt spid="_x0000_s5269"/>
                </a:ext>
                <a:ext uri="{FF2B5EF4-FFF2-40B4-BE49-F238E27FC236}">
                  <a16:creationId xmlns:a16="http://schemas.microsoft.com/office/drawing/2014/main" id="{00000000-0008-0000-0500-00009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12</xdr:col>
          <xdr:colOff>152400</xdr:colOff>
          <xdr:row>85</xdr:row>
          <xdr:rowOff>321945</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5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12</xdr:col>
          <xdr:colOff>152400</xdr:colOff>
          <xdr:row>84</xdr:row>
          <xdr:rowOff>245745</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5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12</xdr:col>
          <xdr:colOff>152400</xdr:colOff>
          <xdr:row>87</xdr:row>
          <xdr:rowOff>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5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12</xdr:col>
          <xdr:colOff>152400</xdr:colOff>
          <xdr:row>87</xdr:row>
          <xdr:rowOff>321945</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5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12</xdr:col>
          <xdr:colOff>152400</xdr:colOff>
          <xdr:row>86</xdr:row>
          <xdr:rowOff>245745</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5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12</xdr:col>
          <xdr:colOff>152400</xdr:colOff>
          <xdr:row>89</xdr:row>
          <xdr:rowOff>55245</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5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12</xdr:col>
          <xdr:colOff>152400</xdr:colOff>
          <xdr:row>89</xdr:row>
          <xdr:rowOff>321945</xdr:rowOff>
        </xdr:to>
        <xdr:sp macro="" textlink="">
          <xdr:nvSpPr>
            <xdr:cNvPr id="5276" name="Check Box 156" hidden="1">
              <a:extLst>
                <a:ext uri="{63B3BB69-23CF-44E3-9099-C40C66FF867C}">
                  <a14:compatExt spid="_x0000_s5276"/>
                </a:ext>
                <a:ext uri="{FF2B5EF4-FFF2-40B4-BE49-F238E27FC236}">
                  <a16:creationId xmlns:a16="http://schemas.microsoft.com/office/drawing/2014/main" id="{00000000-0008-0000-0500-00009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12</xdr:col>
          <xdr:colOff>152400</xdr:colOff>
          <xdr:row>88</xdr:row>
          <xdr:rowOff>245745</xdr:rowOff>
        </xdr:to>
        <xdr:sp macro="" textlink="">
          <xdr:nvSpPr>
            <xdr:cNvPr id="5277" name="Check Box 157" hidden="1">
              <a:extLst>
                <a:ext uri="{63B3BB69-23CF-44E3-9099-C40C66FF867C}">
                  <a14:compatExt spid="_x0000_s5277"/>
                </a:ext>
                <a:ext uri="{FF2B5EF4-FFF2-40B4-BE49-F238E27FC236}">
                  <a16:creationId xmlns:a16="http://schemas.microsoft.com/office/drawing/2014/main" id="{00000000-0008-0000-0500-00009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12</xdr:col>
          <xdr:colOff>152400</xdr:colOff>
          <xdr:row>90</xdr:row>
          <xdr:rowOff>514350</xdr:rowOff>
        </xdr:to>
        <xdr:sp macro="" textlink="">
          <xdr:nvSpPr>
            <xdr:cNvPr id="5278" name="Check Box 158" hidden="1">
              <a:extLst>
                <a:ext uri="{63B3BB69-23CF-44E3-9099-C40C66FF867C}">
                  <a14:compatExt spid="_x0000_s5278"/>
                </a:ext>
                <a:ext uri="{FF2B5EF4-FFF2-40B4-BE49-F238E27FC236}">
                  <a16:creationId xmlns:a16="http://schemas.microsoft.com/office/drawing/2014/main" id="{00000000-0008-0000-0500-00009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12</xdr:col>
          <xdr:colOff>152400</xdr:colOff>
          <xdr:row>91</xdr:row>
          <xdr:rowOff>321945</xdr:rowOff>
        </xdr:to>
        <xdr:sp macro="" textlink="">
          <xdr:nvSpPr>
            <xdr:cNvPr id="5279" name="Check Box 159" hidden="1">
              <a:extLst>
                <a:ext uri="{63B3BB69-23CF-44E3-9099-C40C66FF867C}">
                  <a14:compatExt spid="_x0000_s5279"/>
                </a:ext>
                <a:ext uri="{FF2B5EF4-FFF2-40B4-BE49-F238E27FC236}">
                  <a16:creationId xmlns:a16="http://schemas.microsoft.com/office/drawing/2014/main" id="{00000000-0008-0000-0500-00009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12</xdr:col>
          <xdr:colOff>152400</xdr:colOff>
          <xdr:row>90</xdr:row>
          <xdr:rowOff>245745</xdr:rowOff>
        </xdr:to>
        <xdr:sp macro="" textlink="">
          <xdr:nvSpPr>
            <xdr:cNvPr id="5280" name="Check Box 160" hidden="1">
              <a:extLst>
                <a:ext uri="{63B3BB69-23CF-44E3-9099-C40C66FF867C}">
                  <a14:compatExt spid="_x0000_s5280"/>
                </a:ext>
                <a:ext uri="{FF2B5EF4-FFF2-40B4-BE49-F238E27FC236}">
                  <a16:creationId xmlns:a16="http://schemas.microsoft.com/office/drawing/2014/main" id="{00000000-0008-0000-0500-0000A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12</xdr:col>
          <xdr:colOff>152400</xdr:colOff>
          <xdr:row>93</xdr:row>
          <xdr:rowOff>0</xdr:rowOff>
        </xdr:to>
        <xdr:sp macro="" textlink="">
          <xdr:nvSpPr>
            <xdr:cNvPr id="5281" name="Check Box 161" hidden="1">
              <a:extLst>
                <a:ext uri="{63B3BB69-23CF-44E3-9099-C40C66FF867C}">
                  <a14:compatExt spid="_x0000_s5281"/>
                </a:ext>
                <a:ext uri="{FF2B5EF4-FFF2-40B4-BE49-F238E27FC236}">
                  <a16:creationId xmlns:a16="http://schemas.microsoft.com/office/drawing/2014/main" id="{00000000-0008-0000-0500-0000A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12</xdr:col>
          <xdr:colOff>152400</xdr:colOff>
          <xdr:row>93</xdr:row>
          <xdr:rowOff>321945</xdr:rowOff>
        </xdr:to>
        <xdr:sp macro="" textlink="">
          <xdr:nvSpPr>
            <xdr:cNvPr id="5282" name="Check Box 162" hidden="1">
              <a:extLst>
                <a:ext uri="{63B3BB69-23CF-44E3-9099-C40C66FF867C}">
                  <a14:compatExt spid="_x0000_s5282"/>
                </a:ext>
                <a:ext uri="{FF2B5EF4-FFF2-40B4-BE49-F238E27FC236}">
                  <a16:creationId xmlns:a16="http://schemas.microsoft.com/office/drawing/2014/main" id="{00000000-0008-0000-0500-0000A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12</xdr:col>
          <xdr:colOff>152400</xdr:colOff>
          <xdr:row>92</xdr:row>
          <xdr:rowOff>245745</xdr:rowOff>
        </xdr:to>
        <xdr:sp macro="" textlink="">
          <xdr:nvSpPr>
            <xdr:cNvPr id="5283" name="Check Box 163" hidden="1">
              <a:extLst>
                <a:ext uri="{63B3BB69-23CF-44E3-9099-C40C66FF867C}">
                  <a14:compatExt spid="_x0000_s5283"/>
                </a:ext>
                <a:ext uri="{FF2B5EF4-FFF2-40B4-BE49-F238E27FC236}">
                  <a16:creationId xmlns:a16="http://schemas.microsoft.com/office/drawing/2014/main" id="{00000000-0008-0000-0500-0000A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12</xdr:col>
          <xdr:colOff>152400</xdr:colOff>
          <xdr:row>115</xdr:row>
          <xdr:rowOff>0</xdr:rowOff>
        </xdr:to>
        <xdr:sp macro="" textlink="">
          <xdr:nvSpPr>
            <xdr:cNvPr id="5284" name="Check Box 164" hidden="1">
              <a:extLst>
                <a:ext uri="{63B3BB69-23CF-44E3-9099-C40C66FF867C}">
                  <a14:compatExt spid="_x0000_s5284"/>
                </a:ext>
                <a:ext uri="{FF2B5EF4-FFF2-40B4-BE49-F238E27FC236}">
                  <a16:creationId xmlns:a16="http://schemas.microsoft.com/office/drawing/2014/main" id="{00000000-0008-0000-0500-0000A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144780</xdr:rowOff>
        </xdr:from>
        <xdr:to>
          <xdr:col>12</xdr:col>
          <xdr:colOff>152400</xdr:colOff>
          <xdr:row>115</xdr:row>
          <xdr:rowOff>321945</xdr:rowOff>
        </xdr:to>
        <xdr:sp macro="" textlink="">
          <xdr:nvSpPr>
            <xdr:cNvPr id="5285" name="Check Box 165" hidden="1">
              <a:extLst>
                <a:ext uri="{63B3BB69-23CF-44E3-9099-C40C66FF867C}">
                  <a14:compatExt spid="_x0000_s5285"/>
                </a:ext>
                <a:ext uri="{FF2B5EF4-FFF2-40B4-BE49-F238E27FC236}">
                  <a16:creationId xmlns:a16="http://schemas.microsoft.com/office/drawing/2014/main" id="{00000000-0008-0000-0500-0000A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12</xdr:col>
          <xdr:colOff>152400</xdr:colOff>
          <xdr:row>114</xdr:row>
          <xdr:rowOff>245745</xdr:rowOff>
        </xdr:to>
        <xdr:sp macro="" textlink="">
          <xdr:nvSpPr>
            <xdr:cNvPr id="5286" name="Check Box 166" hidden="1">
              <a:extLst>
                <a:ext uri="{63B3BB69-23CF-44E3-9099-C40C66FF867C}">
                  <a14:compatExt spid="_x0000_s5286"/>
                </a:ext>
                <a:ext uri="{FF2B5EF4-FFF2-40B4-BE49-F238E27FC236}">
                  <a16:creationId xmlns:a16="http://schemas.microsoft.com/office/drawing/2014/main" id="{00000000-0008-0000-0500-0000A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12</xdr:col>
          <xdr:colOff>152400</xdr:colOff>
          <xdr:row>117</xdr:row>
          <xdr:rowOff>0</xdr:rowOff>
        </xdr:to>
        <xdr:sp macro="" textlink="">
          <xdr:nvSpPr>
            <xdr:cNvPr id="5289" name="Check Box 169" hidden="1">
              <a:extLst>
                <a:ext uri="{63B3BB69-23CF-44E3-9099-C40C66FF867C}">
                  <a14:compatExt spid="_x0000_s5289"/>
                </a:ext>
                <a:ext uri="{FF2B5EF4-FFF2-40B4-BE49-F238E27FC236}">
                  <a16:creationId xmlns:a16="http://schemas.microsoft.com/office/drawing/2014/main" id="{00000000-0008-0000-0500-0000A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12</xdr:col>
          <xdr:colOff>152400</xdr:colOff>
          <xdr:row>117</xdr:row>
          <xdr:rowOff>321945</xdr:rowOff>
        </xdr:to>
        <xdr:sp macro="" textlink="">
          <xdr:nvSpPr>
            <xdr:cNvPr id="5290" name="Check Box 170" hidden="1">
              <a:extLst>
                <a:ext uri="{63B3BB69-23CF-44E3-9099-C40C66FF867C}">
                  <a14:compatExt spid="_x0000_s5290"/>
                </a:ext>
                <a:ext uri="{FF2B5EF4-FFF2-40B4-BE49-F238E27FC236}">
                  <a16:creationId xmlns:a16="http://schemas.microsoft.com/office/drawing/2014/main" id="{00000000-0008-0000-0500-0000A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12</xdr:col>
          <xdr:colOff>152400</xdr:colOff>
          <xdr:row>116</xdr:row>
          <xdr:rowOff>245745</xdr:rowOff>
        </xdr:to>
        <xdr:sp macro="" textlink="">
          <xdr:nvSpPr>
            <xdr:cNvPr id="5291" name="Check Box 171" hidden="1">
              <a:extLst>
                <a:ext uri="{63B3BB69-23CF-44E3-9099-C40C66FF867C}">
                  <a14:compatExt spid="_x0000_s5291"/>
                </a:ext>
                <a:ext uri="{FF2B5EF4-FFF2-40B4-BE49-F238E27FC236}">
                  <a16:creationId xmlns:a16="http://schemas.microsoft.com/office/drawing/2014/main" id="{00000000-0008-0000-0500-0000A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12</xdr:col>
          <xdr:colOff>152400</xdr:colOff>
          <xdr:row>119</xdr:row>
          <xdr:rowOff>17145</xdr:rowOff>
        </xdr:to>
        <xdr:sp macro="" textlink="">
          <xdr:nvSpPr>
            <xdr:cNvPr id="5312" name="Check Box 192" hidden="1">
              <a:extLst>
                <a:ext uri="{63B3BB69-23CF-44E3-9099-C40C66FF867C}">
                  <a14:compatExt spid="_x0000_s5312"/>
                </a:ext>
                <a:ext uri="{FF2B5EF4-FFF2-40B4-BE49-F238E27FC236}">
                  <a16:creationId xmlns:a16="http://schemas.microsoft.com/office/drawing/2014/main" id="{00000000-0008-0000-0500-0000C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12</xdr:col>
          <xdr:colOff>152400</xdr:colOff>
          <xdr:row>119</xdr:row>
          <xdr:rowOff>321945</xdr:rowOff>
        </xdr:to>
        <xdr:sp macro="" textlink="">
          <xdr:nvSpPr>
            <xdr:cNvPr id="5313" name="Check Box 193" hidden="1">
              <a:extLst>
                <a:ext uri="{63B3BB69-23CF-44E3-9099-C40C66FF867C}">
                  <a14:compatExt spid="_x0000_s5313"/>
                </a:ext>
                <a:ext uri="{FF2B5EF4-FFF2-40B4-BE49-F238E27FC236}">
                  <a16:creationId xmlns:a16="http://schemas.microsoft.com/office/drawing/2014/main" id="{00000000-0008-0000-0500-0000C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12</xdr:col>
          <xdr:colOff>152400</xdr:colOff>
          <xdr:row>118</xdr:row>
          <xdr:rowOff>245745</xdr:rowOff>
        </xdr:to>
        <xdr:sp macro="" textlink="">
          <xdr:nvSpPr>
            <xdr:cNvPr id="5314" name="Check Box 194" hidden="1">
              <a:extLst>
                <a:ext uri="{63B3BB69-23CF-44E3-9099-C40C66FF867C}">
                  <a14:compatExt spid="_x0000_s5314"/>
                </a:ext>
                <a:ext uri="{FF2B5EF4-FFF2-40B4-BE49-F238E27FC236}">
                  <a16:creationId xmlns:a16="http://schemas.microsoft.com/office/drawing/2014/main" id="{00000000-0008-0000-0500-0000C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266700</xdr:rowOff>
        </xdr:from>
        <xdr:to>
          <xdr:col>12</xdr:col>
          <xdr:colOff>152400</xdr:colOff>
          <xdr:row>121</xdr:row>
          <xdr:rowOff>0</xdr:rowOff>
        </xdr:to>
        <xdr:sp macro="" textlink="">
          <xdr:nvSpPr>
            <xdr:cNvPr id="5315" name="Check Box 195" hidden="1">
              <a:extLst>
                <a:ext uri="{63B3BB69-23CF-44E3-9099-C40C66FF867C}">
                  <a14:compatExt spid="_x0000_s5315"/>
                </a:ext>
                <a:ext uri="{FF2B5EF4-FFF2-40B4-BE49-F238E27FC236}">
                  <a16:creationId xmlns:a16="http://schemas.microsoft.com/office/drawing/2014/main" id="{00000000-0008-0000-0500-0000C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144780</xdr:rowOff>
        </xdr:from>
        <xdr:to>
          <xdr:col>12</xdr:col>
          <xdr:colOff>152400</xdr:colOff>
          <xdr:row>121</xdr:row>
          <xdr:rowOff>321945</xdr:rowOff>
        </xdr:to>
        <xdr:sp macro="" textlink="">
          <xdr:nvSpPr>
            <xdr:cNvPr id="5316" name="Check Box 196" hidden="1">
              <a:extLst>
                <a:ext uri="{63B3BB69-23CF-44E3-9099-C40C66FF867C}">
                  <a14:compatExt spid="_x0000_s5316"/>
                </a:ext>
                <a:ext uri="{FF2B5EF4-FFF2-40B4-BE49-F238E27FC236}">
                  <a16:creationId xmlns:a16="http://schemas.microsoft.com/office/drawing/2014/main" id="{00000000-0008-0000-0500-0000C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12</xdr:col>
          <xdr:colOff>152400</xdr:colOff>
          <xdr:row>120</xdr:row>
          <xdr:rowOff>245745</xdr:rowOff>
        </xdr:to>
        <xdr:sp macro="" textlink="">
          <xdr:nvSpPr>
            <xdr:cNvPr id="5317" name="Check Box 197" hidden="1">
              <a:extLst>
                <a:ext uri="{63B3BB69-23CF-44E3-9099-C40C66FF867C}">
                  <a14:compatExt spid="_x0000_s5317"/>
                </a:ext>
                <a:ext uri="{FF2B5EF4-FFF2-40B4-BE49-F238E27FC236}">
                  <a16:creationId xmlns:a16="http://schemas.microsoft.com/office/drawing/2014/main" id="{00000000-0008-0000-0500-0000C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12</xdr:col>
          <xdr:colOff>152400</xdr:colOff>
          <xdr:row>123</xdr:row>
          <xdr:rowOff>0</xdr:rowOff>
        </xdr:to>
        <xdr:sp macro="" textlink="">
          <xdr:nvSpPr>
            <xdr:cNvPr id="5318" name="Check Box 198" hidden="1">
              <a:extLst>
                <a:ext uri="{63B3BB69-23CF-44E3-9099-C40C66FF867C}">
                  <a14:compatExt spid="_x0000_s5318"/>
                </a:ext>
                <a:ext uri="{FF2B5EF4-FFF2-40B4-BE49-F238E27FC236}">
                  <a16:creationId xmlns:a16="http://schemas.microsoft.com/office/drawing/2014/main" id="{00000000-0008-0000-0500-0000C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12</xdr:col>
          <xdr:colOff>152400</xdr:colOff>
          <xdr:row>123</xdr:row>
          <xdr:rowOff>321945</xdr:rowOff>
        </xdr:to>
        <xdr:sp macro="" textlink="">
          <xdr:nvSpPr>
            <xdr:cNvPr id="5319" name="Check Box 199" hidden="1">
              <a:extLst>
                <a:ext uri="{63B3BB69-23CF-44E3-9099-C40C66FF867C}">
                  <a14:compatExt spid="_x0000_s5319"/>
                </a:ext>
                <a:ext uri="{FF2B5EF4-FFF2-40B4-BE49-F238E27FC236}">
                  <a16:creationId xmlns:a16="http://schemas.microsoft.com/office/drawing/2014/main" id="{00000000-0008-0000-0500-0000C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12</xdr:col>
          <xdr:colOff>152400</xdr:colOff>
          <xdr:row>122</xdr:row>
          <xdr:rowOff>245745</xdr:rowOff>
        </xdr:to>
        <xdr:sp macro="" textlink="">
          <xdr:nvSpPr>
            <xdr:cNvPr id="5320" name="Check Box 200" hidden="1">
              <a:extLst>
                <a:ext uri="{63B3BB69-23CF-44E3-9099-C40C66FF867C}">
                  <a14:compatExt spid="_x0000_s5320"/>
                </a:ext>
                <a:ext uri="{FF2B5EF4-FFF2-40B4-BE49-F238E27FC236}">
                  <a16:creationId xmlns:a16="http://schemas.microsoft.com/office/drawing/2014/main" id="{00000000-0008-0000-0500-0000C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12</xdr:col>
          <xdr:colOff>152400</xdr:colOff>
          <xdr:row>94</xdr:row>
          <xdr:rowOff>512445</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5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12</xdr:col>
          <xdr:colOff>152400</xdr:colOff>
          <xdr:row>95</xdr:row>
          <xdr:rowOff>321945</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5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12</xdr:col>
          <xdr:colOff>152400</xdr:colOff>
          <xdr:row>94</xdr:row>
          <xdr:rowOff>266700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5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335280</xdr:rowOff>
        </xdr:from>
        <xdr:to>
          <xdr:col>12</xdr:col>
          <xdr:colOff>152400</xdr:colOff>
          <xdr:row>97</xdr:row>
          <xdr:rowOff>95250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5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12</xdr:col>
          <xdr:colOff>152400</xdr:colOff>
          <xdr:row>97</xdr:row>
          <xdr:rowOff>321945</xdr:rowOff>
        </xdr:to>
        <xdr:sp macro="" textlink="">
          <xdr:nvSpPr>
            <xdr:cNvPr id="5356" name="Check Box 236" hidden="1">
              <a:extLst>
                <a:ext uri="{63B3BB69-23CF-44E3-9099-C40C66FF867C}">
                  <a14:compatExt spid="_x0000_s5356"/>
                </a:ext>
                <a:ext uri="{FF2B5EF4-FFF2-40B4-BE49-F238E27FC236}">
                  <a16:creationId xmlns:a16="http://schemas.microsoft.com/office/drawing/2014/main" id="{00000000-0008-0000-0500-0000E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12</xdr:col>
          <xdr:colOff>152400</xdr:colOff>
          <xdr:row>96</xdr:row>
          <xdr:rowOff>266700</xdr:rowOff>
        </xdr:to>
        <xdr:sp macro="" textlink="">
          <xdr:nvSpPr>
            <xdr:cNvPr id="5357" name="Check Box 237" hidden="1">
              <a:extLst>
                <a:ext uri="{63B3BB69-23CF-44E3-9099-C40C66FF867C}">
                  <a14:compatExt spid="_x0000_s5357"/>
                </a:ext>
                <a:ext uri="{FF2B5EF4-FFF2-40B4-BE49-F238E27FC236}">
                  <a16:creationId xmlns:a16="http://schemas.microsoft.com/office/drawing/2014/main" id="{00000000-0008-0000-0500-0000E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12</xdr:col>
          <xdr:colOff>152400</xdr:colOff>
          <xdr:row>98</xdr:row>
          <xdr:rowOff>533400</xdr:rowOff>
        </xdr:to>
        <xdr:sp macro="" textlink="">
          <xdr:nvSpPr>
            <xdr:cNvPr id="5358" name="Check Box 238" hidden="1">
              <a:extLst>
                <a:ext uri="{63B3BB69-23CF-44E3-9099-C40C66FF867C}">
                  <a14:compatExt spid="_x0000_s5358"/>
                </a:ext>
                <a:ext uri="{FF2B5EF4-FFF2-40B4-BE49-F238E27FC236}">
                  <a16:creationId xmlns:a16="http://schemas.microsoft.com/office/drawing/2014/main" id="{00000000-0008-0000-0500-0000E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12</xdr:col>
          <xdr:colOff>152400</xdr:colOff>
          <xdr:row>99</xdr:row>
          <xdr:rowOff>321945</xdr:rowOff>
        </xdr:to>
        <xdr:sp macro="" textlink="">
          <xdr:nvSpPr>
            <xdr:cNvPr id="5359" name="Check Box 239" hidden="1">
              <a:extLst>
                <a:ext uri="{63B3BB69-23CF-44E3-9099-C40C66FF867C}">
                  <a14:compatExt spid="_x0000_s5359"/>
                </a:ext>
                <a:ext uri="{FF2B5EF4-FFF2-40B4-BE49-F238E27FC236}">
                  <a16:creationId xmlns:a16="http://schemas.microsoft.com/office/drawing/2014/main" id="{00000000-0008-0000-0500-0000E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12</xdr:col>
          <xdr:colOff>152400</xdr:colOff>
          <xdr:row>98</xdr:row>
          <xdr:rowOff>266700</xdr:rowOff>
        </xdr:to>
        <xdr:sp macro="" textlink="">
          <xdr:nvSpPr>
            <xdr:cNvPr id="5360" name="Check Box 240" hidden="1">
              <a:extLst>
                <a:ext uri="{63B3BB69-23CF-44E3-9099-C40C66FF867C}">
                  <a14:compatExt spid="_x0000_s5360"/>
                </a:ext>
                <a:ext uri="{FF2B5EF4-FFF2-40B4-BE49-F238E27FC236}">
                  <a16:creationId xmlns:a16="http://schemas.microsoft.com/office/drawing/2014/main" id="{00000000-0008-0000-0500-0000F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12</xdr:col>
          <xdr:colOff>152400</xdr:colOff>
          <xdr:row>101</xdr:row>
          <xdr:rowOff>0</xdr:rowOff>
        </xdr:to>
        <xdr:sp macro="" textlink="">
          <xdr:nvSpPr>
            <xdr:cNvPr id="5361" name="Check Box 241" hidden="1">
              <a:extLst>
                <a:ext uri="{63B3BB69-23CF-44E3-9099-C40C66FF867C}">
                  <a14:compatExt spid="_x0000_s5361"/>
                </a:ext>
                <a:ext uri="{FF2B5EF4-FFF2-40B4-BE49-F238E27FC236}">
                  <a16:creationId xmlns:a16="http://schemas.microsoft.com/office/drawing/2014/main" id="{00000000-0008-0000-0500-0000F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12</xdr:col>
          <xdr:colOff>152400</xdr:colOff>
          <xdr:row>101</xdr:row>
          <xdr:rowOff>321945</xdr:rowOff>
        </xdr:to>
        <xdr:sp macro="" textlink="">
          <xdr:nvSpPr>
            <xdr:cNvPr id="5362" name="Check Box 242" hidden="1">
              <a:extLst>
                <a:ext uri="{63B3BB69-23CF-44E3-9099-C40C66FF867C}">
                  <a14:compatExt spid="_x0000_s5362"/>
                </a:ext>
                <a:ext uri="{FF2B5EF4-FFF2-40B4-BE49-F238E27FC236}">
                  <a16:creationId xmlns:a16="http://schemas.microsoft.com/office/drawing/2014/main" id="{00000000-0008-0000-0500-0000F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12</xdr:col>
          <xdr:colOff>152400</xdr:colOff>
          <xdr:row>100</xdr:row>
          <xdr:rowOff>266700</xdr:rowOff>
        </xdr:to>
        <xdr:sp macro="" textlink="">
          <xdr:nvSpPr>
            <xdr:cNvPr id="5363" name="Check Box 243" hidden="1">
              <a:extLst>
                <a:ext uri="{63B3BB69-23CF-44E3-9099-C40C66FF867C}">
                  <a14:compatExt spid="_x0000_s5363"/>
                </a:ext>
                <a:ext uri="{FF2B5EF4-FFF2-40B4-BE49-F238E27FC236}">
                  <a16:creationId xmlns:a16="http://schemas.microsoft.com/office/drawing/2014/main" id="{00000000-0008-0000-0500-0000F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12</xdr:col>
          <xdr:colOff>152400</xdr:colOff>
          <xdr:row>102</xdr:row>
          <xdr:rowOff>512445</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5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12</xdr:col>
          <xdr:colOff>152400</xdr:colOff>
          <xdr:row>103</xdr:row>
          <xdr:rowOff>321945</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5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12</xdr:col>
          <xdr:colOff>152400</xdr:colOff>
          <xdr:row>102</xdr:row>
          <xdr:rowOff>266700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5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12</xdr:col>
          <xdr:colOff>152400</xdr:colOff>
          <xdr:row>105</xdr:row>
          <xdr:rowOff>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5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12</xdr:col>
          <xdr:colOff>152400</xdr:colOff>
          <xdr:row>105</xdr:row>
          <xdr:rowOff>321945</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5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12</xdr:col>
          <xdr:colOff>152400</xdr:colOff>
          <xdr:row>104</xdr:row>
          <xdr:rowOff>266700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5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266700</xdr:rowOff>
        </xdr:from>
        <xdr:to>
          <xdr:col>12</xdr:col>
          <xdr:colOff>152400</xdr:colOff>
          <xdr:row>106</xdr:row>
          <xdr:rowOff>512445</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5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144780</xdr:rowOff>
        </xdr:from>
        <xdr:to>
          <xdr:col>12</xdr:col>
          <xdr:colOff>152400</xdr:colOff>
          <xdr:row>107</xdr:row>
          <xdr:rowOff>321945</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5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12</xdr:col>
          <xdr:colOff>152400</xdr:colOff>
          <xdr:row>106</xdr:row>
          <xdr:rowOff>266700</xdr:rowOff>
        </xdr:to>
        <xdr:sp macro="" textlink="">
          <xdr:nvSpPr>
            <xdr:cNvPr id="5372" name="Check Box 252" hidden="1">
              <a:extLst>
                <a:ext uri="{63B3BB69-23CF-44E3-9099-C40C66FF867C}">
                  <a14:compatExt spid="_x0000_s5372"/>
                </a:ext>
                <a:ext uri="{FF2B5EF4-FFF2-40B4-BE49-F238E27FC236}">
                  <a16:creationId xmlns:a16="http://schemas.microsoft.com/office/drawing/2014/main" id="{00000000-0008-0000-0500-0000F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12</xdr:col>
          <xdr:colOff>152400</xdr:colOff>
          <xdr:row>109</xdr:row>
          <xdr:rowOff>17145</xdr:rowOff>
        </xdr:to>
        <xdr:sp macro="" textlink="">
          <xdr:nvSpPr>
            <xdr:cNvPr id="5373" name="Check Box 253" hidden="1">
              <a:extLst>
                <a:ext uri="{63B3BB69-23CF-44E3-9099-C40C66FF867C}">
                  <a14:compatExt spid="_x0000_s5373"/>
                </a:ext>
                <a:ext uri="{FF2B5EF4-FFF2-40B4-BE49-F238E27FC236}">
                  <a16:creationId xmlns:a16="http://schemas.microsoft.com/office/drawing/2014/main" id="{00000000-0008-0000-0500-0000F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12</xdr:col>
          <xdr:colOff>152400</xdr:colOff>
          <xdr:row>109</xdr:row>
          <xdr:rowOff>321945</xdr:rowOff>
        </xdr:to>
        <xdr:sp macro="" textlink="">
          <xdr:nvSpPr>
            <xdr:cNvPr id="5374" name="Check Box 254" hidden="1">
              <a:extLst>
                <a:ext uri="{63B3BB69-23CF-44E3-9099-C40C66FF867C}">
                  <a14:compatExt spid="_x0000_s5374"/>
                </a:ext>
                <a:ext uri="{FF2B5EF4-FFF2-40B4-BE49-F238E27FC236}">
                  <a16:creationId xmlns:a16="http://schemas.microsoft.com/office/drawing/2014/main" id="{00000000-0008-0000-0500-0000F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12</xdr:col>
          <xdr:colOff>152400</xdr:colOff>
          <xdr:row>108</xdr:row>
          <xdr:rowOff>266700</xdr:rowOff>
        </xdr:to>
        <xdr:sp macro="" textlink="">
          <xdr:nvSpPr>
            <xdr:cNvPr id="5375" name="Check Box 255" hidden="1">
              <a:extLst>
                <a:ext uri="{63B3BB69-23CF-44E3-9099-C40C66FF867C}">
                  <a14:compatExt spid="_x0000_s5375"/>
                </a:ext>
                <a:ext uri="{FF2B5EF4-FFF2-40B4-BE49-F238E27FC236}">
                  <a16:creationId xmlns:a16="http://schemas.microsoft.com/office/drawing/2014/main" id="{00000000-0008-0000-0500-0000F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12</xdr:col>
          <xdr:colOff>152400</xdr:colOff>
          <xdr:row>110</xdr:row>
          <xdr:rowOff>512445</xdr:rowOff>
        </xdr:to>
        <xdr:sp macro="" textlink="">
          <xdr:nvSpPr>
            <xdr:cNvPr id="5376" name="Check Box 256" hidden="1">
              <a:extLst>
                <a:ext uri="{63B3BB69-23CF-44E3-9099-C40C66FF867C}">
                  <a14:compatExt spid="_x0000_s5376"/>
                </a:ext>
                <a:ext uri="{FF2B5EF4-FFF2-40B4-BE49-F238E27FC236}">
                  <a16:creationId xmlns:a16="http://schemas.microsoft.com/office/drawing/2014/main" id="{00000000-0008-0000-0500-00000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12</xdr:col>
          <xdr:colOff>152400</xdr:colOff>
          <xdr:row>111</xdr:row>
          <xdr:rowOff>321945</xdr:rowOff>
        </xdr:to>
        <xdr:sp macro="" textlink="">
          <xdr:nvSpPr>
            <xdr:cNvPr id="5377" name="Check Box 257" hidden="1">
              <a:extLst>
                <a:ext uri="{63B3BB69-23CF-44E3-9099-C40C66FF867C}">
                  <a14:compatExt spid="_x0000_s5377"/>
                </a:ext>
                <a:ext uri="{FF2B5EF4-FFF2-40B4-BE49-F238E27FC236}">
                  <a16:creationId xmlns:a16="http://schemas.microsoft.com/office/drawing/2014/main" id="{00000000-0008-0000-0500-00000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12</xdr:col>
          <xdr:colOff>152400</xdr:colOff>
          <xdr:row>110</xdr:row>
          <xdr:rowOff>266700</xdr:rowOff>
        </xdr:to>
        <xdr:sp macro="" textlink="">
          <xdr:nvSpPr>
            <xdr:cNvPr id="5378" name="Check Box 258" hidden="1">
              <a:extLst>
                <a:ext uri="{63B3BB69-23CF-44E3-9099-C40C66FF867C}">
                  <a14:compatExt spid="_x0000_s5378"/>
                </a:ext>
                <a:ext uri="{FF2B5EF4-FFF2-40B4-BE49-F238E27FC236}">
                  <a16:creationId xmlns:a16="http://schemas.microsoft.com/office/drawing/2014/main" id="{00000000-0008-0000-0500-000002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12</xdr:col>
          <xdr:colOff>152400</xdr:colOff>
          <xdr:row>113</xdr:row>
          <xdr:rowOff>0</xdr:rowOff>
        </xdr:to>
        <xdr:sp macro="" textlink="">
          <xdr:nvSpPr>
            <xdr:cNvPr id="5379" name="Check Box 259" hidden="1">
              <a:extLst>
                <a:ext uri="{63B3BB69-23CF-44E3-9099-C40C66FF867C}">
                  <a14:compatExt spid="_x0000_s5379"/>
                </a:ext>
                <a:ext uri="{FF2B5EF4-FFF2-40B4-BE49-F238E27FC236}">
                  <a16:creationId xmlns:a16="http://schemas.microsoft.com/office/drawing/2014/main" id="{00000000-0008-0000-0500-000003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12</xdr:col>
          <xdr:colOff>152400</xdr:colOff>
          <xdr:row>113</xdr:row>
          <xdr:rowOff>321945</xdr:rowOff>
        </xdr:to>
        <xdr:sp macro="" textlink="">
          <xdr:nvSpPr>
            <xdr:cNvPr id="5380" name="Check Box 260" hidden="1">
              <a:extLst>
                <a:ext uri="{63B3BB69-23CF-44E3-9099-C40C66FF867C}">
                  <a14:compatExt spid="_x0000_s5380"/>
                </a:ext>
                <a:ext uri="{FF2B5EF4-FFF2-40B4-BE49-F238E27FC236}">
                  <a16:creationId xmlns:a16="http://schemas.microsoft.com/office/drawing/2014/main" id="{00000000-0008-0000-0500-000004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12</xdr:col>
          <xdr:colOff>152400</xdr:colOff>
          <xdr:row>112</xdr:row>
          <xdr:rowOff>266700</xdr:rowOff>
        </xdr:to>
        <xdr:sp macro="" textlink="">
          <xdr:nvSpPr>
            <xdr:cNvPr id="5381" name="Check Box 261" hidden="1">
              <a:extLst>
                <a:ext uri="{63B3BB69-23CF-44E3-9099-C40C66FF867C}">
                  <a14:compatExt spid="_x0000_s5381"/>
                </a:ext>
                <a:ext uri="{FF2B5EF4-FFF2-40B4-BE49-F238E27FC236}">
                  <a16:creationId xmlns:a16="http://schemas.microsoft.com/office/drawing/2014/main" id="{00000000-0008-0000-0500-000005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5</xdr:col>
      <xdr:colOff>33745</xdr:colOff>
      <xdr:row>13</xdr:row>
      <xdr:rowOff>86268</xdr:rowOff>
    </xdr:from>
    <xdr:to>
      <xdr:col>7</xdr:col>
      <xdr:colOff>289560</xdr:colOff>
      <xdr:row>25</xdr:row>
      <xdr:rowOff>165191</xdr:rowOff>
    </xdr:to>
    <xdr:graphicFrame macro="">
      <xdr:nvGraphicFramePr>
        <xdr:cNvPr id="7" name="Gráfico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11</xdr:row>
      <xdr:rowOff>206973</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12</xdr:row>
      <xdr:rowOff>206973</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12</xdr:row>
      <xdr:rowOff>206973</xdr:rowOff>
    </xdr:to>
    <xdr:graphicFrame macro="">
      <xdr:nvGraphicFramePr>
        <xdr:cNvPr id="11" name="Gráfico 1">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13</xdr:row>
      <xdr:rowOff>88991</xdr:rowOff>
    </xdr:from>
    <xdr:to>
      <xdr:col>4</xdr:col>
      <xdr:colOff>1173752</xdr:colOff>
      <xdr:row>25</xdr:row>
      <xdr:rowOff>112123</xdr:rowOff>
    </xdr:to>
    <xdr:graphicFrame macro="">
      <xdr:nvGraphicFramePr>
        <xdr:cNvPr id="2" name="Gráfico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26000</xdr:colOff>
      <xdr:row>13</xdr:row>
      <xdr:rowOff>78443</xdr:rowOff>
    </xdr:from>
    <xdr:to>
      <xdr:col>7</xdr:col>
      <xdr:colOff>1226345</xdr:colOff>
      <xdr:row>25</xdr:row>
      <xdr:rowOff>112124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1313498</xdr:colOff>
      <xdr:row>11</xdr:row>
      <xdr:rowOff>59056</xdr:rowOff>
    </xdr:from>
    <xdr:to>
      <xdr:col>10</xdr:col>
      <xdr:colOff>1595437</xdr:colOff>
      <xdr:row>25</xdr:row>
      <xdr:rowOff>112123</xdr:rowOff>
    </xdr:to>
    <xdr:graphicFrame macro="">
      <xdr:nvGraphicFramePr>
        <xdr:cNvPr id="4" name="Gráfico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0</xdr:colOff>
          <xdr:row>54</xdr:row>
          <xdr:rowOff>30480</xdr:rowOff>
        </xdr:from>
        <xdr:to>
          <xdr:col>9</xdr:col>
          <xdr:colOff>0</xdr:colOff>
          <xdr:row>54</xdr:row>
          <xdr:rowOff>220980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C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54</xdr:row>
          <xdr:rowOff>259080</xdr:rowOff>
        </xdr:from>
        <xdr:to>
          <xdr:col>9</xdr:col>
          <xdr:colOff>0</xdr:colOff>
          <xdr:row>55</xdr:row>
          <xdr:rowOff>106680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C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55</xdr:row>
          <xdr:rowOff>106680</xdr:rowOff>
        </xdr:from>
        <xdr:to>
          <xdr:col>9</xdr:col>
          <xdr:colOff>0</xdr:colOff>
          <xdr:row>55</xdr:row>
          <xdr:rowOff>297180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C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30480</xdr:rowOff>
        </xdr:from>
        <xdr:to>
          <xdr:col>9</xdr:col>
          <xdr:colOff>0</xdr:colOff>
          <xdr:row>56</xdr:row>
          <xdr:rowOff>220980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C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259080</xdr:rowOff>
        </xdr:from>
        <xdr:to>
          <xdr:col>9</xdr:col>
          <xdr:colOff>0</xdr:colOff>
          <xdr:row>57</xdr:row>
          <xdr:rowOff>106680</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C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57</xdr:row>
          <xdr:rowOff>106680</xdr:rowOff>
        </xdr:from>
        <xdr:to>
          <xdr:col>9</xdr:col>
          <xdr:colOff>0</xdr:colOff>
          <xdr:row>57</xdr:row>
          <xdr:rowOff>297180</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C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30480</xdr:rowOff>
        </xdr:from>
        <xdr:to>
          <xdr:col>9</xdr:col>
          <xdr:colOff>0</xdr:colOff>
          <xdr:row>58</xdr:row>
          <xdr:rowOff>220980</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C00-00000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259080</xdr:rowOff>
        </xdr:from>
        <xdr:to>
          <xdr:col>9</xdr:col>
          <xdr:colOff>0</xdr:colOff>
          <xdr:row>59</xdr:row>
          <xdr:rowOff>106680</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C00-00000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59</xdr:row>
          <xdr:rowOff>106680</xdr:rowOff>
        </xdr:from>
        <xdr:to>
          <xdr:col>9</xdr:col>
          <xdr:colOff>0</xdr:colOff>
          <xdr:row>59</xdr:row>
          <xdr:rowOff>297180</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C00-00000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259080</xdr:rowOff>
        </xdr:from>
        <xdr:to>
          <xdr:col>9</xdr:col>
          <xdr:colOff>0</xdr:colOff>
          <xdr:row>61</xdr:row>
          <xdr:rowOff>106680</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C00-00000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106680</xdr:rowOff>
        </xdr:from>
        <xdr:to>
          <xdr:col>9</xdr:col>
          <xdr:colOff>0</xdr:colOff>
          <xdr:row>61</xdr:row>
          <xdr:rowOff>297180</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C00-00000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259080</xdr:rowOff>
        </xdr:from>
        <xdr:to>
          <xdr:col>9</xdr:col>
          <xdr:colOff>0</xdr:colOff>
          <xdr:row>63</xdr:row>
          <xdr:rowOff>106680</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C00-00000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106680</xdr:rowOff>
        </xdr:from>
        <xdr:to>
          <xdr:col>9</xdr:col>
          <xdr:colOff>0</xdr:colOff>
          <xdr:row>63</xdr:row>
          <xdr:rowOff>297180</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C00-00000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259080</xdr:rowOff>
        </xdr:from>
        <xdr:to>
          <xdr:col>9</xdr:col>
          <xdr:colOff>0</xdr:colOff>
          <xdr:row>65</xdr:row>
          <xdr:rowOff>106680</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C00-00000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65</xdr:row>
          <xdr:rowOff>106680</xdr:rowOff>
        </xdr:from>
        <xdr:to>
          <xdr:col>9</xdr:col>
          <xdr:colOff>0</xdr:colOff>
          <xdr:row>65</xdr:row>
          <xdr:rowOff>297180</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C00-00000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66</xdr:row>
          <xdr:rowOff>259080</xdr:rowOff>
        </xdr:from>
        <xdr:to>
          <xdr:col>9</xdr:col>
          <xdr:colOff>0</xdr:colOff>
          <xdr:row>67</xdr:row>
          <xdr:rowOff>106680</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C00-00001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67</xdr:row>
          <xdr:rowOff>106680</xdr:rowOff>
        </xdr:from>
        <xdr:to>
          <xdr:col>9</xdr:col>
          <xdr:colOff>0</xdr:colOff>
          <xdr:row>67</xdr:row>
          <xdr:rowOff>297180</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C00-00001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68</xdr:row>
          <xdr:rowOff>259080</xdr:rowOff>
        </xdr:from>
        <xdr:to>
          <xdr:col>9</xdr:col>
          <xdr:colOff>0</xdr:colOff>
          <xdr:row>69</xdr:row>
          <xdr:rowOff>106680</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C00-00001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69</xdr:row>
          <xdr:rowOff>106680</xdr:rowOff>
        </xdr:from>
        <xdr:to>
          <xdr:col>9</xdr:col>
          <xdr:colOff>0</xdr:colOff>
          <xdr:row>69</xdr:row>
          <xdr:rowOff>297180</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C00-00001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70</xdr:row>
          <xdr:rowOff>259080</xdr:rowOff>
        </xdr:from>
        <xdr:to>
          <xdr:col>9</xdr:col>
          <xdr:colOff>0</xdr:colOff>
          <xdr:row>71</xdr:row>
          <xdr:rowOff>106680</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C00-00001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71</xdr:row>
          <xdr:rowOff>106680</xdr:rowOff>
        </xdr:from>
        <xdr:to>
          <xdr:col>9</xdr:col>
          <xdr:colOff>0</xdr:colOff>
          <xdr:row>71</xdr:row>
          <xdr:rowOff>297180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C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72</xdr:row>
          <xdr:rowOff>259080</xdr:rowOff>
        </xdr:from>
        <xdr:to>
          <xdr:col>9</xdr:col>
          <xdr:colOff>0</xdr:colOff>
          <xdr:row>73</xdr:row>
          <xdr:rowOff>106680</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C00-00001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73</xdr:row>
          <xdr:rowOff>106680</xdr:rowOff>
        </xdr:from>
        <xdr:to>
          <xdr:col>9</xdr:col>
          <xdr:colOff>0</xdr:colOff>
          <xdr:row>73</xdr:row>
          <xdr:rowOff>297180</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C00-00001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74</xdr:row>
          <xdr:rowOff>259080</xdr:rowOff>
        </xdr:from>
        <xdr:to>
          <xdr:col>9</xdr:col>
          <xdr:colOff>0</xdr:colOff>
          <xdr:row>75</xdr:row>
          <xdr:rowOff>106680</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C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75</xdr:row>
          <xdr:rowOff>106680</xdr:rowOff>
        </xdr:from>
        <xdr:to>
          <xdr:col>9</xdr:col>
          <xdr:colOff>0</xdr:colOff>
          <xdr:row>75</xdr:row>
          <xdr:rowOff>297180</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C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76</xdr:row>
          <xdr:rowOff>259080</xdr:rowOff>
        </xdr:from>
        <xdr:to>
          <xdr:col>9</xdr:col>
          <xdr:colOff>0</xdr:colOff>
          <xdr:row>77</xdr:row>
          <xdr:rowOff>106680</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C00-00001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77</xdr:row>
          <xdr:rowOff>106680</xdr:rowOff>
        </xdr:from>
        <xdr:to>
          <xdr:col>9</xdr:col>
          <xdr:colOff>0</xdr:colOff>
          <xdr:row>77</xdr:row>
          <xdr:rowOff>297180</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C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78</xdr:row>
          <xdr:rowOff>30480</xdr:rowOff>
        </xdr:from>
        <xdr:to>
          <xdr:col>9</xdr:col>
          <xdr:colOff>0</xdr:colOff>
          <xdr:row>78</xdr:row>
          <xdr:rowOff>220980</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C00-00001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78</xdr:row>
          <xdr:rowOff>259080</xdr:rowOff>
        </xdr:from>
        <xdr:to>
          <xdr:col>9</xdr:col>
          <xdr:colOff>0</xdr:colOff>
          <xdr:row>79</xdr:row>
          <xdr:rowOff>106680</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C00-00001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79</xdr:row>
          <xdr:rowOff>106680</xdr:rowOff>
        </xdr:from>
        <xdr:to>
          <xdr:col>9</xdr:col>
          <xdr:colOff>0</xdr:colOff>
          <xdr:row>79</xdr:row>
          <xdr:rowOff>297180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C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80</xdr:row>
          <xdr:rowOff>259080</xdr:rowOff>
        </xdr:from>
        <xdr:to>
          <xdr:col>9</xdr:col>
          <xdr:colOff>0</xdr:colOff>
          <xdr:row>81</xdr:row>
          <xdr:rowOff>106680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C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81</xdr:row>
          <xdr:rowOff>106680</xdr:rowOff>
        </xdr:from>
        <xdr:to>
          <xdr:col>9</xdr:col>
          <xdr:colOff>0</xdr:colOff>
          <xdr:row>81</xdr:row>
          <xdr:rowOff>297180</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C00-00002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259080</xdr:rowOff>
        </xdr:from>
        <xdr:to>
          <xdr:col>9</xdr:col>
          <xdr:colOff>0</xdr:colOff>
          <xdr:row>83</xdr:row>
          <xdr:rowOff>106680</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C00-00002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83</xdr:row>
          <xdr:rowOff>106680</xdr:rowOff>
        </xdr:from>
        <xdr:to>
          <xdr:col>9</xdr:col>
          <xdr:colOff>0</xdr:colOff>
          <xdr:row>83</xdr:row>
          <xdr:rowOff>297180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C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84</xdr:row>
          <xdr:rowOff>259080</xdr:rowOff>
        </xdr:from>
        <xdr:to>
          <xdr:col>9</xdr:col>
          <xdr:colOff>0</xdr:colOff>
          <xdr:row>85</xdr:row>
          <xdr:rowOff>68580</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C00-00002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85</xdr:row>
          <xdr:rowOff>106680</xdr:rowOff>
        </xdr:from>
        <xdr:to>
          <xdr:col>9</xdr:col>
          <xdr:colOff>0</xdr:colOff>
          <xdr:row>85</xdr:row>
          <xdr:rowOff>297180</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C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86</xdr:row>
          <xdr:rowOff>259080</xdr:rowOff>
        </xdr:from>
        <xdr:to>
          <xdr:col>9</xdr:col>
          <xdr:colOff>0</xdr:colOff>
          <xdr:row>87</xdr:row>
          <xdr:rowOff>106680</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C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87</xdr:row>
          <xdr:rowOff>106680</xdr:rowOff>
        </xdr:from>
        <xdr:to>
          <xdr:col>9</xdr:col>
          <xdr:colOff>0</xdr:colOff>
          <xdr:row>87</xdr:row>
          <xdr:rowOff>297180</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C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88</xdr:row>
          <xdr:rowOff>259080</xdr:rowOff>
        </xdr:from>
        <xdr:to>
          <xdr:col>9</xdr:col>
          <xdr:colOff>0</xdr:colOff>
          <xdr:row>89</xdr:row>
          <xdr:rowOff>106680</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C00-00002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89</xdr:row>
          <xdr:rowOff>106680</xdr:rowOff>
        </xdr:from>
        <xdr:to>
          <xdr:col>9</xdr:col>
          <xdr:colOff>0</xdr:colOff>
          <xdr:row>89</xdr:row>
          <xdr:rowOff>297180</xdr:rowOff>
        </xdr:to>
        <xdr:sp macro="" textlink="">
          <xdr:nvSpPr>
            <xdr:cNvPr id="17448" name="Check Box 40" hidden="1">
              <a:extLst>
                <a:ext uri="{63B3BB69-23CF-44E3-9099-C40C66FF867C}">
                  <a14:compatExt spid="_x0000_s17448"/>
                </a:ext>
                <a:ext uri="{FF2B5EF4-FFF2-40B4-BE49-F238E27FC236}">
                  <a16:creationId xmlns:a16="http://schemas.microsoft.com/office/drawing/2014/main" id="{00000000-0008-0000-0C00-00002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90</xdr:row>
          <xdr:rowOff>259080</xdr:rowOff>
        </xdr:from>
        <xdr:to>
          <xdr:col>9</xdr:col>
          <xdr:colOff>0</xdr:colOff>
          <xdr:row>91</xdr:row>
          <xdr:rowOff>106680</xdr:rowOff>
        </xdr:to>
        <xdr:sp macro="" textlink="">
          <xdr:nvSpPr>
            <xdr:cNvPr id="17449" name="Check Box 41" hidden="1">
              <a:extLst>
                <a:ext uri="{63B3BB69-23CF-44E3-9099-C40C66FF867C}">
                  <a14:compatExt spid="_x0000_s17449"/>
                </a:ext>
                <a:ext uri="{FF2B5EF4-FFF2-40B4-BE49-F238E27FC236}">
                  <a16:creationId xmlns:a16="http://schemas.microsoft.com/office/drawing/2014/main" id="{00000000-0008-0000-0C00-00002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91</xdr:row>
          <xdr:rowOff>106680</xdr:rowOff>
        </xdr:from>
        <xdr:to>
          <xdr:col>9</xdr:col>
          <xdr:colOff>0</xdr:colOff>
          <xdr:row>91</xdr:row>
          <xdr:rowOff>297180</xdr:rowOff>
        </xdr:to>
        <xdr:sp macro="" textlink="">
          <xdr:nvSpPr>
            <xdr:cNvPr id="17450" name="Check Box 42" hidden="1">
              <a:extLst>
                <a:ext uri="{63B3BB69-23CF-44E3-9099-C40C66FF867C}">
                  <a14:compatExt spid="_x0000_s17450"/>
                </a:ext>
                <a:ext uri="{FF2B5EF4-FFF2-40B4-BE49-F238E27FC236}">
                  <a16:creationId xmlns:a16="http://schemas.microsoft.com/office/drawing/2014/main" id="{00000000-0008-0000-0C00-00002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92</xdr:row>
          <xdr:rowOff>259080</xdr:rowOff>
        </xdr:from>
        <xdr:to>
          <xdr:col>9</xdr:col>
          <xdr:colOff>0</xdr:colOff>
          <xdr:row>93</xdr:row>
          <xdr:rowOff>106680</xdr:rowOff>
        </xdr:to>
        <xdr:sp macro="" textlink="">
          <xdr:nvSpPr>
            <xdr:cNvPr id="17451" name="Check Box 43" hidden="1">
              <a:extLst>
                <a:ext uri="{63B3BB69-23CF-44E3-9099-C40C66FF867C}">
                  <a14:compatExt spid="_x0000_s17451"/>
                </a:ext>
                <a:ext uri="{FF2B5EF4-FFF2-40B4-BE49-F238E27FC236}">
                  <a16:creationId xmlns:a16="http://schemas.microsoft.com/office/drawing/2014/main" id="{00000000-0008-0000-0C00-00002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93</xdr:row>
          <xdr:rowOff>106680</xdr:rowOff>
        </xdr:from>
        <xdr:to>
          <xdr:col>9</xdr:col>
          <xdr:colOff>0</xdr:colOff>
          <xdr:row>93</xdr:row>
          <xdr:rowOff>297180</xdr:rowOff>
        </xdr:to>
        <xdr:sp macro="" textlink="">
          <xdr:nvSpPr>
            <xdr:cNvPr id="17452" name="Check Box 44" hidden="1">
              <a:extLst>
                <a:ext uri="{63B3BB69-23CF-44E3-9099-C40C66FF867C}">
                  <a14:compatExt spid="_x0000_s17452"/>
                </a:ext>
                <a:ext uri="{FF2B5EF4-FFF2-40B4-BE49-F238E27FC236}">
                  <a16:creationId xmlns:a16="http://schemas.microsoft.com/office/drawing/2014/main" id="{00000000-0008-0000-0C00-00002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94</xdr:row>
          <xdr:rowOff>259080</xdr:rowOff>
        </xdr:from>
        <xdr:to>
          <xdr:col>9</xdr:col>
          <xdr:colOff>0</xdr:colOff>
          <xdr:row>95</xdr:row>
          <xdr:rowOff>106680</xdr:rowOff>
        </xdr:to>
        <xdr:sp macro="" textlink="">
          <xdr:nvSpPr>
            <xdr:cNvPr id="17453" name="Check Box 45" hidden="1">
              <a:extLst>
                <a:ext uri="{63B3BB69-23CF-44E3-9099-C40C66FF867C}">
                  <a14:compatExt spid="_x0000_s17453"/>
                </a:ext>
                <a:ext uri="{FF2B5EF4-FFF2-40B4-BE49-F238E27FC236}">
                  <a16:creationId xmlns:a16="http://schemas.microsoft.com/office/drawing/2014/main" id="{00000000-0008-0000-0C00-00002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95</xdr:row>
          <xdr:rowOff>106680</xdr:rowOff>
        </xdr:from>
        <xdr:to>
          <xdr:col>9</xdr:col>
          <xdr:colOff>0</xdr:colOff>
          <xdr:row>95</xdr:row>
          <xdr:rowOff>297180</xdr:rowOff>
        </xdr:to>
        <xdr:sp macro="" textlink="">
          <xdr:nvSpPr>
            <xdr:cNvPr id="17454" name="Check Box 46" hidden="1">
              <a:extLst>
                <a:ext uri="{63B3BB69-23CF-44E3-9099-C40C66FF867C}">
                  <a14:compatExt spid="_x0000_s17454"/>
                </a:ext>
                <a:ext uri="{FF2B5EF4-FFF2-40B4-BE49-F238E27FC236}">
                  <a16:creationId xmlns:a16="http://schemas.microsoft.com/office/drawing/2014/main" id="{00000000-0008-0000-0C00-00002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96</xdr:row>
          <xdr:rowOff>259080</xdr:rowOff>
        </xdr:from>
        <xdr:to>
          <xdr:col>9</xdr:col>
          <xdr:colOff>0</xdr:colOff>
          <xdr:row>97</xdr:row>
          <xdr:rowOff>106680</xdr:rowOff>
        </xdr:to>
        <xdr:sp macro="" textlink="">
          <xdr:nvSpPr>
            <xdr:cNvPr id="17455" name="Check Box 47" hidden="1">
              <a:extLst>
                <a:ext uri="{63B3BB69-23CF-44E3-9099-C40C66FF867C}">
                  <a14:compatExt spid="_x0000_s17455"/>
                </a:ext>
                <a:ext uri="{FF2B5EF4-FFF2-40B4-BE49-F238E27FC236}">
                  <a16:creationId xmlns:a16="http://schemas.microsoft.com/office/drawing/2014/main" id="{00000000-0008-0000-0C00-00002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97</xdr:row>
          <xdr:rowOff>106680</xdr:rowOff>
        </xdr:from>
        <xdr:to>
          <xdr:col>9</xdr:col>
          <xdr:colOff>0</xdr:colOff>
          <xdr:row>97</xdr:row>
          <xdr:rowOff>297180</xdr:rowOff>
        </xdr:to>
        <xdr:sp macro="" textlink="">
          <xdr:nvSpPr>
            <xdr:cNvPr id="17456" name="Check Box 48" hidden="1">
              <a:extLst>
                <a:ext uri="{63B3BB69-23CF-44E3-9099-C40C66FF867C}">
                  <a14:compatExt spid="_x0000_s17456"/>
                </a:ext>
                <a:ext uri="{FF2B5EF4-FFF2-40B4-BE49-F238E27FC236}">
                  <a16:creationId xmlns:a16="http://schemas.microsoft.com/office/drawing/2014/main" id="{00000000-0008-0000-0C00-00003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98</xdr:row>
          <xdr:rowOff>259080</xdr:rowOff>
        </xdr:from>
        <xdr:to>
          <xdr:col>9</xdr:col>
          <xdr:colOff>0</xdr:colOff>
          <xdr:row>99</xdr:row>
          <xdr:rowOff>106680</xdr:rowOff>
        </xdr:to>
        <xdr:sp macro="" textlink="">
          <xdr:nvSpPr>
            <xdr:cNvPr id="17457" name="Check Box 49" hidden="1">
              <a:extLst>
                <a:ext uri="{63B3BB69-23CF-44E3-9099-C40C66FF867C}">
                  <a14:compatExt spid="_x0000_s17457"/>
                </a:ext>
                <a:ext uri="{FF2B5EF4-FFF2-40B4-BE49-F238E27FC236}">
                  <a16:creationId xmlns:a16="http://schemas.microsoft.com/office/drawing/2014/main" id="{00000000-0008-0000-0C00-00003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99</xdr:row>
          <xdr:rowOff>106680</xdr:rowOff>
        </xdr:from>
        <xdr:to>
          <xdr:col>9</xdr:col>
          <xdr:colOff>0</xdr:colOff>
          <xdr:row>99</xdr:row>
          <xdr:rowOff>297180</xdr:rowOff>
        </xdr:to>
        <xdr:sp macro="" textlink="">
          <xdr:nvSpPr>
            <xdr:cNvPr id="17458" name="Check Box 50" hidden="1">
              <a:extLst>
                <a:ext uri="{63B3BB69-23CF-44E3-9099-C40C66FF867C}">
                  <a14:compatExt spid="_x0000_s17458"/>
                </a:ext>
                <a:ext uri="{FF2B5EF4-FFF2-40B4-BE49-F238E27FC236}">
                  <a16:creationId xmlns:a16="http://schemas.microsoft.com/office/drawing/2014/main" id="{00000000-0008-0000-0C00-00003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108</xdr:row>
          <xdr:rowOff>259080</xdr:rowOff>
        </xdr:from>
        <xdr:to>
          <xdr:col>9</xdr:col>
          <xdr:colOff>0</xdr:colOff>
          <xdr:row>109</xdr:row>
          <xdr:rowOff>106680</xdr:rowOff>
        </xdr:to>
        <xdr:sp macro="" textlink="">
          <xdr:nvSpPr>
            <xdr:cNvPr id="17459" name="Check Box 51" hidden="1">
              <a:extLst>
                <a:ext uri="{63B3BB69-23CF-44E3-9099-C40C66FF867C}">
                  <a14:compatExt spid="_x0000_s17459"/>
                </a:ext>
                <a:ext uri="{FF2B5EF4-FFF2-40B4-BE49-F238E27FC236}">
                  <a16:creationId xmlns:a16="http://schemas.microsoft.com/office/drawing/2014/main" id="{00000000-0008-0000-0C00-00003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109</xdr:row>
          <xdr:rowOff>106680</xdr:rowOff>
        </xdr:from>
        <xdr:to>
          <xdr:col>9</xdr:col>
          <xdr:colOff>0</xdr:colOff>
          <xdr:row>109</xdr:row>
          <xdr:rowOff>297180</xdr:rowOff>
        </xdr:to>
        <xdr:sp macro="" textlink="">
          <xdr:nvSpPr>
            <xdr:cNvPr id="17460" name="Check Box 52" hidden="1">
              <a:extLst>
                <a:ext uri="{63B3BB69-23CF-44E3-9099-C40C66FF867C}">
                  <a14:compatExt spid="_x0000_s17460"/>
                </a:ext>
                <a:ext uri="{FF2B5EF4-FFF2-40B4-BE49-F238E27FC236}">
                  <a16:creationId xmlns:a16="http://schemas.microsoft.com/office/drawing/2014/main" id="{00000000-0008-0000-0C00-00003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110</xdr:row>
          <xdr:rowOff>259080</xdr:rowOff>
        </xdr:from>
        <xdr:to>
          <xdr:col>9</xdr:col>
          <xdr:colOff>0</xdr:colOff>
          <xdr:row>111</xdr:row>
          <xdr:rowOff>106680</xdr:rowOff>
        </xdr:to>
        <xdr:sp macro="" textlink="">
          <xdr:nvSpPr>
            <xdr:cNvPr id="17461" name="Check Box 53" hidden="1">
              <a:extLst>
                <a:ext uri="{63B3BB69-23CF-44E3-9099-C40C66FF867C}">
                  <a14:compatExt spid="_x0000_s17461"/>
                </a:ext>
                <a:ext uri="{FF2B5EF4-FFF2-40B4-BE49-F238E27FC236}">
                  <a16:creationId xmlns:a16="http://schemas.microsoft.com/office/drawing/2014/main" id="{00000000-0008-0000-0C00-00003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111</xdr:row>
          <xdr:rowOff>106680</xdr:rowOff>
        </xdr:from>
        <xdr:to>
          <xdr:col>9</xdr:col>
          <xdr:colOff>0</xdr:colOff>
          <xdr:row>111</xdr:row>
          <xdr:rowOff>297180</xdr:rowOff>
        </xdr:to>
        <xdr:sp macro="" textlink="">
          <xdr:nvSpPr>
            <xdr:cNvPr id="17462" name="Check Box 54" hidden="1">
              <a:extLst>
                <a:ext uri="{63B3BB69-23CF-44E3-9099-C40C66FF867C}">
                  <a14:compatExt spid="_x0000_s17462"/>
                </a:ext>
                <a:ext uri="{FF2B5EF4-FFF2-40B4-BE49-F238E27FC236}">
                  <a16:creationId xmlns:a16="http://schemas.microsoft.com/office/drawing/2014/main" id="{00000000-0008-0000-0C00-00003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112</xdr:row>
          <xdr:rowOff>259080</xdr:rowOff>
        </xdr:from>
        <xdr:to>
          <xdr:col>9</xdr:col>
          <xdr:colOff>0</xdr:colOff>
          <xdr:row>113</xdr:row>
          <xdr:rowOff>106680</xdr:rowOff>
        </xdr:to>
        <xdr:sp macro="" textlink="">
          <xdr:nvSpPr>
            <xdr:cNvPr id="17463" name="Check Box 55" hidden="1">
              <a:extLst>
                <a:ext uri="{63B3BB69-23CF-44E3-9099-C40C66FF867C}">
                  <a14:compatExt spid="_x0000_s17463"/>
                </a:ext>
                <a:ext uri="{FF2B5EF4-FFF2-40B4-BE49-F238E27FC236}">
                  <a16:creationId xmlns:a16="http://schemas.microsoft.com/office/drawing/2014/main" id="{00000000-0008-0000-0C00-00003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113</xdr:row>
          <xdr:rowOff>106680</xdr:rowOff>
        </xdr:from>
        <xdr:to>
          <xdr:col>9</xdr:col>
          <xdr:colOff>0</xdr:colOff>
          <xdr:row>113</xdr:row>
          <xdr:rowOff>297180</xdr:rowOff>
        </xdr:to>
        <xdr:sp macro="" textlink="">
          <xdr:nvSpPr>
            <xdr:cNvPr id="17464" name="Check Box 56" hidden="1">
              <a:extLst>
                <a:ext uri="{63B3BB69-23CF-44E3-9099-C40C66FF867C}">
                  <a14:compatExt spid="_x0000_s17464"/>
                </a:ext>
                <a:ext uri="{FF2B5EF4-FFF2-40B4-BE49-F238E27FC236}">
                  <a16:creationId xmlns:a16="http://schemas.microsoft.com/office/drawing/2014/main" id="{00000000-0008-0000-0C00-00003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30480</xdr:rowOff>
        </xdr:from>
        <xdr:to>
          <xdr:col>9</xdr:col>
          <xdr:colOff>0</xdr:colOff>
          <xdr:row>60</xdr:row>
          <xdr:rowOff>220980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C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30480</xdr:rowOff>
        </xdr:from>
        <xdr:to>
          <xdr:col>9</xdr:col>
          <xdr:colOff>0</xdr:colOff>
          <xdr:row>62</xdr:row>
          <xdr:rowOff>220980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C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30480</xdr:rowOff>
        </xdr:from>
        <xdr:to>
          <xdr:col>9</xdr:col>
          <xdr:colOff>0</xdr:colOff>
          <xdr:row>64</xdr:row>
          <xdr:rowOff>220980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C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66</xdr:row>
          <xdr:rowOff>30480</xdr:rowOff>
        </xdr:from>
        <xdr:to>
          <xdr:col>9</xdr:col>
          <xdr:colOff>0</xdr:colOff>
          <xdr:row>66</xdr:row>
          <xdr:rowOff>220980</xdr:rowOff>
        </xdr:to>
        <xdr:sp macro="" textlink="">
          <xdr:nvSpPr>
            <xdr:cNvPr id="17468" name="Check Box 60" hidden="1">
              <a:extLst>
                <a:ext uri="{63B3BB69-23CF-44E3-9099-C40C66FF867C}">
                  <a14:compatExt spid="_x0000_s17468"/>
                </a:ext>
                <a:ext uri="{FF2B5EF4-FFF2-40B4-BE49-F238E27FC236}">
                  <a16:creationId xmlns:a16="http://schemas.microsoft.com/office/drawing/2014/main" id="{00000000-0008-0000-0C00-00003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68</xdr:row>
          <xdr:rowOff>30480</xdr:rowOff>
        </xdr:from>
        <xdr:to>
          <xdr:col>9</xdr:col>
          <xdr:colOff>0</xdr:colOff>
          <xdr:row>68</xdr:row>
          <xdr:rowOff>220980</xdr:rowOff>
        </xdr:to>
        <xdr:sp macro="" textlink="">
          <xdr:nvSpPr>
            <xdr:cNvPr id="17469" name="Check Box 61" hidden="1">
              <a:extLst>
                <a:ext uri="{63B3BB69-23CF-44E3-9099-C40C66FF867C}">
                  <a14:compatExt spid="_x0000_s17469"/>
                </a:ext>
                <a:ext uri="{FF2B5EF4-FFF2-40B4-BE49-F238E27FC236}">
                  <a16:creationId xmlns:a16="http://schemas.microsoft.com/office/drawing/2014/main" id="{00000000-0008-0000-0C00-00003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70</xdr:row>
          <xdr:rowOff>30480</xdr:rowOff>
        </xdr:from>
        <xdr:to>
          <xdr:col>9</xdr:col>
          <xdr:colOff>0</xdr:colOff>
          <xdr:row>70</xdr:row>
          <xdr:rowOff>220980</xdr:rowOff>
        </xdr:to>
        <xdr:sp macro="" textlink="">
          <xdr:nvSpPr>
            <xdr:cNvPr id="17470" name="Check Box 62" hidden="1">
              <a:extLst>
                <a:ext uri="{63B3BB69-23CF-44E3-9099-C40C66FF867C}">
                  <a14:compatExt spid="_x0000_s17470"/>
                </a:ext>
                <a:ext uri="{FF2B5EF4-FFF2-40B4-BE49-F238E27FC236}">
                  <a16:creationId xmlns:a16="http://schemas.microsoft.com/office/drawing/2014/main" id="{00000000-0008-0000-0C00-00003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72</xdr:row>
          <xdr:rowOff>30480</xdr:rowOff>
        </xdr:from>
        <xdr:to>
          <xdr:col>9</xdr:col>
          <xdr:colOff>0</xdr:colOff>
          <xdr:row>72</xdr:row>
          <xdr:rowOff>220980</xdr:rowOff>
        </xdr:to>
        <xdr:sp macro="" textlink="">
          <xdr:nvSpPr>
            <xdr:cNvPr id="17471" name="Check Box 63" hidden="1">
              <a:extLst>
                <a:ext uri="{63B3BB69-23CF-44E3-9099-C40C66FF867C}">
                  <a14:compatExt spid="_x0000_s17471"/>
                </a:ext>
                <a:ext uri="{FF2B5EF4-FFF2-40B4-BE49-F238E27FC236}">
                  <a16:creationId xmlns:a16="http://schemas.microsoft.com/office/drawing/2014/main" id="{00000000-0008-0000-0C00-00003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74</xdr:row>
          <xdr:rowOff>30480</xdr:rowOff>
        </xdr:from>
        <xdr:to>
          <xdr:col>9</xdr:col>
          <xdr:colOff>0</xdr:colOff>
          <xdr:row>74</xdr:row>
          <xdr:rowOff>220980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C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76</xdr:row>
          <xdr:rowOff>30480</xdr:rowOff>
        </xdr:from>
        <xdr:to>
          <xdr:col>9</xdr:col>
          <xdr:colOff>0</xdr:colOff>
          <xdr:row>76</xdr:row>
          <xdr:rowOff>220980</xdr:rowOff>
        </xdr:to>
        <xdr:sp macro="" textlink="">
          <xdr:nvSpPr>
            <xdr:cNvPr id="17473" name="Check Box 65" hidden="1">
              <a:extLst>
                <a:ext uri="{63B3BB69-23CF-44E3-9099-C40C66FF867C}">
                  <a14:compatExt spid="_x0000_s17473"/>
                </a:ext>
                <a:ext uri="{FF2B5EF4-FFF2-40B4-BE49-F238E27FC236}">
                  <a16:creationId xmlns:a16="http://schemas.microsoft.com/office/drawing/2014/main" id="{00000000-0008-0000-0C00-00004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80</xdr:row>
          <xdr:rowOff>30480</xdr:rowOff>
        </xdr:from>
        <xdr:to>
          <xdr:col>9</xdr:col>
          <xdr:colOff>0</xdr:colOff>
          <xdr:row>80</xdr:row>
          <xdr:rowOff>220980</xdr:rowOff>
        </xdr:to>
        <xdr:sp macro="" textlink="">
          <xdr:nvSpPr>
            <xdr:cNvPr id="17474" name="Check Box 66" hidden="1">
              <a:extLst>
                <a:ext uri="{63B3BB69-23CF-44E3-9099-C40C66FF867C}">
                  <a14:compatExt spid="_x0000_s17474"/>
                </a:ext>
                <a:ext uri="{FF2B5EF4-FFF2-40B4-BE49-F238E27FC236}">
                  <a16:creationId xmlns:a16="http://schemas.microsoft.com/office/drawing/2014/main" id="{00000000-0008-0000-0C00-00004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30480</xdr:rowOff>
        </xdr:from>
        <xdr:to>
          <xdr:col>9</xdr:col>
          <xdr:colOff>0</xdr:colOff>
          <xdr:row>82</xdr:row>
          <xdr:rowOff>220980</xdr:rowOff>
        </xdr:to>
        <xdr:sp macro="" textlink="">
          <xdr:nvSpPr>
            <xdr:cNvPr id="17475" name="Check Box 67" hidden="1">
              <a:extLst>
                <a:ext uri="{63B3BB69-23CF-44E3-9099-C40C66FF867C}">
                  <a14:compatExt spid="_x0000_s17475"/>
                </a:ext>
                <a:ext uri="{FF2B5EF4-FFF2-40B4-BE49-F238E27FC236}">
                  <a16:creationId xmlns:a16="http://schemas.microsoft.com/office/drawing/2014/main" id="{00000000-0008-0000-0C00-00004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84</xdr:row>
          <xdr:rowOff>30480</xdr:rowOff>
        </xdr:from>
        <xdr:to>
          <xdr:col>9</xdr:col>
          <xdr:colOff>0</xdr:colOff>
          <xdr:row>84</xdr:row>
          <xdr:rowOff>220980</xdr:rowOff>
        </xdr:to>
        <xdr:sp macro="" textlink="">
          <xdr:nvSpPr>
            <xdr:cNvPr id="17476" name="Check Box 68" hidden="1">
              <a:extLst>
                <a:ext uri="{63B3BB69-23CF-44E3-9099-C40C66FF867C}">
                  <a14:compatExt spid="_x0000_s17476"/>
                </a:ext>
                <a:ext uri="{FF2B5EF4-FFF2-40B4-BE49-F238E27FC236}">
                  <a16:creationId xmlns:a16="http://schemas.microsoft.com/office/drawing/2014/main" id="{00000000-0008-0000-0C00-00004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86</xdr:row>
          <xdr:rowOff>30480</xdr:rowOff>
        </xdr:from>
        <xdr:to>
          <xdr:col>9</xdr:col>
          <xdr:colOff>0</xdr:colOff>
          <xdr:row>86</xdr:row>
          <xdr:rowOff>220980</xdr:rowOff>
        </xdr:to>
        <xdr:sp macro="" textlink="">
          <xdr:nvSpPr>
            <xdr:cNvPr id="17477" name="Check Box 69" hidden="1">
              <a:extLst>
                <a:ext uri="{63B3BB69-23CF-44E3-9099-C40C66FF867C}">
                  <a14:compatExt spid="_x0000_s17477"/>
                </a:ext>
                <a:ext uri="{FF2B5EF4-FFF2-40B4-BE49-F238E27FC236}">
                  <a16:creationId xmlns:a16="http://schemas.microsoft.com/office/drawing/2014/main" id="{00000000-0008-0000-0C00-00004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88</xdr:row>
          <xdr:rowOff>30480</xdr:rowOff>
        </xdr:from>
        <xdr:to>
          <xdr:col>9</xdr:col>
          <xdr:colOff>0</xdr:colOff>
          <xdr:row>88</xdr:row>
          <xdr:rowOff>220980</xdr:rowOff>
        </xdr:to>
        <xdr:sp macro="" textlink="">
          <xdr:nvSpPr>
            <xdr:cNvPr id="17478" name="Check Box 70" hidden="1">
              <a:extLst>
                <a:ext uri="{63B3BB69-23CF-44E3-9099-C40C66FF867C}">
                  <a14:compatExt spid="_x0000_s17478"/>
                </a:ext>
                <a:ext uri="{FF2B5EF4-FFF2-40B4-BE49-F238E27FC236}">
                  <a16:creationId xmlns:a16="http://schemas.microsoft.com/office/drawing/2014/main" id="{00000000-0008-0000-0C00-00004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90</xdr:row>
          <xdr:rowOff>30480</xdr:rowOff>
        </xdr:from>
        <xdr:to>
          <xdr:col>9</xdr:col>
          <xdr:colOff>0</xdr:colOff>
          <xdr:row>90</xdr:row>
          <xdr:rowOff>220980</xdr:rowOff>
        </xdr:to>
        <xdr:sp macro="" textlink="">
          <xdr:nvSpPr>
            <xdr:cNvPr id="17479" name="Check Box 71" hidden="1">
              <a:extLst>
                <a:ext uri="{63B3BB69-23CF-44E3-9099-C40C66FF867C}">
                  <a14:compatExt spid="_x0000_s17479"/>
                </a:ext>
                <a:ext uri="{FF2B5EF4-FFF2-40B4-BE49-F238E27FC236}">
                  <a16:creationId xmlns:a16="http://schemas.microsoft.com/office/drawing/2014/main" id="{00000000-0008-0000-0C00-00004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92</xdr:row>
          <xdr:rowOff>30480</xdr:rowOff>
        </xdr:from>
        <xdr:to>
          <xdr:col>9</xdr:col>
          <xdr:colOff>0</xdr:colOff>
          <xdr:row>92</xdr:row>
          <xdr:rowOff>220980</xdr:rowOff>
        </xdr:to>
        <xdr:sp macro="" textlink="">
          <xdr:nvSpPr>
            <xdr:cNvPr id="17480" name="Check Box 72" hidden="1">
              <a:extLst>
                <a:ext uri="{63B3BB69-23CF-44E3-9099-C40C66FF867C}">
                  <a14:compatExt spid="_x0000_s17480"/>
                </a:ext>
                <a:ext uri="{FF2B5EF4-FFF2-40B4-BE49-F238E27FC236}">
                  <a16:creationId xmlns:a16="http://schemas.microsoft.com/office/drawing/2014/main" id="{00000000-0008-0000-0C00-00004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94</xdr:row>
          <xdr:rowOff>30480</xdr:rowOff>
        </xdr:from>
        <xdr:to>
          <xdr:col>9</xdr:col>
          <xdr:colOff>0</xdr:colOff>
          <xdr:row>94</xdr:row>
          <xdr:rowOff>220980</xdr:rowOff>
        </xdr:to>
        <xdr:sp macro="" textlink="">
          <xdr:nvSpPr>
            <xdr:cNvPr id="17481" name="Check Box 73" hidden="1">
              <a:extLst>
                <a:ext uri="{63B3BB69-23CF-44E3-9099-C40C66FF867C}">
                  <a14:compatExt spid="_x0000_s17481"/>
                </a:ext>
                <a:ext uri="{FF2B5EF4-FFF2-40B4-BE49-F238E27FC236}">
                  <a16:creationId xmlns:a16="http://schemas.microsoft.com/office/drawing/2014/main" id="{00000000-0008-0000-0C00-00004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96</xdr:row>
          <xdr:rowOff>30480</xdr:rowOff>
        </xdr:from>
        <xdr:to>
          <xdr:col>9</xdr:col>
          <xdr:colOff>0</xdr:colOff>
          <xdr:row>96</xdr:row>
          <xdr:rowOff>220980</xdr:rowOff>
        </xdr:to>
        <xdr:sp macro="" textlink="">
          <xdr:nvSpPr>
            <xdr:cNvPr id="17482" name="Check Box 74" hidden="1">
              <a:extLst>
                <a:ext uri="{63B3BB69-23CF-44E3-9099-C40C66FF867C}">
                  <a14:compatExt spid="_x0000_s17482"/>
                </a:ext>
                <a:ext uri="{FF2B5EF4-FFF2-40B4-BE49-F238E27FC236}">
                  <a16:creationId xmlns:a16="http://schemas.microsoft.com/office/drawing/2014/main" id="{00000000-0008-0000-0C00-00004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98</xdr:row>
          <xdr:rowOff>30480</xdr:rowOff>
        </xdr:from>
        <xdr:to>
          <xdr:col>9</xdr:col>
          <xdr:colOff>0</xdr:colOff>
          <xdr:row>98</xdr:row>
          <xdr:rowOff>220980</xdr:rowOff>
        </xdr:to>
        <xdr:sp macro="" textlink="">
          <xdr:nvSpPr>
            <xdr:cNvPr id="17483" name="Check Box 75" hidden="1">
              <a:extLst>
                <a:ext uri="{63B3BB69-23CF-44E3-9099-C40C66FF867C}">
                  <a14:compatExt spid="_x0000_s17483"/>
                </a:ext>
                <a:ext uri="{FF2B5EF4-FFF2-40B4-BE49-F238E27FC236}">
                  <a16:creationId xmlns:a16="http://schemas.microsoft.com/office/drawing/2014/main" id="{00000000-0008-0000-0C00-00004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108</xdr:row>
          <xdr:rowOff>30480</xdr:rowOff>
        </xdr:from>
        <xdr:to>
          <xdr:col>9</xdr:col>
          <xdr:colOff>0</xdr:colOff>
          <xdr:row>108</xdr:row>
          <xdr:rowOff>228600</xdr:rowOff>
        </xdr:to>
        <xdr:sp macro="" textlink="">
          <xdr:nvSpPr>
            <xdr:cNvPr id="17484" name="Check Box 76" hidden="1">
              <a:extLst>
                <a:ext uri="{63B3BB69-23CF-44E3-9099-C40C66FF867C}">
                  <a14:compatExt spid="_x0000_s17484"/>
                </a:ext>
                <a:ext uri="{FF2B5EF4-FFF2-40B4-BE49-F238E27FC236}">
                  <a16:creationId xmlns:a16="http://schemas.microsoft.com/office/drawing/2014/main" id="{00000000-0008-0000-0C00-00004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110</xdr:row>
          <xdr:rowOff>30480</xdr:rowOff>
        </xdr:from>
        <xdr:to>
          <xdr:col>9</xdr:col>
          <xdr:colOff>0</xdr:colOff>
          <xdr:row>110</xdr:row>
          <xdr:rowOff>228600</xdr:rowOff>
        </xdr:to>
        <xdr:sp macro="" textlink="">
          <xdr:nvSpPr>
            <xdr:cNvPr id="17485" name="Check Box 77" hidden="1">
              <a:extLst>
                <a:ext uri="{63B3BB69-23CF-44E3-9099-C40C66FF867C}">
                  <a14:compatExt spid="_x0000_s17485"/>
                </a:ext>
                <a:ext uri="{FF2B5EF4-FFF2-40B4-BE49-F238E27FC236}">
                  <a16:creationId xmlns:a16="http://schemas.microsoft.com/office/drawing/2014/main" id="{00000000-0008-0000-0C00-00004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112</xdr:row>
          <xdr:rowOff>30480</xdr:rowOff>
        </xdr:from>
        <xdr:to>
          <xdr:col>9</xdr:col>
          <xdr:colOff>0</xdr:colOff>
          <xdr:row>112</xdr:row>
          <xdr:rowOff>228600</xdr:rowOff>
        </xdr:to>
        <xdr:sp macro="" textlink="">
          <xdr:nvSpPr>
            <xdr:cNvPr id="17486" name="Check Box 78" hidden="1">
              <a:extLst>
                <a:ext uri="{63B3BB69-23CF-44E3-9099-C40C66FF867C}">
                  <a14:compatExt spid="_x0000_s17486"/>
                </a:ext>
                <a:ext uri="{FF2B5EF4-FFF2-40B4-BE49-F238E27FC236}">
                  <a16:creationId xmlns:a16="http://schemas.microsoft.com/office/drawing/2014/main" id="{00000000-0008-0000-0C00-00004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104</xdr:row>
          <xdr:rowOff>259080</xdr:rowOff>
        </xdr:from>
        <xdr:to>
          <xdr:col>9</xdr:col>
          <xdr:colOff>0</xdr:colOff>
          <xdr:row>105</xdr:row>
          <xdr:rowOff>106680</xdr:rowOff>
        </xdr:to>
        <xdr:sp macro="" textlink="">
          <xdr:nvSpPr>
            <xdr:cNvPr id="17487" name="Check Box 79" hidden="1">
              <a:extLst>
                <a:ext uri="{63B3BB69-23CF-44E3-9099-C40C66FF867C}">
                  <a14:compatExt spid="_x0000_s17487"/>
                </a:ext>
                <a:ext uri="{FF2B5EF4-FFF2-40B4-BE49-F238E27FC236}">
                  <a16:creationId xmlns:a16="http://schemas.microsoft.com/office/drawing/2014/main" id="{00000000-0008-0000-0C00-00004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105</xdr:row>
          <xdr:rowOff>106680</xdr:rowOff>
        </xdr:from>
        <xdr:to>
          <xdr:col>9</xdr:col>
          <xdr:colOff>0</xdr:colOff>
          <xdr:row>105</xdr:row>
          <xdr:rowOff>297180</xdr:rowOff>
        </xdr:to>
        <xdr:sp macro="" textlink="">
          <xdr:nvSpPr>
            <xdr:cNvPr id="17488" name="Check Box 80" hidden="1">
              <a:extLst>
                <a:ext uri="{63B3BB69-23CF-44E3-9099-C40C66FF867C}">
                  <a14:compatExt spid="_x0000_s17488"/>
                </a:ext>
                <a:ext uri="{FF2B5EF4-FFF2-40B4-BE49-F238E27FC236}">
                  <a16:creationId xmlns:a16="http://schemas.microsoft.com/office/drawing/2014/main" id="{00000000-0008-0000-0C00-00005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106</xdr:row>
          <xdr:rowOff>259080</xdr:rowOff>
        </xdr:from>
        <xdr:to>
          <xdr:col>9</xdr:col>
          <xdr:colOff>0</xdr:colOff>
          <xdr:row>107</xdr:row>
          <xdr:rowOff>106680</xdr:rowOff>
        </xdr:to>
        <xdr:sp macro="" textlink="">
          <xdr:nvSpPr>
            <xdr:cNvPr id="17489" name="Check Box 81" hidden="1">
              <a:extLst>
                <a:ext uri="{63B3BB69-23CF-44E3-9099-C40C66FF867C}">
                  <a14:compatExt spid="_x0000_s17489"/>
                </a:ext>
                <a:ext uri="{FF2B5EF4-FFF2-40B4-BE49-F238E27FC236}">
                  <a16:creationId xmlns:a16="http://schemas.microsoft.com/office/drawing/2014/main" id="{00000000-0008-0000-0C00-00005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107</xdr:row>
          <xdr:rowOff>106680</xdr:rowOff>
        </xdr:from>
        <xdr:to>
          <xdr:col>9</xdr:col>
          <xdr:colOff>0</xdr:colOff>
          <xdr:row>107</xdr:row>
          <xdr:rowOff>297180</xdr:rowOff>
        </xdr:to>
        <xdr:sp macro="" textlink="">
          <xdr:nvSpPr>
            <xdr:cNvPr id="17490" name="Check Box 82" hidden="1">
              <a:extLst>
                <a:ext uri="{63B3BB69-23CF-44E3-9099-C40C66FF867C}">
                  <a14:compatExt spid="_x0000_s17490"/>
                </a:ext>
                <a:ext uri="{FF2B5EF4-FFF2-40B4-BE49-F238E27FC236}">
                  <a16:creationId xmlns:a16="http://schemas.microsoft.com/office/drawing/2014/main" id="{00000000-0008-0000-0C00-00005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104</xdr:row>
          <xdr:rowOff>30480</xdr:rowOff>
        </xdr:from>
        <xdr:to>
          <xdr:col>9</xdr:col>
          <xdr:colOff>0</xdr:colOff>
          <xdr:row>104</xdr:row>
          <xdr:rowOff>228600</xdr:rowOff>
        </xdr:to>
        <xdr:sp macro="" textlink="">
          <xdr:nvSpPr>
            <xdr:cNvPr id="17491" name="Check Box 83" hidden="1">
              <a:extLst>
                <a:ext uri="{63B3BB69-23CF-44E3-9099-C40C66FF867C}">
                  <a14:compatExt spid="_x0000_s17491"/>
                </a:ext>
                <a:ext uri="{FF2B5EF4-FFF2-40B4-BE49-F238E27FC236}">
                  <a16:creationId xmlns:a16="http://schemas.microsoft.com/office/drawing/2014/main" id="{00000000-0008-0000-0C00-00005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106</xdr:row>
          <xdr:rowOff>30480</xdr:rowOff>
        </xdr:from>
        <xdr:to>
          <xdr:col>9</xdr:col>
          <xdr:colOff>0</xdr:colOff>
          <xdr:row>106</xdr:row>
          <xdr:rowOff>228600</xdr:rowOff>
        </xdr:to>
        <xdr:sp macro="" textlink="">
          <xdr:nvSpPr>
            <xdr:cNvPr id="17492" name="Check Box 84" hidden="1">
              <a:extLst>
                <a:ext uri="{63B3BB69-23CF-44E3-9099-C40C66FF867C}">
                  <a14:compatExt spid="_x0000_s17492"/>
                </a:ext>
                <a:ext uri="{FF2B5EF4-FFF2-40B4-BE49-F238E27FC236}">
                  <a16:creationId xmlns:a16="http://schemas.microsoft.com/office/drawing/2014/main" id="{00000000-0008-0000-0C00-00005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100</xdr:row>
          <xdr:rowOff>259080</xdr:rowOff>
        </xdr:from>
        <xdr:to>
          <xdr:col>9</xdr:col>
          <xdr:colOff>0</xdr:colOff>
          <xdr:row>101</xdr:row>
          <xdr:rowOff>106680</xdr:rowOff>
        </xdr:to>
        <xdr:sp macro="" textlink="">
          <xdr:nvSpPr>
            <xdr:cNvPr id="17493" name="Check Box 85" hidden="1">
              <a:extLst>
                <a:ext uri="{63B3BB69-23CF-44E3-9099-C40C66FF867C}">
                  <a14:compatExt spid="_x0000_s17493"/>
                </a:ext>
                <a:ext uri="{FF2B5EF4-FFF2-40B4-BE49-F238E27FC236}">
                  <a16:creationId xmlns:a16="http://schemas.microsoft.com/office/drawing/2014/main" id="{00000000-0008-0000-0C00-00005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101</xdr:row>
          <xdr:rowOff>106680</xdr:rowOff>
        </xdr:from>
        <xdr:to>
          <xdr:col>9</xdr:col>
          <xdr:colOff>0</xdr:colOff>
          <xdr:row>101</xdr:row>
          <xdr:rowOff>297180</xdr:rowOff>
        </xdr:to>
        <xdr:sp macro="" textlink="">
          <xdr:nvSpPr>
            <xdr:cNvPr id="17494" name="Check Box 86" hidden="1">
              <a:extLst>
                <a:ext uri="{63B3BB69-23CF-44E3-9099-C40C66FF867C}">
                  <a14:compatExt spid="_x0000_s17494"/>
                </a:ext>
                <a:ext uri="{FF2B5EF4-FFF2-40B4-BE49-F238E27FC236}">
                  <a16:creationId xmlns:a16="http://schemas.microsoft.com/office/drawing/2014/main" id="{00000000-0008-0000-0C00-00005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102</xdr:row>
          <xdr:rowOff>259080</xdr:rowOff>
        </xdr:from>
        <xdr:to>
          <xdr:col>9</xdr:col>
          <xdr:colOff>0</xdr:colOff>
          <xdr:row>103</xdr:row>
          <xdr:rowOff>106680</xdr:rowOff>
        </xdr:to>
        <xdr:sp macro="" textlink="">
          <xdr:nvSpPr>
            <xdr:cNvPr id="17495" name="Check Box 87" hidden="1">
              <a:extLst>
                <a:ext uri="{63B3BB69-23CF-44E3-9099-C40C66FF867C}">
                  <a14:compatExt spid="_x0000_s17495"/>
                </a:ext>
                <a:ext uri="{FF2B5EF4-FFF2-40B4-BE49-F238E27FC236}">
                  <a16:creationId xmlns:a16="http://schemas.microsoft.com/office/drawing/2014/main" id="{00000000-0008-0000-0C00-00005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103</xdr:row>
          <xdr:rowOff>106680</xdr:rowOff>
        </xdr:from>
        <xdr:to>
          <xdr:col>9</xdr:col>
          <xdr:colOff>0</xdr:colOff>
          <xdr:row>103</xdr:row>
          <xdr:rowOff>297180</xdr:rowOff>
        </xdr:to>
        <xdr:sp macro="" textlink="">
          <xdr:nvSpPr>
            <xdr:cNvPr id="17496" name="Check Box 88" hidden="1">
              <a:extLst>
                <a:ext uri="{63B3BB69-23CF-44E3-9099-C40C66FF867C}">
                  <a14:compatExt spid="_x0000_s17496"/>
                </a:ext>
                <a:ext uri="{FF2B5EF4-FFF2-40B4-BE49-F238E27FC236}">
                  <a16:creationId xmlns:a16="http://schemas.microsoft.com/office/drawing/2014/main" id="{00000000-0008-0000-0C00-00005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100</xdr:row>
          <xdr:rowOff>30480</xdr:rowOff>
        </xdr:from>
        <xdr:to>
          <xdr:col>9</xdr:col>
          <xdr:colOff>0</xdr:colOff>
          <xdr:row>100</xdr:row>
          <xdr:rowOff>228600</xdr:rowOff>
        </xdr:to>
        <xdr:sp macro="" textlink="">
          <xdr:nvSpPr>
            <xdr:cNvPr id="17497" name="Check Box 89" hidden="1">
              <a:extLst>
                <a:ext uri="{63B3BB69-23CF-44E3-9099-C40C66FF867C}">
                  <a14:compatExt spid="_x0000_s17497"/>
                </a:ext>
                <a:ext uri="{FF2B5EF4-FFF2-40B4-BE49-F238E27FC236}">
                  <a16:creationId xmlns:a16="http://schemas.microsoft.com/office/drawing/2014/main" id="{00000000-0008-0000-0C00-00005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102</xdr:row>
          <xdr:rowOff>30480</xdr:rowOff>
        </xdr:from>
        <xdr:to>
          <xdr:col>9</xdr:col>
          <xdr:colOff>0</xdr:colOff>
          <xdr:row>102</xdr:row>
          <xdr:rowOff>228600</xdr:rowOff>
        </xdr:to>
        <xdr:sp macro="" textlink="">
          <xdr:nvSpPr>
            <xdr:cNvPr id="17498" name="Check Box 90" hidden="1">
              <a:extLst>
                <a:ext uri="{63B3BB69-23CF-44E3-9099-C40C66FF867C}">
                  <a14:compatExt spid="_x0000_s17498"/>
                </a:ext>
                <a:ext uri="{FF2B5EF4-FFF2-40B4-BE49-F238E27FC236}">
                  <a16:creationId xmlns:a16="http://schemas.microsoft.com/office/drawing/2014/main" id="{00000000-0008-0000-0C00-00005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7</xdr:col>
      <xdr:colOff>68036</xdr:colOff>
      <xdr:row>12</xdr:row>
      <xdr:rowOff>69812</xdr:rowOff>
    </xdr:from>
    <xdr:to>
      <xdr:col>8</xdr:col>
      <xdr:colOff>970653</xdr:colOff>
      <xdr:row>25</xdr:row>
      <xdr:rowOff>125170</xdr:rowOff>
    </xdr:to>
    <xdr:graphicFrame macro="">
      <xdr:nvGraphicFramePr>
        <xdr:cNvPr id="3" name="Gráfico 3">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xdr:colOff>
      <xdr:row>13</xdr:row>
      <xdr:rowOff>76200</xdr:rowOff>
    </xdr:from>
    <xdr:to>
      <xdr:col>4</xdr:col>
      <xdr:colOff>1251857</xdr:colOff>
      <xdr:row>25</xdr:row>
      <xdr:rowOff>102870</xdr:rowOff>
    </xdr:to>
    <xdr:graphicFrame macro="">
      <xdr:nvGraphicFramePr>
        <xdr:cNvPr id="5" name="Gráfico 6">
          <a:extLst>
            <a:ext uri="{FF2B5EF4-FFF2-40B4-BE49-F238E27FC236}">
              <a16:creationId xmlns:a16="http://schemas.microsoft.com/office/drawing/2014/main" id="{00000000-0008-0000-0600-000005000000}"/>
            </a:ext>
            <a:ext uri="{147F2762-F138-4A5C-976F-8EAC2B608ADB}">
              <a16:predDERef xmlns:a16="http://schemas.microsoft.com/office/drawing/2014/main" pred="{1C643DEC-4480-4B06-8F96-E3047C3D1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1019175</xdr:colOff>
      <xdr:row>11</xdr:row>
      <xdr:rowOff>95250</xdr:rowOff>
    </xdr:from>
    <xdr:to>
      <xdr:col>13</xdr:col>
      <xdr:colOff>847725</xdr:colOff>
      <xdr:row>25</xdr:row>
      <xdr:rowOff>123825</xdr:rowOff>
    </xdr:to>
    <xdr:graphicFrame macro="">
      <xdr:nvGraphicFramePr>
        <xdr:cNvPr id="2" name="Gráfico 1">
          <a:extLst>
            <a:ext uri="{FF2B5EF4-FFF2-40B4-BE49-F238E27FC236}">
              <a16:creationId xmlns:a16="http://schemas.microsoft.com/office/drawing/2014/main" id="{00000000-0008-0000-0600-000002000000}"/>
            </a:ext>
            <a:ext uri="{147F2762-F138-4A5C-976F-8EAC2B608ADB}">
              <a16:predDERef xmlns:a16="http://schemas.microsoft.com/office/drawing/2014/main" pred="{51C649E0-172A-4BDD-B688-D1C6D25C8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30480</xdr:colOff>
          <xdr:row>54</xdr:row>
          <xdr:rowOff>259080</xdr:rowOff>
        </xdr:from>
        <xdr:to>
          <xdr:col>12</xdr:col>
          <xdr:colOff>514350</xdr:colOff>
          <xdr:row>55</xdr:row>
          <xdr:rowOff>93345</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600-00002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12</xdr:col>
          <xdr:colOff>476250</xdr:colOff>
          <xdr:row>57</xdr:row>
          <xdr:rowOff>114300</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600-00002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12</xdr:col>
          <xdr:colOff>476250</xdr:colOff>
          <xdr:row>57</xdr:row>
          <xdr:rowOff>342900</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600-00002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12</xdr:col>
          <xdr:colOff>476250</xdr:colOff>
          <xdr:row>56</xdr:row>
          <xdr:rowOff>245745</xdr:rowOff>
        </xdr:to>
        <xdr:sp macro="" textlink="">
          <xdr:nvSpPr>
            <xdr:cNvPr id="6191" name="Check Box 47" hidden="1">
              <a:extLst>
                <a:ext uri="{63B3BB69-23CF-44E3-9099-C40C66FF867C}">
                  <a14:compatExt spid="_x0000_s6191"/>
                </a:ext>
                <a:ext uri="{FF2B5EF4-FFF2-40B4-BE49-F238E27FC236}">
                  <a16:creationId xmlns:a16="http://schemas.microsoft.com/office/drawing/2014/main" id="{00000000-0008-0000-0600-00002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12</xdr:col>
          <xdr:colOff>476250</xdr:colOff>
          <xdr:row>59</xdr:row>
          <xdr:rowOff>114300</xdr:rowOff>
        </xdr:to>
        <xdr:sp macro="" textlink="">
          <xdr:nvSpPr>
            <xdr:cNvPr id="6192" name="Check Box 48" hidden="1">
              <a:extLst>
                <a:ext uri="{63B3BB69-23CF-44E3-9099-C40C66FF867C}">
                  <a14:compatExt spid="_x0000_s6192"/>
                </a:ext>
                <a:ext uri="{FF2B5EF4-FFF2-40B4-BE49-F238E27FC236}">
                  <a16:creationId xmlns:a16="http://schemas.microsoft.com/office/drawing/2014/main" id="{00000000-0008-0000-0600-00003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12</xdr:col>
          <xdr:colOff>476250</xdr:colOff>
          <xdr:row>59</xdr:row>
          <xdr:rowOff>342900</xdr:rowOff>
        </xdr:to>
        <xdr:sp macro="" textlink="">
          <xdr:nvSpPr>
            <xdr:cNvPr id="6193" name="Check Box 49" hidden="1">
              <a:extLst>
                <a:ext uri="{63B3BB69-23CF-44E3-9099-C40C66FF867C}">
                  <a14:compatExt spid="_x0000_s6193"/>
                </a:ext>
                <a:ext uri="{FF2B5EF4-FFF2-40B4-BE49-F238E27FC236}">
                  <a16:creationId xmlns:a16="http://schemas.microsoft.com/office/drawing/2014/main" id="{00000000-0008-0000-0600-00003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12</xdr:col>
          <xdr:colOff>476250</xdr:colOff>
          <xdr:row>58</xdr:row>
          <xdr:rowOff>245745</xdr:rowOff>
        </xdr:to>
        <xdr:sp macro="" textlink="">
          <xdr:nvSpPr>
            <xdr:cNvPr id="6194" name="Check Box 50" hidden="1">
              <a:extLst>
                <a:ext uri="{63B3BB69-23CF-44E3-9099-C40C66FF867C}">
                  <a14:compatExt spid="_x0000_s6194"/>
                </a:ext>
                <a:ext uri="{FF2B5EF4-FFF2-40B4-BE49-F238E27FC236}">
                  <a16:creationId xmlns:a16="http://schemas.microsoft.com/office/drawing/2014/main" id="{00000000-0008-0000-0600-00003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12</xdr:col>
          <xdr:colOff>476250</xdr:colOff>
          <xdr:row>61</xdr:row>
          <xdr:rowOff>114300</xdr:rowOff>
        </xdr:to>
        <xdr:sp macro="" textlink="">
          <xdr:nvSpPr>
            <xdr:cNvPr id="6195" name="Check Box 51" hidden="1">
              <a:extLst>
                <a:ext uri="{63B3BB69-23CF-44E3-9099-C40C66FF867C}">
                  <a14:compatExt spid="_x0000_s6195"/>
                </a:ext>
                <a:ext uri="{FF2B5EF4-FFF2-40B4-BE49-F238E27FC236}">
                  <a16:creationId xmlns:a16="http://schemas.microsoft.com/office/drawing/2014/main" id="{00000000-0008-0000-0600-00003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12</xdr:col>
          <xdr:colOff>476250</xdr:colOff>
          <xdr:row>61</xdr:row>
          <xdr:rowOff>342900</xdr:rowOff>
        </xdr:to>
        <xdr:sp macro="" textlink="">
          <xdr:nvSpPr>
            <xdr:cNvPr id="6196" name="Check Box 52" hidden="1">
              <a:extLst>
                <a:ext uri="{63B3BB69-23CF-44E3-9099-C40C66FF867C}">
                  <a14:compatExt spid="_x0000_s6196"/>
                </a:ext>
                <a:ext uri="{FF2B5EF4-FFF2-40B4-BE49-F238E27FC236}">
                  <a16:creationId xmlns:a16="http://schemas.microsoft.com/office/drawing/2014/main" id="{00000000-0008-0000-0600-00003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12</xdr:col>
          <xdr:colOff>476250</xdr:colOff>
          <xdr:row>60</xdr:row>
          <xdr:rowOff>245745</xdr:rowOff>
        </xdr:to>
        <xdr:sp macro="" textlink="">
          <xdr:nvSpPr>
            <xdr:cNvPr id="6197" name="Check Box 53" hidden="1">
              <a:extLst>
                <a:ext uri="{63B3BB69-23CF-44E3-9099-C40C66FF867C}">
                  <a14:compatExt spid="_x0000_s6197"/>
                </a:ext>
                <a:ext uri="{FF2B5EF4-FFF2-40B4-BE49-F238E27FC236}">
                  <a16:creationId xmlns:a16="http://schemas.microsoft.com/office/drawing/2014/main" id="{00000000-0008-0000-0600-00003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12</xdr:col>
          <xdr:colOff>476250</xdr:colOff>
          <xdr:row>63</xdr:row>
          <xdr:rowOff>114300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6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12</xdr:col>
          <xdr:colOff>476250</xdr:colOff>
          <xdr:row>63</xdr:row>
          <xdr:rowOff>342900</xdr:rowOff>
        </xdr:to>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600-00003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12</xdr:col>
          <xdr:colOff>476250</xdr:colOff>
          <xdr:row>62</xdr:row>
          <xdr:rowOff>245745</xdr:rowOff>
        </xdr:to>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600-00003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12</xdr:col>
          <xdr:colOff>476250</xdr:colOff>
          <xdr:row>65</xdr:row>
          <xdr:rowOff>114300</xdr:rowOff>
        </xdr:to>
        <xdr:sp macro="" textlink="">
          <xdr:nvSpPr>
            <xdr:cNvPr id="6205" name="Check Box 61" hidden="1">
              <a:extLst>
                <a:ext uri="{63B3BB69-23CF-44E3-9099-C40C66FF867C}">
                  <a14:compatExt spid="_x0000_s6205"/>
                </a:ext>
                <a:ext uri="{FF2B5EF4-FFF2-40B4-BE49-F238E27FC236}">
                  <a16:creationId xmlns:a16="http://schemas.microsoft.com/office/drawing/2014/main" id="{00000000-0008-0000-0600-00003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12</xdr:col>
          <xdr:colOff>476250</xdr:colOff>
          <xdr:row>65</xdr:row>
          <xdr:rowOff>342900</xdr:rowOff>
        </xdr:to>
        <xdr:sp macro="" textlink="">
          <xdr:nvSpPr>
            <xdr:cNvPr id="6206" name="Check Box 62" hidden="1">
              <a:extLst>
                <a:ext uri="{63B3BB69-23CF-44E3-9099-C40C66FF867C}">
                  <a14:compatExt spid="_x0000_s6206"/>
                </a:ext>
                <a:ext uri="{FF2B5EF4-FFF2-40B4-BE49-F238E27FC236}">
                  <a16:creationId xmlns:a16="http://schemas.microsoft.com/office/drawing/2014/main" id="{00000000-0008-0000-0600-00003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12</xdr:col>
          <xdr:colOff>476250</xdr:colOff>
          <xdr:row>64</xdr:row>
          <xdr:rowOff>245745</xdr:rowOff>
        </xdr:to>
        <xdr:sp macro="" textlink="">
          <xdr:nvSpPr>
            <xdr:cNvPr id="6207" name="Check Box 63" hidden="1">
              <a:extLst>
                <a:ext uri="{63B3BB69-23CF-44E3-9099-C40C66FF867C}">
                  <a14:compatExt spid="_x0000_s6207"/>
                </a:ext>
                <a:ext uri="{FF2B5EF4-FFF2-40B4-BE49-F238E27FC236}">
                  <a16:creationId xmlns:a16="http://schemas.microsoft.com/office/drawing/2014/main" id="{00000000-0008-0000-0600-00003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12</xdr:col>
          <xdr:colOff>476250</xdr:colOff>
          <xdr:row>67</xdr:row>
          <xdr:rowOff>114300</xdr:rowOff>
        </xdr:to>
        <xdr:sp macro="" textlink="">
          <xdr:nvSpPr>
            <xdr:cNvPr id="6208" name="Check Box 64" hidden="1">
              <a:extLst>
                <a:ext uri="{63B3BB69-23CF-44E3-9099-C40C66FF867C}">
                  <a14:compatExt spid="_x0000_s6208"/>
                </a:ext>
                <a:ext uri="{FF2B5EF4-FFF2-40B4-BE49-F238E27FC236}">
                  <a16:creationId xmlns:a16="http://schemas.microsoft.com/office/drawing/2014/main" id="{00000000-0008-0000-0600-00004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12</xdr:col>
          <xdr:colOff>476250</xdr:colOff>
          <xdr:row>67</xdr:row>
          <xdr:rowOff>342900</xdr:rowOff>
        </xdr:to>
        <xdr:sp macro="" textlink="">
          <xdr:nvSpPr>
            <xdr:cNvPr id="6209" name="Check Box 65" hidden="1">
              <a:extLst>
                <a:ext uri="{63B3BB69-23CF-44E3-9099-C40C66FF867C}">
                  <a14:compatExt spid="_x0000_s6209"/>
                </a:ext>
                <a:ext uri="{FF2B5EF4-FFF2-40B4-BE49-F238E27FC236}">
                  <a16:creationId xmlns:a16="http://schemas.microsoft.com/office/drawing/2014/main" id="{00000000-0008-0000-0600-00004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12</xdr:col>
          <xdr:colOff>476250</xdr:colOff>
          <xdr:row>66</xdr:row>
          <xdr:rowOff>245745</xdr:rowOff>
        </xdr:to>
        <xdr:sp macro="" textlink="">
          <xdr:nvSpPr>
            <xdr:cNvPr id="6210" name="Check Box 66" hidden="1">
              <a:extLst>
                <a:ext uri="{63B3BB69-23CF-44E3-9099-C40C66FF867C}">
                  <a14:compatExt spid="_x0000_s6210"/>
                </a:ext>
                <a:ext uri="{FF2B5EF4-FFF2-40B4-BE49-F238E27FC236}">
                  <a16:creationId xmlns:a16="http://schemas.microsoft.com/office/drawing/2014/main" id="{00000000-0008-0000-0600-00004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12</xdr:col>
          <xdr:colOff>476250</xdr:colOff>
          <xdr:row>68</xdr:row>
          <xdr:rowOff>474345</xdr:rowOff>
        </xdr:to>
        <xdr:sp macro="" textlink="">
          <xdr:nvSpPr>
            <xdr:cNvPr id="6211" name="Check Box 67" hidden="1">
              <a:extLst>
                <a:ext uri="{63B3BB69-23CF-44E3-9099-C40C66FF867C}">
                  <a14:compatExt spid="_x0000_s6211"/>
                </a:ext>
                <a:ext uri="{FF2B5EF4-FFF2-40B4-BE49-F238E27FC236}">
                  <a16:creationId xmlns:a16="http://schemas.microsoft.com/office/drawing/2014/main" id="{00000000-0008-0000-0600-00004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12</xdr:col>
          <xdr:colOff>476250</xdr:colOff>
          <xdr:row>69</xdr:row>
          <xdr:rowOff>342900</xdr:rowOff>
        </xdr:to>
        <xdr:sp macro="" textlink="">
          <xdr:nvSpPr>
            <xdr:cNvPr id="6212" name="Check Box 68" hidden="1">
              <a:extLst>
                <a:ext uri="{63B3BB69-23CF-44E3-9099-C40C66FF867C}">
                  <a14:compatExt spid="_x0000_s6212"/>
                </a:ext>
                <a:ext uri="{FF2B5EF4-FFF2-40B4-BE49-F238E27FC236}">
                  <a16:creationId xmlns:a16="http://schemas.microsoft.com/office/drawing/2014/main" id="{00000000-0008-0000-0600-00004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12</xdr:col>
          <xdr:colOff>476250</xdr:colOff>
          <xdr:row>68</xdr:row>
          <xdr:rowOff>245745</xdr:rowOff>
        </xdr:to>
        <xdr:sp macro="" textlink="">
          <xdr:nvSpPr>
            <xdr:cNvPr id="6213" name="Check Box 69" hidden="1">
              <a:extLst>
                <a:ext uri="{63B3BB69-23CF-44E3-9099-C40C66FF867C}">
                  <a14:compatExt spid="_x0000_s6213"/>
                </a:ext>
                <a:ext uri="{FF2B5EF4-FFF2-40B4-BE49-F238E27FC236}">
                  <a16:creationId xmlns:a16="http://schemas.microsoft.com/office/drawing/2014/main" id="{00000000-0008-0000-0600-00004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12</xdr:col>
          <xdr:colOff>476250</xdr:colOff>
          <xdr:row>71</xdr:row>
          <xdr:rowOff>114300</xdr:rowOff>
        </xdr:to>
        <xdr:sp macro="" textlink="">
          <xdr:nvSpPr>
            <xdr:cNvPr id="6214" name="Check Box 70" hidden="1">
              <a:extLst>
                <a:ext uri="{63B3BB69-23CF-44E3-9099-C40C66FF867C}">
                  <a14:compatExt spid="_x0000_s6214"/>
                </a:ext>
                <a:ext uri="{FF2B5EF4-FFF2-40B4-BE49-F238E27FC236}">
                  <a16:creationId xmlns:a16="http://schemas.microsoft.com/office/drawing/2014/main" id="{00000000-0008-0000-0600-00004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12</xdr:col>
          <xdr:colOff>476250</xdr:colOff>
          <xdr:row>71</xdr:row>
          <xdr:rowOff>342900</xdr:rowOff>
        </xdr:to>
        <xdr:sp macro="" textlink="">
          <xdr:nvSpPr>
            <xdr:cNvPr id="6215" name="Check Box 71" hidden="1">
              <a:extLst>
                <a:ext uri="{63B3BB69-23CF-44E3-9099-C40C66FF867C}">
                  <a14:compatExt spid="_x0000_s6215"/>
                </a:ext>
                <a:ext uri="{FF2B5EF4-FFF2-40B4-BE49-F238E27FC236}">
                  <a16:creationId xmlns:a16="http://schemas.microsoft.com/office/drawing/2014/main" id="{00000000-0008-0000-0600-00004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12</xdr:col>
          <xdr:colOff>476250</xdr:colOff>
          <xdr:row>70</xdr:row>
          <xdr:rowOff>245745</xdr:rowOff>
        </xdr:to>
        <xdr:sp macro="" textlink="">
          <xdr:nvSpPr>
            <xdr:cNvPr id="6216" name="Check Box 72" hidden="1">
              <a:extLst>
                <a:ext uri="{63B3BB69-23CF-44E3-9099-C40C66FF867C}">
                  <a14:compatExt spid="_x0000_s6216"/>
                </a:ext>
                <a:ext uri="{FF2B5EF4-FFF2-40B4-BE49-F238E27FC236}">
                  <a16:creationId xmlns:a16="http://schemas.microsoft.com/office/drawing/2014/main" id="{00000000-0008-0000-0600-00004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12</xdr:col>
          <xdr:colOff>476250</xdr:colOff>
          <xdr:row>73</xdr:row>
          <xdr:rowOff>114300</xdr:rowOff>
        </xdr:to>
        <xdr:sp macro="" textlink="">
          <xdr:nvSpPr>
            <xdr:cNvPr id="6217" name="Check Box 73" hidden="1">
              <a:extLst>
                <a:ext uri="{63B3BB69-23CF-44E3-9099-C40C66FF867C}">
                  <a14:compatExt spid="_x0000_s6217"/>
                </a:ext>
                <a:ext uri="{FF2B5EF4-FFF2-40B4-BE49-F238E27FC236}">
                  <a16:creationId xmlns:a16="http://schemas.microsoft.com/office/drawing/2014/main" id="{00000000-0008-0000-0600-00004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12</xdr:col>
          <xdr:colOff>476250</xdr:colOff>
          <xdr:row>73</xdr:row>
          <xdr:rowOff>342900</xdr:rowOff>
        </xdr:to>
        <xdr:sp macro="" textlink="">
          <xdr:nvSpPr>
            <xdr:cNvPr id="6218" name="Check Box 74" hidden="1">
              <a:extLst>
                <a:ext uri="{63B3BB69-23CF-44E3-9099-C40C66FF867C}">
                  <a14:compatExt spid="_x0000_s6218"/>
                </a:ext>
                <a:ext uri="{FF2B5EF4-FFF2-40B4-BE49-F238E27FC236}">
                  <a16:creationId xmlns:a16="http://schemas.microsoft.com/office/drawing/2014/main" id="{00000000-0008-0000-0600-00004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12</xdr:col>
          <xdr:colOff>476250</xdr:colOff>
          <xdr:row>72</xdr:row>
          <xdr:rowOff>245745</xdr:rowOff>
        </xdr:to>
        <xdr:sp macro="" textlink="">
          <xdr:nvSpPr>
            <xdr:cNvPr id="6219" name="Check Box 75" hidden="1">
              <a:extLst>
                <a:ext uri="{63B3BB69-23CF-44E3-9099-C40C66FF867C}">
                  <a14:compatExt spid="_x0000_s6219"/>
                </a:ext>
                <a:ext uri="{FF2B5EF4-FFF2-40B4-BE49-F238E27FC236}">
                  <a16:creationId xmlns:a16="http://schemas.microsoft.com/office/drawing/2014/main" id="{00000000-0008-0000-0600-00004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12</xdr:col>
          <xdr:colOff>476250</xdr:colOff>
          <xdr:row>77</xdr:row>
          <xdr:rowOff>93345</xdr:rowOff>
        </xdr:to>
        <xdr:sp macro="" textlink="">
          <xdr:nvSpPr>
            <xdr:cNvPr id="6224" name="Check Box 80" hidden="1">
              <a:extLst>
                <a:ext uri="{63B3BB69-23CF-44E3-9099-C40C66FF867C}">
                  <a14:compatExt spid="_x0000_s6224"/>
                </a:ext>
                <a:ext uri="{FF2B5EF4-FFF2-40B4-BE49-F238E27FC236}">
                  <a16:creationId xmlns:a16="http://schemas.microsoft.com/office/drawing/2014/main" id="{00000000-0008-0000-0600-00005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12</xdr:col>
          <xdr:colOff>476250</xdr:colOff>
          <xdr:row>79</xdr:row>
          <xdr:rowOff>114300</xdr:rowOff>
        </xdr:to>
        <xdr:sp macro="" textlink="">
          <xdr:nvSpPr>
            <xdr:cNvPr id="6226" name="Check Box 82" hidden="1">
              <a:extLst>
                <a:ext uri="{63B3BB69-23CF-44E3-9099-C40C66FF867C}">
                  <a14:compatExt spid="_x0000_s6226"/>
                </a:ext>
                <a:ext uri="{FF2B5EF4-FFF2-40B4-BE49-F238E27FC236}">
                  <a16:creationId xmlns:a16="http://schemas.microsoft.com/office/drawing/2014/main" id="{00000000-0008-0000-0600-00005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12</xdr:col>
          <xdr:colOff>476250</xdr:colOff>
          <xdr:row>79</xdr:row>
          <xdr:rowOff>342900</xdr:rowOff>
        </xdr:to>
        <xdr:sp macro="" textlink="">
          <xdr:nvSpPr>
            <xdr:cNvPr id="6227" name="Check Box 83" hidden="1">
              <a:extLst>
                <a:ext uri="{63B3BB69-23CF-44E3-9099-C40C66FF867C}">
                  <a14:compatExt spid="_x0000_s6227"/>
                </a:ext>
                <a:ext uri="{FF2B5EF4-FFF2-40B4-BE49-F238E27FC236}">
                  <a16:creationId xmlns:a16="http://schemas.microsoft.com/office/drawing/2014/main" id="{00000000-0008-0000-0600-00005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12</xdr:col>
          <xdr:colOff>476250</xdr:colOff>
          <xdr:row>78</xdr:row>
          <xdr:rowOff>245745</xdr:rowOff>
        </xdr:to>
        <xdr:sp macro="" textlink="">
          <xdr:nvSpPr>
            <xdr:cNvPr id="6228" name="Check Box 84" hidden="1">
              <a:extLst>
                <a:ext uri="{63B3BB69-23CF-44E3-9099-C40C66FF867C}">
                  <a14:compatExt spid="_x0000_s6228"/>
                </a:ext>
                <a:ext uri="{FF2B5EF4-FFF2-40B4-BE49-F238E27FC236}">
                  <a16:creationId xmlns:a16="http://schemas.microsoft.com/office/drawing/2014/main" id="{00000000-0008-0000-0600-00005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12</xdr:col>
          <xdr:colOff>476250</xdr:colOff>
          <xdr:row>81</xdr:row>
          <xdr:rowOff>114300</xdr:rowOff>
        </xdr:to>
        <xdr:sp macro="" textlink="">
          <xdr:nvSpPr>
            <xdr:cNvPr id="6229" name="Check Box 85" hidden="1">
              <a:extLst>
                <a:ext uri="{63B3BB69-23CF-44E3-9099-C40C66FF867C}">
                  <a14:compatExt spid="_x0000_s6229"/>
                </a:ext>
                <a:ext uri="{FF2B5EF4-FFF2-40B4-BE49-F238E27FC236}">
                  <a16:creationId xmlns:a16="http://schemas.microsoft.com/office/drawing/2014/main" id="{00000000-0008-0000-0600-00005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12</xdr:col>
          <xdr:colOff>476250</xdr:colOff>
          <xdr:row>81</xdr:row>
          <xdr:rowOff>342900</xdr:rowOff>
        </xdr:to>
        <xdr:sp macro="" textlink="">
          <xdr:nvSpPr>
            <xdr:cNvPr id="6230" name="Check Box 86" hidden="1">
              <a:extLst>
                <a:ext uri="{63B3BB69-23CF-44E3-9099-C40C66FF867C}">
                  <a14:compatExt spid="_x0000_s6230"/>
                </a:ext>
                <a:ext uri="{FF2B5EF4-FFF2-40B4-BE49-F238E27FC236}">
                  <a16:creationId xmlns:a16="http://schemas.microsoft.com/office/drawing/2014/main" id="{00000000-0008-0000-0600-00005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12</xdr:col>
          <xdr:colOff>476250</xdr:colOff>
          <xdr:row>80</xdr:row>
          <xdr:rowOff>266700</xdr:rowOff>
        </xdr:to>
        <xdr:sp macro="" textlink="">
          <xdr:nvSpPr>
            <xdr:cNvPr id="6231" name="Check Box 87" hidden="1">
              <a:extLst>
                <a:ext uri="{63B3BB69-23CF-44E3-9099-C40C66FF867C}">
                  <a14:compatExt spid="_x0000_s6231"/>
                </a:ext>
                <a:ext uri="{FF2B5EF4-FFF2-40B4-BE49-F238E27FC236}">
                  <a16:creationId xmlns:a16="http://schemas.microsoft.com/office/drawing/2014/main" id="{00000000-0008-0000-0600-00005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12</xdr:col>
          <xdr:colOff>476250</xdr:colOff>
          <xdr:row>83</xdr:row>
          <xdr:rowOff>114300</xdr:rowOff>
        </xdr:to>
        <xdr:sp macro="" textlink="">
          <xdr:nvSpPr>
            <xdr:cNvPr id="6232" name="Check Box 88" hidden="1">
              <a:extLst>
                <a:ext uri="{63B3BB69-23CF-44E3-9099-C40C66FF867C}">
                  <a14:compatExt spid="_x0000_s6232"/>
                </a:ext>
                <a:ext uri="{FF2B5EF4-FFF2-40B4-BE49-F238E27FC236}">
                  <a16:creationId xmlns:a16="http://schemas.microsoft.com/office/drawing/2014/main" id="{00000000-0008-0000-0600-00005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12</xdr:col>
          <xdr:colOff>476250</xdr:colOff>
          <xdr:row>83</xdr:row>
          <xdr:rowOff>342900</xdr:rowOff>
        </xdr:to>
        <xdr:sp macro="" textlink="">
          <xdr:nvSpPr>
            <xdr:cNvPr id="6233" name="Check Box 89" hidden="1">
              <a:extLst>
                <a:ext uri="{63B3BB69-23CF-44E3-9099-C40C66FF867C}">
                  <a14:compatExt spid="_x0000_s6233"/>
                </a:ext>
                <a:ext uri="{FF2B5EF4-FFF2-40B4-BE49-F238E27FC236}">
                  <a16:creationId xmlns:a16="http://schemas.microsoft.com/office/drawing/2014/main" id="{00000000-0008-0000-0600-00005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12</xdr:col>
          <xdr:colOff>476250</xdr:colOff>
          <xdr:row>82</xdr:row>
          <xdr:rowOff>266700</xdr:rowOff>
        </xdr:to>
        <xdr:sp macro="" textlink="">
          <xdr:nvSpPr>
            <xdr:cNvPr id="6234" name="Check Box 90" hidden="1">
              <a:extLst>
                <a:ext uri="{63B3BB69-23CF-44E3-9099-C40C66FF867C}">
                  <a14:compatExt spid="_x0000_s6234"/>
                </a:ext>
                <a:ext uri="{FF2B5EF4-FFF2-40B4-BE49-F238E27FC236}">
                  <a16:creationId xmlns:a16="http://schemas.microsoft.com/office/drawing/2014/main" id="{00000000-0008-0000-0600-00005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12</xdr:col>
          <xdr:colOff>476250</xdr:colOff>
          <xdr:row>85</xdr:row>
          <xdr:rowOff>114300</xdr:rowOff>
        </xdr:to>
        <xdr:sp macro="" textlink="">
          <xdr:nvSpPr>
            <xdr:cNvPr id="6235" name="Check Box 91" hidden="1">
              <a:extLst>
                <a:ext uri="{63B3BB69-23CF-44E3-9099-C40C66FF867C}">
                  <a14:compatExt spid="_x0000_s6235"/>
                </a:ext>
                <a:ext uri="{FF2B5EF4-FFF2-40B4-BE49-F238E27FC236}">
                  <a16:creationId xmlns:a16="http://schemas.microsoft.com/office/drawing/2014/main" id="{00000000-0008-0000-0600-00005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12</xdr:col>
          <xdr:colOff>476250</xdr:colOff>
          <xdr:row>85</xdr:row>
          <xdr:rowOff>342900</xdr:rowOff>
        </xdr:to>
        <xdr:sp macro="" textlink="">
          <xdr:nvSpPr>
            <xdr:cNvPr id="6236" name="Check Box 92" hidden="1">
              <a:extLst>
                <a:ext uri="{63B3BB69-23CF-44E3-9099-C40C66FF867C}">
                  <a14:compatExt spid="_x0000_s6236"/>
                </a:ext>
                <a:ext uri="{FF2B5EF4-FFF2-40B4-BE49-F238E27FC236}">
                  <a16:creationId xmlns:a16="http://schemas.microsoft.com/office/drawing/2014/main" id="{00000000-0008-0000-0600-00005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12</xdr:col>
          <xdr:colOff>476250</xdr:colOff>
          <xdr:row>84</xdr:row>
          <xdr:rowOff>266700</xdr:rowOff>
        </xdr:to>
        <xdr:sp macro="" textlink="">
          <xdr:nvSpPr>
            <xdr:cNvPr id="6237" name="Check Box 93" hidden="1">
              <a:extLst>
                <a:ext uri="{63B3BB69-23CF-44E3-9099-C40C66FF867C}">
                  <a14:compatExt spid="_x0000_s6237"/>
                </a:ext>
                <a:ext uri="{FF2B5EF4-FFF2-40B4-BE49-F238E27FC236}">
                  <a16:creationId xmlns:a16="http://schemas.microsoft.com/office/drawing/2014/main" id="{00000000-0008-0000-0600-00005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12</xdr:col>
          <xdr:colOff>476250</xdr:colOff>
          <xdr:row>87</xdr:row>
          <xdr:rowOff>114300</xdr:rowOff>
        </xdr:to>
        <xdr:sp macro="" textlink="">
          <xdr:nvSpPr>
            <xdr:cNvPr id="6238" name="Check Box 94" hidden="1">
              <a:extLst>
                <a:ext uri="{63B3BB69-23CF-44E3-9099-C40C66FF867C}">
                  <a14:compatExt spid="_x0000_s6238"/>
                </a:ext>
                <a:ext uri="{FF2B5EF4-FFF2-40B4-BE49-F238E27FC236}">
                  <a16:creationId xmlns:a16="http://schemas.microsoft.com/office/drawing/2014/main" id="{00000000-0008-0000-0600-00005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12</xdr:col>
          <xdr:colOff>476250</xdr:colOff>
          <xdr:row>87</xdr:row>
          <xdr:rowOff>342900</xdr:rowOff>
        </xdr:to>
        <xdr:sp macro="" textlink="">
          <xdr:nvSpPr>
            <xdr:cNvPr id="6239" name="Check Box 95" hidden="1">
              <a:extLst>
                <a:ext uri="{63B3BB69-23CF-44E3-9099-C40C66FF867C}">
                  <a14:compatExt spid="_x0000_s6239"/>
                </a:ext>
                <a:ext uri="{FF2B5EF4-FFF2-40B4-BE49-F238E27FC236}">
                  <a16:creationId xmlns:a16="http://schemas.microsoft.com/office/drawing/2014/main" id="{00000000-0008-0000-0600-00005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12</xdr:col>
          <xdr:colOff>476250</xdr:colOff>
          <xdr:row>86</xdr:row>
          <xdr:rowOff>266700</xdr:rowOff>
        </xdr:to>
        <xdr:sp macro="" textlink="">
          <xdr:nvSpPr>
            <xdr:cNvPr id="6240" name="Check Box 96" hidden="1">
              <a:extLst>
                <a:ext uri="{63B3BB69-23CF-44E3-9099-C40C66FF867C}">
                  <a14:compatExt spid="_x0000_s6240"/>
                </a:ext>
                <a:ext uri="{FF2B5EF4-FFF2-40B4-BE49-F238E27FC236}">
                  <a16:creationId xmlns:a16="http://schemas.microsoft.com/office/drawing/2014/main" id="{00000000-0008-0000-0600-00006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12</xdr:col>
          <xdr:colOff>476250</xdr:colOff>
          <xdr:row>89</xdr:row>
          <xdr:rowOff>114300</xdr:rowOff>
        </xdr:to>
        <xdr:sp macro="" textlink="">
          <xdr:nvSpPr>
            <xdr:cNvPr id="6241" name="Check Box 97" hidden="1">
              <a:extLst>
                <a:ext uri="{63B3BB69-23CF-44E3-9099-C40C66FF867C}">
                  <a14:compatExt spid="_x0000_s6241"/>
                </a:ext>
                <a:ext uri="{FF2B5EF4-FFF2-40B4-BE49-F238E27FC236}">
                  <a16:creationId xmlns:a16="http://schemas.microsoft.com/office/drawing/2014/main" id="{00000000-0008-0000-0600-00006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12</xdr:col>
          <xdr:colOff>476250</xdr:colOff>
          <xdr:row>89</xdr:row>
          <xdr:rowOff>342900</xdr:rowOff>
        </xdr:to>
        <xdr:sp macro="" textlink="">
          <xdr:nvSpPr>
            <xdr:cNvPr id="6242" name="Check Box 98" hidden="1">
              <a:extLst>
                <a:ext uri="{63B3BB69-23CF-44E3-9099-C40C66FF867C}">
                  <a14:compatExt spid="_x0000_s6242"/>
                </a:ext>
                <a:ext uri="{FF2B5EF4-FFF2-40B4-BE49-F238E27FC236}">
                  <a16:creationId xmlns:a16="http://schemas.microsoft.com/office/drawing/2014/main" id="{00000000-0008-0000-0600-00006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12</xdr:col>
          <xdr:colOff>476250</xdr:colOff>
          <xdr:row>88</xdr:row>
          <xdr:rowOff>266700</xdr:rowOff>
        </xdr:to>
        <xdr:sp macro="" textlink="">
          <xdr:nvSpPr>
            <xdr:cNvPr id="6243" name="Check Box 99" hidden="1">
              <a:extLst>
                <a:ext uri="{63B3BB69-23CF-44E3-9099-C40C66FF867C}">
                  <a14:compatExt spid="_x0000_s6243"/>
                </a:ext>
                <a:ext uri="{FF2B5EF4-FFF2-40B4-BE49-F238E27FC236}">
                  <a16:creationId xmlns:a16="http://schemas.microsoft.com/office/drawing/2014/main" id="{00000000-0008-0000-0600-00006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12</xdr:col>
          <xdr:colOff>476250</xdr:colOff>
          <xdr:row>91</xdr:row>
          <xdr:rowOff>114300</xdr:rowOff>
        </xdr:to>
        <xdr:sp macro="" textlink="">
          <xdr:nvSpPr>
            <xdr:cNvPr id="6244" name="Check Box 100" hidden="1">
              <a:extLst>
                <a:ext uri="{63B3BB69-23CF-44E3-9099-C40C66FF867C}">
                  <a14:compatExt spid="_x0000_s6244"/>
                </a:ext>
                <a:ext uri="{FF2B5EF4-FFF2-40B4-BE49-F238E27FC236}">
                  <a16:creationId xmlns:a16="http://schemas.microsoft.com/office/drawing/2014/main" id="{00000000-0008-0000-0600-00006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12</xdr:col>
          <xdr:colOff>476250</xdr:colOff>
          <xdr:row>91</xdr:row>
          <xdr:rowOff>342900</xdr:rowOff>
        </xdr:to>
        <xdr:sp macro="" textlink="">
          <xdr:nvSpPr>
            <xdr:cNvPr id="6245" name="Check Box 101" hidden="1">
              <a:extLst>
                <a:ext uri="{63B3BB69-23CF-44E3-9099-C40C66FF867C}">
                  <a14:compatExt spid="_x0000_s6245"/>
                </a:ext>
                <a:ext uri="{FF2B5EF4-FFF2-40B4-BE49-F238E27FC236}">
                  <a16:creationId xmlns:a16="http://schemas.microsoft.com/office/drawing/2014/main" id="{00000000-0008-0000-0600-00006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12</xdr:col>
          <xdr:colOff>476250</xdr:colOff>
          <xdr:row>90</xdr:row>
          <xdr:rowOff>266700</xdr:rowOff>
        </xdr:to>
        <xdr:sp macro="" textlink="">
          <xdr:nvSpPr>
            <xdr:cNvPr id="6246" name="Check Box 102" hidden="1">
              <a:extLst>
                <a:ext uri="{63B3BB69-23CF-44E3-9099-C40C66FF867C}">
                  <a14:compatExt spid="_x0000_s6246"/>
                </a:ext>
                <a:ext uri="{FF2B5EF4-FFF2-40B4-BE49-F238E27FC236}">
                  <a16:creationId xmlns:a16="http://schemas.microsoft.com/office/drawing/2014/main" id="{00000000-0008-0000-0600-00006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12</xdr:col>
          <xdr:colOff>476250</xdr:colOff>
          <xdr:row>93</xdr:row>
          <xdr:rowOff>114300</xdr:rowOff>
        </xdr:to>
        <xdr:sp macro="" textlink="">
          <xdr:nvSpPr>
            <xdr:cNvPr id="6247" name="Check Box 103" hidden="1">
              <a:extLst>
                <a:ext uri="{63B3BB69-23CF-44E3-9099-C40C66FF867C}">
                  <a14:compatExt spid="_x0000_s6247"/>
                </a:ext>
                <a:ext uri="{FF2B5EF4-FFF2-40B4-BE49-F238E27FC236}">
                  <a16:creationId xmlns:a16="http://schemas.microsoft.com/office/drawing/2014/main" id="{00000000-0008-0000-0600-00006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12</xdr:col>
          <xdr:colOff>476250</xdr:colOff>
          <xdr:row>93</xdr:row>
          <xdr:rowOff>342900</xdr:rowOff>
        </xdr:to>
        <xdr:sp macro="" textlink="">
          <xdr:nvSpPr>
            <xdr:cNvPr id="6248" name="Check Box 104" hidden="1">
              <a:extLst>
                <a:ext uri="{63B3BB69-23CF-44E3-9099-C40C66FF867C}">
                  <a14:compatExt spid="_x0000_s6248"/>
                </a:ext>
                <a:ext uri="{FF2B5EF4-FFF2-40B4-BE49-F238E27FC236}">
                  <a16:creationId xmlns:a16="http://schemas.microsoft.com/office/drawing/2014/main" id="{00000000-0008-0000-0600-00006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12</xdr:col>
          <xdr:colOff>476250</xdr:colOff>
          <xdr:row>92</xdr:row>
          <xdr:rowOff>266700</xdr:rowOff>
        </xdr:to>
        <xdr:sp macro="" textlink="">
          <xdr:nvSpPr>
            <xdr:cNvPr id="6249" name="Check Box 105" hidden="1">
              <a:extLst>
                <a:ext uri="{63B3BB69-23CF-44E3-9099-C40C66FF867C}">
                  <a14:compatExt spid="_x0000_s6249"/>
                </a:ext>
                <a:ext uri="{FF2B5EF4-FFF2-40B4-BE49-F238E27FC236}">
                  <a16:creationId xmlns:a16="http://schemas.microsoft.com/office/drawing/2014/main" id="{00000000-0008-0000-0600-00006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12</xdr:col>
          <xdr:colOff>476250</xdr:colOff>
          <xdr:row>95</xdr:row>
          <xdr:rowOff>114300</xdr:rowOff>
        </xdr:to>
        <xdr:sp macro="" textlink="">
          <xdr:nvSpPr>
            <xdr:cNvPr id="6250" name="Check Box 106" hidden="1">
              <a:extLst>
                <a:ext uri="{63B3BB69-23CF-44E3-9099-C40C66FF867C}">
                  <a14:compatExt spid="_x0000_s6250"/>
                </a:ext>
                <a:ext uri="{FF2B5EF4-FFF2-40B4-BE49-F238E27FC236}">
                  <a16:creationId xmlns:a16="http://schemas.microsoft.com/office/drawing/2014/main" id="{00000000-0008-0000-0600-00006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12</xdr:col>
          <xdr:colOff>476250</xdr:colOff>
          <xdr:row>95</xdr:row>
          <xdr:rowOff>342900</xdr:rowOff>
        </xdr:to>
        <xdr:sp macro="" textlink="">
          <xdr:nvSpPr>
            <xdr:cNvPr id="6251" name="Check Box 107" hidden="1">
              <a:extLst>
                <a:ext uri="{63B3BB69-23CF-44E3-9099-C40C66FF867C}">
                  <a14:compatExt spid="_x0000_s6251"/>
                </a:ext>
                <a:ext uri="{FF2B5EF4-FFF2-40B4-BE49-F238E27FC236}">
                  <a16:creationId xmlns:a16="http://schemas.microsoft.com/office/drawing/2014/main" id="{00000000-0008-0000-0600-00006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12</xdr:col>
          <xdr:colOff>476250</xdr:colOff>
          <xdr:row>94</xdr:row>
          <xdr:rowOff>266700</xdr:rowOff>
        </xdr:to>
        <xdr:sp macro="" textlink="">
          <xdr:nvSpPr>
            <xdr:cNvPr id="6252" name="Check Box 108" hidden="1">
              <a:extLst>
                <a:ext uri="{63B3BB69-23CF-44E3-9099-C40C66FF867C}">
                  <a14:compatExt spid="_x0000_s6252"/>
                </a:ext>
                <a:ext uri="{FF2B5EF4-FFF2-40B4-BE49-F238E27FC236}">
                  <a16:creationId xmlns:a16="http://schemas.microsoft.com/office/drawing/2014/main" id="{00000000-0008-0000-0600-00006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12</xdr:col>
          <xdr:colOff>476250</xdr:colOff>
          <xdr:row>97</xdr:row>
          <xdr:rowOff>114300</xdr:rowOff>
        </xdr:to>
        <xdr:sp macro="" textlink="">
          <xdr:nvSpPr>
            <xdr:cNvPr id="6253" name="Check Box 109" hidden="1">
              <a:extLst>
                <a:ext uri="{63B3BB69-23CF-44E3-9099-C40C66FF867C}">
                  <a14:compatExt spid="_x0000_s6253"/>
                </a:ext>
                <a:ext uri="{FF2B5EF4-FFF2-40B4-BE49-F238E27FC236}">
                  <a16:creationId xmlns:a16="http://schemas.microsoft.com/office/drawing/2014/main" id="{00000000-0008-0000-0600-00006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12</xdr:col>
          <xdr:colOff>476250</xdr:colOff>
          <xdr:row>97</xdr:row>
          <xdr:rowOff>342900</xdr:rowOff>
        </xdr:to>
        <xdr:sp macro="" textlink="">
          <xdr:nvSpPr>
            <xdr:cNvPr id="6254" name="Check Box 110" hidden="1">
              <a:extLst>
                <a:ext uri="{63B3BB69-23CF-44E3-9099-C40C66FF867C}">
                  <a14:compatExt spid="_x0000_s6254"/>
                </a:ext>
                <a:ext uri="{FF2B5EF4-FFF2-40B4-BE49-F238E27FC236}">
                  <a16:creationId xmlns:a16="http://schemas.microsoft.com/office/drawing/2014/main" id="{00000000-0008-0000-0600-00006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12</xdr:col>
          <xdr:colOff>476250</xdr:colOff>
          <xdr:row>96</xdr:row>
          <xdr:rowOff>266700</xdr:rowOff>
        </xdr:to>
        <xdr:sp macro="" textlink="">
          <xdr:nvSpPr>
            <xdr:cNvPr id="6255" name="Check Box 111" hidden="1">
              <a:extLst>
                <a:ext uri="{63B3BB69-23CF-44E3-9099-C40C66FF867C}">
                  <a14:compatExt spid="_x0000_s6255"/>
                </a:ext>
                <a:ext uri="{FF2B5EF4-FFF2-40B4-BE49-F238E27FC236}">
                  <a16:creationId xmlns:a16="http://schemas.microsoft.com/office/drawing/2014/main" id="{00000000-0008-0000-0600-00006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12</xdr:col>
          <xdr:colOff>476250</xdr:colOff>
          <xdr:row>99</xdr:row>
          <xdr:rowOff>114300</xdr:rowOff>
        </xdr:to>
        <xdr:sp macro="" textlink="">
          <xdr:nvSpPr>
            <xdr:cNvPr id="6256" name="Check Box 112" hidden="1">
              <a:extLst>
                <a:ext uri="{63B3BB69-23CF-44E3-9099-C40C66FF867C}">
                  <a14:compatExt spid="_x0000_s6256"/>
                </a:ext>
                <a:ext uri="{FF2B5EF4-FFF2-40B4-BE49-F238E27FC236}">
                  <a16:creationId xmlns:a16="http://schemas.microsoft.com/office/drawing/2014/main" id="{00000000-0008-0000-0600-00007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12</xdr:col>
          <xdr:colOff>476250</xdr:colOff>
          <xdr:row>99</xdr:row>
          <xdr:rowOff>342900</xdr:rowOff>
        </xdr:to>
        <xdr:sp macro="" textlink="">
          <xdr:nvSpPr>
            <xdr:cNvPr id="6257" name="Check Box 113" hidden="1">
              <a:extLst>
                <a:ext uri="{63B3BB69-23CF-44E3-9099-C40C66FF867C}">
                  <a14:compatExt spid="_x0000_s6257"/>
                </a:ext>
                <a:ext uri="{FF2B5EF4-FFF2-40B4-BE49-F238E27FC236}">
                  <a16:creationId xmlns:a16="http://schemas.microsoft.com/office/drawing/2014/main" id="{00000000-0008-0000-0600-00007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12</xdr:col>
          <xdr:colOff>476250</xdr:colOff>
          <xdr:row>98</xdr:row>
          <xdr:rowOff>266700</xdr:rowOff>
        </xdr:to>
        <xdr:sp macro="" textlink="">
          <xdr:nvSpPr>
            <xdr:cNvPr id="6258" name="Check Box 114" hidden="1">
              <a:extLst>
                <a:ext uri="{63B3BB69-23CF-44E3-9099-C40C66FF867C}">
                  <a14:compatExt spid="_x0000_s6258"/>
                </a:ext>
                <a:ext uri="{FF2B5EF4-FFF2-40B4-BE49-F238E27FC236}">
                  <a16:creationId xmlns:a16="http://schemas.microsoft.com/office/drawing/2014/main" id="{00000000-0008-0000-0600-00007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12</xdr:col>
          <xdr:colOff>476250</xdr:colOff>
          <xdr:row>101</xdr:row>
          <xdr:rowOff>114300</xdr:rowOff>
        </xdr:to>
        <xdr:sp macro="" textlink="">
          <xdr:nvSpPr>
            <xdr:cNvPr id="6259" name="Check Box 115" hidden="1">
              <a:extLst>
                <a:ext uri="{63B3BB69-23CF-44E3-9099-C40C66FF867C}">
                  <a14:compatExt spid="_x0000_s6259"/>
                </a:ext>
                <a:ext uri="{FF2B5EF4-FFF2-40B4-BE49-F238E27FC236}">
                  <a16:creationId xmlns:a16="http://schemas.microsoft.com/office/drawing/2014/main" id="{00000000-0008-0000-0600-00007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12</xdr:col>
          <xdr:colOff>476250</xdr:colOff>
          <xdr:row>101</xdr:row>
          <xdr:rowOff>342900</xdr:rowOff>
        </xdr:to>
        <xdr:sp macro="" textlink="">
          <xdr:nvSpPr>
            <xdr:cNvPr id="6260" name="Check Box 116" hidden="1">
              <a:extLst>
                <a:ext uri="{63B3BB69-23CF-44E3-9099-C40C66FF867C}">
                  <a14:compatExt spid="_x0000_s6260"/>
                </a:ext>
                <a:ext uri="{FF2B5EF4-FFF2-40B4-BE49-F238E27FC236}">
                  <a16:creationId xmlns:a16="http://schemas.microsoft.com/office/drawing/2014/main" id="{00000000-0008-0000-0600-00007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12</xdr:col>
          <xdr:colOff>476250</xdr:colOff>
          <xdr:row>100</xdr:row>
          <xdr:rowOff>266700</xdr:rowOff>
        </xdr:to>
        <xdr:sp macro="" textlink="">
          <xdr:nvSpPr>
            <xdr:cNvPr id="6261" name="Check Box 117" hidden="1">
              <a:extLst>
                <a:ext uri="{63B3BB69-23CF-44E3-9099-C40C66FF867C}">
                  <a14:compatExt spid="_x0000_s6261"/>
                </a:ext>
                <a:ext uri="{FF2B5EF4-FFF2-40B4-BE49-F238E27FC236}">
                  <a16:creationId xmlns:a16="http://schemas.microsoft.com/office/drawing/2014/main" id="{00000000-0008-0000-0600-00007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191621</xdr:colOff>
      <xdr:row>133</xdr:row>
      <xdr:rowOff>79003</xdr:rowOff>
    </xdr:from>
    <xdr:to>
      <xdr:col>6</xdr:col>
      <xdr:colOff>192325</xdr:colOff>
      <xdr:row>153</xdr:row>
      <xdr:rowOff>6387</xdr:rowOff>
    </xdr:to>
    <xdr:graphicFrame macro="">
      <xdr:nvGraphicFramePr>
        <xdr:cNvPr id="8" name="Gráfico 1">
          <a:extLst>
            <a:ext uri="{FF2B5EF4-FFF2-40B4-BE49-F238E27FC236}">
              <a16:creationId xmlns:a16="http://schemas.microsoft.com/office/drawing/2014/main" id="{00000000-0008-0000-0600-000008000000}"/>
            </a:ext>
            <a:ext uri="{147F2762-F138-4A5C-976F-8EAC2B608ADB}">
              <a16:predDERef xmlns:a16="http://schemas.microsoft.com/office/drawing/2014/main" pred="{00000000-0008-0000-0600-000075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18506</xdr:colOff>
      <xdr:row>13</xdr:row>
      <xdr:rowOff>76745</xdr:rowOff>
    </xdr:from>
    <xdr:to>
      <xdr:col>7</xdr:col>
      <xdr:colOff>7892</xdr:colOff>
      <xdr:row>25</xdr:row>
      <xdr:rowOff>134168</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37012</xdr:colOff>
      <xdr:row>14</xdr:row>
      <xdr:rowOff>125169</xdr:rowOff>
    </xdr:from>
    <xdr:to>
      <xdr:col>13</xdr:col>
      <xdr:colOff>27214</xdr:colOff>
      <xdr:row>27</xdr:row>
      <xdr:rowOff>105048</xdr:rowOff>
    </xdr:to>
    <xdr:graphicFrame macro="">
      <xdr:nvGraphicFramePr>
        <xdr:cNvPr id="6" name="Gráfico 2">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30</xdr:row>
          <xdr:rowOff>266700</xdr:rowOff>
        </xdr:from>
        <xdr:to>
          <xdr:col>11</xdr:col>
          <xdr:colOff>1744980</xdr:colOff>
          <xdr:row>31</xdr:row>
          <xdr:rowOff>144780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E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144780</xdr:rowOff>
        </xdr:from>
        <xdr:to>
          <xdr:col>12</xdr:col>
          <xdr:colOff>91440</xdr:colOff>
          <xdr:row>32</xdr:row>
          <xdr:rowOff>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E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30480</xdr:rowOff>
        </xdr:from>
        <xdr:to>
          <xdr:col>11</xdr:col>
          <xdr:colOff>1744980</xdr:colOff>
          <xdr:row>30</xdr:row>
          <xdr:rowOff>297180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E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266700</xdr:rowOff>
        </xdr:from>
        <xdr:to>
          <xdr:col>11</xdr:col>
          <xdr:colOff>1744980</xdr:colOff>
          <xdr:row>33</xdr:row>
          <xdr:rowOff>144780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E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33</xdr:row>
          <xdr:rowOff>144780</xdr:rowOff>
        </xdr:from>
        <xdr:to>
          <xdr:col>12</xdr:col>
          <xdr:colOff>91440</xdr:colOff>
          <xdr:row>34</xdr:row>
          <xdr:rowOff>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E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30480</xdr:rowOff>
        </xdr:from>
        <xdr:to>
          <xdr:col>11</xdr:col>
          <xdr:colOff>1744980</xdr:colOff>
          <xdr:row>32</xdr:row>
          <xdr:rowOff>297180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E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266700</xdr:rowOff>
        </xdr:from>
        <xdr:to>
          <xdr:col>11</xdr:col>
          <xdr:colOff>1744980</xdr:colOff>
          <xdr:row>35</xdr:row>
          <xdr:rowOff>144780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E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35</xdr:row>
          <xdr:rowOff>144780</xdr:rowOff>
        </xdr:from>
        <xdr:to>
          <xdr:col>12</xdr:col>
          <xdr:colOff>91440</xdr:colOff>
          <xdr:row>36</xdr:row>
          <xdr:rowOff>68580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E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30480</xdr:rowOff>
        </xdr:from>
        <xdr:to>
          <xdr:col>11</xdr:col>
          <xdr:colOff>1744980</xdr:colOff>
          <xdr:row>34</xdr:row>
          <xdr:rowOff>297180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E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36</xdr:row>
          <xdr:rowOff>266700</xdr:rowOff>
        </xdr:from>
        <xdr:to>
          <xdr:col>11</xdr:col>
          <xdr:colOff>1744980</xdr:colOff>
          <xdr:row>37</xdr:row>
          <xdr:rowOff>144780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E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37</xdr:row>
          <xdr:rowOff>144780</xdr:rowOff>
        </xdr:from>
        <xdr:to>
          <xdr:col>11</xdr:col>
          <xdr:colOff>1744980</xdr:colOff>
          <xdr:row>38</xdr:row>
          <xdr:rowOff>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E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36</xdr:row>
          <xdr:rowOff>30480</xdr:rowOff>
        </xdr:from>
        <xdr:to>
          <xdr:col>11</xdr:col>
          <xdr:colOff>1744980</xdr:colOff>
          <xdr:row>36</xdr:row>
          <xdr:rowOff>297180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E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266700</xdr:rowOff>
        </xdr:from>
        <xdr:to>
          <xdr:col>11</xdr:col>
          <xdr:colOff>1744980</xdr:colOff>
          <xdr:row>39</xdr:row>
          <xdr:rowOff>144780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E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39</xdr:row>
          <xdr:rowOff>144780</xdr:rowOff>
        </xdr:from>
        <xdr:to>
          <xdr:col>12</xdr:col>
          <xdr:colOff>411480</xdr:colOff>
          <xdr:row>40</xdr:row>
          <xdr:rowOff>68580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E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30480</xdr:rowOff>
        </xdr:from>
        <xdr:to>
          <xdr:col>11</xdr:col>
          <xdr:colOff>1744980</xdr:colOff>
          <xdr:row>38</xdr:row>
          <xdr:rowOff>297180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E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40</xdr:row>
          <xdr:rowOff>266700</xdr:rowOff>
        </xdr:from>
        <xdr:to>
          <xdr:col>11</xdr:col>
          <xdr:colOff>1744980</xdr:colOff>
          <xdr:row>41</xdr:row>
          <xdr:rowOff>144780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E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41</xdr:row>
          <xdr:rowOff>144780</xdr:rowOff>
        </xdr:from>
        <xdr:to>
          <xdr:col>11</xdr:col>
          <xdr:colOff>1744980</xdr:colOff>
          <xdr:row>42</xdr:row>
          <xdr:rowOff>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E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40</xdr:row>
          <xdr:rowOff>30480</xdr:rowOff>
        </xdr:from>
        <xdr:to>
          <xdr:col>11</xdr:col>
          <xdr:colOff>1744980</xdr:colOff>
          <xdr:row>40</xdr:row>
          <xdr:rowOff>297180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E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42</xdr:row>
          <xdr:rowOff>266700</xdr:rowOff>
        </xdr:from>
        <xdr:to>
          <xdr:col>11</xdr:col>
          <xdr:colOff>1744980</xdr:colOff>
          <xdr:row>43</xdr:row>
          <xdr:rowOff>144780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E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43</xdr:row>
          <xdr:rowOff>144780</xdr:rowOff>
        </xdr:from>
        <xdr:to>
          <xdr:col>11</xdr:col>
          <xdr:colOff>1744980</xdr:colOff>
          <xdr:row>44</xdr:row>
          <xdr:rowOff>68580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E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42</xdr:row>
          <xdr:rowOff>30480</xdr:rowOff>
        </xdr:from>
        <xdr:to>
          <xdr:col>11</xdr:col>
          <xdr:colOff>1744980</xdr:colOff>
          <xdr:row>42</xdr:row>
          <xdr:rowOff>297180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E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266700</xdr:rowOff>
        </xdr:from>
        <xdr:to>
          <xdr:col>12</xdr:col>
          <xdr:colOff>0</xdr:colOff>
          <xdr:row>45</xdr:row>
          <xdr:rowOff>144780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E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45</xdr:row>
          <xdr:rowOff>144780</xdr:rowOff>
        </xdr:from>
        <xdr:to>
          <xdr:col>11</xdr:col>
          <xdr:colOff>1744980</xdr:colOff>
          <xdr:row>46</xdr:row>
          <xdr:rowOff>0</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E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30480</xdr:rowOff>
        </xdr:from>
        <xdr:to>
          <xdr:col>12</xdr:col>
          <xdr:colOff>0</xdr:colOff>
          <xdr:row>44</xdr:row>
          <xdr:rowOff>297180</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E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46</xdr:row>
          <xdr:rowOff>266700</xdr:rowOff>
        </xdr:from>
        <xdr:to>
          <xdr:col>11</xdr:col>
          <xdr:colOff>1744980</xdr:colOff>
          <xdr:row>47</xdr:row>
          <xdr:rowOff>144780</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E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47</xdr:row>
          <xdr:rowOff>144780</xdr:rowOff>
        </xdr:from>
        <xdr:to>
          <xdr:col>11</xdr:col>
          <xdr:colOff>1744980</xdr:colOff>
          <xdr:row>48</xdr:row>
          <xdr:rowOff>68580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E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46</xdr:row>
          <xdr:rowOff>30480</xdr:rowOff>
        </xdr:from>
        <xdr:to>
          <xdr:col>11</xdr:col>
          <xdr:colOff>1744980</xdr:colOff>
          <xdr:row>46</xdr:row>
          <xdr:rowOff>297180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E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266700</xdr:rowOff>
        </xdr:from>
        <xdr:to>
          <xdr:col>11</xdr:col>
          <xdr:colOff>1744980</xdr:colOff>
          <xdr:row>49</xdr:row>
          <xdr:rowOff>144780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E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49</xdr:row>
          <xdr:rowOff>144780</xdr:rowOff>
        </xdr:from>
        <xdr:to>
          <xdr:col>11</xdr:col>
          <xdr:colOff>1744980</xdr:colOff>
          <xdr:row>50</xdr:row>
          <xdr:rowOff>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E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30480</xdr:rowOff>
        </xdr:from>
        <xdr:to>
          <xdr:col>11</xdr:col>
          <xdr:colOff>1744980</xdr:colOff>
          <xdr:row>48</xdr:row>
          <xdr:rowOff>297180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E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266700</xdr:rowOff>
        </xdr:from>
        <xdr:to>
          <xdr:col>11</xdr:col>
          <xdr:colOff>1744980</xdr:colOff>
          <xdr:row>51</xdr:row>
          <xdr:rowOff>144780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E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51</xdr:row>
          <xdr:rowOff>144780</xdr:rowOff>
        </xdr:from>
        <xdr:to>
          <xdr:col>11</xdr:col>
          <xdr:colOff>1744980</xdr:colOff>
          <xdr:row>52</xdr:row>
          <xdr:rowOff>68580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E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30480</xdr:rowOff>
        </xdr:from>
        <xdr:to>
          <xdr:col>11</xdr:col>
          <xdr:colOff>1744980</xdr:colOff>
          <xdr:row>50</xdr:row>
          <xdr:rowOff>297180</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E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52</xdr:row>
          <xdr:rowOff>266700</xdr:rowOff>
        </xdr:from>
        <xdr:to>
          <xdr:col>11</xdr:col>
          <xdr:colOff>1744980</xdr:colOff>
          <xdr:row>53</xdr:row>
          <xdr:rowOff>144780</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E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53</xdr:row>
          <xdr:rowOff>144780</xdr:rowOff>
        </xdr:from>
        <xdr:to>
          <xdr:col>11</xdr:col>
          <xdr:colOff>1744980</xdr:colOff>
          <xdr:row>54</xdr:row>
          <xdr:rowOff>0</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E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52</xdr:row>
          <xdr:rowOff>30480</xdr:rowOff>
        </xdr:from>
        <xdr:to>
          <xdr:col>11</xdr:col>
          <xdr:colOff>1744980</xdr:colOff>
          <xdr:row>52</xdr:row>
          <xdr:rowOff>297180</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E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11</xdr:col>
          <xdr:colOff>1744980</xdr:colOff>
          <xdr:row>55</xdr:row>
          <xdr:rowOff>144780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E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11</xdr:col>
          <xdr:colOff>1744980</xdr:colOff>
          <xdr:row>56</xdr:row>
          <xdr:rowOff>68580</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E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1744980</xdr:colOff>
          <xdr:row>54</xdr:row>
          <xdr:rowOff>297180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E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1744980</xdr:colOff>
          <xdr:row>57</xdr:row>
          <xdr:rowOff>144780</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E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1744980</xdr:colOff>
          <xdr:row>58</xdr:row>
          <xdr:rowOff>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E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1744980</xdr:colOff>
          <xdr:row>56</xdr:row>
          <xdr:rowOff>297180</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E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1744980</xdr:colOff>
          <xdr:row>59</xdr:row>
          <xdr:rowOff>144780</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E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1744980</xdr:colOff>
          <xdr:row>60</xdr:row>
          <xdr:rowOff>15240</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E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1744980</xdr:colOff>
          <xdr:row>58</xdr:row>
          <xdr:rowOff>259080</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E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1744980</xdr:colOff>
          <xdr:row>61</xdr:row>
          <xdr:rowOff>144780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E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1744980</xdr:colOff>
          <xdr:row>62</xdr:row>
          <xdr:rowOff>0</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E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1744980</xdr:colOff>
          <xdr:row>60</xdr:row>
          <xdr:rowOff>259080</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E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1744980</xdr:colOff>
          <xdr:row>63</xdr:row>
          <xdr:rowOff>144780</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E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1744980</xdr:colOff>
          <xdr:row>64</xdr:row>
          <xdr:rowOff>15240</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E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1744980</xdr:colOff>
          <xdr:row>62</xdr:row>
          <xdr:rowOff>259080</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E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1744980</xdr:colOff>
          <xdr:row>65</xdr:row>
          <xdr:rowOff>144780</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E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1744980</xdr:colOff>
          <xdr:row>66</xdr:row>
          <xdr:rowOff>0</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E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1744980</xdr:colOff>
          <xdr:row>64</xdr:row>
          <xdr:rowOff>259080</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E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1744980</xdr:colOff>
          <xdr:row>67</xdr:row>
          <xdr:rowOff>144780</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E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1744980</xdr:colOff>
          <xdr:row>68</xdr:row>
          <xdr:rowOff>15240</xdr:rowOff>
        </xdr:to>
        <xdr:sp macro="" textlink="">
          <xdr:nvSpPr>
            <xdr:cNvPr id="11332" name="Check Box 68" hidden="1">
              <a:extLst>
                <a:ext uri="{63B3BB69-23CF-44E3-9099-C40C66FF867C}">
                  <a14:compatExt spid="_x0000_s11332"/>
                </a:ext>
                <a:ext uri="{FF2B5EF4-FFF2-40B4-BE49-F238E27FC236}">
                  <a16:creationId xmlns:a16="http://schemas.microsoft.com/office/drawing/2014/main" id="{00000000-0008-0000-0E00-00004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1744980</xdr:colOff>
          <xdr:row>66</xdr:row>
          <xdr:rowOff>259080</xdr:rowOff>
        </xdr:to>
        <xdr:sp macro="" textlink="">
          <xdr:nvSpPr>
            <xdr:cNvPr id="11333" name="Check Box 69" hidden="1">
              <a:extLst>
                <a:ext uri="{63B3BB69-23CF-44E3-9099-C40C66FF867C}">
                  <a14:compatExt spid="_x0000_s11333"/>
                </a:ext>
                <a:ext uri="{FF2B5EF4-FFF2-40B4-BE49-F238E27FC236}">
                  <a16:creationId xmlns:a16="http://schemas.microsoft.com/office/drawing/2014/main" id="{00000000-0008-0000-0E00-00004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1744980</xdr:colOff>
          <xdr:row>69</xdr:row>
          <xdr:rowOff>144780</xdr:rowOff>
        </xdr:to>
        <xdr:sp macro="" textlink="">
          <xdr:nvSpPr>
            <xdr:cNvPr id="11334" name="Check Box 70" hidden="1">
              <a:extLst>
                <a:ext uri="{63B3BB69-23CF-44E3-9099-C40C66FF867C}">
                  <a14:compatExt spid="_x0000_s11334"/>
                </a:ext>
                <a:ext uri="{FF2B5EF4-FFF2-40B4-BE49-F238E27FC236}">
                  <a16:creationId xmlns:a16="http://schemas.microsoft.com/office/drawing/2014/main" id="{00000000-0008-0000-0E00-00004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11</xdr:col>
          <xdr:colOff>1744980</xdr:colOff>
          <xdr:row>70</xdr:row>
          <xdr:rowOff>0</xdr:rowOff>
        </xdr:to>
        <xdr:sp macro="" textlink="">
          <xdr:nvSpPr>
            <xdr:cNvPr id="11335" name="Check Box 71" hidden="1">
              <a:extLst>
                <a:ext uri="{63B3BB69-23CF-44E3-9099-C40C66FF867C}">
                  <a14:compatExt spid="_x0000_s11335"/>
                </a:ext>
                <a:ext uri="{FF2B5EF4-FFF2-40B4-BE49-F238E27FC236}">
                  <a16:creationId xmlns:a16="http://schemas.microsoft.com/office/drawing/2014/main" id="{00000000-0008-0000-0E00-00004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11</xdr:col>
          <xdr:colOff>1744980</xdr:colOff>
          <xdr:row>68</xdr:row>
          <xdr:rowOff>259080</xdr:rowOff>
        </xdr:to>
        <xdr:sp macro="" textlink="">
          <xdr:nvSpPr>
            <xdr:cNvPr id="11336" name="Check Box 72" hidden="1">
              <a:extLst>
                <a:ext uri="{63B3BB69-23CF-44E3-9099-C40C66FF867C}">
                  <a14:compatExt spid="_x0000_s11336"/>
                </a:ext>
                <a:ext uri="{FF2B5EF4-FFF2-40B4-BE49-F238E27FC236}">
                  <a16:creationId xmlns:a16="http://schemas.microsoft.com/office/drawing/2014/main" id="{00000000-0008-0000-0E00-00004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1744980</xdr:colOff>
          <xdr:row>71</xdr:row>
          <xdr:rowOff>144780</xdr:rowOff>
        </xdr:to>
        <xdr:sp macro="" textlink="">
          <xdr:nvSpPr>
            <xdr:cNvPr id="11337" name="Check Box 73" hidden="1">
              <a:extLst>
                <a:ext uri="{63B3BB69-23CF-44E3-9099-C40C66FF867C}">
                  <a14:compatExt spid="_x0000_s11337"/>
                </a:ext>
                <a:ext uri="{FF2B5EF4-FFF2-40B4-BE49-F238E27FC236}">
                  <a16:creationId xmlns:a16="http://schemas.microsoft.com/office/drawing/2014/main" id="{00000000-0008-0000-0E00-00004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1744980</xdr:colOff>
          <xdr:row>72</xdr:row>
          <xdr:rowOff>15240</xdr:rowOff>
        </xdr:to>
        <xdr:sp macro="" textlink="">
          <xdr:nvSpPr>
            <xdr:cNvPr id="11338" name="Check Box 74" hidden="1">
              <a:extLst>
                <a:ext uri="{63B3BB69-23CF-44E3-9099-C40C66FF867C}">
                  <a14:compatExt spid="_x0000_s11338"/>
                </a:ext>
                <a:ext uri="{FF2B5EF4-FFF2-40B4-BE49-F238E27FC236}">
                  <a16:creationId xmlns:a16="http://schemas.microsoft.com/office/drawing/2014/main" id="{00000000-0008-0000-0E00-00004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1744980</xdr:colOff>
          <xdr:row>70</xdr:row>
          <xdr:rowOff>297180</xdr:rowOff>
        </xdr:to>
        <xdr:sp macro="" textlink="">
          <xdr:nvSpPr>
            <xdr:cNvPr id="11339" name="Check Box 75" hidden="1">
              <a:extLst>
                <a:ext uri="{63B3BB69-23CF-44E3-9099-C40C66FF867C}">
                  <a14:compatExt spid="_x0000_s11339"/>
                </a:ext>
                <a:ext uri="{FF2B5EF4-FFF2-40B4-BE49-F238E27FC236}">
                  <a16:creationId xmlns:a16="http://schemas.microsoft.com/office/drawing/2014/main" id="{00000000-0008-0000-0E00-00004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1744980</xdr:colOff>
          <xdr:row>73</xdr:row>
          <xdr:rowOff>144780</xdr:rowOff>
        </xdr:to>
        <xdr:sp macro="" textlink="">
          <xdr:nvSpPr>
            <xdr:cNvPr id="11340" name="Check Box 76" hidden="1">
              <a:extLst>
                <a:ext uri="{63B3BB69-23CF-44E3-9099-C40C66FF867C}">
                  <a14:compatExt spid="_x0000_s11340"/>
                </a:ext>
                <a:ext uri="{FF2B5EF4-FFF2-40B4-BE49-F238E27FC236}">
                  <a16:creationId xmlns:a16="http://schemas.microsoft.com/office/drawing/2014/main" id="{00000000-0008-0000-0E00-00004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1744980</xdr:colOff>
          <xdr:row>74</xdr:row>
          <xdr:rowOff>0</xdr:rowOff>
        </xdr:to>
        <xdr:sp macro="" textlink="">
          <xdr:nvSpPr>
            <xdr:cNvPr id="11341" name="Check Box 77" hidden="1">
              <a:extLst>
                <a:ext uri="{63B3BB69-23CF-44E3-9099-C40C66FF867C}">
                  <a14:compatExt spid="_x0000_s11341"/>
                </a:ext>
                <a:ext uri="{FF2B5EF4-FFF2-40B4-BE49-F238E27FC236}">
                  <a16:creationId xmlns:a16="http://schemas.microsoft.com/office/drawing/2014/main" id="{00000000-0008-0000-0E00-00004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1744980</xdr:colOff>
          <xdr:row>72</xdr:row>
          <xdr:rowOff>259080</xdr:rowOff>
        </xdr:to>
        <xdr:sp macro="" textlink="">
          <xdr:nvSpPr>
            <xdr:cNvPr id="11342" name="Check Box 78" hidden="1">
              <a:extLst>
                <a:ext uri="{63B3BB69-23CF-44E3-9099-C40C66FF867C}">
                  <a14:compatExt spid="_x0000_s11342"/>
                </a:ext>
                <a:ext uri="{FF2B5EF4-FFF2-40B4-BE49-F238E27FC236}">
                  <a16:creationId xmlns:a16="http://schemas.microsoft.com/office/drawing/2014/main" id="{00000000-0008-0000-0E00-00004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11</xdr:col>
          <xdr:colOff>1744980</xdr:colOff>
          <xdr:row>75</xdr:row>
          <xdr:rowOff>144780</xdr:rowOff>
        </xdr:to>
        <xdr:sp macro="" textlink="">
          <xdr:nvSpPr>
            <xdr:cNvPr id="11343" name="Check Box 79" hidden="1">
              <a:extLst>
                <a:ext uri="{63B3BB69-23CF-44E3-9099-C40C66FF867C}">
                  <a14:compatExt spid="_x0000_s11343"/>
                </a:ext>
                <a:ext uri="{FF2B5EF4-FFF2-40B4-BE49-F238E27FC236}">
                  <a16:creationId xmlns:a16="http://schemas.microsoft.com/office/drawing/2014/main" id="{00000000-0008-0000-0E00-00004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11</xdr:col>
          <xdr:colOff>1744980</xdr:colOff>
          <xdr:row>76</xdr:row>
          <xdr:rowOff>15240</xdr:rowOff>
        </xdr:to>
        <xdr:sp macro="" textlink="">
          <xdr:nvSpPr>
            <xdr:cNvPr id="11344" name="Check Box 80" hidden="1">
              <a:extLst>
                <a:ext uri="{63B3BB69-23CF-44E3-9099-C40C66FF867C}">
                  <a14:compatExt spid="_x0000_s11344"/>
                </a:ext>
                <a:ext uri="{FF2B5EF4-FFF2-40B4-BE49-F238E27FC236}">
                  <a16:creationId xmlns:a16="http://schemas.microsoft.com/office/drawing/2014/main" id="{00000000-0008-0000-0E00-00005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1744980</xdr:colOff>
          <xdr:row>74</xdr:row>
          <xdr:rowOff>259080</xdr:rowOff>
        </xdr:to>
        <xdr:sp macro="" textlink="">
          <xdr:nvSpPr>
            <xdr:cNvPr id="11345" name="Check Box 81" hidden="1">
              <a:extLst>
                <a:ext uri="{63B3BB69-23CF-44E3-9099-C40C66FF867C}">
                  <a14:compatExt spid="_x0000_s11345"/>
                </a:ext>
                <a:ext uri="{FF2B5EF4-FFF2-40B4-BE49-F238E27FC236}">
                  <a16:creationId xmlns:a16="http://schemas.microsoft.com/office/drawing/2014/main" id="{00000000-0008-0000-0E00-00005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1744980</xdr:colOff>
          <xdr:row>77</xdr:row>
          <xdr:rowOff>144780</xdr:rowOff>
        </xdr:to>
        <xdr:sp macro="" textlink="">
          <xdr:nvSpPr>
            <xdr:cNvPr id="11346" name="Check Box 82" hidden="1">
              <a:extLst>
                <a:ext uri="{63B3BB69-23CF-44E3-9099-C40C66FF867C}">
                  <a14:compatExt spid="_x0000_s11346"/>
                </a:ext>
                <a:ext uri="{FF2B5EF4-FFF2-40B4-BE49-F238E27FC236}">
                  <a16:creationId xmlns:a16="http://schemas.microsoft.com/office/drawing/2014/main" id="{00000000-0008-0000-0E00-00005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11</xdr:col>
          <xdr:colOff>1744980</xdr:colOff>
          <xdr:row>78</xdr:row>
          <xdr:rowOff>0</xdr:rowOff>
        </xdr:to>
        <xdr:sp macro="" textlink="">
          <xdr:nvSpPr>
            <xdr:cNvPr id="11347" name="Check Box 83" hidden="1">
              <a:extLst>
                <a:ext uri="{63B3BB69-23CF-44E3-9099-C40C66FF867C}">
                  <a14:compatExt spid="_x0000_s11347"/>
                </a:ext>
                <a:ext uri="{FF2B5EF4-FFF2-40B4-BE49-F238E27FC236}">
                  <a16:creationId xmlns:a16="http://schemas.microsoft.com/office/drawing/2014/main" id="{00000000-0008-0000-0E00-00005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1744980</xdr:colOff>
          <xdr:row>76</xdr:row>
          <xdr:rowOff>259080</xdr:rowOff>
        </xdr:to>
        <xdr:sp macro="" textlink="">
          <xdr:nvSpPr>
            <xdr:cNvPr id="11348" name="Check Box 84" hidden="1">
              <a:extLst>
                <a:ext uri="{63B3BB69-23CF-44E3-9099-C40C66FF867C}">
                  <a14:compatExt spid="_x0000_s11348"/>
                </a:ext>
                <a:ext uri="{FF2B5EF4-FFF2-40B4-BE49-F238E27FC236}">
                  <a16:creationId xmlns:a16="http://schemas.microsoft.com/office/drawing/2014/main" id="{00000000-0008-0000-0E00-00005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1744980</xdr:colOff>
          <xdr:row>79</xdr:row>
          <xdr:rowOff>144780</xdr:rowOff>
        </xdr:to>
        <xdr:sp macro="" textlink="">
          <xdr:nvSpPr>
            <xdr:cNvPr id="11349" name="Check Box 85" hidden="1">
              <a:extLst>
                <a:ext uri="{63B3BB69-23CF-44E3-9099-C40C66FF867C}">
                  <a14:compatExt spid="_x0000_s11349"/>
                </a:ext>
                <a:ext uri="{FF2B5EF4-FFF2-40B4-BE49-F238E27FC236}">
                  <a16:creationId xmlns:a16="http://schemas.microsoft.com/office/drawing/2014/main" id="{00000000-0008-0000-0E00-00005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1744980</xdr:colOff>
          <xdr:row>80</xdr:row>
          <xdr:rowOff>15240</xdr:rowOff>
        </xdr:to>
        <xdr:sp macro="" textlink="">
          <xdr:nvSpPr>
            <xdr:cNvPr id="11350" name="Check Box 86" hidden="1">
              <a:extLst>
                <a:ext uri="{63B3BB69-23CF-44E3-9099-C40C66FF867C}">
                  <a14:compatExt spid="_x0000_s11350"/>
                </a:ext>
                <a:ext uri="{FF2B5EF4-FFF2-40B4-BE49-F238E27FC236}">
                  <a16:creationId xmlns:a16="http://schemas.microsoft.com/office/drawing/2014/main" id="{00000000-0008-0000-0E00-00005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1744980</xdr:colOff>
          <xdr:row>78</xdr:row>
          <xdr:rowOff>297180</xdr:rowOff>
        </xdr:to>
        <xdr:sp macro="" textlink="">
          <xdr:nvSpPr>
            <xdr:cNvPr id="11351" name="Check Box 87" hidden="1">
              <a:extLst>
                <a:ext uri="{63B3BB69-23CF-44E3-9099-C40C66FF867C}">
                  <a14:compatExt spid="_x0000_s11351"/>
                </a:ext>
                <a:ext uri="{FF2B5EF4-FFF2-40B4-BE49-F238E27FC236}">
                  <a16:creationId xmlns:a16="http://schemas.microsoft.com/office/drawing/2014/main" id="{00000000-0008-0000-0E00-00005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1744980</xdr:colOff>
          <xdr:row>81</xdr:row>
          <xdr:rowOff>144780</xdr:rowOff>
        </xdr:to>
        <xdr:sp macro="" textlink="">
          <xdr:nvSpPr>
            <xdr:cNvPr id="11352" name="Check Box 88" hidden="1">
              <a:extLst>
                <a:ext uri="{63B3BB69-23CF-44E3-9099-C40C66FF867C}">
                  <a14:compatExt spid="_x0000_s11352"/>
                </a:ext>
                <a:ext uri="{FF2B5EF4-FFF2-40B4-BE49-F238E27FC236}">
                  <a16:creationId xmlns:a16="http://schemas.microsoft.com/office/drawing/2014/main" id="{00000000-0008-0000-0E00-00005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1744980</xdr:colOff>
          <xdr:row>82</xdr:row>
          <xdr:rowOff>0</xdr:rowOff>
        </xdr:to>
        <xdr:sp macro="" textlink="">
          <xdr:nvSpPr>
            <xdr:cNvPr id="11353" name="Check Box 89" hidden="1">
              <a:extLst>
                <a:ext uri="{63B3BB69-23CF-44E3-9099-C40C66FF867C}">
                  <a14:compatExt spid="_x0000_s11353"/>
                </a:ext>
                <a:ext uri="{FF2B5EF4-FFF2-40B4-BE49-F238E27FC236}">
                  <a16:creationId xmlns:a16="http://schemas.microsoft.com/office/drawing/2014/main" id="{00000000-0008-0000-0E00-00005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1744980</xdr:colOff>
          <xdr:row>80</xdr:row>
          <xdr:rowOff>259080</xdr:rowOff>
        </xdr:to>
        <xdr:sp macro="" textlink="">
          <xdr:nvSpPr>
            <xdr:cNvPr id="11354" name="Check Box 90" hidden="1">
              <a:extLst>
                <a:ext uri="{63B3BB69-23CF-44E3-9099-C40C66FF867C}">
                  <a14:compatExt spid="_x0000_s11354"/>
                </a:ext>
                <a:ext uri="{FF2B5EF4-FFF2-40B4-BE49-F238E27FC236}">
                  <a16:creationId xmlns:a16="http://schemas.microsoft.com/office/drawing/2014/main" id="{00000000-0008-0000-0E00-00005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1744980</xdr:colOff>
          <xdr:row>83</xdr:row>
          <xdr:rowOff>144780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E00-00005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11</xdr:col>
          <xdr:colOff>1744980</xdr:colOff>
          <xdr:row>84</xdr:row>
          <xdr:rowOff>15240</xdr:rowOff>
        </xdr:to>
        <xdr:sp macro="" textlink="">
          <xdr:nvSpPr>
            <xdr:cNvPr id="11356" name="Check Box 92" hidden="1">
              <a:extLst>
                <a:ext uri="{63B3BB69-23CF-44E3-9099-C40C66FF867C}">
                  <a14:compatExt spid="_x0000_s11356"/>
                </a:ext>
                <a:ext uri="{FF2B5EF4-FFF2-40B4-BE49-F238E27FC236}">
                  <a16:creationId xmlns:a16="http://schemas.microsoft.com/office/drawing/2014/main" id="{00000000-0008-0000-0E00-00005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1744980</xdr:colOff>
          <xdr:row>82</xdr:row>
          <xdr:rowOff>297180</xdr:rowOff>
        </xdr:to>
        <xdr:sp macro="" textlink="">
          <xdr:nvSpPr>
            <xdr:cNvPr id="11357" name="Check Box 93" hidden="1">
              <a:extLst>
                <a:ext uri="{63B3BB69-23CF-44E3-9099-C40C66FF867C}">
                  <a14:compatExt spid="_x0000_s11357"/>
                </a:ext>
                <a:ext uri="{FF2B5EF4-FFF2-40B4-BE49-F238E27FC236}">
                  <a16:creationId xmlns:a16="http://schemas.microsoft.com/office/drawing/2014/main" id="{00000000-0008-0000-0E00-00005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11</xdr:col>
          <xdr:colOff>1744980</xdr:colOff>
          <xdr:row>85</xdr:row>
          <xdr:rowOff>144780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E00-00005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1744980</xdr:colOff>
          <xdr:row>86</xdr:row>
          <xdr:rowOff>0</xdr:rowOff>
        </xdr:to>
        <xdr:sp macro="" textlink="">
          <xdr:nvSpPr>
            <xdr:cNvPr id="11359" name="Check Box 95" hidden="1">
              <a:extLst>
                <a:ext uri="{63B3BB69-23CF-44E3-9099-C40C66FF867C}">
                  <a14:compatExt spid="_x0000_s11359"/>
                </a:ext>
                <a:ext uri="{FF2B5EF4-FFF2-40B4-BE49-F238E27FC236}">
                  <a16:creationId xmlns:a16="http://schemas.microsoft.com/office/drawing/2014/main" id="{00000000-0008-0000-0E00-00005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11</xdr:col>
          <xdr:colOff>1744980</xdr:colOff>
          <xdr:row>84</xdr:row>
          <xdr:rowOff>297180</xdr:rowOff>
        </xdr:to>
        <xdr:sp macro="" textlink="">
          <xdr:nvSpPr>
            <xdr:cNvPr id="11360" name="Check Box 96" hidden="1">
              <a:extLst>
                <a:ext uri="{63B3BB69-23CF-44E3-9099-C40C66FF867C}">
                  <a14:compatExt spid="_x0000_s11360"/>
                </a:ext>
                <a:ext uri="{FF2B5EF4-FFF2-40B4-BE49-F238E27FC236}">
                  <a16:creationId xmlns:a16="http://schemas.microsoft.com/office/drawing/2014/main" id="{00000000-0008-0000-0E00-00006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1744980</xdr:colOff>
          <xdr:row>87</xdr:row>
          <xdr:rowOff>144780</xdr:rowOff>
        </xdr:to>
        <xdr:sp macro="" textlink="">
          <xdr:nvSpPr>
            <xdr:cNvPr id="11361" name="Check Box 97" hidden="1">
              <a:extLst>
                <a:ext uri="{63B3BB69-23CF-44E3-9099-C40C66FF867C}">
                  <a14:compatExt spid="_x0000_s11361"/>
                </a:ext>
                <a:ext uri="{FF2B5EF4-FFF2-40B4-BE49-F238E27FC236}">
                  <a16:creationId xmlns:a16="http://schemas.microsoft.com/office/drawing/2014/main" id="{00000000-0008-0000-0E00-00006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1744980</xdr:colOff>
          <xdr:row>88</xdr:row>
          <xdr:rowOff>15240</xdr:rowOff>
        </xdr:to>
        <xdr:sp macro="" textlink="">
          <xdr:nvSpPr>
            <xdr:cNvPr id="11362" name="Check Box 98" hidden="1">
              <a:extLst>
                <a:ext uri="{63B3BB69-23CF-44E3-9099-C40C66FF867C}">
                  <a14:compatExt spid="_x0000_s11362"/>
                </a:ext>
                <a:ext uri="{FF2B5EF4-FFF2-40B4-BE49-F238E27FC236}">
                  <a16:creationId xmlns:a16="http://schemas.microsoft.com/office/drawing/2014/main" id="{00000000-0008-0000-0E00-00006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1744980</xdr:colOff>
          <xdr:row>86</xdr:row>
          <xdr:rowOff>259080</xdr:rowOff>
        </xdr:to>
        <xdr:sp macro="" textlink="">
          <xdr:nvSpPr>
            <xdr:cNvPr id="11363" name="Check Box 99" hidden="1">
              <a:extLst>
                <a:ext uri="{63B3BB69-23CF-44E3-9099-C40C66FF867C}">
                  <a14:compatExt spid="_x0000_s11363"/>
                </a:ext>
                <a:ext uri="{FF2B5EF4-FFF2-40B4-BE49-F238E27FC236}">
                  <a16:creationId xmlns:a16="http://schemas.microsoft.com/office/drawing/2014/main" id="{00000000-0008-0000-0E00-00006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1744980</xdr:colOff>
          <xdr:row>89</xdr:row>
          <xdr:rowOff>144780</xdr:rowOff>
        </xdr:to>
        <xdr:sp macro="" textlink="">
          <xdr:nvSpPr>
            <xdr:cNvPr id="11364" name="Check Box 100" hidden="1">
              <a:extLst>
                <a:ext uri="{63B3BB69-23CF-44E3-9099-C40C66FF867C}">
                  <a14:compatExt spid="_x0000_s11364"/>
                </a:ext>
                <a:ext uri="{FF2B5EF4-FFF2-40B4-BE49-F238E27FC236}">
                  <a16:creationId xmlns:a16="http://schemas.microsoft.com/office/drawing/2014/main" id="{00000000-0008-0000-0E00-00006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11</xdr:col>
          <xdr:colOff>1744980</xdr:colOff>
          <xdr:row>90</xdr:row>
          <xdr:rowOff>0</xdr:rowOff>
        </xdr:to>
        <xdr:sp macro="" textlink="">
          <xdr:nvSpPr>
            <xdr:cNvPr id="11365" name="Check Box 101" hidden="1">
              <a:extLst>
                <a:ext uri="{63B3BB69-23CF-44E3-9099-C40C66FF867C}">
                  <a14:compatExt spid="_x0000_s11365"/>
                </a:ext>
                <a:ext uri="{FF2B5EF4-FFF2-40B4-BE49-F238E27FC236}">
                  <a16:creationId xmlns:a16="http://schemas.microsoft.com/office/drawing/2014/main" id="{00000000-0008-0000-0E00-00006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1744980</xdr:colOff>
          <xdr:row>88</xdr:row>
          <xdr:rowOff>228600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E00-00006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11</xdr:col>
          <xdr:colOff>1744980</xdr:colOff>
          <xdr:row>91</xdr:row>
          <xdr:rowOff>144780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E00-00006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11</xdr:col>
          <xdr:colOff>1744980</xdr:colOff>
          <xdr:row>92</xdr:row>
          <xdr:rowOff>15240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E00-00006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1744980</xdr:colOff>
          <xdr:row>90</xdr:row>
          <xdr:rowOff>259080</xdr:rowOff>
        </xdr:to>
        <xdr:sp macro="" textlink="">
          <xdr:nvSpPr>
            <xdr:cNvPr id="11369" name="Check Box 105" hidden="1">
              <a:extLst>
                <a:ext uri="{63B3BB69-23CF-44E3-9099-C40C66FF867C}">
                  <a14:compatExt spid="_x0000_s11369"/>
                </a:ext>
                <a:ext uri="{FF2B5EF4-FFF2-40B4-BE49-F238E27FC236}">
                  <a16:creationId xmlns:a16="http://schemas.microsoft.com/office/drawing/2014/main" id="{00000000-0008-0000-0E00-00006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1744980</xdr:colOff>
          <xdr:row>93</xdr:row>
          <xdr:rowOff>144780</xdr:rowOff>
        </xdr:to>
        <xdr:sp macro="" textlink="">
          <xdr:nvSpPr>
            <xdr:cNvPr id="11370" name="Check Box 106" hidden="1">
              <a:extLst>
                <a:ext uri="{63B3BB69-23CF-44E3-9099-C40C66FF867C}">
                  <a14:compatExt spid="_x0000_s11370"/>
                </a:ext>
                <a:ext uri="{FF2B5EF4-FFF2-40B4-BE49-F238E27FC236}">
                  <a16:creationId xmlns:a16="http://schemas.microsoft.com/office/drawing/2014/main" id="{00000000-0008-0000-0E00-00006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1744980</xdr:colOff>
          <xdr:row>94</xdr:row>
          <xdr:rowOff>0</xdr:rowOff>
        </xdr:to>
        <xdr:sp macro="" textlink="">
          <xdr:nvSpPr>
            <xdr:cNvPr id="11371" name="Check Box 107" hidden="1">
              <a:extLst>
                <a:ext uri="{63B3BB69-23CF-44E3-9099-C40C66FF867C}">
                  <a14:compatExt spid="_x0000_s11371"/>
                </a:ext>
                <a:ext uri="{FF2B5EF4-FFF2-40B4-BE49-F238E27FC236}">
                  <a16:creationId xmlns:a16="http://schemas.microsoft.com/office/drawing/2014/main" id="{00000000-0008-0000-0E00-00006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1744980</xdr:colOff>
          <xdr:row>92</xdr:row>
          <xdr:rowOff>297180</xdr:rowOff>
        </xdr:to>
        <xdr:sp macro="" textlink="">
          <xdr:nvSpPr>
            <xdr:cNvPr id="11372" name="Check Box 108" hidden="1">
              <a:extLst>
                <a:ext uri="{63B3BB69-23CF-44E3-9099-C40C66FF867C}">
                  <a14:compatExt spid="_x0000_s11372"/>
                </a:ext>
                <a:ext uri="{FF2B5EF4-FFF2-40B4-BE49-F238E27FC236}">
                  <a16:creationId xmlns:a16="http://schemas.microsoft.com/office/drawing/2014/main" id="{00000000-0008-0000-0E00-00006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1744980</xdr:colOff>
          <xdr:row>95</xdr:row>
          <xdr:rowOff>144780</xdr:rowOff>
        </xdr:to>
        <xdr:sp macro="" textlink="">
          <xdr:nvSpPr>
            <xdr:cNvPr id="11373" name="Check Box 109" hidden="1">
              <a:extLst>
                <a:ext uri="{63B3BB69-23CF-44E3-9099-C40C66FF867C}">
                  <a14:compatExt spid="_x0000_s11373"/>
                </a:ext>
                <a:ext uri="{FF2B5EF4-FFF2-40B4-BE49-F238E27FC236}">
                  <a16:creationId xmlns:a16="http://schemas.microsoft.com/office/drawing/2014/main" id="{00000000-0008-0000-0E00-00006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1744980</xdr:colOff>
          <xdr:row>96</xdr:row>
          <xdr:rowOff>15240</xdr:rowOff>
        </xdr:to>
        <xdr:sp macro="" textlink="">
          <xdr:nvSpPr>
            <xdr:cNvPr id="11374" name="Check Box 110" hidden="1">
              <a:extLst>
                <a:ext uri="{63B3BB69-23CF-44E3-9099-C40C66FF867C}">
                  <a14:compatExt spid="_x0000_s11374"/>
                </a:ext>
                <a:ext uri="{FF2B5EF4-FFF2-40B4-BE49-F238E27FC236}">
                  <a16:creationId xmlns:a16="http://schemas.microsoft.com/office/drawing/2014/main" id="{00000000-0008-0000-0E00-00006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1744980</xdr:colOff>
          <xdr:row>94</xdr:row>
          <xdr:rowOff>297180</xdr:rowOff>
        </xdr:to>
        <xdr:sp macro="" textlink="">
          <xdr:nvSpPr>
            <xdr:cNvPr id="11375" name="Check Box 111" hidden="1">
              <a:extLst>
                <a:ext uri="{63B3BB69-23CF-44E3-9099-C40C66FF867C}">
                  <a14:compatExt spid="_x0000_s11375"/>
                </a:ext>
                <a:ext uri="{FF2B5EF4-FFF2-40B4-BE49-F238E27FC236}">
                  <a16:creationId xmlns:a16="http://schemas.microsoft.com/office/drawing/2014/main" id="{00000000-0008-0000-0E00-00006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1744980</xdr:colOff>
          <xdr:row>97</xdr:row>
          <xdr:rowOff>144780</xdr:rowOff>
        </xdr:to>
        <xdr:sp macro="" textlink="">
          <xdr:nvSpPr>
            <xdr:cNvPr id="11376" name="Check Box 112" hidden="1">
              <a:extLst>
                <a:ext uri="{63B3BB69-23CF-44E3-9099-C40C66FF867C}">
                  <a14:compatExt spid="_x0000_s11376"/>
                </a:ext>
                <a:ext uri="{FF2B5EF4-FFF2-40B4-BE49-F238E27FC236}">
                  <a16:creationId xmlns:a16="http://schemas.microsoft.com/office/drawing/2014/main" id="{00000000-0008-0000-0E00-00007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1744980</xdr:colOff>
          <xdr:row>98</xdr:row>
          <xdr:rowOff>0</xdr:rowOff>
        </xdr:to>
        <xdr:sp macro="" textlink="">
          <xdr:nvSpPr>
            <xdr:cNvPr id="11377" name="Check Box 113" hidden="1">
              <a:extLst>
                <a:ext uri="{63B3BB69-23CF-44E3-9099-C40C66FF867C}">
                  <a14:compatExt spid="_x0000_s11377"/>
                </a:ext>
                <a:ext uri="{FF2B5EF4-FFF2-40B4-BE49-F238E27FC236}">
                  <a16:creationId xmlns:a16="http://schemas.microsoft.com/office/drawing/2014/main" id="{00000000-0008-0000-0E00-00007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1744980</xdr:colOff>
          <xdr:row>96</xdr:row>
          <xdr:rowOff>297180</xdr:rowOff>
        </xdr:to>
        <xdr:sp macro="" textlink="">
          <xdr:nvSpPr>
            <xdr:cNvPr id="11378" name="Check Box 114" hidden="1">
              <a:extLst>
                <a:ext uri="{63B3BB69-23CF-44E3-9099-C40C66FF867C}">
                  <a14:compatExt spid="_x0000_s11378"/>
                </a:ext>
                <a:ext uri="{FF2B5EF4-FFF2-40B4-BE49-F238E27FC236}">
                  <a16:creationId xmlns:a16="http://schemas.microsoft.com/office/drawing/2014/main" id="{00000000-0008-0000-0E00-00007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1744980</xdr:colOff>
          <xdr:row>99</xdr:row>
          <xdr:rowOff>144780</xdr:rowOff>
        </xdr:to>
        <xdr:sp macro="" textlink="">
          <xdr:nvSpPr>
            <xdr:cNvPr id="11379" name="Check Box 115" hidden="1">
              <a:extLst>
                <a:ext uri="{63B3BB69-23CF-44E3-9099-C40C66FF867C}">
                  <a14:compatExt spid="_x0000_s11379"/>
                </a:ext>
                <a:ext uri="{FF2B5EF4-FFF2-40B4-BE49-F238E27FC236}">
                  <a16:creationId xmlns:a16="http://schemas.microsoft.com/office/drawing/2014/main" id="{00000000-0008-0000-0E00-00007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11</xdr:col>
          <xdr:colOff>1744980</xdr:colOff>
          <xdr:row>100</xdr:row>
          <xdr:rowOff>15240</xdr:rowOff>
        </xdr:to>
        <xdr:sp macro="" textlink="">
          <xdr:nvSpPr>
            <xdr:cNvPr id="11380" name="Check Box 116" hidden="1">
              <a:extLst>
                <a:ext uri="{63B3BB69-23CF-44E3-9099-C40C66FF867C}">
                  <a14:compatExt spid="_x0000_s11380"/>
                </a:ext>
                <a:ext uri="{FF2B5EF4-FFF2-40B4-BE49-F238E27FC236}">
                  <a16:creationId xmlns:a16="http://schemas.microsoft.com/office/drawing/2014/main" id="{00000000-0008-0000-0E00-00007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1744980</xdr:colOff>
          <xdr:row>98</xdr:row>
          <xdr:rowOff>259080</xdr:rowOff>
        </xdr:to>
        <xdr:sp macro="" textlink="">
          <xdr:nvSpPr>
            <xdr:cNvPr id="11381" name="Check Box 117" hidden="1">
              <a:extLst>
                <a:ext uri="{63B3BB69-23CF-44E3-9099-C40C66FF867C}">
                  <a14:compatExt spid="_x0000_s11381"/>
                </a:ext>
                <a:ext uri="{FF2B5EF4-FFF2-40B4-BE49-F238E27FC236}">
                  <a16:creationId xmlns:a16="http://schemas.microsoft.com/office/drawing/2014/main" id="{00000000-0008-0000-0E00-00007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1744980</xdr:colOff>
          <xdr:row>101</xdr:row>
          <xdr:rowOff>144780</xdr:rowOff>
        </xdr:to>
        <xdr:sp macro="" textlink="">
          <xdr:nvSpPr>
            <xdr:cNvPr id="11382" name="Check Box 118" hidden="1">
              <a:extLst>
                <a:ext uri="{63B3BB69-23CF-44E3-9099-C40C66FF867C}">
                  <a14:compatExt spid="_x0000_s11382"/>
                </a:ext>
                <a:ext uri="{FF2B5EF4-FFF2-40B4-BE49-F238E27FC236}">
                  <a16:creationId xmlns:a16="http://schemas.microsoft.com/office/drawing/2014/main" id="{00000000-0008-0000-0E00-00007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1744980</xdr:colOff>
          <xdr:row>102</xdr:row>
          <xdr:rowOff>0</xdr:rowOff>
        </xdr:to>
        <xdr:sp macro="" textlink="">
          <xdr:nvSpPr>
            <xdr:cNvPr id="11383" name="Check Box 119" hidden="1">
              <a:extLst>
                <a:ext uri="{63B3BB69-23CF-44E3-9099-C40C66FF867C}">
                  <a14:compatExt spid="_x0000_s11383"/>
                </a:ext>
                <a:ext uri="{FF2B5EF4-FFF2-40B4-BE49-F238E27FC236}">
                  <a16:creationId xmlns:a16="http://schemas.microsoft.com/office/drawing/2014/main" id="{00000000-0008-0000-0E00-00007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1744980</xdr:colOff>
          <xdr:row>100</xdr:row>
          <xdr:rowOff>259080</xdr:rowOff>
        </xdr:to>
        <xdr:sp macro="" textlink="">
          <xdr:nvSpPr>
            <xdr:cNvPr id="11384" name="Check Box 120" hidden="1">
              <a:extLst>
                <a:ext uri="{63B3BB69-23CF-44E3-9099-C40C66FF867C}">
                  <a14:compatExt spid="_x0000_s11384"/>
                </a:ext>
                <a:ext uri="{FF2B5EF4-FFF2-40B4-BE49-F238E27FC236}">
                  <a16:creationId xmlns:a16="http://schemas.microsoft.com/office/drawing/2014/main" id="{00000000-0008-0000-0E00-00007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11</xdr:col>
          <xdr:colOff>1744980</xdr:colOff>
          <xdr:row>103</xdr:row>
          <xdr:rowOff>144780</xdr:rowOff>
        </xdr:to>
        <xdr:sp macro="" textlink="">
          <xdr:nvSpPr>
            <xdr:cNvPr id="11385" name="Check Box 121" hidden="1">
              <a:extLst>
                <a:ext uri="{63B3BB69-23CF-44E3-9099-C40C66FF867C}">
                  <a14:compatExt spid="_x0000_s11385"/>
                </a:ext>
                <a:ext uri="{FF2B5EF4-FFF2-40B4-BE49-F238E27FC236}">
                  <a16:creationId xmlns:a16="http://schemas.microsoft.com/office/drawing/2014/main" id="{00000000-0008-0000-0E00-00007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11</xdr:col>
          <xdr:colOff>1744980</xdr:colOff>
          <xdr:row>104</xdr:row>
          <xdr:rowOff>68580</xdr:rowOff>
        </xdr:to>
        <xdr:sp macro="" textlink="">
          <xdr:nvSpPr>
            <xdr:cNvPr id="11386" name="Check Box 122" hidden="1">
              <a:extLst>
                <a:ext uri="{63B3BB69-23CF-44E3-9099-C40C66FF867C}">
                  <a14:compatExt spid="_x0000_s11386"/>
                </a:ext>
                <a:ext uri="{FF2B5EF4-FFF2-40B4-BE49-F238E27FC236}">
                  <a16:creationId xmlns:a16="http://schemas.microsoft.com/office/drawing/2014/main" id="{00000000-0008-0000-0E00-00007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1744980</xdr:colOff>
          <xdr:row>102</xdr:row>
          <xdr:rowOff>297180</xdr:rowOff>
        </xdr:to>
        <xdr:sp macro="" textlink="">
          <xdr:nvSpPr>
            <xdr:cNvPr id="11387" name="Check Box 123" hidden="1">
              <a:extLst>
                <a:ext uri="{63B3BB69-23CF-44E3-9099-C40C66FF867C}">
                  <a14:compatExt spid="_x0000_s11387"/>
                </a:ext>
                <a:ext uri="{FF2B5EF4-FFF2-40B4-BE49-F238E27FC236}">
                  <a16:creationId xmlns:a16="http://schemas.microsoft.com/office/drawing/2014/main" id="{00000000-0008-0000-0E00-00007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11</xdr:col>
          <xdr:colOff>1744980</xdr:colOff>
          <xdr:row>105</xdr:row>
          <xdr:rowOff>144780</xdr:rowOff>
        </xdr:to>
        <xdr:sp macro="" textlink="">
          <xdr:nvSpPr>
            <xdr:cNvPr id="11388" name="Check Box 124" hidden="1">
              <a:extLst>
                <a:ext uri="{63B3BB69-23CF-44E3-9099-C40C66FF867C}">
                  <a14:compatExt spid="_x0000_s11388"/>
                </a:ext>
                <a:ext uri="{FF2B5EF4-FFF2-40B4-BE49-F238E27FC236}">
                  <a16:creationId xmlns:a16="http://schemas.microsoft.com/office/drawing/2014/main" id="{00000000-0008-0000-0E00-00007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11</xdr:col>
          <xdr:colOff>1744980</xdr:colOff>
          <xdr:row>106</xdr:row>
          <xdr:rowOff>0</xdr:rowOff>
        </xdr:to>
        <xdr:sp macro="" textlink="">
          <xdr:nvSpPr>
            <xdr:cNvPr id="11389" name="Check Box 125" hidden="1">
              <a:extLst>
                <a:ext uri="{63B3BB69-23CF-44E3-9099-C40C66FF867C}">
                  <a14:compatExt spid="_x0000_s11389"/>
                </a:ext>
                <a:ext uri="{FF2B5EF4-FFF2-40B4-BE49-F238E27FC236}">
                  <a16:creationId xmlns:a16="http://schemas.microsoft.com/office/drawing/2014/main" id="{00000000-0008-0000-0E00-00007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1744980</xdr:colOff>
          <xdr:row>104</xdr:row>
          <xdr:rowOff>297180</xdr:rowOff>
        </xdr:to>
        <xdr:sp macro="" textlink="">
          <xdr:nvSpPr>
            <xdr:cNvPr id="11390" name="Check Box 126" hidden="1">
              <a:extLst>
                <a:ext uri="{63B3BB69-23CF-44E3-9099-C40C66FF867C}">
                  <a14:compatExt spid="_x0000_s11390"/>
                </a:ext>
                <a:ext uri="{FF2B5EF4-FFF2-40B4-BE49-F238E27FC236}">
                  <a16:creationId xmlns:a16="http://schemas.microsoft.com/office/drawing/2014/main" id="{00000000-0008-0000-0E00-00007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266700</xdr:rowOff>
        </xdr:from>
        <xdr:to>
          <xdr:col>11</xdr:col>
          <xdr:colOff>1744980</xdr:colOff>
          <xdr:row>107</xdr:row>
          <xdr:rowOff>144780</xdr:rowOff>
        </xdr:to>
        <xdr:sp macro="" textlink="">
          <xdr:nvSpPr>
            <xdr:cNvPr id="11391" name="Check Box 127" hidden="1">
              <a:extLst>
                <a:ext uri="{63B3BB69-23CF-44E3-9099-C40C66FF867C}">
                  <a14:compatExt spid="_x0000_s11391"/>
                </a:ext>
                <a:ext uri="{FF2B5EF4-FFF2-40B4-BE49-F238E27FC236}">
                  <a16:creationId xmlns:a16="http://schemas.microsoft.com/office/drawing/2014/main" id="{00000000-0008-0000-0E00-00007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144780</xdr:rowOff>
        </xdr:from>
        <xdr:to>
          <xdr:col>11</xdr:col>
          <xdr:colOff>1744980</xdr:colOff>
          <xdr:row>108</xdr:row>
          <xdr:rowOff>68580</xdr:rowOff>
        </xdr:to>
        <xdr:sp macro="" textlink="">
          <xdr:nvSpPr>
            <xdr:cNvPr id="11392" name="Check Box 128" hidden="1">
              <a:extLst>
                <a:ext uri="{63B3BB69-23CF-44E3-9099-C40C66FF867C}">
                  <a14:compatExt spid="_x0000_s11392"/>
                </a:ext>
                <a:ext uri="{FF2B5EF4-FFF2-40B4-BE49-F238E27FC236}">
                  <a16:creationId xmlns:a16="http://schemas.microsoft.com/office/drawing/2014/main" id="{00000000-0008-0000-0E00-00008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11</xdr:col>
          <xdr:colOff>1744980</xdr:colOff>
          <xdr:row>106</xdr:row>
          <xdr:rowOff>297180</xdr:rowOff>
        </xdr:to>
        <xdr:sp macro="" textlink="">
          <xdr:nvSpPr>
            <xdr:cNvPr id="11393" name="Check Box 129" hidden="1">
              <a:extLst>
                <a:ext uri="{63B3BB69-23CF-44E3-9099-C40C66FF867C}">
                  <a14:compatExt spid="_x0000_s11393"/>
                </a:ext>
                <a:ext uri="{FF2B5EF4-FFF2-40B4-BE49-F238E27FC236}">
                  <a16:creationId xmlns:a16="http://schemas.microsoft.com/office/drawing/2014/main" id="{00000000-0008-0000-0E00-00008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11</xdr:col>
          <xdr:colOff>1744980</xdr:colOff>
          <xdr:row>109</xdr:row>
          <xdr:rowOff>144780</xdr:rowOff>
        </xdr:to>
        <xdr:sp macro="" textlink="">
          <xdr:nvSpPr>
            <xdr:cNvPr id="11394" name="Check Box 130" hidden="1">
              <a:extLst>
                <a:ext uri="{63B3BB69-23CF-44E3-9099-C40C66FF867C}">
                  <a14:compatExt spid="_x0000_s11394"/>
                </a:ext>
                <a:ext uri="{FF2B5EF4-FFF2-40B4-BE49-F238E27FC236}">
                  <a16:creationId xmlns:a16="http://schemas.microsoft.com/office/drawing/2014/main" id="{00000000-0008-0000-0E00-00008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1744980</xdr:colOff>
          <xdr:row>110</xdr:row>
          <xdr:rowOff>0</xdr:rowOff>
        </xdr:to>
        <xdr:sp macro="" textlink="">
          <xdr:nvSpPr>
            <xdr:cNvPr id="11395" name="Check Box 131" hidden="1">
              <a:extLst>
                <a:ext uri="{63B3BB69-23CF-44E3-9099-C40C66FF867C}">
                  <a14:compatExt spid="_x0000_s11395"/>
                </a:ext>
                <a:ext uri="{FF2B5EF4-FFF2-40B4-BE49-F238E27FC236}">
                  <a16:creationId xmlns:a16="http://schemas.microsoft.com/office/drawing/2014/main" id="{00000000-0008-0000-0E00-00008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1744980</xdr:colOff>
          <xdr:row>108</xdr:row>
          <xdr:rowOff>297180</xdr:rowOff>
        </xdr:to>
        <xdr:sp macro="" textlink="">
          <xdr:nvSpPr>
            <xdr:cNvPr id="11396" name="Check Box 132" hidden="1">
              <a:extLst>
                <a:ext uri="{63B3BB69-23CF-44E3-9099-C40C66FF867C}">
                  <a14:compatExt spid="_x0000_s11396"/>
                </a:ext>
                <a:ext uri="{FF2B5EF4-FFF2-40B4-BE49-F238E27FC236}">
                  <a16:creationId xmlns:a16="http://schemas.microsoft.com/office/drawing/2014/main" id="{00000000-0008-0000-0E00-00008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11</xdr:col>
          <xdr:colOff>1744980</xdr:colOff>
          <xdr:row>111</xdr:row>
          <xdr:rowOff>144780</xdr:rowOff>
        </xdr:to>
        <xdr:sp macro="" textlink="">
          <xdr:nvSpPr>
            <xdr:cNvPr id="11397" name="Check Box 133" hidden="1">
              <a:extLst>
                <a:ext uri="{63B3BB69-23CF-44E3-9099-C40C66FF867C}">
                  <a14:compatExt spid="_x0000_s11397"/>
                </a:ext>
                <a:ext uri="{FF2B5EF4-FFF2-40B4-BE49-F238E27FC236}">
                  <a16:creationId xmlns:a16="http://schemas.microsoft.com/office/drawing/2014/main" id="{00000000-0008-0000-0E00-00008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1744980</xdr:colOff>
          <xdr:row>112</xdr:row>
          <xdr:rowOff>68580</xdr:rowOff>
        </xdr:to>
        <xdr:sp macro="" textlink="">
          <xdr:nvSpPr>
            <xdr:cNvPr id="11398" name="Check Box 134" hidden="1">
              <a:extLst>
                <a:ext uri="{63B3BB69-23CF-44E3-9099-C40C66FF867C}">
                  <a14:compatExt spid="_x0000_s11398"/>
                </a:ext>
                <a:ext uri="{FF2B5EF4-FFF2-40B4-BE49-F238E27FC236}">
                  <a16:creationId xmlns:a16="http://schemas.microsoft.com/office/drawing/2014/main" id="{00000000-0008-0000-0E00-00008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1744980</xdr:colOff>
          <xdr:row>110</xdr:row>
          <xdr:rowOff>297180</xdr:rowOff>
        </xdr:to>
        <xdr:sp macro="" textlink="">
          <xdr:nvSpPr>
            <xdr:cNvPr id="11399" name="Check Box 135" hidden="1">
              <a:extLst>
                <a:ext uri="{63B3BB69-23CF-44E3-9099-C40C66FF867C}">
                  <a14:compatExt spid="_x0000_s11399"/>
                </a:ext>
                <a:ext uri="{FF2B5EF4-FFF2-40B4-BE49-F238E27FC236}">
                  <a16:creationId xmlns:a16="http://schemas.microsoft.com/office/drawing/2014/main" id="{00000000-0008-0000-0E00-00008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266700</xdr:rowOff>
        </xdr:from>
        <xdr:to>
          <xdr:col>11</xdr:col>
          <xdr:colOff>1744980</xdr:colOff>
          <xdr:row>145</xdr:row>
          <xdr:rowOff>144780</xdr:rowOff>
        </xdr:to>
        <xdr:sp macro="" textlink="">
          <xdr:nvSpPr>
            <xdr:cNvPr id="11400" name="Check Box 136" hidden="1">
              <a:extLst>
                <a:ext uri="{63B3BB69-23CF-44E3-9099-C40C66FF867C}">
                  <a14:compatExt spid="_x0000_s11400"/>
                </a:ext>
                <a:ext uri="{FF2B5EF4-FFF2-40B4-BE49-F238E27FC236}">
                  <a16:creationId xmlns:a16="http://schemas.microsoft.com/office/drawing/2014/main" id="{00000000-0008-0000-0E00-00008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145</xdr:row>
          <xdr:rowOff>144780</xdr:rowOff>
        </xdr:from>
        <xdr:to>
          <xdr:col>11</xdr:col>
          <xdr:colOff>1744980</xdr:colOff>
          <xdr:row>146</xdr:row>
          <xdr:rowOff>0</xdr:rowOff>
        </xdr:to>
        <xdr:sp macro="" textlink="">
          <xdr:nvSpPr>
            <xdr:cNvPr id="11401" name="Check Box 137" hidden="1">
              <a:extLst>
                <a:ext uri="{63B3BB69-23CF-44E3-9099-C40C66FF867C}">
                  <a14:compatExt spid="_x0000_s11401"/>
                </a:ext>
                <a:ext uri="{FF2B5EF4-FFF2-40B4-BE49-F238E27FC236}">
                  <a16:creationId xmlns:a16="http://schemas.microsoft.com/office/drawing/2014/main" id="{00000000-0008-0000-0E00-00008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30480</xdr:rowOff>
        </xdr:from>
        <xdr:to>
          <xdr:col>11</xdr:col>
          <xdr:colOff>1744980</xdr:colOff>
          <xdr:row>144</xdr:row>
          <xdr:rowOff>297180</xdr:rowOff>
        </xdr:to>
        <xdr:sp macro="" textlink="">
          <xdr:nvSpPr>
            <xdr:cNvPr id="11402" name="Check Box 138" hidden="1">
              <a:extLst>
                <a:ext uri="{63B3BB69-23CF-44E3-9099-C40C66FF867C}">
                  <a14:compatExt spid="_x0000_s11402"/>
                </a:ext>
                <a:ext uri="{FF2B5EF4-FFF2-40B4-BE49-F238E27FC236}">
                  <a16:creationId xmlns:a16="http://schemas.microsoft.com/office/drawing/2014/main" id="{00000000-0008-0000-0E00-00008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1744980</xdr:colOff>
          <xdr:row>112</xdr:row>
          <xdr:rowOff>68580</xdr:rowOff>
        </xdr:to>
        <xdr:sp macro="" textlink="">
          <xdr:nvSpPr>
            <xdr:cNvPr id="11404" name="Check Box 140" hidden="1">
              <a:extLst>
                <a:ext uri="{63B3BB69-23CF-44E3-9099-C40C66FF867C}">
                  <a14:compatExt spid="_x0000_s11404"/>
                </a:ext>
                <a:ext uri="{FF2B5EF4-FFF2-40B4-BE49-F238E27FC236}">
                  <a16:creationId xmlns:a16="http://schemas.microsoft.com/office/drawing/2014/main" id="{00000000-0008-0000-0E00-00008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11</xdr:col>
          <xdr:colOff>1744980</xdr:colOff>
          <xdr:row>113</xdr:row>
          <xdr:rowOff>144780</xdr:rowOff>
        </xdr:to>
        <xdr:sp macro="" textlink="">
          <xdr:nvSpPr>
            <xdr:cNvPr id="11405" name="Check Box 141" hidden="1">
              <a:extLst>
                <a:ext uri="{63B3BB69-23CF-44E3-9099-C40C66FF867C}">
                  <a14:compatExt spid="_x0000_s11405"/>
                </a:ext>
                <a:ext uri="{FF2B5EF4-FFF2-40B4-BE49-F238E27FC236}">
                  <a16:creationId xmlns:a16="http://schemas.microsoft.com/office/drawing/2014/main" id="{00000000-0008-0000-0E00-00008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11</xdr:col>
          <xdr:colOff>1744980</xdr:colOff>
          <xdr:row>114</xdr:row>
          <xdr:rowOff>0</xdr:rowOff>
        </xdr:to>
        <xdr:sp macro="" textlink="">
          <xdr:nvSpPr>
            <xdr:cNvPr id="11406" name="Check Box 142" hidden="1">
              <a:extLst>
                <a:ext uri="{63B3BB69-23CF-44E3-9099-C40C66FF867C}">
                  <a14:compatExt spid="_x0000_s11406"/>
                </a:ext>
                <a:ext uri="{FF2B5EF4-FFF2-40B4-BE49-F238E27FC236}">
                  <a16:creationId xmlns:a16="http://schemas.microsoft.com/office/drawing/2014/main" id="{00000000-0008-0000-0E00-00008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1744980</xdr:colOff>
          <xdr:row>112</xdr:row>
          <xdr:rowOff>297180</xdr:rowOff>
        </xdr:to>
        <xdr:sp macro="" textlink="">
          <xdr:nvSpPr>
            <xdr:cNvPr id="11407" name="Check Box 143" hidden="1">
              <a:extLst>
                <a:ext uri="{63B3BB69-23CF-44E3-9099-C40C66FF867C}">
                  <a14:compatExt spid="_x0000_s11407"/>
                </a:ext>
                <a:ext uri="{FF2B5EF4-FFF2-40B4-BE49-F238E27FC236}">
                  <a16:creationId xmlns:a16="http://schemas.microsoft.com/office/drawing/2014/main" id="{00000000-0008-0000-0E00-00008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11</xdr:col>
          <xdr:colOff>1744980</xdr:colOff>
          <xdr:row>115</xdr:row>
          <xdr:rowOff>144780</xdr:rowOff>
        </xdr:to>
        <xdr:sp macro="" textlink="">
          <xdr:nvSpPr>
            <xdr:cNvPr id="11408" name="Check Box 144" hidden="1">
              <a:extLst>
                <a:ext uri="{63B3BB69-23CF-44E3-9099-C40C66FF867C}">
                  <a14:compatExt spid="_x0000_s11408"/>
                </a:ext>
                <a:ext uri="{FF2B5EF4-FFF2-40B4-BE49-F238E27FC236}">
                  <a16:creationId xmlns:a16="http://schemas.microsoft.com/office/drawing/2014/main" id="{00000000-0008-0000-0E00-00009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144780</xdr:rowOff>
        </xdr:from>
        <xdr:to>
          <xdr:col>11</xdr:col>
          <xdr:colOff>1744980</xdr:colOff>
          <xdr:row>116</xdr:row>
          <xdr:rowOff>68580</xdr:rowOff>
        </xdr:to>
        <xdr:sp macro="" textlink="">
          <xdr:nvSpPr>
            <xdr:cNvPr id="11409" name="Check Box 145" hidden="1">
              <a:extLst>
                <a:ext uri="{63B3BB69-23CF-44E3-9099-C40C66FF867C}">
                  <a14:compatExt spid="_x0000_s11409"/>
                </a:ext>
                <a:ext uri="{FF2B5EF4-FFF2-40B4-BE49-F238E27FC236}">
                  <a16:creationId xmlns:a16="http://schemas.microsoft.com/office/drawing/2014/main" id="{00000000-0008-0000-0E00-00009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1744980</xdr:colOff>
          <xdr:row>114</xdr:row>
          <xdr:rowOff>297180</xdr:rowOff>
        </xdr:to>
        <xdr:sp macro="" textlink="">
          <xdr:nvSpPr>
            <xdr:cNvPr id="11410" name="Check Box 146" hidden="1">
              <a:extLst>
                <a:ext uri="{63B3BB69-23CF-44E3-9099-C40C66FF867C}">
                  <a14:compatExt spid="_x0000_s11410"/>
                </a:ext>
                <a:ext uri="{FF2B5EF4-FFF2-40B4-BE49-F238E27FC236}">
                  <a16:creationId xmlns:a16="http://schemas.microsoft.com/office/drawing/2014/main" id="{00000000-0008-0000-0E00-00009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11</xdr:col>
          <xdr:colOff>1744980</xdr:colOff>
          <xdr:row>117</xdr:row>
          <xdr:rowOff>144780</xdr:rowOff>
        </xdr:to>
        <xdr:sp macro="" textlink="">
          <xdr:nvSpPr>
            <xdr:cNvPr id="11411" name="Check Box 147" hidden="1">
              <a:extLst>
                <a:ext uri="{63B3BB69-23CF-44E3-9099-C40C66FF867C}">
                  <a14:compatExt spid="_x0000_s11411"/>
                </a:ext>
                <a:ext uri="{FF2B5EF4-FFF2-40B4-BE49-F238E27FC236}">
                  <a16:creationId xmlns:a16="http://schemas.microsoft.com/office/drawing/2014/main" id="{00000000-0008-0000-0E00-00009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11</xdr:col>
          <xdr:colOff>1744980</xdr:colOff>
          <xdr:row>118</xdr:row>
          <xdr:rowOff>0</xdr:rowOff>
        </xdr:to>
        <xdr:sp macro="" textlink="">
          <xdr:nvSpPr>
            <xdr:cNvPr id="11412" name="Check Box 148" hidden="1">
              <a:extLst>
                <a:ext uri="{63B3BB69-23CF-44E3-9099-C40C66FF867C}">
                  <a14:compatExt spid="_x0000_s11412"/>
                </a:ext>
                <a:ext uri="{FF2B5EF4-FFF2-40B4-BE49-F238E27FC236}">
                  <a16:creationId xmlns:a16="http://schemas.microsoft.com/office/drawing/2014/main" id="{00000000-0008-0000-0E00-00009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1744980</xdr:colOff>
          <xdr:row>116</xdr:row>
          <xdr:rowOff>297180</xdr:rowOff>
        </xdr:to>
        <xdr:sp macro="" textlink="">
          <xdr:nvSpPr>
            <xdr:cNvPr id="11413" name="Check Box 149" hidden="1">
              <a:extLst>
                <a:ext uri="{63B3BB69-23CF-44E3-9099-C40C66FF867C}">
                  <a14:compatExt spid="_x0000_s11413"/>
                </a:ext>
                <a:ext uri="{FF2B5EF4-FFF2-40B4-BE49-F238E27FC236}">
                  <a16:creationId xmlns:a16="http://schemas.microsoft.com/office/drawing/2014/main" id="{00000000-0008-0000-0E00-00009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11</xdr:col>
          <xdr:colOff>1744980</xdr:colOff>
          <xdr:row>119</xdr:row>
          <xdr:rowOff>144780</xdr:rowOff>
        </xdr:to>
        <xdr:sp macro="" textlink="">
          <xdr:nvSpPr>
            <xdr:cNvPr id="11414" name="Check Box 150" hidden="1">
              <a:extLst>
                <a:ext uri="{63B3BB69-23CF-44E3-9099-C40C66FF867C}">
                  <a14:compatExt spid="_x0000_s11414"/>
                </a:ext>
                <a:ext uri="{FF2B5EF4-FFF2-40B4-BE49-F238E27FC236}">
                  <a16:creationId xmlns:a16="http://schemas.microsoft.com/office/drawing/2014/main" id="{00000000-0008-0000-0E00-00009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11</xdr:col>
          <xdr:colOff>1744980</xdr:colOff>
          <xdr:row>120</xdr:row>
          <xdr:rowOff>68580</xdr:rowOff>
        </xdr:to>
        <xdr:sp macro="" textlink="">
          <xdr:nvSpPr>
            <xdr:cNvPr id="11415" name="Check Box 151" hidden="1">
              <a:extLst>
                <a:ext uri="{63B3BB69-23CF-44E3-9099-C40C66FF867C}">
                  <a14:compatExt spid="_x0000_s11415"/>
                </a:ext>
                <a:ext uri="{FF2B5EF4-FFF2-40B4-BE49-F238E27FC236}">
                  <a16:creationId xmlns:a16="http://schemas.microsoft.com/office/drawing/2014/main" id="{00000000-0008-0000-0E00-00009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1744980</xdr:colOff>
          <xdr:row>118</xdr:row>
          <xdr:rowOff>297180</xdr:rowOff>
        </xdr:to>
        <xdr:sp macro="" textlink="">
          <xdr:nvSpPr>
            <xdr:cNvPr id="11416" name="Check Box 152" hidden="1">
              <a:extLst>
                <a:ext uri="{63B3BB69-23CF-44E3-9099-C40C66FF867C}">
                  <a14:compatExt spid="_x0000_s11416"/>
                </a:ext>
                <a:ext uri="{FF2B5EF4-FFF2-40B4-BE49-F238E27FC236}">
                  <a16:creationId xmlns:a16="http://schemas.microsoft.com/office/drawing/2014/main" id="{00000000-0008-0000-0E00-00009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266700</xdr:rowOff>
        </xdr:from>
        <xdr:to>
          <xdr:col>11</xdr:col>
          <xdr:colOff>1744980</xdr:colOff>
          <xdr:row>121</xdr:row>
          <xdr:rowOff>144780</xdr:rowOff>
        </xdr:to>
        <xdr:sp macro="" textlink="">
          <xdr:nvSpPr>
            <xdr:cNvPr id="11417" name="Check Box 153" hidden="1">
              <a:extLst>
                <a:ext uri="{63B3BB69-23CF-44E3-9099-C40C66FF867C}">
                  <a14:compatExt spid="_x0000_s11417"/>
                </a:ext>
                <a:ext uri="{FF2B5EF4-FFF2-40B4-BE49-F238E27FC236}">
                  <a16:creationId xmlns:a16="http://schemas.microsoft.com/office/drawing/2014/main" id="{00000000-0008-0000-0E00-00009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144780</xdr:rowOff>
        </xdr:from>
        <xdr:to>
          <xdr:col>11</xdr:col>
          <xdr:colOff>1744980</xdr:colOff>
          <xdr:row>122</xdr:row>
          <xdr:rowOff>0</xdr:rowOff>
        </xdr:to>
        <xdr:sp macro="" textlink="">
          <xdr:nvSpPr>
            <xdr:cNvPr id="11418" name="Check Box 154" hidden="1">
              <a:extLst>
                <a:ext uri="{63B3BB69-23CF-44E3-9099-C40C66FF867C}">
                  <a14:compatExt spid="_x0000_s11418"/>
                </a:ext>
                <a:ext uri="{FF2B5EF4-FFF2-40B4-BE49-F238E27FC236}">
                  <a16:creationId xmlns:a16="http://schemas.microsoft.com/office/drawing/2014/main" id="{00000000-0008-0000-0E00-00009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11</xdr:col>
          <xdr:colOff>1744980</xdr:colOff>
          <xdr:row>120</xdr:row>
          <xdr:rowOff>228600</xdr:rowOff>
        </xdr:to>
        <xdr:sp macro="" textlink="">
          <xdr:nvSpPr>
            <xdr:cNvPr id="11419" name="Check Box 155" hidden="1">
              <a:extLst>
                <a:ext uri="{63B3BB69-23CF-44E3-9099-C40C66FF867C}">
                  <a14:compatExt spid="_x0000_s11419"/>
                </a:ext>
                <a:ext uri="{FF2B5EF4-FFF2-40B4-BE49-F238E27FC236}">
                  <a16:creationId xmlns:a16="http://schemas.microsoft.com/office/drawing/2014/main" id="{00000000-0008-0000-0E00-00009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11</xdr:col>
          <xdr:colOff>1744980</xdr:colOff>
          <xdr:row>123</xdr:row>
          <xdr:rowOff>144780</xdr:rowOff>
        </xdr:to>
        <xdr:sp macro="" textlink="">
          <xdr:nvSpPr>
            <xdr:cNvPr id="11420" name="Check Box 156" hidden="1">
              <a:extLst>
                <a:ext uri="{63B3BB69-23CF-44E3-9099-C40C66FF867C}">
                  <a14:compatExt spid="_x0000_s11420"/>
                </a:ext>
                <a:ext uri="{FF2B5EF4-FFF2-40B4-BE49-F238E27FC236}">
                  <a16:creationId xmlns:a16="http://schemas.microsoft.com/office/drawing/2014/main" id="{00000000-0008-0000-0E00-00009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11</xdr:col>
          <xdr:colOff>1744980</xdr:colOff>
          <xdr:row>124</xdr:row>
          <xdr:rowOff>68580</xdr:rowOff>
        </xdr:to>
        <xdr:sp macro="" textlink="">
          <xdr:nvSpPr>
            <xdr:cNvPr id="11421" name="Check Box 157" hidden="1">
              <a:extLst>
                <a:ext uri="{63B3BB69-23CF-44E3-9099-C40C66FF867C}">
                  <a14:compatExt spid="_x0000_s11421"/>
                </a:ext>
                <a:ext uri="{FF2B5EF4-FFF2-40B4-BE49-F238E27FC236}">
                  <a16:creationId xmlns:a16="http://schemas.microsoft.com/office/drawing/2014/main" id="{00000000-0008-0000-0E00-00009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1744980</xdr:colOff>
          <xdr:row>122</xdr:row>
          <xdr:rowOff>297180</xdr:rowOff>
        </xdr:to>
        <xdr:sp macro="" textlink="">
          <xdr:nvSpPr>
            <xdr:cNvPr id="11422" name="Check Box 158" hidden="1">
              <a:extLst>
                <a:ext uri="{63B3BB69-23CF-44E3-9099-C40C66FF867C}">
                  <a14:compatExt spid="_x0000_s11422"/>
                </a:ext>
                <a:ext uri="{FF2B5EF4-FFF2-40B4-BE49-F238E27FC236}">
                  <a16:creationId xmlns:a16="http://schemas.microsoft.com/office/drawing/2014/main" id="{00000000-0008-0000-0E00-00009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11</xdr:col>
          <xdr:colOff>1744980</xdr:colOff>
          <xdr:row>125</xdr:row>
          <xdr:rowOff>144780</xdr:rowOff>
        </xdr:to>
        <xdr:sp macro="" textlink="">
          <xdr:nvSpPr>
            <xdr:cNvPr id="11423" name="Check Box 159" hidden="1">
              <a:extLst>
                <a:ext uri="{63B3BB69-23CF-44E3-9099-C40C66FF867C}">
                  <a14:compatExt spid="_x0000_s11423"/>
                </a:ext>
                <a:ext uri="{FF2B5EF4-FFF2-40B4-BE49-F238E27FC236}">
                  <a16:creationId xmlns:a16="http://schemas.microsoft.com/office/drawing/2014/main" id="{00000000-0008-0000-0E00-00009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11</xdr:col>
          <xdr:colOff>1744980</xdr:colOff>
          <xdr:row>126</xdr:row>
          <xdr:rowOff>0</xdr:rowOff>
        </xdr:to>
        <xdr:sp macro="" textlink="">
          <xdr:nvSpPr>
            <xdr:cNvPr id="11424" name="Check Box 160" hidden="1">
              <a:extLst>
                <a:ext uri="{63B3BB69-23CF-44E3-9099-C40C66FF867C}">
                  <a14:compatExt spid="_x0000_s11424"/>
                </a:ext>
                <a:ext uri="{FF2B5EF4-FFF2-40B4-BE49-F238E27FC236}">
                  <a16:creationId xmlns:a16="http://schemas.microsoft.com/office/drawing/2014/main" id="{00000000-0008-0000-0E00-0000A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1744980</xdr:colOff>
          <xdr:row>124</xdr:row>
          <xdr:rowOff>297180</xdr:rowOff>
        </xdr:to>
        <xdr:sp macro="" textlink="">
          <xdr:nvSpPr>
            <xdr:cNvPr id="11425" name="Check Box 161" hidden="1">
              <a:extLst>
                <a:ext uri="{63B3BB69-23CF-44E3-9099-C40C66FF867C}">
                  <a14:compatExt spid="_x0000_s11425"/>
                </a:ext>
                <a:ext uri="{FF2B5EF4-FFF2-40B4-BE49-F238E27FC236}">
                  <a16:creationId xmlns:a16="http://schemas.microsoft.com/office/drawing/2014/main" id="{00000000-0008-0000-0E00-0000A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11</xdr:col>
          <xdr:colOff>1744980</xdr:colOff>
          <xdr:row>127</xdr:row>
          <xdr:rowOff>144780</xdr:rowOff>
        </xdr:to>
        <xdr:sp macro="" textlink="">
          <xdr:nvSpPr>
            <xdr:cNvPr id="11426" name="Check Box 162" hidden="1">
              <a:extLst>
                <a:ext uri="{63B3BB69-23CF-44E3-9099-C40C66FF867C}">
                  <a14:compatExt spid="_x0000_s11426"/>
                </a:ext>
                <a:ext uri="{FF2B5EF4-FFF2-40B4-BE49-F238E27FC236}">
                  <a16:creationId xmlns:a16="http://schemas.microsoft.com/office/drawing/2014/main" id="{00000000-0008-0000-0E00-0000A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11</xdr:col>
          <xdr:colOff>1744980</xdr:colOff>
          <xdr:row>128</xdr:row>
          <xdr:rowOff>68580</xdr:rowOff>
        </xdr:to>
        <xdr:sp macro="" textlink="">
          <xdr:nvSpPr>
            <xdr:cNvPr id="11427" name="Check Box 163" hidden="1">
              <a:extLst>
                <a:ext uri="{63B3BB69-23CF-44E3-9099-C40C66FF867C}">
                  <a14:compatExt spid="_x0000_s11427"/>
                </a:ext>
                <a:ext uri="{FF2B5EF4-FFF2-40B4-BE49-F238E27FC236}">
                  <a16:creationId xmlns:a16="http://schemas.microsoft.com/office/drawing/2014/main" id="{00000000-0008-0000-0E00-0000A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1744980</xdr:colOff>
          <xdr:row>126</xdr:row>
          <xdr:rowOff>297180</xdr:rowOff>
        </xdr:to>
        <xdr:sp macro="" textlink="">
          <xdr:nvSpPr>
            <xdr:cNvPr id="11428" name="Check Box 164" hidden="1">
              <a:extLst>
                <a:ext uri="{63B3BB69-23CF-44E3-9099-C40C66FF867C}">
                  <a14:compatExt spid="_x0000_s11428"/>
                </a:ext>
                <a:ext uri="{FF2B5EF4-FFF2-40B4-BE49-F238E27FC236}">
                  <a16:creationId xmlns:a16="http://schemas.microsoft.com/office/drawing/2014/main" id="{00000000-0008-0000-0E00-0000A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266700</xdr:rowOff>
        </xdr:from>
        <xdr:to>
          <xdr:col>11</xdr:col>
          <xdr:colOff>1744980</xdr:colOff>
          <xdr:row>129</xdr:row>
          <xdr:rowOff>144780</xdr:rowOff>
        </xdr:to>
        <xdr:sp macro="" textlink="">
          <xdr:nvSpPr>
            <xdr:cNvPr id="11429" name="Check Box 165" hidden="1">
              <a:extLst>
                <a:ext uri="{63B3BB69-23CF-44E3-9099-C40C66FF867C}">
                  <a14:compatExt spid="_x0000_s11429"/>
                </a:ext>
                <a:ext uri="{FF2B5EF4-FFF2-40B4-BE49-F238E27FC236}">
                  <a16:creationId xmlns:a16="http://schemas.microsoft.com/office/drawing/2014/main" id="{00000000-0008-0000-0E00-0000A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144780</xdr:rowOff>
        </xdr:from>
        <xdr:to>
          <xdr:col>11</xdr:col>
          <xdr:colOff>1744980</xdr:colOff>
          <xdr:row>130</xdr:row>
          <xdr:rowOff>0</xdr:rowOff>
        </xdr:to>
        <xdr:sp macro="" textlink="">
          <xdr:nvSpPr>
            <xdr:cNvPr id="11430" name="Check Box 166" hidden="1">
              <a:extLst>
                <a:ext uri="{63B3BB69-23CF-44E3-9099-C40C66FF867C}">
                  <a14:compatExt spid="_x0000_s11430"/>
                </a:ext>
                <a:ext uri="{FF2B5EF4-FFF2-40B4-BE49-F238E27FC236}">
                  <a16:creationId xmlns:a16="http://schemas.microsoft.com/office/drawing/2014/main" id="{00000000-0008-0000-0E00-0000A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11</xdr:col>
          <xdr:colOff>1744980</xdr:colOff>
          <xdr:row>128</xdr:row>
          <xdr:rowOff>297180</xdr:rowOff>
        </xdr:to>
        <xdr:sp macro="" textlink="">
          <xdr:nvSpPr>
            <xdr:cNvPr id="11431" name="Check Box 167" hidden="1">
              <a:extLst>
                <a:ext uri="{63B3BB69-23CF-44E3-9099-C40C66FF867C}">
                  <a14:compatExt spid="_x0000_s11431"/>
                </a:ext>
                <a:ext uri="{FF2B5EF4-FFF2-40B4-BE49-F238E27FC236}">
                  <a16:creationId xmlns:a16="http://schemas.microsoft.com/office/drawing/2014/main" id="{00000000-0008-0000-0E00-0000A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266700</xdr:rowOff>
        </xdr:from>
        <xdr:to>
          <xdr:col>11</xdr:col>
          <xdr:colOff>1744980</xdr:colOff>
          <xdr:row>131</xdr:row>
          <xdr:rowOff>144780</xdr:rowOff>
        </xdr:to>
        <xdr:sp macro="" textlink="">
          <xdr:nvSpPr>
            <xdr:cNvPr id="11432" name="Check Box 168" hidden="1">
              <a:extLst>
                <a:ext uri="{63B3BB69-23CF-44E3-9099-C40C66FF867C}">
                  <a14:compatExt spid="_x0000_s11432"/>
                </a:ext>
                <a:ext uri="{FF2B5EF4-FFF2-40B4-BE49-F238E27FC236}">
                  <a16:creationId xmlns:a16="http://schemas.microsoft.com/office/drawing/2014/main" id="{00000000-0008-0000-0E00-0000A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144780</xdr:rowOff>
        </xdr:from>
        <xdr:to>
          <xdr:col>11</xdr:col>
          <xdr:colOff>1744980</xdr:colOff>
          <xdr:row>132</xdr:row>
          <xdr:rowOff>15240</xdr:rowOff>
        </xdr:to>
        <xdr:sp macro="" textlink="">
          <xdr:nvSpPr>
            <xdr:cNvPr id="11433" name="Check Box 169" hidden="1">
              <a:extLst>
                <a:ext uri="{63B3BB69-23CF-44E3-9099-C40C66FF867C}">
                  <a14:compatExt spid="_x0000_s11433"/>
                </a:ext>
                <a:ext uri="{FF2B5EF4-FFF2-40B4-BE49-F238E27FC236}">
                  <a16:creationId xmlns:a16="http://schemas.microsoft.com/office/drawing/2014/main" id="{00000000-0008-0000-0E00-0000A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11</xdr:col>
          <xdr:colOff>1744980</xdr:colOff>
          <xdr:row>130</xdr:row>
          <xdr:rowOff>297180</xdr:rowOff>
        </xdr:to>
        <xdr:sp macro="" textlink="">
          <xdr:nvSpPr>
            <xdr:cNvPr id="11434" name="Check Box 170" hidden="1">
              <a:extLst>
                <a:ext uri="{63B3BB69-23CF-44E3-9099-C40C66FF867C}">
                  <a14:compatExt spid="_x0000_s11434"/>
                </a:ext>
                <a:ext uri="{FF2B5EF4-FFF2-40B4-BE49-F238E27FC236}">
                  <a16:creationId xmlns:a16="http://schemas.microsoft.com/office/drawing/2014/main" id="{00000000-0008-0000-0E00-0000A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266700</xdr:rowOff>
        </xdr:from>
        <xdr:to>
          <xdr:col>11</xdr:col>
          <xdr:colOff>1744980</xdr:colOff>
          <xdr:row>133</xdr:row>
          <xdr:rowOff>144780</xdr:rowOff>
        </xdr:to>
        <xdr:sp macro="" textlink="">
          <xdr:nvSpPr>
            <xdr:cNvPr id="11435" name="Check Box 171" hidden="1">
              <a:extLst>
                <a:ext uri="{63B3BB69-23CF-44E3-9099-C40C66FF867C}">
                  <a14:compatExt spid="_x0000_s11435"/>
                </a:ext>
                <a:ext uri="{FF2B5EF4-FFF2-40B4-BE49-F238E27FC236}">
                  <a16:creationId xmlns:a16="http://schemas.microsoft.com/office/drawing/2014/main" id="{00000000-0008-0000-0E00-0000A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144780</xdr:rowOff>
        </xdr:from>
        <xdr:to>
          <xdr:col>11</xdr:col>
          <xdr:colOff>1744980</xdr:colOff>
          <xdr:row>134</xdr:row>
          <xdr:rowOff>0</xdr:rowOff>
        </xdr:to>
        <xdr:sp macro="" textlink="">
          <xdr:nvSpPr>
            <xdr:cNvPr id="11436" name="Check Box 172" hidden="1">
              <a:extLst>
                <a:ext uri="{63B3BB69-23CF-44E3-9099-C40C66FF867C}">
                  <a14:compatExt spid="_x0000_s11436"/>
                </a:ext>
                <a:ext uri="{FF2B5EF4-FFF2-40B4-BE49-F238E27FC236}">
                  <a16:creationId xmlns:a16="http://schemas.microsoft.com/office/drawing/2014/main" id="{00000000-0008-0000-0E00-0000A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11</xdr:col>
          <xdr:colOff>1744980</xdr:colOff>
          <xdr:row>132</xdr:row>
          <xdr:rowOff>297180</xdr:rowOff>
        </xdr:to>
        <xdr:sp macro="" textlink="">
          <xdr:nvSpPr>
            <xdr:cNvPr id="11437" name="Check Box 173" hidden="1">
              <a:extLst>
                <a:ext uri="{63B3BB69-23CF-44E3-9099-C40C66FF867C}">
                  <a14:compatExt spid="_x0000_s11437"/>
                </a:ext>
                <a:ext uri="{FF2B5EF4-FFF2-40B4-BE49-F238E27FC236}">
                  <a16:creationId xmlns:a16="http://schemas.microsoft.com/office/drawing/2014/main" id="{00000000-0008-0000-0E00-0000A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266700</xdr:rowOff>
        </xdr:from>
        <xdr:to>
          <xdr:col>11</xdr:col>
          <xdr:colOff>1744980</xdr:colOff>
          <xdr:row>135</xdr:row>
          <xdr:rowOff>144780</xdr:rowOff>
        </xdr:to>
        <xdr:sp macro="" textlink="">
          <xdr:nvSpPr>
            <xdr:cNvPr id="11438" name="Check Box 174" hidden="1">
              <a:extLst>
                <a:ext uri="{63B3BB69-23CF-44E3-9099-C40C66FF867C}">
                  <a14:compatExt spid="_x0000_s11438"/>
                </a:ext>
                <a:ext uri="{FF2B5EF4-FFF2-40B4-BE49-F238E27FC236}">
                  <a16:creationId xmlns:a16="http://schemas.microsoft.com/office/drawing/2014/main" id="{00000000-0008-0000-0E00-0000A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144780</xdr:rowOff>
        </xdr:from>
        <xdr:to>
          <xdr:col>11</xdr:col>
          <xdr:colOff>1744980</xdr:colOff>
          <xdr:row>136</xdr:row>
          <xdr:rowOff>68580</xdr:rowOff>
        </xdr:to>
        <xdr:sp macro="" textlink="">
          <xdr:nvSpPr>
            <xdr:cNvPr id="11439" name="Check Box 175" hidden="1">
              <a:extLst>
                <a:ext uri="{63B3BB69-23CF-44E3-9099-C40C66FF867C}">
                  <a14:compatExt spid="_x0000_s11439"/>
                </a:ext>
                <a:ext uri="{FF2B5EF4-FFF2-40B4-BE49-F238E27FC236}">
                  <a16:creationId xmlns:a16="http://schemas.microsoft.com/office/drawing/2014/main" id="{00000000-0008-0000-0E00-0000A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11</xdr:col>
          <xdr:colOff>1744980</xdr:colOff>
          <xdr:row>134</xdr:row>
          <xdr:rowOff>297180</xdr:rowOff>
        </xdr:to>
        <xdr:sp macro="" textlink="">
          <xdr:nvSpPr>
            <xdr:cNvPr id="11440" name="Check Box 176" hidden="1">
              <a:extLst>
                <a:ext uri="{63B3BB69-23CF-44E3-9099-C40C66FF867C}">
                  <a14:compatExt spid="_x0000_s11440"/>
                </a:ext>
                <a:ext uri="{FF2B5EF4-FFF2-40B4-BE49-F238E27FC236}">
                  <a16:creationId xmlns:a16="http://schemas.microsoft.com/office/drawing/2014/main" id="{00000000-0008-0000-0E00-0000B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266700</xdr:rowOff>
        </xdr:from>
        <xdr:to>
          <xdr:col>11</xdr:col>
          <xdr:colOff>1744980</xdr:colOff>
          <xdr:row>137</xdr:row>
          <xdr:rowOff>144780</xdr:rowOff>
        </xdr:to>
        <xdr:sp macro="" textlink="">
          <xdr:nvSpPr>
            <xdr:cNvPr id="11441" name="Check Box 177" hidden="1">
              <a:extLst>
                <a:ext uri="{63B3BB69-23CF-44E3-9099-C40C66FF867C}">
                  <a14:compatExt spid="_x0000_s11441"/>
                </a:ext>
                <a:ext uri="{FF2B5EF4-FFF2-40B4-BE49-F238E27FC236}">
                  <a16:creationId xmlns:a16="http://schemas.microsoft.com/office/drawing/2014/main" id="{00000000-0008-0000-0E00-0000B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144780</xdr:rowOff>
        </xdr:from>
        <xdr:to>
          <xdr:col>11</xdr:col>
          <xdr:colOff>1744980</xdr:colOff>
          <xdr:row>138</xdr:row>
          <xdr:rowOff>0</xdr:rowOff>
        </xdr:to>
        <xdr:sp macro="" textlink="">
          <xdr:nvSpPr>
            <xdr:cNvPr id="11442" name="Check Box 178" hidden="1">
              <a:extLst>
                <a:ext uri="{63B3BB69-23CF-44E3-9099-C40C66FF867C}">
                  <a14:compatExt spid="_x0000_s11442"/>
                </a:ext>
                <a:ext uri="{FF2B5EF4-FFF2-40B4-BE49-F238E27FC236}">
                  <a16:creationId xmlns:a16="http://schemas.microsoft.com/office/drawing/2014/main" id="{00000000-0008-0000-0E00-0000B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11</xdr:col>
          <xdr:colOff>1744980</xdr:colOff>
          <xdr:row>136</xdr:row>
          <xdr:rowOff>297180</xdr:rowOff>
        </xdr:to>
        <xdr:sp macro="" textlink="">
          <xdr:nvSpPr>
            <xdr:cNvPr id="11443" name="Check Box 179" hidden="1">
              <a:extLst>
                <a:ext uri="{63B3BB69-23CF-44E3-9099-C40C66FF867C}">
                  <a14:compatExt spid="_x0000_s11443"/>
                </a:ext>
                <a:ext uri="{FF2B5EF4-FFF2-40B4-BE49-F238E27FC236}">
                  <a16:creationId xmlns:a16="http://schemas.microsoft.com/office/drawing/2014/main" id="{00000000-0008-0000-0E00-0000B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266700</xdr:rowOff>
        </xdr:from>
        <xdr:to>
          <xdr:col>11</xdr:col>
          <xdr:colOff>1744980</xdr:colOff>
          <xdr:row>139</xdr:row>
          <xdr:rowOff>144780</xdr:rowOff>
        </xdr:to>
        <xdr:sp macro="" textlink="">
          <xdr:nvSpPr>
            <xdr:cNvPr id="11444" name="Check Box 180" hidden="1">
              <a:extLst>
                <a:ext uri="{63B3BB69-23CF-44E3-9099-C40C66FF867C}">
                  <a14:compatExt spid="_x0000_s11444"/>
                </a:ext>
                <a:ext uri="{FF2B5EF4-FFF2-40B4-BE49-F238E27FC236}">
                  <a16:creationId xmlns:a16="http://schemas.microsoft.com/office/drawing/2014/main" id="{00000000-0008-0000-0E00-0000B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144780</xdr:rowOff>
        </xdr:from>
        <xdr:to>
          <xdr:col>11</xdr:col>
          <xdr:colOff>1744980</xdr:colOff>
          <xdr:row>140</xdr:row>
          <xdr:rowOff>68580</xdr:rowOff>
        </xdr:to>
        <xdr:sp macro="" textlink="">
          <xdr:nvSpPr>
            <xdr:cNvPr id="11445" name="Check Box 181" hidden="1">
              <a:extLst>
                <a:ext uri="{63B3BB69-23CF-44E3-9099-C40C66FF867C}">
                  <a14:compatExt spid="_x0000_s11445"/>
                </a:ext>
                <a:ext uri="{FF2B5EF4-FFF2-40B4-BE49-F238E27FC236}">
                  <a16:creationId xmlns:a16="http://schemas.microsoft.com/office/drawing/2014/main" id="{00000000-0008-0000-0E00-0000B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11</xdr:col>
          <xdr:colOff>1744980</xdr:colOff>
          <xdr:row>138</xdr:row>
          <xdr:rowOff>297180</xdr:rowOff>
        </xdr:to>
        <xdr:sp macro="" textlink="">
          <xdr:nvSpPr>
            <xdr:cNvPr id="11446" name="Check Box 182" hidden="1">
              <a:extLst>
                <a:ext uri="{63B3BB69-23CF-44E3-9099-C40C66FF867C}">
                  <a14:compatExt spid="_x0000_s11446"/>
                </a:ext>
                <a:ext uri="{FF2B5EF4-FFF2-40B4-BE49-F238E27FC236}">
                  <a16:creationId xmlns:a16="http://schemas.microsoft.com/office/drawing/2014/main" id="{00000000-0008-0000-0E00-0000B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266700</xdr:rowOff>
        </xdr:from>
        <xdr:to>
          <xdr:col>11</xdr:col>
          <xdr:colOff>1744980</xdr:colOff>
          <xdr:row>141</xdr:row>
          <xdr:rowOff>144780</xdr:rowOff>
        </xdr:to>
        <xdr:sp macro="" textlink="">
          <xdr:nvSpPr>
            <xdr:cNvPr id="11447" name="Check Box 183" hidden="1">
              <a:extLst>
                <a:ext uri="{63B3BB69-23CF-44E3-9099-C40C66FF867C}">
                  <a14:compatExt spid="_x0000_s11447"/>
                </a:ext>
                <a:ext uri="{FF2B5EF4-FFF2-40B4-BE49-F238E27FC236}">
                  <a16:creationId xmlns:a16="http://schemas.microsoft.com/office/drawing/2014/main" id="{00000000-0008-0000-0E00-0000B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144780</xdr:rowOff>
        </xdr:from>
        <xdr:to>
          <xdr:col>11</xdr:col>
          <xdr:colOff>1744980</xdr:colOff>
          <xdr:row>142</xdr:row>
          <xdr:rowOff>0</xdr:rowOff>
        </xdr:to>
        <xdr:sp macro="" textlink="">
          <xdr:nvSpPr>
            <xdr:cNvPr id="11448" name="Check Box 184" hidden="1">
              <a:extLst>
                <a:ext uri="{63B3BB69-23CF-44E3-9099-C40C66FF867C}">
                  <a14:compatExt spid="_x0000_s11448"/>
                </a:ext>
                <a:ext uri="{FF2B5EF4-FFF2-40B4-BE49-F238E27FC236}">
                  <a16:creationId xmlns:a16="http://schemas.microsoft.com/office/drawing/2014/main" id="{00000000-0008-0000-0E00-0000B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11</xdr:col>
          <xdr:colOff>1744980</xdr:colOff>
          <xdr:row>140</xdr:row>
          <xdr:rowOff>297180</xdr:rowOff>
        </xdr:to>
        <xdr:sp macro="" textlink="">
          <xdr:nvSpPr>
            <xdr:cNvPr id="11449" name="Check Box 185" hidden="1">
              <a:extLst>
                <a:ext uri="{63B3BB69-23CF-44E3-9099-C40C66FF867C}">
                  <a14:compatExt spid="_x0000_s11449"/>
                </a:ext>
                <a:ext uri="{FF2B5EF4-FFF2-40B4-BE49-F238E27FC236}">
                  <a16:creationId xmlns:a16="http://schemas.microsoft.com/office/drawing/2014/main" id="{00000000-0008-0000-0E00-0000B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266700</xdr:rowOff>
        </xdr:from>
        <xdr:to>
          <xdr:col>11</xdr:col>
          <xdr:colOff>1744980</xdr:colOff>
          <xdr:row>143</xdr:row>
          <xdr:rowOff>144780</xdr:rowOff>
        </xdr:to>
        <xdr:sp macro="" textlink="">
          <xdr:nvSpPr>
            <xdr:cNvPr id="11450" name="Check Box 186" hidden="1">
              <a:extLst>
                <a:ext uri="{63B3BB69-23CF-44E3-9099-C40C66FF867C}">
                  <a14:compatExt spid="_x0000_s11450"/>
                </a:ext>
                <a:ext uri="{FF2B5EF4-FFF2-40B4-BE49-F238E27FC236}">
                  <a16:creationId xmlns:a16="http://schemas.microsoft.com/office/drawing/2014/main" id="{00000000-0008-0000-0E00-0000B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144780</xdr:rowOff>
        </xdr:from>
        <xdr:to>
          <xdr:col>11</xdr:col>
          <xdr:colOff>1744980</xdr:colOff>
          <xdr:row>144</xdr:row>
          <xdr:rowOff>68580</xdr:rowOff>
        </xdr:to>
        <xdr:sp macro="" textlink="">
          <xdr:nvSpPr>
            <xdr:cNvPr id="11451" name="Check Box 187" hidden="1">
              <a:extLst>
                <a:ext uri="{63B3BB69-23CF-44E3-9099-C40C66FF867C}">
                  <a14:compatExt spid="_x0000_s11451"/>
                </a:ext>
                <a:ext uri="{FF2B5EF4-FFF2-40B4-BE49-F238E27FC236}">
                  <a16:creationId xmlns:a16="http://schemas.microsoft.com/office/drawing/2014/main" id="{00000000-0008-0000-0E00-0000B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11</xdr:col>
          <xdr:colOff>1744980</xdr:colOff>
          <xdr:row>142</xdr:row>
          <xdr:rowOff>297180</xdr:rowOff>
        </xdr:to>
        <xdr:sp macro="" textlink="">
          <xdr:nvSpPr>
            <xdr:cNvPr id="11452" name="Check Box 188" hidden="1">
              <a:extLst>
                <a:ext uri="{63B3BB69-23CF-44E3-9099-C40C66FF867C}">
                  <a14:compatExt spid="_x0000_s11452"/>
                </a:ext>
                <a:ext uri="{FF2B5EF4-FFF2-40B4-BE49-F238E27FC236}">
                  <a16:creationId xmlns:a16="http://schemas.microsoft.com/office/drawing/2014/main" id="{00000000-0008-0000-0E00-0000B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13</xdr:col>
      <xdr:colOff>121227</xdr:colOff>
      <xdr:row>14</xdr:row>
      <xdr:rowOff>94094</xdr:rowOff>
    </xdr:from>
    <xdr:to>
      <xdr:col>16</xdr:col>
      <xdr:colOff>1163782</xdr:colOff>
      <xdr:row>26</xdr:row>
      <xdr:rowOff>225713</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11975</xdr:colOff>
      <xdr:row>29</xdr:row>
      <xdr:rowOff>169001</xdr:rowOff>
    </xdr:from>
    <xdr:to>
      <xdr:col>9</xdr:col>
      <xdr:colOff>40822</xdr:colOff>
      <xdr:row>29</xdr:row>
      <xdr:rowOff>3224893</xdr:rowOff>
    </xdr:to>
    <xdr:graphicFrame macro="">
      <xdr:nvGraphicFramePr>
        <xdr:cNvPr id="3" name="Gráfico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30480</xdr:colOff>
          <xdr:row>34</xdr:row>
          <xdr:rowOff>152400</xdr:rowOff>
        </xdr:from>
        <xdr:to>
          <xdr:col>10</xdr:col>
          <xdr:colOff>1704975</xdr:colOff>
          <xdr:row>35</xdr:row>
          <xdr:rowOff>28575</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F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xdr:colOff>
          <xdr:row>35</xdr:row>
          <xdr:rowOff>30480</xdr:rowOff>
        </xdr:from>
        <xdr:to>
          <xdr:col>10</xdr:col>
          <xdr:colOff>1704975</xdr:colOff>
          <xdr:row>35</xdr:row>
          <xdr:rowOff>228600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F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36</xdr:row>
          <xdr:rowOff>266700</xdr:rowOff>
        </xdr:from>
        <xdr:to>
          <xdr:col>10</xdr:col>
          <xdr:colOff>1704975</xdr:colOff>
          <xdr:row>37</xdr:row>
          <xdr:rowOff>104775</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F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37</xdr:row>
          <xdr:rowOff>144780</xdr:rowOff>
        </xdr:from>
        <xdr:to>
          <xdr:col>10</xdr:col>
          <xdr:colOff>1704975</xdr:colOff>
          <xdr:row>38</xdr:row>
          <xdr:rowOff>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F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36</xdr:row>
          <xdr:rowOff>30480</xdr:rowOff>
        </xdr:from>
        <xdr:to>
          <xdr:col>10</xdr:col>
          <xdr:colOff>1704975</xdr:colOff>
          <xdr:row>36</xdr:row>
          <xdr:rowOff>228600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F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266700</xdr:rowOff>
        </xdr:from>
        <xdr:to>
          <xdr:col>10</xdr:col>
          <xdr:colOff>1704975</xdr:colOff>
          <xdr:row>39</xdr:row>
          <xdr:rowOff>104775</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F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39</xdr:row>
          <xdr:rowOff>144780</xdr:rowOff>
        </xdr:from>
        <xdr:to>
          <xdr:col>10</xdr:col>
          <xdr:colOff>1704975</xdr:colOff>
          <xdr:row>39</xdr:row>
          <xdr:rowOff>342900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F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30480</xdr:rowOff>
        </xdr:from>
        <xdr:to>
          <xdr:col>10</xdr:col>
          <xdr:colOff>1704975</xdr:colOff>
          <xdr:row>38</xdr:row>
          <xdr:rowOff>257175</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F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40</xdr:row>
          <xdr:rowOff>266700</xdr:rowOff>
        </xdr:from>
        <xdr:to>
          <xdr:col>10</xdr:col>
          <xdr:colOff>1704975</xdr:colOff>
          <xdr:row>41</xdr:row>
          <xdr:rowOff>104775</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F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41</xdr:row>
          <xdr:rowOff>144780</xdr:rowOff>
        </xdr:from>
        <xdr:to>
          <xdr:col>10</xdr:col>
          <xdr:colOff>1704975</xdr:colOff>
          <xdr:row>42</xdr:row>
          <xdr:rowOff>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F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40</xdr:row>
          <xdr:rowOff>30480</xdr:rowOff>
        </xdr:from>
        <xdr:to>
          <xdr:col>10</xdr:col>
          <xdr:colOff>1704975</xdr:colOff>
          <xdr:row>40</xdr:row>
          <xdr:rowOff>228600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F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xdr:row>
          <xdr:rowOff>266700</xdr:rowOff>
        </xdr:from>
        <xdr:to>
          <xdr:col>10</xdr:col>
          <xdr:colOff>1704975</xdr:colOff>
          <xdr:row>43</xdr:row>
          <xdr:rowOff>104775</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F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43</xdr:row>
          <xdr:rowOff>144780</xdr:rowOff>
        </xdr:from>
        <xdr:to>
          <xdr:col>10</xdr:col>
          <xdr:colOff>1704975</xdr:colOff>
          <xdr:row>43</xdr:row>
          <xdr:rowOff>342900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F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xdr:row>
          <xdr:rowOff>30480</xdr:rowOff>
        </xdr:from>
        <xdr:to>
          <xdr:col>10</xdr:col>
          <xdr:colOff>1704975</xdr:colOff>
          <xdr:row>42</xdr:row>
          <xdr:rowOff>257175</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F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266700</xdr:rowOff>
        </xdr:from>
        <xdr:to>
          <xdr:col>10</xdr:col>
          <xdr:colOff>1704975</xdr:colOff>
          <xdr:row>45</xdr:row>
          <xdr:rowOff>104775</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F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45</xdr:row>
          <xdr:rowOff>144780</xdr:rowOff>
        </xdr:from>
        <xdr:to>
          <xdr:col>10</xdr:col>
          <xdr:colOff>1704975</xdr:colOff>
          <xdr:row>46</xdr:row>
          <xdr:rowOff>0</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0F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30480</xdr:rowOff>
        </xdr:from>
        <xdr:to>
          <xdr:col>10</xdr:col>
          <xdr:colOff>1704975</xdr:colOff>
          <xdr:row>44</xdr:row>
          <xdr:rowOff>228600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F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46</xdr:row>
          <xdr:rowOff>266700</xdr:rowOff>
        </xdr:from>
        <xdr:to>
          <xdr:col>10</xdr:col>
          <xdr:colOff>1704975</xdr:colOff>
          <xdr:row>47</xdr:row>
          <xdr:rowOff>104775</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F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47</xdr:row>
          <xdr:rowOff>144780</xdr:rowOff>
        </xdr:from>
        <xdr:to>
          <xdr:col>10</xdr:col>
          <xdr:colOff>1704975</xdr:colOff>
          <xdr:row>47</xdr:row>
          <xdr:rowOff>342900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F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46</xdr:row>
          <xdr:rowOff>30480</xdr:rowOff>
        </xdr:from>
        <xdr:to>
          <xdr:col>10</xdr:col>
          <xdr:colOff>1704975</xdr:colOff>
          <xdr:row>46</xdr:row>
          <xdr:rowOff>257175</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F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48</xdr:row>
          <xdr:rowOff>266700</xdr:rowOff>
        </xdr:from>
        <xdr:to>
          <xdr:col>10</xdr:col>
          <xdr:colOff>1704975</xdr:colOff>
          <xdr:row>49</xdr:row>
          <xdr:rowOff>104775</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F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49</xdr:row>
          <xdr:rowOff>144780</xdr:rowOff>
        </xdr:from>
        <xdr:to>
          <xdr:col>10</xdr:col>
          <xdr:colOff>1704975</xdr:colOff>
          <xdr:row>50</xdr:row>
          <xdr:rowOff>0</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F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48</xdr:row>
          <xdr:rowOff>30480</xdr:rowOff>
        </xdr:from>
        <xdr:to>
          <xdr:col>10</xdr:col>
          <xdr:colOff>1704975</xdr:colOff>
          <xdr:row>48</xdr:row>
          <xdr:rowOff>228600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0F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50</xdr:row>
          <xdr:rowOff>266700</xdr:rowOff>
        </xdr:from>
        <xdr:to>
          <xdr:col>10</xdr:col>
          <xdr:colOff>1704975</xdr:colOff>
          <xdr:row>51</xdr:row>
          <xdr:rowOff>104775</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0F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51</xdr:row>
          <xdr:rowOff>144780</xdr:rowOff>
        </xdr:from>
        <xdr:to>
          <xdr:col>10</xdr:col>
          <xdr:colOff>1704975</xdr:colOff>
          <xdr:row>51</xdr:row>
          <xdr:rowOff>342900</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0F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50</xdr:row>
          <xdr:rowOff>30480</xdr:rowOff>
        </xdr:from>
        <xdr:to>
          <xdr:col>10</xdr:col>
          <xdr:colOff>1704975</xdr:colOff>
          <xdr:row>50</xdr:row>
          <xdr:rowOff>257175</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0F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52</xdr:row>
          <xdr:rowOff>266700</xdr:rowOff>
        </xdr:from>
        <xdr:to>
          <xdr:col>10</xdr:col>
          <xdr:colOff>1704975</xdr:colOff>
          <xdr:row>53</xdr:row>
          <xdr:rowOff>104775</xdr:rowOff>
        </xdr:to>
        <xdr:sp macro="" textlink="">
          <xdr:nvSpPr>
            <xdr:cNvPr id="12324" name="Check Box 36" hidden="1">
              <a:extLst>
                <a:ext uri="{63B3BB69-23CF-44E3-9099-C40C66FF867C}">
                  <a14:compatExt spid="_x0000_s12324"/>
                </a:ext>
                <a:ext uri="{FF2B5EF4-FFF2-40B4-BE49-F238E27FC236}">
                  <a16:creationId xmlns:a16="http://schemas.microsoft.com/office/drawing/2014/main" id="{00000000-0008-0000-0F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53</xdr:row>
          <xdr:rowOff>144780</xdr:rowOff>
        </xdr:from>
        <xdr:to>
          <xdr:col>10</xdr:col>
          <xdr:colOff>1704975</xdr:colOff>
          <xdr:row>54</xdr:row>
          <xdr:rowOff>0</xdr:rowOff>
        </xdr:to>
        <xdr:sp macro="" textlink="">
          <xdr:nvSpPr>
            <xdr:cNvPr id="12325" name="Check Box 37" hidden="1">
              <a:extLst>
                <a:ext uri="{63B3BB69-23CF-44E3-9099-C40C66FF867C}">
                  <a14:compatExt spid="_x0000_s12325"/>
                </a:ext>
                <a:ext uri="{FF2B5EF4-FFF2-40B4-BE49-F238E27FC236}">
                  <a16:creationId xmlns:a16="http://schemas.microsoft.com/office/drawing/2014/main" id="{00000000-0008-0000-0F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52</xdr:row>
          <xdr:rowOff>30480</xdr:rowOff>
        </xdr:from>
        <xdr:to>
          <xdr:col>10</xdr:col>
          <xdr:colOff>1704975</xdr:colOff>
          <xdr:row>52</xdr:row>
          <xdr:rowOff>228600</xdr:rowOff>
        </xdr:to>
        <xdr:sp macro="" textlink="">
          <xdr:nvSpPr>
            <xdr:cNvPr id="12326" name="Check Box 38" hidden="1">
              <a:extLst>
                <a:ext uri="{63B3BB69-23CF-44E3-9099-C40C66FF867C}">
                  <a14:compatExt spid="_x0000_s12326"/>
                </a:ext>
                <a:ext uri="{FF2B5EF4-FFF2-40B4-BE49-F238E27FC236}">
                  <a16:creationId xmlns:a16="http://schemas.microsoft.com/office/drawing/2014/main" id="{00000000-0008-0000-0F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54</xdr:row>
          <xdr:rowOff>266700</xdr:rowOff>
        </xdr:from>
        <xdr:to>
          <xdr:col>10</xdr:col>
          <xdr:colOff>1704975</xdr:colOff>
          <xdr:row>55</xdr:row>
          <xdr:rowOff>104775</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0F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55</xdr:row>
          <xdr:rowOff>144780</xdr:rowOff>
        </xdr:from>
        <xdr:to>
          <xdr:col>10</xdr:col>
          <xdr:colOff>1704975</xdr:colOff>
          <xdr:row>55</xdr:row>
          <xdr:rowOff>342900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0F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54</xdr:row>
          <xdr:rowOff>30480</xdr:rowOff>
        </xdr:from>
        <xdr:to>
          <xdr:col>10</xdr:col>
          <xdr:colOff>1704975</xdr:colOff>
          <xdr:row>54</xdr:row>
          <xdr:rowOff>257175</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0F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56</xdr:row>
          <xdr:rowOff>266700</xdr:rowOff>
        </xdr:from>
        <xdr:to>
          <xdr:col>10</xdr:col>
          <xdr:colOff>1704975</xdr:colOff>
          <xdr:row>57</xdr:row>
          <xdr:rowOff>104775</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0F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57</xdr:row>
          <xdr:rowOff>144780</xdr:rowOff>
        </xdr:from>
        <xdr:to>
          <xdr:col>10</xdr:col>
          <xdr:colOff>1704975</xdr:colOff>
          <xdr:row>58</xdr:row>
          <xdr:rowOff>0</xdr:rowOff>
        </xdr:to>
        <xdr:sp macro="" textlink="">
          <xdr:nvSpPr>
            <xdr:cNvPr id="12331" name="Check Box 43" hidden="1">
              <a:extLst>
                <a:ext uri="{63B3BB69-23CF-44E3-9099-C40C66FF867C}">
                  <a14:compatExt spid="_x0000_s12331"/>
                </a:ext>
                <a:ext uri="{FF2B5EF4-FFF2-40B4-BE49-F238E27FC236}">
                  <a16:creationId xmlns:a16="http://schemas.microsoft.com/office/drawing/2014/main" id="{00000000-0008-0000-0F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56</xdr:row>
          <xdr:rowOff>30480</xdr:rowOff>
        </xdr:from>
        <xdr:to>
          <xdr:col>10</xdr:col>
          <xdr:colOff>1704975</xdr:colOff>
          <xdr:row>56</xdr:row>
          <xdr:rowOff>228600</xdr:rowOff>
        </xdr:to>
        <xdr:sp macro="" textlink="">
          <xdr:nvSpPr>
            <xdr:cNvPr id="12332" name="Check Box 44" hidden="1">
              <a:extLst>
                <a:ext uri="{63B3BB69-23CF-44E3-9099-C40C66FF867C}">
                  <a14:compatExt spid="_x0000_s12332"/>
                </a:ext>
                <a:ext uri="{FF2B5EF4-FFF2-40B4-BE49-F238E27FC236}">
                  <a16:creationId xmlns:a16="http://schemas.microsoft.com/office/drawing/2014/main" id="{00000000-0008-0000-0F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58</xdr:row>
          <xdr:rowOff>266700</xdr:rowOff>
        </xdr:from>
        <xdr:to>
          <xdr:col>10</xdr:col>
          <xdr:colOff>1704975</xdr:colOff>
          <xdr:row>59</xdr:row>
          <xdr:rowOff>104775</xdr:rowOff>
        </xdr:to>
        <xdr:sp macro="" textlink="">
          <xdr:nvSpPr>
            <xdr:cNvPr id="12333" name="Check Box 45" hidden="1">
              <a:extLst>
                <a:ext uri="{63B3BB69-23CF-44E3-9099-C40C66FF867C}">
                  <a14:compatExt spid="_x0000_s12333"/>
                </a:ext>
                <a:ext uri="{FF2B5EF4-FFF2-40B4-BE49-F238E27FC236}">
                  <a16:creationId xmlns:a16="http://schemas.microsoft.com/office/drawing/2014/main" id="{00000000-0008-0000-0F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144780</xdr:rowOff>
        </xdr:from>
        <xdr:to>
          <xdr:col>10</xdr:col>
          <xdr:colOff>1704975</xdr:colOff>
          <xdr:row>59</xdr:row>
          <xdr:rowOff>342900</xdr:rowOff>
        </xdr:to>
        <xdr:sp macro="" textlink="">
          <xdr:nvSpPr>
            <xdr:cNvPr id="12334" name="Check Box 46" hidden="1">
              <a:extLst>
                <a:ext uri="{63B3BB69-23CF-44E3-9099-C40C66FF867C}">
                  <a14:compatExt spid="_x0000_s12334"/>
                </a:ext>
                <a:ext uri="{FF2B5EF4-FFF2-40B4-BE49-F238E27FC236}">
                  <a16:creationId xmlns:a16="http://schemas.microsoft.com/office/drawing/2014/main" id="{00000000-0008-0000-0F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58</xdr:row>
          <xdr:rowOff>30480</xdr:rowOff>
        </xdr:from>
        <xdr:to>
          <xdr:col>10</xdr:col>
          <xdr:colOff>1704975</xdr:colOff>
          <xdr:row>58</xdr:row>
          <xdr:rowOff>257175</xdr:rowOff>
        </xdr:to>
        <xdr:sp macro="" textlink="">
          <xdr:nvSpPr>
            <xdr:cNvPr id="12335" name="Check Box 47" hidden="1">
              <a:extLst>
                <a:ext uri="{63B3BB69-23CF-44E3-9099-C40C66FF867C}">
                  <a14:compatExt spid="_x0000_s12335"/>
                </a:ext>
                <a:ext uri="{FF2B5EF4-FFF2-40B4-BE49-F238E27FC236}">
                  <a16:creationId xmlns:a16="http://schemas.microsoft.com/office/drawing/2014/main" id="{00000000-0008-0000-0F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60</xdr:row>
          <xdr:rowOff>266700</xdr:rowOff>
        </xdr:from>
        <xdr:to>
          <xdr:col>10</xdr:col>
          <xdr:colOff>1704975</xdr:colOff>
          <xdr:row>61</xdr:row>
          <xdr:rowOff>104775</xdr:rowOff>
        </xdr:to>
        <xdr:sp macro="" textlink="">
          <xdr:nvSpPr>
            <xdr:cNvPr id="12336" name="Check Box 48" hidden="1">
              <a:extLst>
                <a:ext uri="{63B3BB69-23CF-44E3-9099-C40C66FF867C}">
                  <a14:compatExt spid="_x0000_s12336"/>
                </a:ext>
                <a:ext uri="{FF2B5EF4-FFF2-40B4-BE49-F238E27FC236}">
                  <a16:creationId xmlns:a16="http://schemas.microsoft.com/office/drawing/2014/main" id="{00000000-0008-0000-0F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61</xdr:row>
          <xdr:rowOff>144780</xdr:rowOff>
        </xdr:from>
        <xdr:to>
          <xdr:col>10</xdr:col>
          <xdr:colOff>1704975</xdr:colOff>
          <xdr:row>62</xdr:row>
          <xdr:rowOff>0</xdr:rowOff>
        </xdr:to>
        <xdr:sp macro="" textlink="">
          <xdr:nvSpPr>
            <xdr:cNvPr id="12337" name="Check Box 49" hidden="1">
              <a:extLst>
                <a:ext uri="{63B3BB69-23CF-44E3-9099-C40C66FF867C}">
                  <a14:compatExt spid="_x0000_s12337"/>
                </a:ext>
                <a:ext uri="{FF2B5EF4-FFF2-40B4-BE49-F238E27FC236}">
                  <a16:creationId xmlns:a16="http://schemas.microsoft.com/office/drawing/2014/main" id="{00000000-0008-0000-0F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60</xdr:row>
          <xdr:rowOff>30480</xdr:rowOff>
        </xdr:from>
        <xdr:to>
          <xdr:col>10</xdr:col>
          <xdr:colOff>1704975</xdr:colOff>
          <xdr:row>60</xdr:row>
          <xdr:rowOff>228600</xdr:rowOff>
        </xdr:to>
        <xdr:sp macro="" textlink="">
          <xdr:nvSpPr>
            <xdr:cNvPr id="12338" name="Check Box 50" hidden="1">
              <a:extLst>
                <a:ext uri="{63B3BB69-23CF-44E3-9099-C40C66FF867C}">
                  <a14:compatExt spid="_x0000_s12338"/>
                </a:ext>
                <a:ext uri="{FF2B5EF4-FFF2-40B4-BE49-F238E27FC236}">
                  <a16:creationId xmlns:a16="http://schemas.microsoft.com/office/drawing/2014/main" id="{00000000-0008-0000-0F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62</xdr:row>
          <xdr:rowOff>266700</xdr:rowOff>
        </xdr:from>
        <xdr:to>
          <xdr:col>10</xdr:col>
          <xdr:colOff>1704975</xdr:colOff>
          <xdr:row>63</xdr:row>
          <xdr:rowOff>104775</xdr:rowOff>
        </xdr:to>
        <xdr:sp macro="" textlink="">
          <xdr:nvSpPr>
            <xdr:cNvPr id="12339" name="Check Box 51" hidden="1">
              <a:extLst>
                <a:ext uri="{63B3BB69-23CF-44E3-9099-C40C66FF867C}">
                  <a14:compatExt spid="_x0000_s12339"/>
                </a:ext>
                <a:ext uri="{FF2B5EF4-FFF2-40B4-BE49-F238E27FC236}">
                  <a16:creationId xmlns:a16="http://schemas.microsoft.com/office/drawing/2014/main" id="{00000000-0008-0000-0F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63</xdr:row>
          <xdr:rowOff>144780</xdr:rowOff>
        </xdr:from>
        <xdr:to>
          <xdr:col>10</xdr:col>
          <xdr:colOff>1704975</xdr:colOff>
          <xdr:row>63</xdr:row>
          <xdr:rowOff>342900</xdr:rowOff>
        </xdr:to>
        <xdr:sp macro="" textlink="">
          <xdr:nvSpPr>
            <xdr:cNvPr id="12340" name="Check Box 52" hidden="1">
              <a:extLst>
                <a:ext uri="{63B3BB69-23CF-44E3-9099-C40C66FF867C}">
                  <a14:compatExt spid="_x0000_s12340"/>
                </a:ext>
                <a:ext uri="{FF2B5EF4-FFF2-40B4-BE49-F238E27FC236}">
                  <a16:creationId xmlns:a16="http://schemas.microsoft.com/office/drawing/2014/main" id="{00000000-0008-0000-0F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62</xdr:row>
          <xdr:rowOff>30480</xdr:rowOff>
        </xdr:from>
        <xdr:to>
          <xdr:col>10</xdr:col>
          <xdr:colOff>1704975</xdr:colOff>
          <xdr:row>62</xdr:row>
          <xdr:rowOff>257175</xdr:rowOff>
        </xdr:to>
        <xdr:sp macro="" textlink="">
          <xdr:nvSpPr>
            <xdr:cNvPr id="12341" name="Check Box 53" hidden="1">
              <a:extLst>
                <a:ext uri="{63B3BB69-23CF-44E3-9099-C40C66FF867C}">
                  <a14:compatExt spid="_x0000_s12341"/>
                </a:ext>
                <a:ext uri="{FF2B5EF4-FFF2-40B4-BE49-F238E27FC236}">
                  <a16:creationId xmlns:a16="http://schemas.microsoft.com/office/drawing/2014/main" id="{00000000-0008-0000-0F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64</xdr:row>
          <xdr:rowOff>266700</xdr:rowOff>
        </xdr:from>
        <xdr:to>
          <xdr:col>10</xdr:col>
          <xdr:colOff>1704975</xdr:colOff>
          <xdr:row>65</xdr:row>
          <xdr:rowOff>104775</xdr:rowOff>
        </xdr:to>
        <xdr:sp macro="" textlink="">
          <xdr:nvSpPr>
            <xdr:cNvPr id="12342" name="Check Box 54" hidden="1">
              <a:extLst>
                <a:ext uri="{63B3BB69-23CF-44E3-9099-C40C66FF867C}">
                  <a14:compatExt spid="_x0000_s12342"/>
                </a:ext>
                <a:ext uri="{FF2B5EF4-FFF2-40B4-BE49-F238E27FC236}">
                  <a16:creationId xmlns:a16="http://schemas.microsoft.com/office/drawing/2014/main" id="{00000000-0008-0000-0F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65</xdr:row>
          <xdr:rowOff>144780</xdr:rowOff>
        </xdr:from>
        <xdr:to>
          <xdr:col>10</xdr:col>
          <xdr:colOff>1704975</xdr:colOff>
          <xdr:row>66</xdr:row>
          <xdr:rowOff>0</xdr:rowOff>
        </xdr:to>
        <xdr:sp macro="" textlink="">
          <xdr:nvSpPr>
            <xdr:cNvPr id="12343" name="Check Box 55" hidden="1">
              <a:extLst>
                <a:ext uri="{63B3BB69-23CF-44E3-9099-C40C66FF867C}">
                  <a14:compatExt spid="_x0000_s12343"/>
                </a:ext>
                <a:ext uri="{FF2B5EF4-FFF2-40B4-BE49-F238E27FC236}">
                  <a16:creationId xmlns:a16="http://schemas.microsoft.com/office/drawing/2014/main" id="{00000000-0008-0000-0F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64</xdr:row>
          <xdr:rowOff>30480</xdr:rowOff>
        </xdr:from>
        <xdr:to>
          <xdr:col>10</xdr:col>
          <xdr:colOff>1704975</xdr:colOff>
          <xdr:row>64</xdr:row>
          <xdr:rowOff>228600</xdr:rowOff>
        </xdr:to>
        <xdr:sp macro="" textlink="">
          <xdr:nvSpPr>
            <xdr:cNvPr id="12344" name="Check Box 56" hidden="1">
              <a:extLst>
                <a:ext uri="{63B3BB69-23CF-44E3-9099-C40C66FF867C}">
                  <a14:compatExt spid="_x0000_s12344"/>
                </a:ext>
                <a:ext uri="{FF2B5EF4-FFF2-40B4-BE49-F238E27FC236}">
                  <a16:creationId xmlns:a16="http://schemas.microsoft.com/office/drawing/2014/main" id="{00000000-0008-0000-0F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66</xdr:row>
          <xdr:rowOff>266700</xdr:rowOff>
        </xdr:from>
        <xdr:to>
          <xdr:col>10</xdr:col>
          <xdr:colOff>1704975</xdr:colOff>
          <xdr:row>67</xdr:row>
          <xdr:rowOff>104775</xdr:rowOff>
        </xdr:to>
        <xdr:sp macro="" textlink="">
          <xdr:nvSpPr>
            <xdr:cNvPr id="12345" name="Check Box 57" hidden="1">
              <a:extLst>
                <a:ext uri="{63B3BB69-23CF-44E3-9099-C40C66FF867C}">
                  <a14:compatExt spid="_x0000_s12345"/>
                </a:ext>
                <a:ext uri="{FF2B5EF4-FFF2-40B4-BE49-F238E27FC236}">
                  <a16:creationId xmlns:a16="http://schemas.microsoft.com/office/drawing/2014/main" id="{00000000-0008-0000-0F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67</xdr:row>
          <xdr:rowOff>144780</xdr:rowOff>
        </xdr:from>
        <xdr:to>
          <xdr:col>10</xdr:col>
          <xdr:colOff>1704975</xdr:colOff>
          <xdr:row>67</xdr:row>
          <xdr:rowOff>342900</xdr:rowOff>
        </xdr:to>
        <xdr:sp macro="" textlink="">
          <xdr:nvSpPr>
            <xdr:cNvPr id="12346" name="Check Box 58" hidden="1">
              <a:extLst>
                <a:ext uri="{63B3BB69-23CF-44E3-9099-C40C66FF867C}">
                  <a14:compatExt spid="_x0000_s12346"/>
                </a:ext>
                <a:ext uri="{FF2B5EF4-FFF2-40B4-BE49-F238E27FC236}">
                  <a16:creationId xmlns:a16="http://schemas.microsoft.com/office/drawing/2014/main" id="{00000000-0008-0000-0F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66</xdr:row>
          <xdr:rowOff>30480</xdr:rowOff>
        </xdr:from>
        <xdr:to>
          <xdr:col>10</xdr:col>
          <xdr:colOff>1704975</xdr:colOff>
          <xdr:row>66</xdr:row>
          <xdr:rowOff>257175</xdr:rowOff>
        </xdr:to>
        <xdr:sp macro="" textlink="">
          <xdr:nvSpPr>
            <xdr:cNvPr id="12347" name="Check Box 59" hidden="1">
              <a:extLst>
                <a:ext uri="{63B3BB69-23CF-44E3-9099-C40C66FF867C}">
                  <a14:compatExt spid="_x0000_s12347"/>
                </a:ext>
                <a:ext uri="{FF2B5EF4-FFF2-40B4-BE49-F238E27FC236}">
                  <a16:creationId xmlns:a16="http://schemas.microsoft.com/office/drawing/2014/main" id="{00000000-0008-0000-0F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68</xdr:row>
          <xdr:rowOff>266700</xdr:rowOff>
        </xdr:from>
        <xdr:to>
          <xdr:col>10</xdr:col>
          <xdr:colOff>1704975</xdr:colOff>
          <xdr:row>69</xdr:row>
          <xdr:rowOff>104775</xdr:rowOff>
        </xdr:to>
        <xdr:sp macro="" textlink="">
          <xdr:nvSpPr>
            <xdr:cNvPr id="12348" name="Check Box 60" hidden="1">
              <a:extLst>
                <a:ext uri="{63B3BB69-23CF-44E3-9099-C40C66FF867C}">
                  <a14:compatExt spid="_x0000_s12348"/>
                </a:ext>
                <a:ext uri="{FF2B5EF4-FFF2-40B4-BE49-F238E27FC236}">
                  <a16:creationId xmlns:a16="http://schemas.microsoft.com/office/drawing/2014/main" id="{00000000-0008-0000-0F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69</xdr:row>
          <xdr:rowOff>144780</xdr:rowOff>
        </xdr:from>
        <xdr:to>
          <xdr:col>10</xdr:col>
          <xdr:colOff>1704975</xdr:colOff>
          <xdr:row>70</xdr:row>
          <xdr:rowOff>0</xdr:rowOff>
        </xdr:to>
        <xdr:sp macro="" textlink="">
          <xdr:nvSpPr>
            <xdr:cNvPr id="12349" name="Check Box 61" hidden="1">
              <a:extLst>
                <a:ext uri="{63B3BB69-23CF-44E3-9099-C40C66FF867C}">
                  <a14:compatExt spid="_x0000_s12349"/>
                </a:ext>
                <a:ext uri="{FF2B5EF4-FFF2-40B4-BE49-F238E27FC236}">
                  <a16:creationId xmlns:a16="http://schemas.microsoft.com/office/drawing/2014/main" id="{00000000-0008-0000-0F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68</xdr:row>
          <xdr:rowOff>30480</xdr:rowOff>
        </xdr:from>
        <xdr:to>
          <xdr:col>10</xdr:col>
          <xdr:colOff>1704975</xdr:colOff>
          <xdr:row>68</xdr:row>
          <xdr:rowOff>228600</xdr:rowOff>
        </xdr:to>
        <xdr:sp macro="" textlink="">
          <xdr:nvSpPr>
            <xdr:cNvPr id="12350" name="Check Box 62" hidden="1">
              <a:extLst>
                <a:ext uri="{63B3BB69-23CF-44E3-9099-C40C66FF867C}">
                  <a14:compatExt spid="_x0000_s12350"/>
                </a:ext>
                <a:ext uri="{FF2B5EF4-FFF2-40B4-BE49-F238E27FC236}">
                  <a16:creationId xmlns:a16="http://schemas.microsoft.com/office/drawing/2014/main" id="{00000000-0008-0000-0F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70</xdr:row>
          <xdr:rowOff>266700</xdr:rowOff>
        </xdr:from>
        <xdr:to>
          <xdr:col>10</xdr:col>
          <xdr:colOff>1704975</xdr:colOff>
          <xdr:row>71</xdr:row>
          <xdr:rowOff>104775</xdr:rowOff>
        </xdr:to>
        <xdr:sp macro="" textlink="">
          <xdr:nvSpPr>
            <xdr:cNvPr id="12351" name="Check Box 63" hidden="1">
              <a:extLst>
                <a:ext uri="{63B3BB69-23CF-44E3-9099-C40C66FF867C}">
                  <a14:compatExt spid="_x0000_s12351"/>
                </a:ext>
                <a:ext uri="{FF2B5EF4-FFF2-40B4-BE49-F238E27FC236}">
                  <a16:creationId xmlns:a16="http://schemas.microsoft.com/office/drawing/2014/main" id="{00000000-0008-0000-0F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71</xdr:row>
          <xdr:rowOff>144780</xdr:rowOff>
        </xdr:from>
        <xdr:to>
          <xdr:col>10</xdr:col>
          <xdr:colOff>1704975</xdr:colOff>
          <xdr:row>71</xdr:row>
          <xdr:rowOff>342900</xdr:rowOff>
        </xdr:to>
        <xdr:sp macro="" textlink="">
          <xdr:nvSpPr>
            <xdr:cNvPr id="12352" name="Check Box 64" hidden="1">
              <a:extLst>
                <a:ext uri="{63B3BB69-23CF-44E3-9099-C40C66FF867C}">
                  <a14:compatExt spid="_x0000_s12352"/>
                </a:ext>
                <a:ext uri="{FF2B5EF4-FFF2-40B4-BE49-F238E27FC236}">
                  <a16:creationId xmlns:a16="http://schemas.microsoft.com/office/drawing/2014/main" id="{00000000-0008-0000-0F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70</xdr:row>
          <xdr:rowOff>30480</xdr:rowOff>
        </xdr:from>
        <xdr:to>
          <xdr:col>10</xdr:col>
          <xdr:colOff>1704975</xdr:colOff>
          <xdr:row>70</xdr:row>
          <xdr:rowOff>257175</xdr:rowOff>
        </xdr:to>
        <xdr:sp macro="" textlink="">
          <xdr:nvSpPr>
            <xdr:cNvPr id="12353" name="Check Box 65" hidden="1">
              <a:extLst>
                <a:ext uri="{63B3BB69-23CF-44E3-9099-C40C66FF867C}">
                  <a14:compatExt spid="_x0000_s12353"/>
                </a:ext>
                <a:ext uri="{FF2B5EF4-FFF2-40B4-BE49-F238E27FC236}">
                  <a16:creationId xmlns:a16="http://schemas.microsoft.com/office/drawing/2014/main" id="{00000000-0008-0000-0F00-00004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72</xdr:row>
          <xdr:rowOff>266700</xdr:rowOff>
        </xdr:from>
        <xdr:to>
          <xdr:col>10</xdr:col>
          <xdr:colOff>1704975</xdr:colOff>
          <xdr:row>73</xdr:row>
          <xdr:rowOff>104775</xdr:rowOff>
        </xdr:to>
        <xdr:sp macro="" textlink="">
          <xdr:nvSpPr>
            <xdr:cNvPr id="12354" name="Check Box 66" hidden="1">
              <a:extLst>
                <a:ext uri="{63B3BB69-23CF-44E3-9099-C40C66FF867C}">
                  <a14:compatExt spid="_x0000_s12354"/>
                </a:ext>
                <a:ext uri="{FF2B5EF4-FFF2-40B4-BE49-F238E27FC236}">
                  <a16:creationId xmlns:a16="http://schemas.microsoft.com/office/drawing/2014/main" id="{00000000-0008-0000-0F00-00004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73</xdr:row>
          <xdr:rowOff>144780</xdr:rowOff>
        </xdr:from>
        <xdr:to>
          <xdr:col>10</xdr:col>
          <xdr:colOff>1704975</xdr:colOff>
          <xdr:row>74</xdr:row>
          <xdr:rowOff>28575</xdr:rowOff>
        </xdr:to>
        <xdr:sp macro="" textlink="">
          <xdr:nvSpPr>
            <xdr:cNvPr id="12355" name="Check Box 67" hidden="1">
              <a:extLst>
                <a:ext uri="{63B3BB69-23CF-44E3-9099-C40C66FF867C}">
                  <a14:compatExt spid="_x0000_s12355"/>
                </a:ext>
                <a:ext uri="{FF2B5EF4-FFF2-40B4-BE49-F238E27FC236}">
                  <a16:creationId xmlns:a16="http://schemas.microsoft.com/office/drawing/2014/main" id="{00000000-0008-0000-0F00-00004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72</xdr:row>
          <xdr:rowOff>30480</xdr:rowOff>
        </xdr:from>
        <xdr:to>
          <xdr:col>10</xdr:col>
          <xdr:colOff>1704975</xdr:colOff>
          <xdr:row>72</xdr:row>
          <xdr:rowOff>228600</xdr:rowOff>
        </xdr:to>
        <xdr:sp macro="" textlink="">
          <xdr:nvSpPr>
            <xdr:cNvPr id="12356" name="Check Box 68" hidden="1">
              <a:extLst>
                <a:ext uri="{63B3BB69-23CF-44E3-9099-C40C66FF867C}">
                  <a14:compatExt spid="_x0000_s12356"/>
                </a:ext>
                <a:ext uri="{FF2B5EF4-FFF2-40B4-BE49-F238E27FC236}">
                  <a16:creationId xmlns:a16="http://schemas.microsoft.com/office/drawing/2014/main" id="{00000000-0008-0000-0F00-00004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74</xdr:row>
          <xdr:rowOff>266700</xdr:rowOff>
        </xdr:from>
        <xdr:to>
          <xdr:col>10</xdr:col>
          <xdr:colOff>1704975</xdr:colOff>
          <xdr:row>75</xdr:row>
          <xdr:rowOff>104775</xdr:rowOff>
        </xdr:to>
        <xdr:sp macro="" textlink="">
          <xdr:nvSpPr>
            <xdr:cNvPr id="12357" name="Check Box 69" hidden="1">
              <a:extLst>
                <a:ext uri="{63B3BB69-23CF-44E3-9099-C40C66FF867C}">
                  <a14:compatExt spid="_x0000_s12357"/>
                </a:ext>
                <a:ext uri="{FF2B5EF4-FFF2-40B4-BE49-F238E27FC236}">
                  <a16:creationId xmlns:a16="http://schemas.microsoft.com/office/drawing/2014/main" id="{00000000-0008-0000-0F00-00004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75</xdr:row>
          <xdr:rowOff>144780</xdr:rowOff>
        </xdr:from>
        <xdr:to>
          <xdr:col>10</xdr:col>
          <xdr:colOff>1704975</xdr:colOff>
          <xdr:row>75</xdr:row>
          <xdr:rowOff>342900</xdr:rowOff>
        </xdr:to>
        <xdr:sp macro="" textlink="">
          <xdr:nvSpPr>
            <xdr:cNvPr id="12358" name="Check Box 70" hidden="1">
              <a:extLst>
                <a:ext uri="{63B3BB69-23CF-44E3-9099-C40C66FF867C}">
                  <a14:compatExt spid="_x0000_s12358"/>
                </a:ext>
                <a:ext uri="{FF2B5EF4-FFF2-40B4-BE49-F238E27FC236}">
                  <a16:creationId xmlns:a16="http://schemas.microsoft.com/office/drawing/2014/main" id="{00000000-0008-0000-0F00-00004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74</xdr:row>
          <xdr:rowOff>30480</xdr:rowOff>
        </xdr:from>
        <xdr:to>
          <xdr:col>10</xdr:col>
          <xdr:colOff>1704975</xdr:colOff>
          <xdr:row>74</xdr:row>
          <xdr:rowOff>257175</xdr:rowOff>
        </xdr:to>
        <xdr:sp macro="" textlink="">
          <xdr:nvSpPr>
            <xdr:cNvPr id="12359" name="Check Box 71" hidden="1">
              <a:extLst>
                <a:ext uri="{63B3BB69-23CF-44E3-9099-C40C66FF867C}">
                  <a14:compatExt spid="_x0000_s12359"/>
                </a:ext>
                <a:ext uri="{FF2B5EF4-FFF2-40B4-BE49-F238E27FC236}">
                  <a16:creationId xmlns:a16="http://schemas.microsoft.com/office/drawing/2014/main" id="{00000000-0008-0000-0F00-00004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76</xdr:row>
          <xdr:rowOff>266700</xdr:rowOff>
        </xdr:from>
        <xdr:to>
          <xdr:col>10</xdr:col>
          <xdr:colOff>1704975</xdr:colOff>
          <xdr:row>77</xdr:row>
          <xdr:rowOff>104775</xdr:rowOff>
        </xdr:to>
        <xdr:sp macro="" textlink="">
          <xdr:nvSpPr>
            <xdr:cNvPr id="12360" name="Check Box 72" hidden="1">
              <a:extLst>
                <a:ext uri="{63B3BB69-23CF-44E3-9099-C40C66FF867C}">
                  <a14:compatExt spid="_x0000_s12360"/>
                </a:ext>
                <a:ext uri="{FF2B5EF4-FFF2-40B4-BE49-F238E27FC236}">
                  <a16:creationId xmlns:a16="http://schemas.microsoft.com/office/drawing/2014/main" id="{00000000-0008-0000-0F00-00004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77</xdr:row>
          <xdr:rowOff>144780</xdr:rowOff>
        </xdr:from>
        <xdr:to>
          <xdr:col>10</xdr:col>
          <xdr:colOff>1704975</xdr:colOff>
          <xdr:row>78</xdr:row>
          <xdr:rowOff>28575</xdr:rowOff>
        </xdr:to>
        <xdr:sp macro="" textlink="">
          <xdr:nvSpPr>
            <xdr:cNvPr id="12361" name="Check Box 73" hidden="1">
              <a:extLst>
                <a:ext uri="{63B3BB69-23CF-44E3-9099-C40C66FF867C}">
                  <a14:compatExt spid="_x0000_s12361"/>
                </a:ext>
                <a:ext uri="{FF2B5EF4-FFF2-40B4-BE49-F238E27FC236}">
                  <a16:creationId xmlns:a16="http://schemas.microsoft.com/office/drawing/2014/main" id="{00000000-0008-0000-0F00-00004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76</xdr:row>
          <xdr:rowOff>30480</xdr:rowOff>
        </xdr:from>
        <xdr:to>
          <xdr:col>10</xdr:col>
          <xdr:colOff>1704975</xdr:colOff>
          <xdr:row>76</xdr:row>
          <xdr:rowOff>228600</xdr:rowOff>
        </xdr:to>
        <xdr:sp macro="" textlink="">
          <xdr:nvSpPr>
            <xdr:cNvPr id="12362" name="Check Box 74" hidden="1">
              <a:extLst>
                <a:ext uri="{63B3BB69-23CF-44E3-9099-C40C66FF867C}">
                  <a14:compatExt spid="_x0000_s12362"/>
                </a:ext>
                <a:ext uri="{FF2B5EF4-FFF2-40B4-BE49-F238E27FC236}">
                  <a16:creationId xmlns:a16="http://schemas.microsoft.com/office/drawing/2014/main" id="{00000000-0008-0000-0F00-00004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78</xdr:row>
          <xdr:rowOff>266700</xdr:rowOff>
        </xdr:from>
        <xdr:to>
          <xdr:col>10</xdr:col>
          <xdr:colOff>1704975</xdr:colOff>
          <xdr:row>79</xdr:row>
          <xdr:rowOff>104775</xdr:rowOff>
        </xdr:to>
        <xdr:sp macro="" textlink="">
          <xdr:nvSpPr>
            <xdr:cNvPr id="12363" name="Check Box 75" hidden="1">
              <a:extLst>
                <a:ext uri="{63B3BB69-23CF-44E3-9099-C40C66FF867C}">
                  <a14:compatExt spid="_x0000_s12363"/>
                </a:ext>
                <a:ext uri="{FF2B5EF4-FFF2-40B4-BE49-F238E27FC236}">
                  <a16:creationId xmlns:a16="http://schemas.microsoft.com/office/drawing/2014/main" id="{00000000-0008-0000-0F00-00004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79</xdr:row>
          <xdr:rowOff>144780</xdr:rowOff>
        </xdr:from>
        <xdr:to>
          <xdr:col>10</xdr:col>
          <xdr:colOff>1704975</xdr:colOff>
          <xdr:row>79</xdr:row>
          <xdr:rowOff>342900</xdr:rowOff>
        </xdr:to>
        <xdr:sp macro="" textlink="">
          <xdr:nvSpPr>
            <xdr:cNvPr id="12364" name="Check Box 76" hidden="1">
              <a:extLst>
                <a:ext uri="{63B3BB69-23CF-44E3-9099-C40C66FF867C}">
                  <a14:compatExt spid="_x0000_s12364"/>
                </a:ext>
                <a:ext uri="{FF2B5EF4-FFF2-40B4-BE49-F238E27FC236}">
                  <a16:creationId xmlns:a16="http://schemas.microsoft.com/office/drawing/2014/main" id="{00000000-0008-0000-0F00-00004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78</xdr:row>
          <xdr:rowOff>30480</xdr:rowOff>
        </xdr:from>
        <xdr:to>
          <xdr:col>10</xdr:col>
          <xdr:colOff>1704975</xdr:colOff>
          <xdr:row>78</xdr:row>
          <xdr:rowOff>257175</xdr:rowOff>
        </xdr:to>
        <xdr:sp macro="" textlink="">
          <xdr:nvSpPr>
            <xdr:cNvPr id="12365" name="Check Box 77" hidden="1">
              <a:extLst>
                <a:ext uri="{63B3BB69-23CF-44E3-9099-C40C66FF867C}">
                  <a14:compatExt spid="_x0000_s12365"/>
                </a:ext>
                <a:ext uri="{FF2B5EF4-FFF2-40B4-BE49-F238E27FC236}">
                  <a16:creationId xmlns:a16="http://schemas.microsoft.com/office/drawing/2014/main" id="{00000000-0008-0000-0F00-00004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80</xdr:row>
          <xdr:rowOff>266700</xdr:rowOff>
        </xdr:from>
        <xdr:to>
          <xdr:col>10</xdr:col>
          <xdr:colOff>1704975</xdr:colOff>
          <xdr:row>81</xdr:row>
          <xdr:rowOff>104775</xdr:rowOff>
        </xdr:to>
        <xdr:sp macro="" textlink="">
          <xdr:nvSpPr>
            <xdr:cNvPr id="12366" name="Check Box 78" hidden="1">
              <a:extLst>
                <a:ext uri="{63B3BB69-23CF-44E3-9099-C40C66FF867C}">
                  <a14:compatExt spid="_x0000_s12366"/>
                </a:ext>
                <a:ext uri="{FF2B5EF4-FFF2-40B4-BE49-F238E27FC236}">
                  <a16:creationId xmlns:a16="http://schemas.microsoft.com/office/drawing/2014/main" id="{00000000-0008-0000-0F00-00004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81</xdr:row>
          <xdr:rowOff>144780</xdr:rowOff>
        </xdr:from>
        <xdr:to>
          <xdr:col>10</xdr:col>
          <xdr:colOff>1704975</xdr:colOff>
          <xdr:row>82</xdr:row>
          <xdr:rowOff>0</xdr:rowOff>
        </xdr:to>
        <xdr:sp macro="" textlink="">
          <xdr:nvSpPr>
            <xdr:cNvPr id="12367" name="Check Box 79" hidden="1">
              <a:extLst>
                <a:ext uri="{63B3BB69-23CF-44E3-9099-C40C66FF867C}">
                  <a14:compatExt spid="_x0000_s12367"/>
                </a:ext>
                <a:ext uri="{FF2B5EF4-FFF2-40B4-BE49-F238E27FC236}">
                  <a16:creationId xmlns:a16="http://schemas.microsoft.com/office/drawing/2014/main" id="{00000000-0008-0000-0F00-00004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80</xdr:row>
          <xdr:rowOff>30480</xdr:rowOff>
        </xdr:from>
        <xdr:to>
          <xdr:col>10</xdr:col>
          <xdr:colOff>1704975</xdr:colOff>
          <xdr:row>80</xdr:row>
          <xdr:rowOff>228600</xdr:rowOff>
        </xdr:to>
        <xdr:sp macro="" textlink="">
          <xdr:nvSpPr>
            <xdr:cNvPr id="12368" name="Check Box 80" hidden="1">
              <a:extLst>
                <a:ext uri="{63B3BB69-23CF-44E3-9099-C40C66FF867C}">
                  <a14:compatExt spid="_x0000_s12368"/>
                </a:ext>
                <a:ext uri="{FF2B5EF4-FFF2-40B4-BE49-F238E27FC236}">
                  <a16:creationId xmlns:a16="http://schemas.microsoft.com/office/drawing/2014/main" id="{00000000-0008-0000-0F00-00005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32</xdr:row>
          <xdr:rowOff>266700</xdr:rowOff>
        </xdr:from>
        <xdr:to>
          <xdr:col>10</xdr:col>
          <xdr:colOff>1704975</xdr:colOff>
          <xdr:row>33</xdr:row>
          <xdr:rowOff>104775</xdr:rowOff>
        </xdr:to>
        <xdr:sp macro="" textlink="">
          <xdr:nvSpPr>
            <xdr:cNvPr id="12369" name="Check Box 81" hidden="1">
              <a:extLst>
                <a:ext uri="{63B3BB69-23CF-44E3-9099-C40C66FF867C}">
                  <a14:compatExt spid="_x0000_s12369"/>
                </a:ext>
                <a:ext uri="{FF2B5EF4-FFF2-40B4-BE49-F238E27FC236}">
                  <a16:creationId xmlns:a16="http://schemas.microsoft.com/office/drawing/2014/main" id="{00000000-0008-0000-0F00-00005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33</xdr:row>
          <xdr:rowOff>144780</xdr:rowOff>
        </xdr:from>
        <xdr:to>
          <xdr:col>10</xdr:col>
          <xdr:colOff>1704975</xdr:colOff>
          <xdr:row>34</xdr:row>
          <xdr:rowOff>0</xdr:rowOff>
        </xdr:to>
        <xdr:sp macro="" textlink="">
          <xdr:nvSpPr>
            <xdr:cNvPr id="12370" name="Check Box 82" hidden="1">
              <a:extLst>
                <a:ext uri="{63B3BB69-23CF-44E3-9099-C40C66FF867C}">
                  <a14:compatExt spid="_x0000_s12370"/>
                </a:ext>
                <a:ext uri="{FF2B5EF4-FFF2-40B4-BE49-F238E27FC236}">
                  <a16:creationId xmlns:a16="http://schemas.microsoft.com/office/drawing/2014/main" id="{00000000-0008-0000-0F00-00005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32</xdr:row>
          <xdr:rowOff>30480</xdr:rowOff>
        </xdr:from>
        <xdr:to>
          <xdr:col>10</xdr:col>
          <xdr:colOff>1704975</xdr:colOff>
          <xdr:row>32</xdr:row>
          <xdr:rowOff>228600</xdr:rowOff>
        </xdr:to>
        <xdr:sp macro="" textlink="">
          <xdr:nvSpPr>
            <xdr:cNvPr id="12371" name="Check Box 83" hidden="1">
              <a:extLst>
                <a:ext uri="{63B3BB69-23CF-44E3-9099-C40C66FF867C}">
                  <a14:compatExt spid="_x0000_s12371"/>
                </a:ext>
                <a:ext uri="{FF2B5EF4-FFF2-40B4-BE49-F238E27FC236}">
                  <a16:creationId xmlns:a16="http://schemas.microsoft.com/office/drawing/2014/main" id="{00000000-0008-0000-0F00-00005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59423</xdr:colOff>
      <xdr:row>16</xdr:row>
      <xdr:rowOff>102757</xdr:rowOff>
    </xdr:from>
    <xdr:to>
      <xdr:col>14</xdr:col>
      <xdr:colOff>43638</xdr:colOff>
      <xdr:row>29</xdr:row>
      <xdr:rowOff>82636</xdr:rowOff>
    </xdr:to>
    <xdr:graphicFrame macro="">
      <xdr:nvGraphicFramePr>
        <xdr:cNvPr id="2" name="Gráfico 2">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0</xdr:colOff>
          <xdr:row>45</xdr:row>
          <xdr:rowOff>144780</xdr:rowOff>
        </xdr:from>
        <xdr:to>
          <xdr:col>10</xdr:col>
          <xdr:colOff>1704975</xdr:colOff>
          <xdr:row>46</xdr:row>
          <xdr:rowOff>0</xdr:rowOff>
        </xdr:to>
        <xdr:sp macro="" textlink="">
          <xdr:nvSpPr>
            <xdr:cNvPr id="12379" name="Check Box 91" hidden="1">
              <a:extLst>
                <a:ext uri="{63B3BB69-23CF-44E3-9099-C40C66FF867C}">
                  <a14:compatExt spid="_x0000_s12379"/>
                </a:ext>
                <a:ext uri="{FF2B5EF4-FFF2-40B4-BE49-F238E27FC236}">
                  <a16:creationId xmlns:a16="http://schemas.microsoft.com/office/drawing/2014/main" id="{00000000-0008-0000-0F00-00005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30480</xdr:rowOff>
        </xdr:from>
        <xdr:to>
          <xdr:col>10</xdr:col>
          <xdr:colOff>1704975</xdr:colOff>
          <xdr:row>44</xdr:row>
          <xdr:rowOff>228600</xdr:rowOff>
        </xdr:to>
        <xdr:sp macro="" textlink="">
          <xdr:nvSpPr>
            <xdr:cNvPr id="12380" name="Check Box 92" hidden="1">
              <a:extLst>
                <a:ext uri="{63B3BB69-23CF-44E3-9099-C40C66FF867C}">
                  <a14:compatExt spid="_x0000_s12380"/>
                </a:ext>
                <a:ext uri="{FF2B5EF4-FFF2-40B4-BE49-F238E27FC236}">
                  <a16:creationId xmlns:a16="http://schemas.microsoft.com/office/drawing/2014/main" id="{00000000-0008-0000-0F00-00005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14</xdr:col>
      <xdr:colOff>78441</xdr:colOff>
      <xdr:row>2</xdr:row>
      <xdr:rowOff>95362</xdr:rowOff>
    </xdr:from>
    <xdr:to>
      <xdr:col>23</xdr:col>
      <xdr:colOff>819975</xdr:colOff>
      <xdr:row>12</xdr:row>
      <xdr:rowOff>201482</xdr:rowOff>
    </xdr:to>
    <xdr:graphicFrame macro="">
      <xdr:nvGraphicFramePr>
        <xdr:cNvPr id="3" name="Gráfico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ompradores/Documentos%20Compartilhados/Acompanhamento%20Projetos%20-%20Compras/Acompanhamento%20Projetos-Compras.xlsm" TargetMode="External"/><Relationship Id="rId2" Type="http://schemas.openxmlformats.org/officeDocument/2006/relationships/externalLinkPath" Target="https://delgadiadema.sharepoint.com/sites/Compradores/Documentos%20Compartilhados/Acompanhamento%20Projetos%20-%20Compras/Acompanhamento%20Projetos-Compras.xlsm" TargetMode="External"/><Relationship Id="rId1" Type="http://schemas.openxmlformats.org/officeDocument/2006/relationships/externalLinkPath" Target="/sites/Compradores/Documentos%20Compartilhados/Acompanhamento%20Projetos%20-%20Compras/Acompanhamento%20Projetos-Compras.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ainah.amaral\AppData\Roaming\Microsoft\Excel\Acompanhamento%2520Projetos-Compras%20(version%201).xlsb" TargetMode="External"/><Relationship Id="rId1" Type="http://schemas.openxmlformats.org/officeDocument/2006/relationships/externalLinkPath" Target="file:///C:\Users\tainah.amaral\AppData\Roaming\Microsoft\Excel\Acompanhamento%2520Projetos-Compras%20(version%201).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5.20\Departamentos\TI\Projetos\Master%202026\01%20-%20Desenvolver%20c&#233;lula%20de%20solda%20para%20soldar%20porcas\01%20-%20Desenvolver%20c&#233;lula%20de%20solda%20para%20soldar%20porcas.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192.168.5.20\Departamentos\TI\Projetos\Master%202026\02%20-%20Aumentar%20a%20produtividade%20da%20estamparia%20atraves%20da%20implementa&#231;&#227;o%20lote%20econ&#244;mico%20e%20multiplos%20de%20MTP\A3%20Aumento%20de%20Produtividade%20por%20Implementa&#231;&#227;o%20de%20Lote%20Econ&#244;mico%20e%20Padroniza&#231;&#227;o%20de%20Embalagens.xlsx?D0266F2F" TargetMode="External"/><Relationship Id="rId1" Type="http://schemas.openxmlformats.org/officeDocument/2006/relationships/externalLinkPath" Target="file:///\\D0266F2F\A3%20Aumento%20de%20Produtividade%20por%20Implementa&#231;&#227;o%20de%20Lote%20Econ&#244;mico%20e%20Padroniza&#231;&#227;o%20de%20Embalagen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5.20\Departamentos\TI\Projetos\Master%202026\05-%20Aplicar%20borda%20aparada%20nas%20bobinas\05%20-%20Aplica&#231;&#227;o%20de%20bordas%20aparada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5.20\Departamentos\TI\Projetos\Master%202026\06%20-%20Redu&#231;&#227;o%20consumo%20MTP%20aplicando%20toler&#226;ncia%20m&#237;nima\06%20-%20Projeto%20Jarinu.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5.20\Departamentos\TI\Projetos\Master%202026\14%20-%20Redu&#231;&#227;o%20de%20consumo%20no%20passo%20do%20blank%20dos%20itens%20VW000950AA%20951AA\14%20-%20Redu&#231;&#227;o%20de%20consumo%20no%20passo%20%20VW000950AA%20951A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20\Departamentos\TI\Projetos\Master%202026\15%20-%20Redu&#231;&#227;o%20de%20consumo%20no%20slitter%20dos%20itens%20VW000950AA%20951AA\15%20-%20Projeto%20Jarinu.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5.20\Departamentos\TI\Projetos\Master%202026\19%20-%20Redu&#231;&#227;o%20da%20largura%20da%20bobina%20m&#227;e%20do%20Curv&#227;o\19%20-%20Redu&#231;&#227;o%20da%20largura%20da%20bobina%20m&#227;e%20do%20Curv&#227;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5.20\Departamentos\TI\Projetos\Master%202026\20%20-%20Redu&#231;&#227;o%20do%20custos%20na%20aquisi&#231;&#227;o%20de%20FLAP\20%20-%20Redu&#231;&#227;o%20do%20custos%20na%20aquisi&#231;&#227;o%20de%20FLA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5.20\Departamentos\TI\Projetos\Master%202026\23%20-%20Piloto%20MTP%20VW000938AB%20(-%203%20mm%20no%20passo)\23%20-%20Piloto%20MTP%20VW000938AB%20(-%203%20mm%20no%20passo).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5.20\Departamentos\TI\Projetos\Master%202026\24%20-%20Redu&#231;&#227;o%20de%20consumo%20de%20MTP%20dos%20%20Redu&#231;&#227;o%20China%201%20porca%20(-10%20mm%20Slitter)\24%20-%20Redu&#231;&#227;o%20de%20consumo%20de%20MTP%20dos%20%20Redu&#231;&#227;o%20China%201%20po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5.20\Departamentos\TI\Projetos\Master%202026\25%20-%20Redu&#231;&#227;o%20de%20consumo%20de%20MTP%20dos%20%20Redu&#231;&#227;o%20China%202%20porca%20(-10%20mm%20Slitter)\25%20-%20Redu&#231;&#227;o%20de%20consumo%20de%20MTP%20dos%20%20Redu&#231;&#227;o%20China%20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5.20\Departamentos\TI\Projetos\Master%202026\27%20-%20Mean%20to-low%20Curva%20B\27%20-%20Mean%20to%20low%20curva%20B.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5.20\Departamentos\TI\Projetos\Master%202026\28%20-%20Mean%20to-low%20Curva%20C\28%20-%20Mean%20to%20low%20curva%20C.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92.168.5.20\Departamentos\TI\Projetos\Master%202026\29%20-%20Redu&#231;&#227;o%20de%20consumo%20de%20MTP%20no%20passo%20do%20Blank%20do%20item%20VW000942AB943AB%20(Passo%20-5%20)\29%20-%20Projeto%20Jarinu.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5.20\Departamentos\TI\Projetos\Master%202026\34%20-%20Ilumina&#231;&#227;o%20Led\Planta%20Jarinu%20-%20A3%20Resumo%20de%20Projetos%20(Lampadas%20de%20Led).xlsx"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ControledeDocumentosDelga2/Indicadores/Indicadores,%20Analise%20Critica%20e%20High%20Five/Form.%20104%20-%20Indicadores%20e%20Ata%20de%20Analise%20Critica%20-%20Ferraz.xlsx" TargetMode="External"/><Relationship Id="rId2" Type="http://schemas.openxmlformats.org/officeDocument/2006/relationships/externalLinkPath" Target="https://delgadiadema.sharepoint.com/sites/ControledeDocumentosDelga2/Indicadores/Indicadores,%20Analise%20Critica%20e%20High%20Five/Form.%20104%20-%20Indicadores%20e%20Ata%20de%20Analise%20Critica%20-%20Ferraz.xlsx" TargetMode="External"/><Relationship Id="rId1" Type="http://schemas.openxmlformats.org/officeDocument/2006/relationships/externalLinkPath" Target="/sites/ControledeDocumentosDelga2/Indicadores/Indicadores,%20Analise%20Critica%20e%20High%20Five/Form.%20104%20-%20Indicadores%20e%20Ata%20de%20Analise%20Critica%20-%20Ferraz.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01-Refugo.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02%20-%20Redu&#231;&#227;o%20de%20mat&#233;ria-prima%20DD000506Z.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3-%20Comuniza&#231;&#227;o%20de%20Materiais.xlsx" TargetMode="External"/><Relationship Id="rId1" Type="http://schemas.openxmlformats.org/officeDocument/2006/relationships/externalLinkPath" Target="file:///\\192.168.3.20\Departamentos\Engenharia\Planejamento%20Estrat&#233;gico\A3_03-%20Comuniza&#231;&#227;o%20de%20Materiai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7-Aluguel%20Corte%20Plasma.xlsx" TargetMode="External"/><Relationship Id="rId1" Type="http://schemas.openxmlformats.org/officeDocument/2006/relationships/externalLinkPath" Target="file:///\\192.168.3.20\Departamentos\Engenharia\Planejamento%20Estrat&#233;gico\A3_07-Aluguel%20Corte%20Plasma.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8%20-%20Redu&#231;&#227;o%20de%20mat&#233;ria-prima%20DD000502-DD000503Z.xlsx" TargetMode="External"/><Relationship Id="rId1" Type="http://schemas.openxmlformats.org/officeDocument/2006/relationships/externalLinkPath" Target="file:///\\192.168.3.20\Departamentos\Engenharia\Planejamento%20Estrat&#233;gico\A3_08%20-%20Redu&#231;&#227;o%20de%20mat&#233;ria-prima%20DD000502-DD000503Z.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9-ACABAMENTO%20CAPO%20CNH.xlsx" TargetMode="External"/><Relationship Id="rId1" Type="http://schemas.openxmlformats.org/officeDocument/2006/relationships/externalLinkPath" Target="file:///\\192.168.3.20\Departamentos\Engenharia\Planejamento%20Estrat&#233;gico\A3_09-ACABAMENTO%20CAPO%20CNH.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20REDU&#199;&#195;O%20DE%20CUSTO%20DO%20TUBO%20COMPRADO%20DO%20CAP&#212;.xlsx" TargetMode="External"/><Relationship Id="rId1" Type="http://schemas.openxmlformats.org/officeDocument/2006/relationships/externalLinkPath" Target="file:///\\192.168.3.20\Departamentos\Engenharia\Planejamento%20Estrat&#233;gico\A3%20REDU&#199;&#195;O%20DE%20CUSTO%20DO%20TUBO%20COMPRADO%20DO%20CAP&#212;.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2-REDU&#199;&#195;O%20DE%20CUSTO%20DE%20LOCA&#199;&#195;O%20DE%20PTA%2012%20METROS%20(002).xlsx" TargetMode="External"/><Relationship Id="rId1" Type="http://schemas.openxmlformats.org/officeDocument/2006/relationships/externalLinkPath" Target="file:///\\192.168.3.20\Departamentos\Engenharia\Planejamento%20Estrat&#233;gico\A3_12-REDU&#199;&#195;O%20DE%20CUSTO%20DE%20LOCA&#199;&#195;O%20DE%20PTA%2012%20METROS%20(002).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3-VAZAMENTOS%20DE%20AR.xlsx" TargetMode="External"/><Relationship Id="rId1" Type="http://schemas.openxmlformats.org/officeDocument/2006/relationships/externalLinkPath" Target="file:///\\192.168.3.20\Departamentos\Engenharia\Planejamento%20Estrat&#233;gico\A3_13-VAZAMENTOS%20DE%20AR.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4-Troca%20de%20empilhaderia%20GLP%20por%20el&#233;tric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5%20-%20Redu&#231;&#227;o%20de%20mat&#233;ria-prima%20DD000504-DD000505.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20REDU&#199;&#195;O%20DE%20CUSTO%20DE%20LOCA&#199;&#195;O%20DE%20M&#193;QUINA%20SOLDA%20MIG.xlsx" TargetMode="External"/><Relationship Id="rId1" Type="http://schemas.openxmlformats.org/officeDocument/2006/relationships/externalLinkPath" Target="file:///\\192.168.3.20\Departamentos\Engenharia\Planejamento%20Estrat&#233;gico\A3%20REDU&#199;&#195;O%20DE%20CUSTO%20DE%20LOCA&#199;&#195;O%20DE%20M&#193;QUINA%20SOLDA%20MIG.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1-%20servi&#231;os%20terceiros.xlsx" TargetMode="External"/><Relationship Id="rId1" Type="http://schemas.openxmlformats.org/officeDocument/2006/relationships/externalLinkPath" Target="file:///\\192.168.3.20\Departamentos\Engenharia\Planejamento%20Estrat&#233;gico\A3_01-%20servi&#231;os%20terceiros.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REDUZIR%20N&#218;MEROS%20DE%20EMPILHADEIRAS%20LOCADA.xlsx" TargetMode="External"/><Relationship Id="rId1" Type="http://schemas.openxmlformats.org/officeDocument/2006/relationships/externalLinkPath" Target="file:///\\192.168.3.20\Departamentos\Engenharia\Planejamento%20Estrat&#233;gico\A3_REDUZIR%20N&#218;MEROS%20DE%20EMPILHADEIRAS%20LOCAD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6%20-%20Redu&#231;&#227;o%20de%20energia%20el&#233;trica.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9%20-%20Garrafas%20de%20&#225;guas%20redu&#231;&#227;o%20de%20descart&#225;veis.xlsx" TargetMode="External"/><Relationship Id="rId1" Type="http://schemas.openxmlformats.org/officeDocument/2006/relationships/externalLinkPath" Target="file:///\\192.168.3.20\Departamentos\Engenharia\Planejamento%20Estrat&#233;gico\A3_19%20-%20Garrafas%20de%20&#225;guas%20redu&#231;&#227;o%20de%20descart&#225;veis.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8%20-%20Redu&#231;&#227;o%20de%20mat&#233;ria-prima%20DD000507z.xlsx" TargetMode="External"/><Relationship Id="rId1" Type="http://schemas.openxmlformats.org/officeDocument/2006/relationships/externalLinkPath" Target="file:///\\192.168.3.20\Departamentos\Engenharia\Planejamento%20Estrat&#233;gico\A3_18%20-%20Redu&#231;&#227;o%20de%20mat&#233;ria-prima%20DD000507z.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22-%20Eliminar%20custo%20com%20usinagem%20externa%20CN%2000016-17.xlsx" TargetMode="External"/><Relationship Id="rId1" Type="http://schemas.openxmlformats.org/officeDocument/2006/relationships/externalLinkPath" Target="file:///\\192.168.3.20\Departamentos\Engenharia\Planejamento%20Estrat&#233;gico\A3_22-%20Eliminar%20custo%20com%20usinagem%20externa%20CN%2000016-17.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1%20-%20VENDA%20DE%20ATIVOS\A3%20Projeto%2001%20-%20VENDA%20DE%20ATIVOS.xlsx" TargetMode="External"/><Relationship Id="rId1" Type="http://schemas.openxmlformats.org/officeDocument/2006/relationships/externalLinkPath" Target="file:///\\DASRVFILE\Departamentos\ENGENHARIA\1.1%20Projetos%20de%20redu&#231;&#227;o%20custo\01%20-%20VENDA%20DE%20ATIVOS\A3%20Projeto%2001%20-%20VENDA%20DE%20ATIVOS.xlsx"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2%20-%20TANQUE%20DE%20DECAPAGEM\A3%20Projeto%2002%20-%20TANQUE%20DE%20DECAPAGEM.xlsx" TargetMode="External"/><Relationship Id="rId1" Type="http://schemas.openxmlformats.org/officeDocument/2006/relationships/externalLinkPath" Target="file:///\\DASRVFILE\Departamentos\ENGENHARIA\1.1%20Projetos%20de%20redu&#231;&#227;o%20custo\02%20-%20TANQUE%20DE%20DECAPAGEM\A3%20Projeto%2002%20-%20TANQUE%20DE%20DECAPAGEM.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3%20-%20PRODUTOS%20QU&#205;MICOS%20KTL\A3%20Projeto%2003%20-%20PRODUTOS%20QU&#205;MICOS%20KTL.xlsx" TargetMode="External"/><Relationship Id="rId1" Type="http://schemas.openxmlformats.org/officeDocument/2006/relationships/externalLinkPath" Target="file:///\\DASRVFILE\Departamentos\ENGENHARIA\1.1%20Projetos%20de%20redu&#231;&#227;o%20custo\03%20-%20PRODUTOS%20QU&#205;MICOS%20KTL\A3%20Projeto%2003%20-%20PRODUTOS%20QU&#205;MICOS%20KTL.xlsx"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4%20-%20G&#193;S\A3%20Projeto%2004%20-%20Projeto%20de%20efici&#234;ncia%20do%20G&#225;s.xlsx" TargetMode="External"/><Relationship Id="rId1" Type="http://schemas.openxmlformats.org/officeDocument/2006/relationships/externalLinkPath" Target="file:///\\DASRVFILE\Departamentos\ENGENHARIA\1.1%20Projetos%20de%20redu&#231;&#227;o%20custo\04%20-%20G&#193;S\A3%20Projeto%2004%20-%20Projeto%20de%20efici&#234;ncia%20do%20G&#225;s.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5%20-%20REDU&#199;&#195;O%20DE%20FRETE\A3%20Projeto%2005%20-%20REDU&#199;&#195;O%20DE%20FRETE.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6%20-%20CONSUMO%20DE%20TINTA%20P&#211;\A3%20Projeto%2006%20-%20CONSUMO%20DE%20TINTA%20P&#211;.xlsx" TargetMode="External"/><Relationship Id="rId1" Type="http://schemas.openxmlformats.org/officeDocument/2006/relationships/externalLinkPath" Target="file:///\\DASRVFILE\Departamentos\ENGENHARIA\1.1%20Projetos%20de%20redu&#231;&#227;o%20custo\06%20-%20CONSUMO%20DE%20TINTA%20P&#211;\A3%20Projeto%2006%20-%20CONSUMO%20DE%20TINTA%20P&#2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7%20-%20CONSUMO%20DE%20EPI%20e%20SERVI&#199;OS\A3%20Projeto%2007%20-%20CONSUMO%20DE%20EPI%20e%20SERVI&#199;OS_Feveiro202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8%20-%20&#193;GUA\08.%20&#193;GUA%20-%20MELHORAR%20A%20EFICI&#202;NCIA%20DO%20CONSUMO%20DE%20&#192;GUA.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9%20-%20ENERGIA%20EL&#201;TRICA\A3%20Projeto%2009%20-%20MELHORAR%20A%20EFICI&#202;NCIA%20DO%20CONSUMO%20DA%20ENERGIA%20EL&#201;TRICA.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10%20-%20CONSUMO%20PERNA%20DE%20MO&#199;A\A3%20-%2010.%20CONSUMO%20PERNA%20DE%20MO&#199;A.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R:\Departamentos\ENGENHARIA\1.1%20Projetos%20de%20redu&#231;&#227;o%20custo\12%20-%20VENDA%20DE%20DESCART&#193;VEIS\A3%20Projeto%2012%20-%20VENDA%20DE%20DESCART&#193;VEIS.xlsx" TargetMode="External"/><Relationship Id="rId1" Type="http://schemas.openxmlformats.org/officeDocument/2006/relationships/externalLinkPath" Target="file:///R:\Departamentos\ENGENHARIA\1.1%20Projetos%20de%20redu&#231;&#227;o%20custo\12%20-%20VENDA%20DE%20DESCART&#193;VEIS\A3%20Projeto%2012%20-%20VENDA%20DE%20DESCART&#193;VEI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Departamentos\ENGENHARIA\1.1%20Projetos%20de%20redu&#231;&#227;o%20custo\13%20-%20CONSUMO%20DE%20MATERIAIS%20DA%20ETE\A3%20Projeto%2013%20-%20CONSUMO%20DE%20MATERIAIS%20DA%20ETE.xlsx"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https://delgadiadema.sharepoint.com/sites/GestoEstratgica/Documentos%20Compartilhados/Controle%20Master/Auditoria%20SPD/Diadema/Auditoria%20SPD%20Diadema%20Rev.00_040226.xlsx" TargetMode="External"/><Relationship Id="rId1" Type="http://schemas.openxmlformats.org/officeDocument/2006/relationships/externalLinkPath" Target="Auditoria%20SPD/Diadema/Auditoria%20SPD%20Diadema%20Rev.00_040226.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file:///C:\Users\janderson.oliveira\Desktop\SPD%20Resumo%20corporativo.%20Rev02.xlsx" TargetMode="External"/><Relationship Id="rId1" Type="http://schemas.openxmlformats.org/officeDocument/2006/relationships/externalLinkPath" Target="file:///C:\Users\janderson.oliveira\Desktop\SPD%20Resumo%20corporativo.%20Re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lhamento"/>
      <sheetName val="Aline"/>
      <sheetName val="Diogo"/>
      <sheetName val="Eraldo"/>
      <sheetName val="Jean"/>
      <sheetName val="Elenice"/>
      <sheetName val="Lucas"/>
      <sheetName val="Thiago"/>
      <sheetName val="Vitor"/>
      <sheetName val="CONCLUIDO E IMPLANTADO-CANCELAD"/>
    </sheetNames>
    <sheetDataSet>
      <sheetData sheetId="0">
        <row r="3">
          <cell r="A3" t="str">
            <v>PROJETO</v>
          </cell>
          <cell r="E3" t="str">
            <v>Resultado Financeiro</v>
          </cell>
          <cell r="I3" t="str">
            <v>Prazo Início Projeto</v>
          </cell>
          <cell r="J3" t="str">
            <v>Prazo Fechamento Projeto</v>
          </cell>
          <cell r="M3" t="str">
            <v>Progresso previsto (%)</v>
          </cell>
          <cell r="N3" t="str">
            <v>Progresso realizado (%)</v>
          </cell>
          <cell r="O3" t="str">
            <v>Início da Implementação de Redução</v>
          </cell>
        </row>
        <row r="4">
          <cell r="A4" t="str">
            <v>AG0125</v>
          </cell>
          <cell r="E4" t="str">
            <v>-</v>
          </cell>
          <cell r="I4">
            <v>45845</v>
          </cell>
          <cell r="J4">
            <v>46146</v>
          </cell>
          <cell r="M4">
            <v>0.89423076923076927</v>
          </cell>
          <cell r="N4">
            <v>0.5</v>
          </cell>
          <cell r="O4" t="str">
            <v>-</v>
          </cell>
        </row>
        <row r="5">
          <cell r="A5" t="str">
            <v>AG0225</v>
          </cell>
          <cell r="E5">
            <v>102750</v>
          </cell>
          <cell r="I5">
            <v>45845</v>
          </cell>
          <cell r="J5">
            <v>46159</v>
          </cell>
          <cell r="M5">
            <v>0.72</v>
          </cell>
          <cell r="N5">
            <v>0.72</v>
          </cell>
          <cell r="O5">
            <v>46113</v>
          </cell>
        </row>
        <row r="6">
          <cell r="A6" t="str">
            <v>EF0325</v>
          </cell>
          <cell r="E6" t="str">
            <v>-</v>
          </cell>
          <cell r="I6">
            <v>45936</v>
          </cell>
          <cell r="J6">
            <v>46157</v>
          </cell>
          <cell r="M6">
            <v>0.33166666666666667</v>
          </cell>
          <cell r="N6">
            <v>0.4</v>
          </cell>
          <cell r="O6">
            <v>46157</v>
          </cell>
        </row>
        <row r="7">
          <cell r="A7" t="str">
            <v>JE0625</v>
          </cell>
          <cell r="E7" t="str">
            <v>-</v>
          </cell>
          <cell r="I7">
            <v>46051</v>
          </cell>
          <cell r="J7">
            <v>46183</v>
          </cell>
          <cell r="M7">
            <v>0.36363636363636365</v>
          </cell>
          <cell r="N7">
            <v>0.36363636363636365</v>
          </cell>
          <cell r="O7">
            <v>46569</v>
          </cell>
        </row>
        <row r="8">
          <cell r="A8" t="str">
            <v>JE0226</v>
          </cell>
          <cell r="E8">
            <v>37266.49</v>
          </cell>
          <cell r="I8">
            <v>46050</v>
          </cell>
          <cell r="J8">
            <v>46087</v>
          </cell>
          <cell r="M8">
            <v>1</v>
          </cell>
          <cell r="N8">
            <v>1</v>
          </cell>
          <cell r="O8">
            <v>46235</v>
          </cell>
        </row>
        <row r="9">
          <cell r="A9" t="str">
            <v>JE0426</v>
          </cell>
          <cell r="E9">
            <v>348550.6</v>
          </cell>
          <cell r="I9">
            <v>46038</v>
          </cell>
          <cell r="J9">
            <v>46235</v>
          </cell>
          <cell r="M9">
            <v>0.875</v>
          </cell>
          <cell r="N9">
            <v>0.875</v>
          </cell>
          <cell r="O9">
            <v>46568</v>
          </cell>
        </row>
        <row r="10">
          <cell r="A10" t="str">
            <v>LJ0225</v>
          </cell>
          <cell r="E10">
            <v>3256202</v>
          </cell>
          <cell r="I10">
            <v>45926</v>
          </cell>
          <cell r="J10">
            <v>46132</v>
          </cell>
          <cell r="M10">
            <v>1</v>
          </cell>
          <cell r="N10">
            <v>1</v>
          </cell>
          <cell r="O10">
            <v>46174</v>
          </cell>
        </row>
        <row r="11">
          <cell r="A11" t="str">
            <v>EF0326</v>
          </cell>
          <cell r="E11">
            <v>100000</v>
          </cell>
          <cell r="I11">
            <v>46006</v>
          </cell>
          <cell r="J11">
            <v>46539</v>
          </cell>
          <cell r="M11">
            <v>0.40972222222222221</v>
          </cell>
          <cell r="N11">
            <v>0.44444444444444442</v>
          </cell>
          <cell r="O11">
            <v>46569</v>
          </cell>
        </row>
        <row r="12">
          <cell r="A12" t="str">
            <v>JE0425</v>
          </cell>
          <cell r="E12">
            <v>606000</v>
          </cell>
          <cell r="I12">
            <v>45775</v>
          </cell>
          <cell r="J12">
            <v>46255</v>
          </cell>
          <cell r="M12">
            <v>0.92500000000000004</v>
          </cell>
          <cell r="N12">
            <v>0.9</v>
          </cell>
          <cell r="O12">
            <v>46204</v>
          </cell>
        </row>
        <row r="13">
          <cell r="A13" t="str">
            <v>TS0325</v>
          </cell>
          <cell r="E13">
            <v>450000</v>
          </cell>
          <cell r="I13">
            <v>45853</v>
          </cell>
          <cell r="J13">
            <v>45989</v>
          </cell>
          <cell r="M13">
            <v>0.23333333333333336</v>
          </cell>
          <cell r="N13">
            <v>1</v>
          </cell>
          <cell r="O13" t="str">
            <v>-</v>
          </cell>
        </row>
        <row r="14">
          <cell r="A14" t="str">
            <v>TS0126</v>
          </cell>
          <cell r="E14">
            <v>1138260</v>
          </cell>
          <cell r="I14">
            <v>46097</v>
          </cell>
          <cell r="J14">
            <v>46311</v>
          </cell>
          <cell r="M14">
            <v>0.45185185185185184</v>
          </cell>
          <cell r="N14">
            <v>0.53500000000000003</v>
          </cell>
          <cell r="O14">
            <v>46311</v>
          </cell>
        </row>
        <row r="15">
          <cell r="A15" t="str">
            <v>TS0226</v>
          </cell>
          <cell r="E15">
            <v>99600</v>
          </cell>
          <cell r="I15">
            <v>46125</v>
          </cell>
          <cell r="J15">
            <v>46222</v>
          </cell>
          <cell r="M15">
            <v>0.80952380952380953</v>
          </cell>
          <cell r="N15">
            <v>0.7142857142857143</v>
          </cell>
          <cell r="O15">
            <v>46174</v>
          </cell>
        </row>
        <row r="16">
          <cell r="A16" t="str">
            <v>TS0326</v>
          </cell>
          <cell r="E16">
            <v>4008000</v>
          </cell>
          <cell r="I16">
            <v>46160</v>
          </cell>
          <cell r="J16">
            <v>46223</v>
          </cell>
          <cell r="M16">
            <v>0.5</v>
          </cell>
          <cell r="N16">
            <v>0.7142857142857143</v>
          </cell>
          <cell r="O16">
            <v>46357</v>
          </cell>
        </row>
        <row r="17">
          <cell r="A17" t="str">
            <v>TS0426</v>
          </cell>
          <cell r="E17">
            <v>8339</v>
          </cell>
          <cell r="I17">
            <v>46136</v>
          </cell>
          <cell r="J17">
            <v>46213</v>
          </cell>
          <cell r="M17">
            <v>0.37662337662337658</v>
          </cell>
          <cell r="N17">
            <v>0.7142857142857143</v>
          </cell>
          <cell r="O17">
            <v>46237</v>
          </cell>
        </row>
        <row r="18">
          <cell r="A18" t="str">
            <v>JE0825</v>
          </cell>
          <cell r="E18">
            <v>403768</v>
          </cell>
          <cell r="I18">
            <v>45918</v>
          </cell>
          <cell r="J18">
            <v>46136</v>
          </cell>
          <cell r="M18">
            <v>1</v>
          </cell>
          <cell r="N18">
            <v>1</v>
          </cell>
          <cell r="O18">
            <v>46174</v>
          </cell>
        </row>
        <row r="19">
          <cell r="A19" t="str">
            <v>EF0426</v>
          </cell>
          <cell r="E19">
            <v>353954</v>
          </cell>
          <cell r="I19">
            <v>46054</v>
          </cell>
          <cell r="J19">
            <v>46357</v>
          </cell>
          <cell r="M19">
            <v>0.33779755283648499</v>
          </cell>
          <cell r="N19">
            <v>0.42499999999999999</v>
          </cell>
          <cell r="O19">
            <v>46357</v>
          </cell>
        </row>
        <row r="20">
          <cell r="A20" t="str">
            <v>JE0125</v>
          </cell>
          <cell r="E20">
            <v>171002</v>
          </cell>
          <cell r="I20">
            <v>45603</v>
          </cell>
          <cell r="J20">
            <v>46204</v>
          </cell>
          <cell r="M20">
            <v>0.94117647058823528</v>
          </cell>
          <cell r="N20">
            <v>0.8529411764705882</v>
          </cell>
          <cell r="O20">
            <v>46113</v>
          </cell>
        </row>
        <row r="21">
          <cell r="A21" t="str">
            <v>JE0126</v>
          </cell>
          <cell r="E21">
            <v>130748</v>
          </cell>
          <cell r="I21">
            <v>46007</v>
          </cell>
          <cell r="J21">
            <v>46168</v>
          </cell>
          <cell r="M21">
            <v>0.72727272727272729</v>
          </cell>
          <cell r="N21">
            <v>0.63636363636363635</v>
          </cell>
          <cell r="O21">
            <v>46204</v>
          </cell>
        </row>
        <row r="22">
          <cell r="A22" t="str">
            <v>JE0326</v>
          </cell>
          <cell r="E22">
            <v>126386</v>
          </cell>
          <cell r="I22">
            <v>45923</v>
          </cell>
          <cell r="J22">
            <v>46031</v>
          </cell>
          <cell r="M22">
            <v>1</v>
          </cell>
          <cell r="N22">
            <v>1</v>
          </cell>
          <cell r="O22">
            <v>46071</v>
          </cell>
        </row>
        <row r="23">
          <cell r="A23" t="str">
            <v>JE0325</v>
          </cell>
          <cell r="E23">
            <v>158990</v>
          </cell>
          <cell r="I23">
            <v>45757</v>
          </cell>
          <cell r="J23">
            <v>46038</v>
          </cell>
          <cell r="M23">
            <v>1</v>
          </cell>
          <cell r="N23">
            <v>1</v>
          </cell>
          <cell r="O23">
            <v>46071</v>
          </cell>
        </row>
        <row r="24">
          <cell r="A24" t="str">
            <v>EF0226</v>
          </cell>
          <cell r="E24">
            <v>600868</v>
          </cell>
          <cell r="I24">
            <v>45962</v>
          </cell>
          <cell r="J24">
            <v>46142</v>
          </cell>
          <cell r="M24">
            <v>1</v>
          </cell>
          <cell r="N24">
            <v>1</v>
          </cell>
          <cell r="O24">
            <v>46174</v>
          </cell>
        </row>
        <row r="25">
          <cell r="A25" t="str">
            <v>EF0526</v>
          </cell>
          <cell r="E25">
            <v>72408</v>
          </cell>
          <cell r="I25">
            <v>46027</v>
          </cell>
          <cell r="J25">
            <v>46073</v>
          </cell>
          <cell r="M25">
            <v>1</v>
          </cell>
          <cell r="N25">
            <v>1</v>
          </cell>
          <cell r="O25">
            <v>46111</v>
          </cell>
        </row>
        <row r="26">
          <cell r="A26" t="str">
            <v>EF0126</v>
          </cell>
          <cell r="E26">
            <v>100602</v>
          </cell>
          <cell r="I26">
            <v>46006</v>
          </cell>
          <cell r="J26">
            <v>46160</v>
          </cell>
          <cell r="M26">
            <v>0.94758064516129037</v>
          </cell>
          <cell r="N26">
            <v>0.91666666666666663</v>
          </cell>
          <cell r="O26">
            <v>46174</v>
          </cell>
        </row>
        <row r="27">
          <cell r="A27" t="str">
            <v>EF0626</v>
          </cell>
          <cell r="E27">
            <v>63045.48</v>
          </cell>
          <cell r="I27">
            <v>46054</v>
          </cell>
          <cell r="J27">
            <v>46142</v>
          </cell>
          <cell r="M27">
            <v>0.98333333333333339</v>
          </cell>
          <cell r="N27">
            <v>1</v>
          </cell>
          <cell r="O27">
            <v>46143</v>
          </cell>
        </row>
        <row r="28">
          <cell r="A28" t="str">
            <v>JE0925</v>
          </cell>
          <cell r="E28">
            <v>46745</v>
          </cell>
          <cell r="I28">
            <v>45944</v>
          </cell>
          <cell r="J28">
            <v>46101</v>
          </cell>
          <cell r="M28">
            <v>0.95454545454545459</v>
          </cell>
          <cell r="N28">
            <v>0.90909090909090906</v>
          </cell>
          <cell r="O28">
            <v>46113</v>
          </cell>
        </row>
        <row r="29">
          <cell r="A29" t="str">
            <v>ES0126</v>
          </cell>
          <cell r="E29">
            <v>43500</v>
          </cell>
          <cell r="I29">
            <v>45933</v>
          </cell>
          <cell r="J29">
            <v>46010</v>
          </cell>
          <cell r="M29">
            <v>1</v>
          </cell>
          <cell r="N29">
            <v>1</v>
          </cell>
          <cell r="O29">
            <v>46038</v>
          </cell>
        </row>
        <row r="30">
          <cell r="A30" t="str">
            <v>JE1225</v>
          </cell>
          <cell r="E30">
            <v>22612.28</v>
          </cell>
          <cell r="I30">
            <v>46008</v>
          </cell>
          <cell r="J30">
            <v>46008</v>
          </cell>
          <cell r="M30">
            <v>1</v>
          </cell>
          <cell r="N30">
            <v>1</v>
          </cell>
          <cell r="O30">
            <v>46082</v>
          </cell>
        </row>
        <row r="31">
          <cell r="A31" t="str">
            <v>JE0526</v>
          </cell>
          <cell r="E31">
            <v>38087</v>
          </cell>
          <cell r="I31">
            <v>46056</v>
          </cell>
          <cell r="J31">
            <v>46101</v>
          </cell>
          <cell r="M31">
            <v>1</v>
          </cell>
          <cell r="N31">
            <v>1</v>
          </cell>
          <cell r="O31">
            <v>46098</v>
          </cell>
        </row>
        <row r="32">
          <cell r="A32" t="str">
            <v>JE1125</v>
          </cell>
          <cell r="E32">
            <v>14893</v>
          </cell>
          <cell r="I32">
            <v>45961</v>
          </cell>
          <cell r="J32">
            <v>45992</v>
          </cell>
          <cell r="M32">
            <v>1</v>
          </cell>
          <cell r="N32">
            <v>1</v>
          </cell>
          <cell r="O32">
            <v>46082</v>
          </cell>
        </row>
        <row r="33">
          <cell r="A33" t="str">
            <v>LJ0126</v>
          </cell>
          <cell r="E33">
            <v>56550.98</v>
          </cell>
          <cell r="I33">
            <v>45659</v>
          </cell>
          <cell r="J33">
            <v>45769</v>
          </cell>
          <cell r="M33">
            <v>1</v>
          </cell>
          <cell r="N33">
            <v>1</v>
          </cell>
          <cell r="O33">
            <v>46066</v>
          </cell>
        </row>
        <row r="34">
          <cell r="A34" t="str">
            <v>ES0125</v>
          </cell>
          <cell r="E34" t="str">
            <v>-</v>
          </cell>
          <cell r="I34">
            <v>45824</v>
          </cell>
          <cell r="J34">
            <v>46022</v>
          </cell>
          <cell r="M34">
            <v>0.8571428571428571</v>
          </cell>
          <cell r="N34">
            <v>0.8571428571428571</v>
          </cell>
          <cell r="O34" t="str">
            <v>-</v>
          </cell>
        </row>
        <row r="35">
          <cell r="A35" t="str">
            <v>ES0226</v>
          </cell>
          <cell r="E35">
            <v>8153.17</v>
          </cell>
          <cell r="I35">
            <v>46023</v>
          </cell>
          <cell r="J35">
            <v>46185</v>
          </cell>
          <cell r="M35">
            <v>0.88333333333333341</v>
          </cell>
          <cell r="N35">
            <v>0.88400000000000001</v>
          </cell>
          <cell r="O35" t="str">
            <v>-</v>
          </cell>
        </row>
        <row r="36">
          <cell r="A36" t="str">
            <v>ES0326</v>
          </cell>
          <cell r="E36">
            <v>9893.17</v>
          </cell>
          <cell r="I36">
            <v>46023</v>
          </cell>
          <cell r="J36">
            <v>46185</v>
          </cell>
          <cell r="M36">
            <v>0.88333333333333341</v>
          </cell>
          <cell r="N36">
            <v>0.88400000000000001</v>
          </cell>
          <cell r="O36" t="str">
            <v>-</v>
          </cell>
        </row>
        <row r="37">
          <cell r="A37" t="str">
            <v>ES0426</v>
          </cell>
          <cell r="E37">
            <v>10379.870000000001</v>
          </cell>
          <cell r="I37">
            <v>46023</v>
          </cell>
          <cell r="J37">
            <v>46080</v>
          </cell>
          <cell r="M37">
            <v>1</v>
          </cell>
          <cell r="N37">
            <v>1</v>
          </cell>
          <cell r="O37" t="str">
            <v>-</v>
          </cell>
        </row>
        <row r="38">
          <cell r="A38" t="str">
            <v>ES0225</v>
          </cell>
          <cell r="E38" t="str">
            <v>-</v>
          </cell>
          <cell r="I38">
            <v>45915</v>
          </cell>
          <cell r="J38">
            <v>46003</v>
          </cell>
          <cell r="M38">
            <v>1</v>
          </cell>
          <cell r="N38">
            <v>1</v>
          </cell>
          <cell r="O38" t="str">
            <v>-</v>
          </cell>
        </row>
        <row r="39">
          <cell r="A39" t="str">
            <v>LJ0226</v>
          </cell>
          <cell r="E39">
            <v>364573</v>
          </cell>
          <cell r="I39">
            <v>46045</v>
          </cell>
          <cell r="J39">
            <v>46247</v>
          </cell>
          <cell r="M39">
            <v>0.45238095238095238</v>
          </cell>
          <cell r="N39">
            <v>0.46666666666666662</v>
          </cell>
          <cell r="O39">
            <v>46204</v>
          </cell>
        </row>
        <row r="40">
          <cell r="A40" t="str">
            <v>LJ0726</v>
          </cell>
          <cell r="E40">
            <v>214329</v>
          </cell>
          <cell r="I40">
            <v>46083</v>
          </cell>
          <cell r="J40">
            <v>46127</v>
          </cell>
          <cell r="M40">
            <v>1</v>
          </cell>
          <cell r="N40">
            <v>1</v>
          </cell>
          <cell r="O40">
            <v>46113</v>
          </cell>
        </row>
        <row r="41">
          <cell r="A41" t="str">
            <v>LJ0426</v>
          </cell>
          <cell r="E41">
            <v>130308</v>
          </cell>
          <cell r="I41">
            <v>45599</v>
          </cell>
          <cell r="J41">
            <v>46154</v>
          </cell>
          <cell r="M41">
            <v>1</v>
          </cell>
          <cell r="N41">
            <v>1</v>
          </cell>
          <cell r="O41">
            <v>46235</v>
          </cell>
        </row>
        <row r="42">
          <cell r="A42" t="str">
            <v>LJ0526</v>
          </cell>
          <cell r="E42">
            <v>0</v>
          </cell>
          <cell r="I42">
            <v>45595</v>
          </cell>
          <cell r="J42">
            <v>46150</v>
          </cell>
          <cell r="M42">
            <v>1</v>
          </cell>
          <cell r="N42">
            <v>0.36</v>
          </cell>
          <cell r="O42" t="str">
            <v>-</v>
          </cell>
        </row>
        <row r="43">
          <cell r="A43" t="str">
            <v>CR0125</v>
          </cell>
          <cell r="E43">
            <v>2674685</v>
          </cell>
          <cell r="I43">
            <v>45905</v>
          </cell>
          <cell r="J43">
            <v>45947</v>
          </cell>
          <cell r="M43">
            <v>1</v>
          </cell>
          <cell r="N43">
            <v>1</v>
          </cell>
          <cell r="O43">
            <v>45992</v>
          </cell>
        </row>
        <row r="44">
          <cell r="A44" t="str">
            <v>JE0626</v>
          </cell>
          <cell r="E44">
            <v>83880.740000000005</v>
          </cell>
          <cell r="I44">
            <v>46163</v>
          </cell>
          <cell r="J44">
            <v>46199</v>
          </cell>
          <cell r="M44">
            <v>0.875</v>
          </cell>
          <cell r="N44">
            <v>1</v>
          </cell>
          <cell r="O44">
            <v>46174</v>
          </cell>
        </row>
        <row r="45">
          <cell r="A45" t="str">
            <v>JE0725</v>
          </cell>
          <cell r="E45">
            <v>3852.73</v>
          </cell>
          <cell r="I45">
            <v>45918</v>
          </cell>
          <cell r="J45">
            <v>46010</v>
          </cell>
          <cell r="M45">
            <v>1</v>
          </cell>
          <cell r="N45">
            <v>1</v>
          </cell>
          <cell r="O45">
            <v>46082</v>
          </cell>
        </row>
        <row r="46">
          <cell r="A46" t="str">
            <v>ES0126</v>
          </cell>
          <cell r="E46">
            <v>43500</v>
          </cell>
          <cell r="I46">
            <v>45933</v>
          </cell>
          <cell r="J46">
            <v>46010</v>
          </cell>
          <cell r="M46">
            <v>1</v>
          </cell>
          <cell r="N46">
            <v>1</v>
          </cell>
          <cell r="O46">
            <v>46038</v>
          </cell>
        </row>
        <row r="47">
          <cell r="A47" t="str">
            <v>VH0525</v>
          </cell>
          <cell r="E47" t="str">
            <v>-</v>
          </cell>
          <cell r="I47">
            <v>45810</v>
          </cell>
          <cell r="J47">
            <v>46111</v>
          </cell>
          <cell r="M47">
            <v>0.92592592592592593</v>
          </cell>
          <cell r="N47">
            <v>0.92571428571428582</v>
          </cell>
          <cell r="O47">
            <v>46113</v>
          </cell>
        </row>
        <row r="48">
          <cell r="A48" t="str">
            <v>VH1225</v>
          </cell>
          <cell r="E48" t="str">
            <v>-</v>
          </cell>
          <cell r="I48">
            <v>45852</v>
          </cell>
          <cell r="J48">
            <v>46285</v>
          </cell>
          <cell r="M48">
            <v>8.3333333333333329E-2</v>
          </cell>
          <cell r="N48">
            <v>9.9999999999999992E-2</v>
          </cell>
          <cell r="O48" t="str">
            <v>-</v>
          </cell>
        </row>
        <row r="49">
          <cell r="A49" t="str">
            <v>VH0825</v>
          </cell>
          <cell r="E49" t="str">
            <v>-</v>
          </cell>
          <cell r="I49">
            <v>45748</v>
          </cell>
          <cell r="J49">
            <v>46263</v>
          </cell>
          <cell r="M49">
            <v>0.66666666666666663</v>
          </cell>
          <cell r="N49">
            <v>0.75</v>
          </cell>
          <cell r="O49" t="str">
            <v>-</v>
          </cell>
        </row>
        <row r="50">
          <cell r="A50" t="str">
            <v>VH1325</v>
          </cell>
          <cell r="E50">
            <v>500000</v>
          </cell>
          <cell r="I50">
            <v>45855</v>
          </cell>
          <cell r="J50">
            <v>46099</v>
          </cell>
          <cell r="M50">
            <v>0.76470588235294112</v>
          </cell>
          <cell r="N50">
            <v>0.76470588235294112</v>
          </cell>
          <cell r="O50">
            <v>46327</v>
          </cell>
        </row>
        <row r="51">
          <cell r="A51" t="str">
            <v>VH0125</v>
          </cell>
          <cell r="E51">
            <v>317391</v>
          </cell>
          <cell r="I51">
            <v>45810</v>
          </cell>
          <cell r="J51">
            <v>45933</v>
          </cell>
          <cell r="M51">
            <v>1</v>
          </cell>
          <cell r="N51">
            <v>1</v>
          </cell>
          <cell r="O51">
            <v>46082</v>
          </cell>
        </row>
        <row r="52">
          <cell r="A52" t="str">
            <v>VH1425</v>
          </cell>
          <cell r="E52">
            <v>0</v>
          </cell>
          <cell r="I52">
            <v>45859</v>
          </cell>
          <cell r="J52">
            <v>45933</v>
          </cell>
          <cell r="M52">
            <v>0.55555555555555558</v>
          </cell>
          <cell r="N52">
            <v>0.55500000000000005</v>
          </cell>
          <cell r="O52">
            <v>45931</v>
          </cell>
        </row>
        <row r="53">
          <cell r="A53" t="str">
            <v>VH0126</v>
          </cell>
          <cell r="E53">
            <v>0</v>
          </cell>
          <cell r="I53">
            <v>46077</v>
          </cell>
          <cell r="J53">
            <v>46094</v>
          </cell>
          <cell r="M53">
            <v>0.5</v>
          </cell>
          <cell r="N53">
            <v>0.67500000000000004</v>
          </cell>
          <cell r="O53">
            <v>46296</v>
          </cell>
        </row>
        <row r="54">
          <cell r="A54" t="str">
            <v>VH0226</v>
          </cell>
          <cell r="I54">
            <v>46087</v>
          </cell>
          <cell r="J54">
            <v>46094</v>
          </cell>
          <cell r="M54">
            <v>0.22222222222222221</v>
          </cell>
          <cell r="N54">
            <v>0.22222222222222221</v>
          </cell>
          <cell r="O54">
            <v>46266</v>
          </cell>
        </row>
        <row r="55">
          <cell r="A55" t="str">
            <v>DN0825</v>
          </cell>
          <cell r="E55">
            <v>372095</v>
          </cell>
          <cell r="I55">
            <v>45882</v>
          </cell>
          <cell r="J55">
            <v>46220</v>
          </cell>
          <cell r="M55">
            <v>0.88</v>
          </cell>
          <cell r="N55">
            <v>0.88</v>
          </cell>
          <cell r="O55">
            <v>46222</v>
          </cell>
        </row>
        <row r="56">
          <cell r="A56" t="str">
            <v>DN1525</v>
          </cell>
          <cell r="E56">
            <v>219761</v>
          </cell>
          <cell r="I56">
            <v>46045</v>
          </cell>
          <cell r="J56">
            <v>46153</v>
          </cell>
          <cell r="M56">
            <v>1</v>
          </cell>
          <cell r="N56">
            <v>1</v>
          </cell>
          <cell r="O56">
            <v>46097</v>
          </cell>
        </row>
        <row r="57">
          <cell r="A57" t="str">
            <v>DN0625</v>
          </cell>
          <cell r="E57">
            <v>35000</v>
          </cell>
          <cell r="I57">
            <v>45729</v>
          </cell>
          <cell r="J57">
            <v>46359</v>
          </cell>
          <cell r="M57">
            <v>0.60606060606060608</v>
          </cell>
          <cell r="N57">
            <v>0.60606060606060608</v>
          </cell>
          <cell r="O57">
            <v>46366</v>
          </cell>
        </row>
        <row r="58">
          <cell r="A58" t="str">
            <v>DN1125</v>
          </cell>
          <cell r="E58">
            <v>112000</v>
          </cell>
          <cell r="I58">
            <v>45898</v>
          </cell>
          <cell r="J58">
            <v>46366</v>
          </cell>
          <cell r="M58">
            <v>0.7142857142857143</v>
          </cell>
          <cell r="N58">
            <v>0.7142857142857143</v>
          </cell>
          <cell r="O58">
            <v>46300</v>
          </cell>
        </row>
        <row r="59">
          <cell r="A59" t="str">
            <v>DN0126</v>
          </cell>
          <cell r="E59">
            <v>100000</v>
          </cell>
          <cell r="I59">
            <v>45992</v>
          </cell>
          <cell r="J59">
            <v>46279</v>
          </cell>
          <cell r="M59">
            <v>0.31818181818181818</v>
          </cell>
          <cell r="N59">
            <v>0.31818181818181818</v>
          </cell>
          <cell r="O59">
            <v>46279</v>
          </cell>
        </row>
        <row r="60">
          <cell r="A60" t="str">
            <v>DN1325</v>
          </cell>
          <cell r="E60">
            <v>29825</v>
          </cell>
          <cell r="I60">
            <v>45845</v>
          </cell>
          <cell r="J60">
            <v>46159</v>
          </cell>
          <cell r="M60">
            <v>1</v>
          </cell>
          <cell r="N60">
            <v>1</v>
          </cell>
          <cell r="O60">
            <v>46249</v>
          </cell>
        </row>
        <row r="61">
          <cell r="A61" t="str">
            <v>DN0226</v>
          </cell>
          <cell r="E61">
            <v>150000</v>
          </cell>
          <cell r="I61">
            <v>46027</v>
          </cell>
          <cell r="J61">
            <v>46264</v>
          </cell>
          <cell r="M61">
            <v>0.61538461538461542</v>
          </cell>
          <cell r="N61">
            <v>0.61538461538461542</v>
          </cell>
          <cell r="O61">
            <v>46293</v>
          </cell>
        </row>
        <row r="62">
          <cell r="A62" t="str">
            <v>DN0425</v>
          </cell>
          <cell r="E62">
            <v>155799</v>
          </cell>
          <cell r="I62">
            <v>45792</v>
          </cell>
          <cell r="J62">
            <v>45982</v>
          </cell>
          <cell r="M62">
            <v>1</v>
          </cell>
          <cell r="N62">
            <v>1</v>
          </cell>
          <cell r="O62">
            <v>46072</v>
          </cell>
        </row>
        <row r="63">
          <cell r="A63" t="str">
            <v>DN0426</v>
          </cell>
          <cell r="E63">
            <v>39383</v>
          </cell>
          <cell r="I63">
            <v>46045</v>
          </cell>
          <cell r="J63">
            <v>46099</v>
          </cell>
          <cell r="M63">
            <v>1</v>
          </cell>
          <cell r="N63">
            <v>1</v>
          </cell>
          <cell r="O63">
            <v>46101</v>
          </cell>
        </row>
        <row r="64">
          <cell r="A64" t="str">
            <v>DN0526</v>
          </cell>
          <cell r="E64">
            <v>100871</v>
          </cell>
          <cell r="I64">
            <v>46056</v>
          </cell>
          <cell r="J64">
            <v>46201</v>
          </cell>
          <cell r="M64">
            <v>0.7</v>
          </cell>
          <cell r="N64">
            <v>0.65</v>
          </cell>
          <cell r="O64">
            <v>46204</v>
          </cell>
        </row>
        <row r="65">
          <cell r="A65" t="str">
            <v>DN0726</v>
          </cell>
          <cell r="E65">
            <v>49053</v>
          </cell>
          <cell r="I65">
            <v>46045</v>
          </cell>
          <cell r="J65">
            <v>46148</v>
          </cell>
          <cell r="M65">
            <v>0.88</v>
          </cell>
          <cell r="N65">
            <v>0.88</v>
          </cell>
          <cell r="O65">
            <v>46148</v>
          </cell>
        </row>
        <row r="66">
          <cell r="A66" t="str">
            <v>DN0826</v>
          </cell>
          <cell r="E66">
            <v>624848</v>
          </cell>
          <cell r="I66">
            <v>46146</v>
          </cell>
          <cell r="J66">
            <v>46366</v>
          </cell>
          <cell r="M66">
            <v>0.65217391304347827</v>
          </cell>
          <cell r="N66">
            <v>0.65217391304347827</v>
          </cell>
          <cell r="O66">
            <v>46371</v>
          </cell>
        </row>
      </sheetData>
      <sheetData sheetId="1"/>
      <sheetData sheetId="2"/>
      <sheetData sheetId="3"/>
      <sheetData sheetId="4"/>
      <sheetData sheetId="5"/>
      <sheetData sheetId="6">
        <row r="3">
          <cell r="A3" t="str">
            <v>PROJETO</v>
          </cell>
          <cell r="J3" t="str">
            <v>Prazo Fechamento Projeto</v>
          </cell>
        </row>
        <row r="4">
          <cell r="A4" t="str">
            <v>LJ0225</v>
          </cell>
          <cell r="J4">
            <v>46132</v>
          </cell>
        </row>
        <row r="5">
          <cell r="A5" t="str">
            <v>LJ0226</v>
          </cell>
          <cell r="J5">
            <v>46216</v>
          </cell>
        </row>
        <row r="6">
          <cell r="A6" t="str">
            <v>LJ0126</v>
          </cell>
          <cell r="J6">
            <v>45769</v>
          </cell>
        </row>
        <row r="7">
          <cell r="A7" t="str">
            <v>CR0125</v>
          </cell>
          <cell r="J7">
            <v>45947</v>
          </cell>
        </row>
        <row r="8">
          <cell r="A8" t="str">
            <v>LJ0926</v>
          </cell>
          <cell r="J8">
            <v>46185</v>
          </cell>
        </row>
        <row r="9">
          <cell r="A9" t="str">
            <v>LJ0726</v>
          </cell>
          <cell r="J9">
            <v>46127</v>
          </cell>
        </row>
        <row r="10">
          <cell r="A10" t="str">
            <v>LJ0426</v>
          </cell>
          <cell r="J10">
            <v>46154</v>
          </cell>
        </row>
        <row r="11">
          <cell r="A11" t="str">
            <v>LJ0526</v>
          </cell>
          <cell r="J11">
            <v>46150</v>
          </cell>
        </row>
      </sheetData>
      <sheetData sheetId="7"/>
      <sheetData sheetId="8"/>
      <sheetData sheetId="9">
        <row r="3">
          <cell r="A3" t="str">
            <v>PROJETO</v>
          </cell>
          <cell r="I3" t="str">
            <v>Prazo Início Projeto</v>
          </cell>
          <cell r="M3" t="str">
            <v>Progresso previsto (%)</v>
          </cell>
          <cell r="N3" t="str">
            <v>Progresso realizado (%)</v>
          </cell>
        </row>
        <row r="4">
          <cell r="A4" t="str">
            <v>TS0225</v>
          </cell>
          <cell r="I4">
            <v>45833</v>
          </cell>
          <cell r="M4">
            <v>1</v>
          </cell>
          <cell r="N4">
            <v>1</v>
          </cell>
        </row>
        <row r="5">
          <cell r="A5" t="str">
            <v>DN0125</v>
          </cell>
          <cell r="I5">
            <v>45792</v>
          </cell>
          <cell r="M5" t="e">
            <v>#REF!</v>
          </cell>
          <cell r="N5" t="e">
            <v>#REF!</v>
          </cell>
        </row>
        <row r="6">
          <cell r="A6" t="str">
            <v>JE0525</v>
          </cell>
          <cell r="I6">
            <v>45748</v>
          </cell>
          <cell r="M6">
            <v>1</v>
          </cell>
          <cell r="N6">
            <v>1</v>
          </cell>
        </row>
        <row r="7">
          <cell r="A7" t="str">
            <v>VH0925</v>
          </cell>
          <cell r="I7">
            <v>45813</v>
          </cell>
          <cell r="M7">
            <v>1</v>
          </cell>
          <cell r="N7">
            <v>1</v>
          </cell>
        </row>
        <row r="8">
          <cell r="A8" t="str">
            <v>EM0125</v>
          </cell>
          <cell r="I8">
            <v>45758</v>
          </cell>
          <cell r="M8">
            <v>0.50769230769230766</v>
          </cell>
          <cell r="N8">
            <v>0.46153846153846156</v>
          </cell>
        </row>
        <row r="9">
          <cell r="A9" t="str">
            <v>TS0125</v>
          </cell>
          <cell r="I9">
            <v>45779</v>
          </cell>
          <cell r="M9">
            <v>1</v>
          </cell>
          <cell r="N9">
            <v>1</v>
          </cell>
        </row>
        <row r="10">
          <cell r="A10" t="str">
            <v>VH1625</v>
          </cell>
          <cell r="I10">
            <v>45880</v>
          </cell>
          <cell r="M10">
            <v>1</v>
          </cell>
          <cell r="N10">
            <v>1</v>
          </cell>
        </row>
        <row r="11">
          <cell r="A11" t="str">
            <v>VH1725</v>
          </cell>
          <cell r="I11">
            <v>45880</v>
          </cell>
          <cell r="M11" t="str">
            <v>elo</v>
          </cell>
          <cell r="N11">
            <v>1</v>
          </cell>
        </row>
        <row r="12">
          <cell r="A12" t="str">
            <v>JE1025</v>
          </cell>
          <cell r="I12">
            <v>45968</v>
          </cell>
          <cell r="M12">
            <v>1</v>
          </cell>
          <cell r="N12">
            <v>1</v>
          </cell>
        </row>
        <row r="13">
          <cell r="A13" t="str">
            <v>VH1525</v>
          </cell>
          <cell r="I13">
            <v>45847</v>
          </cell>
          <cell r="M13">
            <v>1</v>
          </cell>
          <cell r="N13">
            <v>1</v>
          </cell>
        </row>
        <row r="14">
          <cell r="A14" t="str">
            <v>DN1025</v>
          </cell>
          <cell r="I14">
            <v>45915</v>
          </cell>
          <cell r="M14">
            <v>0.90909090909090906</v>
          </cell>
          <cell r="N14">
            <v>1</v>
          </cell>
        </row>
        <row r="15">
          <cell r="A15" t="str">
            <v>VH0225</v>
          </cell>
          <cell r="I15">
            <v>45741</v>
          </cell>
          <cell r="M15">
            <v>1</v>
          </cell>
          <cell r="N15">
            <v>1</v>
          </cell>
        </row>
        <row r="16">
          <cell r="A16" t="str">
            <v>LJ0125</v>
          </cell>
          <cell r="I16">
            <v>45659</v>
          </cell>
          <cell r="M16">
            <v>1</v>
          </cell>
          <cell r="N16">
            <v>1</v>
          </cell>
        </row>
        <row r="17">
          <cell r="A17" t="str">
            <v>DN0225</v>
          </cell>
          <cell r="I17">
            <v>45852</v>
          </cell>
          <cell r="M17">
            <v>1</v>
          </cell>
          <cell r="N17">
            <v>1</v>
          </cell>
        </row>
        <row r="18">
          <cell r="A18" t="str">
            <v>EF0125</v>
          </cell>
          <cell r="I18">
            <v>45817</v>
          </cell>
          <cell r="M18">
            <v>1</v>
          </cell>
          <cell r="N18">
            <v>1</v>
          </cell>
        </row>
        <row r="19">
          <cell r="A19" t="str">
            <v>JE0325</v>
          </cell>
          <cell r="I19">
            <v>45757</v>
          </cell>
          <cell r="M19">
            <v>1</v>
          </cell>
          <cell r="N19">
            <v>1</v>
          </cell>
        </row>
        <row r="20">
          <cell r="A20" t="str">
            <v>DN0325</v>
          </cell>
          <cell r="I20">
            <v>45839</v>
          </cell>
          <cell r="M20">
            <v>1</v>
          </cell>
          <cell r="N20">
            <v>1</v>
          </cell>
        </row>
        <row r="21">
          <cell r="A21" t="str">
            <v>EF0225</v>
          </cell>
          <cell r="I21">
            <v>45748</v>
          </cell>
          <cell r="M21">
            <v>1</v>
          </cell>
          <cell r="N21">
            <v>1</v>
          </cell>
        </row>
        <row r="22">
          <cell r="A22" t="str">
            <v>JE0225</v>
          </cell>
          <cell r="I22">
            <v>45763</v>
          </cell>
          <cell r="M22">
            <v>1</v>
          </cell>
          <cell r="N22">
            <v>1</v>
          </cell>
        </row>
        <row r="23">
          <cell r="A23" t="str">
            <v>VH0725</v>
          </cell>
          <cell r="I23">
            <v>45748</v>
          </cell>
          <cell r="M23">
            <v>1</v>
          </cell>
          <cell r="N23">
            <v>1</v>
          </cell>
        </row>
        <row r="24">
          <cell r="A24" t="str">
            <v>VH0625</v>
          </cell>
          <cell r="I24">
            <v>45659</v>
          </cell>
          <cell r="M24">
            <v>1</v>
          </cell>
          <cell r="N24">
            <v>1</v>
          </cell>
        </row>
        <row r="25">
          <cell r="A25" t="str">
            <v>VH0325</v>
          </cell>
          <cell r="I25">
            <v>45810</v>
          </cell>
          <cell r="M25">
            <v>0.8</v>
          </cell>
          <cell r="N25">
            <v>0.72499999999999998</v>
          </cell>
        </row>
        <row r="26">
          <cell r="A26" t="str">
            <v>VH0425</v>
          </cell>
          <cell r="I26">
            <v>45810</v>
          </cell>
          <cell r="M26">
            <v>0.83333333333333337</v>
          </cell>
          <cell r="N26">
            <v>0.77124999999999999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lhamento"/>
      <sheetName val="Aline"/>
      <sheetName val="Diogo"/>
      <sheetName val="Eraldo"/>
      <sheetName val="Jean"/>
      <sheetName val="Elenice"/>
      <sheetName val="Lucas"/>
      <sheetName val="Thiago"/>
      <sheetName val="Vitor"/>
      <sheetName val="CONCLUIDO E IMPLANTADO-CANCELAD"/>
    </sheetNames>
    <sheetDataSet>
      <sheetData sheetId="0">
        <row r="3">
          <cell r="A3" t="str">
            <v>PROJETO</v>
          </cell>
          <cell r="O3" t="str">
            <v>Início da Implementação de Redução</v>
          </cell>
        </row>
        <row r="4">
          <cell r="A4" t="str">
            <v>AG0125</v>
          </cell>
          <cell r="O4" t="str">
            <v>-</v>
          </cell>
        </row>
        <row r="5">
          <cell r="A5" t="str">
            <v>AG0225</v>
          </cell>
          <cell r="O5">
            <v>46113</v>
          </cell>
        </row>
        <row r="6">
          <cell r="A6" t="str">
            <v>EF0325</v>
          </cell>
          <cell r="O6">
            <v>46157</v>
          </cell>
        </row>
        <row r="7">
          <cell r="A7" t="str">
            <v>JE0625</v>
          </cell>
          <cell r="O7">
            <v>46569</v>
          </cell>
        </row>
        <row r="8">
          <cell r="A8" t="str">
            <v>JE0226</v>
          </cell>
          <cell r="O8">
            <v>46235</v>
          </cell>
        </row>
        <row r="9">
          <cell r="A9" t="str">
            <v>JE0426</v>
          </cell>
          <cell r="O9">
            <v>46568</v>
          </cell>
        </row>
        <row r="10">
          <cell r="A10" t="str">
            <v>LJ0225</v>
          </cell>
          <cell r="O10">
            <v>46174</v>
          </cell>
        </row>
        <row r="11">
          <cell r="A11" t="str">
            <v>EF0326</v>
          </cell>
          <cell r="O11">
            <v>46569</v>
          </cell>
        </row>
        <row r="12">
          <cell r="A12" t="str">
            <v>JE0425</v>
          </cell>
          <cell r="O12">
            <v>46204</v>
          </cell>
        </row>
        <row r="13">
          <cell r="A13" t="str">
            <v>TS0325</v>
          </cell>
          <cell r="O13" t="str">
            <v>-</v>
          </cell>
        </row>
        <row r="14">
          <cell r="A14" t="str">
            <v>TS0126</v>
          </cell>
          <cell r="O14">
            <v>46311</v>
          </cell>
        </row>
        <row r="15">
          <cell r="A15" t="str">
            <v>TS0226</v>
          </cell>
          <cell r="O15">
            <v>46174</v>
          </cell>
        </row>
        <row r="16">
          <cell r="A16" t="str">
            <v>JE0825</v>
          </cell>
          <cell r="O16">
            <v>46174</v>
          </cell>
        </row>
        <row r="17">
          <cell r="A17" t="str">
            <v>EF0426</v>
          </cell>
          <cell r="O17">
            <v>46357</v>
          </cell>
        </row>
        <row r="18">
          <cell r="A18" t="str">
            <v>JE0125</v>
          </cell>
          <cell r="O18">
            <v>46113</v>
          </cell>
        </row>
        <row r="19">
          <cell r="A19" t="str">
            <v>JE0126</v>
          </cell>
          <cell r="O19">
            <v>46204</v>
          </cell>
        </row>
        <row r="20">
          <cell r="A20" t="str">
            <v>JE0326</v>
          </cell>
          <cell r="O20">
            <v>46071</v>
          </cell>
        </row>
        <row r="21">
          <cell r="A21" t="str">
            <v>JE0325</v>
          </cell>
          <cell r="O21">
            <v>46071</v>
          </cell>
        </row>
        <row r="22">
          <cell r="A22" t="str">
            <v>EF0226</v>
          </cell>
          <cell r="O22">
            <v>46174</v>
          </cell>
        </row>
        <row r="23">
          <cell r="A23" t="str">
            <v>EF0526</v>
          </cell>
          <cell r="O23">
            <v>46111</v>
          </cell>
        </row>
        <row r="24">
          <cell r="A24" t="str">
            <v>EF0126</v>
          </cell>
          <cell r="O24">
            <v>46174</v>
          </cell>
        </row>
        <row r="25">
          <cell r="A25" t="str">
            <v>EF0626</v>
          </cell>
          <cell r="O25">
            <v>46143</v>
          </cell>
        </row>
        <row r="26">
          <cell r="A26" t="str">
            <v>JE0925</v>
          </cell>
          <cell r="O26">
            <v>46113</v>
          </cell>
        </row>
        <row r="27">
          <cell r="A27" t="str">
            <v>ES0126</v>
          </cell>
          <cell r="O27">
            <v>46038</v>
          </cell>
        </row>
        <row r="28">
          <cell r="A28" t="str">
            <v>JE1225</v>
          </cell>
          <cell r="O28">
            <v>46082</v>
          </cell>
        </row>
        <row r="29">
          <cell r="A29" t="str">
            <v>JE0526</v>
          </cell>
          <cell r="O29">
            <v>46098</v>
          </cell>
        </row>
        <row r="30">
          <cell r="A30" t="str">
            <v>JE1125</v>
          </cell>
          <cell r="O30">
            <v>46082</v>
          </cell>
        </row>
        <row r="31">
          <cell r="A31" t="str">
            <v>LJ0126</v>
          </cell>
          <cell r="O31">
            <v>46066</v>
          </cell>
        </row>
        <row r="32">
          <cell r="A32" t="str">
            <v>ES0125</v>
          </cell>
          <cell r="O32" t="str">
            <v>-</v>
          </cell>
        </row>
        <row r="33">
          <cell r="A33" t="str">
            <v>ES0226</v>
          </cell>
          <cell r="O33" t="str">
            <v>-</v>
          </cell>
        </row>
        <row r="34">
          <cell r="A34" t="str">
            <v>ES0326</v>
          </cell>
          <cell r="O34" t="str">
            <v>-</v>
          </cell>
        </row>
        <row r="35">
          <cell r="A35" t="str">
            <v>ES0426</v>
          </cell>
          <cell r="O35" t="str">
            <v>-</v>
          </cell>
        </row>
        <row r="36">
          <cell r="A36" t="str">
            <v>ES0225</v>
          </cell>
          <cell r="O36" t="str">
            <v>-</v>
          </cell>
        </row>
        <row r="37">
          <cell r="A37" t="str">
            <v>LJ0226</v>
          </cell>
          <cell r="O37">
            <v>46204</v>
          </cell>
        </row>
        <row r="38">
          <cell r="A38" t="str">
            <v>LJ0726</v>
          </cell>
          <cell r="O38">
            <v>46113</v>
          </cell>
        </row>
        <row r="39">
          <cell r="A39" t="str">
            <v>CR0125</v>
          </cell>
          <cell r="O39">
            <v>45992</v>
          </cell>
        </row>
        <row r="40">
          <cell r="A40" t="str">
            <v>JE0626</v>
          </cell>
          <cell r="O40">
            <v>46266</v>
          </cell>
        </row>
        <row r="41">
          <cell r="A41" t="str">
            <v>JE0725</v>
          </cell>
          <cell r="O41">
            <v>46082</v>
          </cell>
        </row>
        <row r="42">
          <cell r="A42" t="str">
            <v>ES0126</v>
          </cell>
          <cell r="O42">
            <v>46038</v>
          </cell>
        </row>
        <row r="43">
          <cell r="A43" t="str">
            <v>VH0525</v>
          </cell>
          <cell r="O43">
            <v>46113</v>
          </cell>
        </row>
        <row r="44">
          <cell r="A44" t="str">
            <v>VH1225</v>
          </cell>
          <cell r="O44" t="str">
            <v>-</v>
          </cell>
        </row>
        <row r="45">
          <cell r="A45" t="str">
            <v>VH0825</v>
          </cell>
          <cell r="O45" t="str">
            <v>-</v>
          </cell>
        </row>
        <row r="46">
          <cell r="A46" t="str">
            <v>VH1325</v>
          </cell>
          <cell r="O46">
            <v>46327</v>
          </cell>
        </row>
        <row r="47">
          <cell r="A47" t="str">
            <v>VH0125</v>
          </cell>
          <cell r="O47">
            <v>46082</v>
          </cell>
        </row>
        <row r="48">
          <cell r="A48" t="str">
            <v>VH1425</v>
          </cell>
          <cell r="O48">
            <v>45931</v>
          </cell>
        </row>
        <row r="49">
          <cell r="A49" t="str">
            <v>VH0126</v>
          </cell>
          <cell r="O49">
            <v>46296</v>
          </cell>
        </row>
        <row r="50">
          <cell r="A50" t="str">
            <v>VH0226</v>
          </cell>
          <cell r="O50">
            <v>46266</v>
          </cell>
        </row>
        <row r="51">
          <cell r="A51" t="str">
            <v>DN0825</v>
          </cell>
          <cell r="O51">
            <v>46222</v>
          </cell>
        </row>
        <row r="52">
          <cell r="A52" t="str">
            <v>DN1525</v>
          </cell>
          <cell r="O52">
            <v>46097</v>
          </cell>
        </row>
        <row r="53">
          <cell r="A53" t="str">
            <v>DN0625</v>
          </cell>
          <cell r="O53">
            <v>46366</v>
          </cell>
        </row>
        <row r="54">
          <cell r="A54" t="str">
            <v>DN1125</v>
          </cell>
          <cell r="O54">
            <v>46300</v>
          </cell>
        </row>
        <row r="55">
          <cell r="A55" t="str">
            <v>DN0126</v>
          </cell>
          <cell r="O55">
            <v>46279</v>
          </cell>
        </row>
        <row r="56">
          <cell r="A56" t="str">
            <v>DN1325</v>
          </cell>
          <cell r="O56">
            <v>46249</v>
          </cell>
        </row>
        <row r="57">
          <cell r="A57" t="str">
            <v>DN0226</v>
          </cell>
          <cell r="O57">
            <v>46293</v>
          </cell>
        </row>
        <row r="58">
          <cell r="A58" t="str">
            <v>DN0425</v>
          </cell>
          <cell r="O58">
            <v>46072</v>
          </cell>
        </row>
        <row r="59">
          <cell r="A59" t="str">
            <v>DN0426</v>
          </cell>
          <cell r="O59">
            <v>46101</v>
          </cell>
        </row>
        <row r="60">
          <cell r="A60" t="str">
            <v>DN0526</v>
          </cell>
          <cell r="O60">
            <v>46204</v>
          </cell>
        </row>
        <row r="61">
          <cell r="A61" t="str">
            <v>DN0726</v>
          </cell>
          <cell r="O61">
            <v>46148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SWOT"/>
      <sheetName val="Dados"/>
      <sheetName val="Gráficos"/>
      <sheetName val="Planilha1"/>
      <sheetName val="Transferência_Terceirização"/>
    </sheetNames>
    <sheetDataSet>
      <sheetData sheetId="0"/>
      <sheetData sheetId="1">
        <row r="5">
          <cell r="I5">
            <v>1</v>
          </cell>
          <cell r="J5">
            <v>1</v>
          </cell>
        </row>
        <row r="6">
          <cell r="I6">
            <v>1</v>
          </cell>
          <cell r="J6">
            <v>1</v>
          </cell>
        </row>
        <row r="7">
          <cell r="I7">
            <v>1</v>
          </cell>
          <cell r="J7">
            <v>1</v>
          </cell>
        </row>
        <row r="8">
          <cell r="I8">
            <v>0.95161290322580649</v>
          </cell>
          <cell r="J8">
            <v>0.95</v>
          </cell>
        </row>
        <row r="9">
          <cell r="I9">
            <v>0</v>
          </cell>
          <cell r="J9">
            <v>0</v>
          </cell>
        </row>
      </sheetData>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utura"/>
    </sheetNames>
    <sheetDataSet>
      <sheetData sheetId="0">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0.59883720930232553</v>
          </cell>
          <cell r="J11">
            <v>0</v>
          </cell>
        </row>
        <row r="12">
          <cell r="I12">
            <v>1</v>
          </cell>
          <cell r="J12">
            <v>1</v>
          </cell>
        </row>
        <row r="13">
          <cell r="I13">
            <v>0</v>
          </cell>
          <cell r="J13">
            <v>0</v>
          </cell>
        </row>
        <row r="14">
          <cell r="I14">
            <v>1</v>
          </cell>
          <cell r="J14">
            <v>1</v>
          </cell>
        </row>
        <row r="15">
          <cell r="I15">
            <v>1</v>
          </cell>
          <cell r="J15">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sheetData>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0.83783783783783783</v>
          </cell>
          <cell r="J10">
            <v>0.82</v>
          </cell>
        </row>
        <row r="11">
          <cell r="I11">
            <v>0</v>
          </cell>
          <cell r="J11">
            <v>0</v>
          </cell>
        </row>
        <row r="12">
          <cell r="I12">
            <v>0.75</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v>0</v>
          </cell>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1</v>
          </cell>
          <cell r="J13">
            <v>1</v>
          </cell>
        </row>
        <row r="14">
          <cell r="I14">
            <v>1</v>
          </cell>
          <cell r="J14">
            <v>1</v>
          </cell>
        </row>
        <row r="15">
          <cell r="I15">
            <v>1</v>
          </cell>
          <cell r="J15">
            <v>1</v>
          </cell>
        </row>
        <row r="16">
          <cell r="I16">
            <v>1</v>
          </cell>
          <cell r="J16">
            <v>1</v>
          </cell>
        </row>
      </sheetData>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0</v>
          </cell>
        </row>
        <row r="10">
          <cell r="I10">
            <v>1</v>
          </cell>
          <cell r="J10">
            <v>0</v>
          </cell>
        </row>
        <row r="11">
          <cell r="I11">
            <v>1</v>
          </cell>
          <cell r="J11">
            <v>0</v>
          </cell>
        </row>
        <row r="12">
          <cell r="I12">
            <v>1</v>
          </cell>
          <cell r="J12">
            <v>0</v>
          </cell>
        </row>
        <row r="13">
          <cell r="I13">
            <v>1</v>
          </cell>
          <cell r="J13">
            <v>0</v>
          </cell>
        </row>
        <row r="14">
          <cell r="I14">
            <v>1</v>
          </cell>
          <cell r="J14">
            <v>0</v>
          </cell>
        </row>
        <row r="15">
          <cell r="I15">
            <v>0</v>
          </cell>
          <cell r="J15">
            <v>0</v>
          </cell>
        </row>
      </sheetData>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0</v>
          </cell>
          <cell r="J5">
            <v>0</v>
          </cell>
        </row>
        <row r="6">
          <cell r="I6">
            <v>0</v>
          </cell>
          <cell r="J6">
            <v>0</v>
          </cell>
        </row>
        <row r="7">
          <cell r="I7">
            <v>0</v>
          </cell>
          <cell r="J7">
            <v>0</v>
          </cell>
        </row>
        <row r="8">
          <cell r="I8">
            <v>0</v>
          </cell>
          <cell r="J8">
            <v>0</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sheetData>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Indicadores Projeto"/>
      <sheetName val="Memoria de Calculo"/>
      <sheetName val="Entrada de material "/>
      <sheetName val="Transferência_Terceirização"/>
    </sheetNames>
    <sheetDataSet>
      <sheetData sheetId="0"/>
      <sheetData sheetId="1">
        <row r="5">
          <cell r="J5">
            <v>1</v>
          </cell>
        </row>
        <row r="6">
          <cell r="J6">
            <v>1</v>
          </cell>
        </row>
        <row r="7">
          <cell r="J7">
            <v>1</v>
          </cell>
        </row>
        <row r="8">
          <cell r="I8">
            <v>1</v>
          </cell>
          <cell r="J8">
            <v>1</v>
          </cell>
        </row>
        <row r="9">
          <cell r="I9">
            <v>1</v>
          </cell>
          <cell r="J9">
            <v>1</v>
          </cell>
        </row>
        <row r="10">
          <cell r="I10">
            <v>1</v>
          </cell>
          <cell r="J10">
            <v>1</v>
          </cell>
        </row>
        <row r="11">
          <cell r="I11">
            <v>1</v>
          </cell>
          <cell r="J11">
            <v>1</v>
          </cell>
        </row>
        <row r="12">
          <cell r="I12">
            <v>0</v>
          </cell>
          <cell r="J12"/>
        </row>
        <row r="13">
          <cell r="I13">
            <v>0</v>
          </cell>
          <cell r="J13">
            <v>0</v>
          </cell>
        </row>
        <row r="14">
          <cell r="I14">
            <v>0</v>
          </cell>
          <cell r="J14">
            <v>0</v>
          </cell>
        </row>
        <row r="15">
          <cell r="I15">
            <v>0</v>
          </cell>
          <cell r="J15">
            <v>0</v>
          </cell>
        </row>
        <row r="16">
          <cell r="I16">
            <v>0</v>
          </cell>
          <cell r="J16">
            <v>0</v>
          </cell>
        </row>
        <row r="17">
          <cell r="I17">
            <v>0</v>
          </cell>
          <cell r="J17">
            <v>0</v>
          </cell>
        </row>
      </sheetData>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Graficos"/>
    </sheetNames>
    <sheetDataSet>
      <sheetData sheetId="0"/>
      <sheetData sheetId="1">
        <row r="18">
          <cell r="I18">
            <v>1</v>
          </cell>
          <cell r="J18">
            <v>1</v>
          </cell>
        </row>
        <row r="19">
          <cell r="I19">
            <v>1</v>
          </cell>
          <cell r="J19">
            <v>1</v>
          </cell>
        </row>
        <row r="20">
          <cell r="I20">
            <v>1</v>
          </cell>
          <cell r="J20">
            <v>1</v>
          </cell>
        </row>
        <row r="21">
          <cell r="I21">
            <v>1</v>
          </cell>
          <cell r="J21">
            <v>1</v>
          </cell>
        </row>
        <row r="22">
          <cell r="I22">
            <v>1</v>
          </cell>
          <cell r="J22">
            <v>1</v>
          </cell>
        </row>
      </sheetData>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9">
          <cell r="I9">
            <v>1</v>
          </cell>
          <cell r="J9">
            <v>0</v>
          </cell>
        </row>
        <row r="10">
          <cell r="I10">
            <v>1</v>
          </cell>
          <cell r="J10">
            <v>0</v>
          </cell>
        </row>
        <row r="11">
          <cell r="I11">
            <v>1</v>
          </cell>
          <cell r="J11">
            <v>0</v>
          </cell>
        </row>
        <row r="12">
          <cell r="I12">
            <v>1</v>
          </cell>
          <cell r="J12">
            <v>0</v>
          </cell>
        </row>
        <row r="13">
          <cell r="I13">
            <v>1</v>
          </cell>
          <cell r="J13">
            <v>0</v>
          </cell>
        </row>
        <row r="14">
          <cell r="I14">
            <v>1</v>
          </cell>
          <cell r="J14">
            <v>0</v>
          </cell>
        </row>
        <row r="15">
          <cell r="I15">
            <v>1</v>
          </cell>
          <cell r="J15">
            <v>0</v>
          </cell>
        </row>
        <row r="16">
          <cell r="I16">
            <v>0</v>
          </cell>
          <cell r="J16">
            <v>0</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0</v>
          </cell>
        </row>
        <row r="6">
          <cell r="I6">
            <v>1</v>
          </cell>
          <cell r="J6">
            <v>0</v>
          </cell>
        </row>
        <row r="7">
          <cell r="I7">
            <v>1</v>
          </cell>
          <cell r="J7">
            <v>0</v>
          </cell>
        </row>
        <row r="8">
          <cell r="I8">
            <v>1</v>
          </cell>
          <cell r="J8">
            <v>0</v>
          </cell>
        </row>
        <row r="9">
          <cell r="I9">
            <v>1</v>
          </cell>
          <cell r="J9">
            <v>0</v>
          </cell>
        </row>
        <row r="10">
          <cell r="I10">
            <v>1</v>
          </cell>
          <cell r="J10">
            <v>0</v>
          </cell>
        </row>
        <row r="11">
          <cell r="I11">
            <v>1</v>
          </cell>
          <cell r="J11">
            <v>0</v>
          </cell>
        </row>
        <row r="12">
          <cell r="I12">
            <v>1</v>
          </cell>
          <cell r="J12">
            <v>0</v>
          </cell>
        </row>
        <row r="13">
          <cell r="I13">
            <v>0</v>
          </cell>
          <cell r="J13">
            <v>0</v>
          </cell>
        </row>
        <row r="14">
          <cell r="I14">
            <v>0</v>
          </cell>
          <cell r="J14">
            <v>0</v>
          </cell>
        </row>
        <row r="15">
          <cell r="I15">
            <v>0</v>
          </cell>
          <cell r="J15">
            <v>0</v>
          </cell>
        </row>
        <row r="16">
          <cell r="I16">
            <v>0</v>
          </cell>
          <cell r="J16">
            <v>0</v>
          </cell>
        </row>
      </sheetData>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0</v>
          </cell>
        </row>
        <row r="6">
          <cell r="I6">
            <v>1</v>
          </cell>
          <cell r="J6">
            <v>0</v>
          </cell>
        </row>
        <row r="7">
          <cell r="I7">
            <v>1</v>
          </cell>
          <cell r="J7">
            <v>0</v>
          </cell>
        </row>
        <row r="8">
          <cell r="I8">
            <v>1</v>
          </cell>
          <cell r="J8">
            <v>0</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v>0</v>
          </cell>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0</v>
          </cell>
        </row>
        <row r="12">
          <cell r="I12">
            <v>1</v>
          </cell>
          <cell r="J12">
            <v>0</v>
          </cell>
        </row>
        <row r="13">
          <cell r="I13">
            <v>1</v>
          </cell>
          <cell r="J13">
            <v>0</v>
          </cell>
        </row>
        <row r="14">
          <cell r="I14">
            <v>1</v>
          </cell>
          <cell r="J14">
            <v>0</v>
          </cell>
        </row>
        <row r="15">
          <cell r="I15">
            <v>1</v>
          </cell>
          <cell r="J15">
            <v>0</v>
          </cell>
        </row>
        <row r="16">
          <cell r="I16">
            <v>1</v>
          </cell>
          <cell r="J16">
            <v>0</v>
          </cell>
        </row>
        <row r="17">
          <cell r="I17">
            <v>0</v>
          </cell>
          <cell r="J17">
            <v>0</v>
          </cell>
        </row>
        <row r="18">
          <cell r="I18">
            <v>1</v>
          </cell>
          <cell r="J18">
            <v>0</v>
          </cell>
        </row>
        <row r="19">
          <cell r="I19">
            <v>1</v>
          </cell>
          <cell r="J19">
            <v>0</v>
          </cell>
        </row>
        <row r="20">
          <cell r="I20">
            <v>1</v>
          </cell>
          <cell r="J20">
            <v>0</v>
          </cell>
        </row>
        <row r="21">
          <cell r="I21">
            <v>1</v>
          </cell>
          <cell r="J21">
            <v>0</v>
          </cell>
        </row>
        <row r="22">
          <cell r="I22">
            <v>0</v>
          </cell>
          <cell r="J22">
            <v>0</v>
          </cell>
        </row>
      </sheetData>
      <sheetData sheetId="2"/>
      <sheetData sheetId="3"/>
      <sheetData sheetId="4"/>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s"/>
      <sheetName val="Produção_Plano"/>
      <sheetName val="A3"/>
      <sheetName val="Escopo A3"/>
      <sheetName val="Estrutura"/>
      <sheetName val="Cronograma"/>
      <sheetName val="Turnos"/>
      <sheetName val="Relação Lampadas"/>
      <sheetName val="Pay-Back"/>
      <sheetName val="Ponta-ForaPonta"/>
      <sheetName val="Ponta-ForaPonta (2)"/>
      <sheetName val="SWOT"/>
      <sheetName val="KPIs Semanal"/>
    </sheetNames>
    <sheetDataSet>
      <sheetData sheetId="0"/>
      <sheetData sheetId="1"/>
      <sheetData sheetId="2"/>
      <sheetData sheetId="3"/>
      <sheetData sheetId="4">
        <row r="5">
          <cell r="I5">
            <v>1</v>
          </cell>
          <cell r="J5">
            <v>1</v>
          </cell>
        </row>
        <row r="6">
          <cell r="I6">
            <v>1</v>
          </cell>
          <cell r="J6">
            <v>1</v>
          </cell>
        </row>
        <row r="7">
          <cell r="I7">
            <v>1</v>
          </cell>
          <cell r="J7">
            <v>1</v>
          </cell>
        </row>
        <row r="8">
          <cell r="I8">
            <v>1</v>
          </cell>
          <cell r="J8">
            <v>1</v>
          </cell>
        </row>
        <row r="9">
          <cell r="I9"/>
          <cell r="J9"/>
        </row>
      </sheetData>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nge Log"/>
      <sheetName val="Indicadores"/>
      <sheetName val="Plano de Ação"/>
      <sheetName val="Anual2024"/>
      <sheetName val="Anual2025"/>
      <sheetName val="Janeiro2026"/>
      <sheetName val="Fevereiro2026"/>
      <sheetName val="Março2026"/>
      <sheetName val="Abril2026"/>
      <sheetName val="Maio2026"/>
      <sheetName val="Junho2026"/>
      <sheetName val="Anual2026"/>
      <sheetName val="Conteudo da Analise Critica"/>
    </sheetNames>
    <sheetDataSet>
      <sheetData sheetId="0"/>
      <sheetData sheetId="1">
        <row r="211">
          <cell r="AK211">
            <v>0.67100000000000004</v>
          </cell>
        </row>
        <row r="229">
          <cell r="AK229">
            <v>0.63200000000000001</v>
          </cell>
        </row>
        <row r="239">
          <cell r="AK239">
            <v>0.91700000000000004</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indicador analise "/>
    </sheetNames>
    <sheetDataSet>
      <sheetData sheetId="0"/>
      <sheetData sheetId="1">
        <row r="5">
          <cell r="I5">
            <v>1</v>
          </cell>
          <cell r="J5">
            <v>1</v>
          </cell>
        </row>
        <row r="6">
          <cell r="I6">
            <v>1</v>
          </cell>
          <cell r="J6">
            <v>1</v>
          </cell>
        </row>
        <row r="7">
          <cell r="I7">
            <v>1</v>
          </cell>
          <cell r="J7">
            <v>1</v>
          </cell>
        </row>
        <row r="8">
          <cell r="I8">
            <v>0.78947368421052633</v>
          </cell>
          <cell r="J8">
            <v>0.8</v>
          </cell>
        </row>
      </sheetData>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11">
          <cell r="I11">
            <v>1</v>
          </cell>
          <cell r="J11">
            <v>1</v>
          </cell>
        </row>
        <row r="12">
          <cell r="I12">
            <v>1</v>
          </cell>
          <cell r="J12">
            <v>1</v>
          </cell>
        </row>
        <row r="13">
          <cell r="I13">
            <v>0.51724137931034486</v>
          </cell>
          <cell r="J13">
            <v>0.6</v>
          </cell>
        </row>
        <row r="14">
          <cell r="I14">
            <v>0</v>
          </cell>
          <cell r="J14">
            <v>0</v>
          </cell>
        </row>
      </sheetData>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0.95348837209302328</v>
          </cell>
          <cell r="J12">
            <v>0.97</v>
          </cell>
        </row>
        <row r="13">
          <cell r="I13">
            <v>0</v>
          </cell>
          <cell r="J13">
            <v>0</v>
          </cell>
        </row>
        <row r="14">
          <cell r="I14">
            <v>0</v>
          </cell>
          <cell r="J14">
            <v>0</v>
          </cell>
        </row>
      </sheetData>
      <sheetData sheetId="2"/>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0.94117647058823528</v>
          </cell>
          <cell r="J11">
            <v>1</v>
          </cell>
        </row>
        <row r="12">
          <cell r="I12">
            <v>0</v>
          </cell>
          <cell r="J12">
            <v>0</v>
          </cell>
        </row>
        <row r="13">
          <cell r="I13">
            <v>0</v>
          </cell>
          <cell r="J13">
            <v>0</v>
          </cell>
        </row>
      </sheetData>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0.9452054794520548</v>
          </cell>
          <cell r="J13">
            <v>0.99</v>
          </cell>
        </row>
        <row r="14">
          <cell r="I14">
            <v>0</v>
          </cell>
          <cell r="J14">
            <v>0</v>
          </cell>
        </row>
      </sheetData>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0</v>
          </cell>
          <cell r="J13">
            <v>0.2</v>
          </cell>
        </row>
      </sheetData>
      <sheetData sheetId="2"/>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0.63636363636363635</v>
          </cell>
          <cell r="J10">
            <v>0.8</v>
          </cell>
        </row>
        <row r="11">
          <cell r="I11">
            <v>0</v>
          </cell>
          <cell r="J11">
            <v>0</v>
          </cell>
        </row>
      </sheetData>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0.93650793650793651</v>
          </cell>
          <cell r="J9">
            <v>0.9</v>
          </cell>
        </row>
        <row r="10">
          <cell r="I10">
            <v>0</v>
          </cell>
          <cell r="J10">
            <v>0.5</v>
          </cell>
        </row>
        <row r="11">
          <cell r="I11">
            <v>0</v>
          </cell>
          <cell r="J11">
            <v>0</v>
          </cell>
        </row>
      </sheetData>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0.93103448275862066</v>
          </cell>
          <cell r="J10">
            <v>0.95</v>
          </cell>
        </row>
        <row r="11">
          <cell r="I11">
            <v>0</v>
          </cell>
          <cell r="J11">
            <v>0</v>
          </cell>
        </row>
      </sheetData>
      <sheetData sheetId="2"/>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0.94029850746268662</v>
          </cell>
          <cell r="J8">
            <v>0.95</v>
          </cell>
        </row>
        <row r="9">
          <cell r="I9">
            <v>0</v>
          </cell>
          <cell r="J9">
            <v>0</v>
          </cell>
        </row>
        <row r="10">
          <cell r="I10">
            <v>0</v>
          </cell>
          <cell r="J10">
            <v>0</v>
          </cell>
        </row>
        <row r="11">
          <cell r="I11">
            <v>0</v>
          </cell>
          <cell r="J11">
            <v>0</v>
          </cell>
        </row>
        <row r="12">
          <cell r="I12">
            <v>0</v>
          </cell>
          <cell r="J12">
            <v>0</v>
          </cell>
        </row>
      </sheetData>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0.89610389610389607</v>
          </cell>
          <cell r="J13">
            <v>0.95</v>
          </cell>
        </row>
        <row r="14">
          <cell r="I14">
            <v>0</v>
          </cell>
          <cell r="J14">
            <v>0</v>
          </cell>
        </row>
      </sheetData>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0.35</v>
          </cell>
          <cell r="J6">
            <v>0.4</v>
          </cell>
        </row>
      </sheetData>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sheetData>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sheetData>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0.70399999999999996</v>
          </cell>
          <cell r="J7">
            <v>0.85</v>
          </cell>
        </row>
      </sheetData>
      <sheetData sheetId="2"/>
      <sheetData sheetId="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sheetData>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álculo de Saving"/>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0.65217391304347827</v>
          </cell>
          <cell r="J11">
            <v>0.8</v>
          </cell>
        </row>
        <row r="12">
          <cell r="I12">
            <v>0</v>
          </cell>
          <cell r="J12">
            <v>0</v>
          </cell>
        </row>
        <row r="13">
          <cell r="I13">
            <v>0</v>
          </cell>
          <cell r="J13">
            <v>0</v>
          </cell>
        </row>
        <row r="14">
          <cell r="I14">
            <v>0</v>
          </cell>
          <cell r="J14">
            <v>0</v>
          </cell>
        </row>
      </sheetData>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0.88888888888888884</v>
          </cell>
          <cell r="J9">
            <v>0.95</v>
          </cell>
        </row>
        <row r="10">
          <cell r="I10">
            <v>0</v>
          </cell>
          <cell r="J10">
            <v>0</v>
          </cell>
        </row>
        <row r="11">
          <cell r="I11">
            <v>0</v>
          </cell>
          <cell r="J11">
            <v>0</v>
          </cell>
        </row>
      </sheetData>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 val="Indicador"/>
    </sheetNames>
    <sheetDataSet>
      <sheetData sheetId="0"/>
      <sheetData sheetId="1">
        <row r="12">
          <cell r="F12">
            <v>0.70582782800985189</v>
          </cell>
          <cell r="G12">
            <v>0.71775086505190311</v>
          </cell>
        </row>
      </sheetData>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33">
          <cell r="F33">
            <v>0.99510646366357636</v>
          </cell>
          <cell r="G33">
            <v>0.99546075085324226</v>
          </cell>
        </row>
      </sheetData>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 val="Indicador"/>
    </sheetNames>
    <sheetDataSet>
      <sheetData sheetId="0"/>
      <sheetData sheetId="1">
        <row r="10">
          <cell r="F10">
            <v>1</v>
          </cell>
          <cell r="G10">
            <v>1</v>
          </cell>
        </row>
      </sheetData>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7">
          <cell r="F17">
            <v>0.23731749710312863</v>
          </cell>
          <cell r="G17">
            <v>0.57908458864426415</v>
          </cell>
        </row>
      </sheetData>
      <sheetData sheetId="2"/>
      <sheetData sheetId="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0.26339740691408114</v>
          </cell>
          <cell r="G13">
            <v>0.26615521855486174</v>
          </cell>
        </row>
      </sheetData>
      <sheetData sheetId="2"/>
      <sheetData sheetId="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8">
          <cell r="F18">
            <v>0.28470979759182513</v>
          </cell>
          <cell r="G18">
            <v>0.30094481605351175</v>
          </cell>
        </row>
      </sheetData>
      <sheetData sheetId="2"/>
      <sheetData sheetId="3"/>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1">
          <cell r="F11">
            <v>1</v>
          </cell>
          <cell r="G11">
            <v>1</v>
          </cell>
        </row>
      </sheetData>
      <sheetData sheetId="2"/>
      <sheetData sheetId="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0.28999999999999998</v>
          </cell>
          <cell r="G13">
            <v>0.68</v>
          </cell>
        </row>
      </sheetData>
      <sheetData sheetId="2"/>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4">
          <cell r="F14">
            <v>0.28292611008199825</v>
          </cell>
          <cell r="G14">
            <v>0.53560872624912037</v>
          </cell>
        </row>
      </sheetData>
      <sheetData sheetId="2"/>
      <sheetData sheetId="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
      <sheetName val="Estrutura"/>
      <sheetName val="Cronograma"/>
      <sheetName val="Analise de risco"/>
    </sheetNames>
    <sheetDataSet>
      <sheetData sheetId="0"/>
      <sheetData sheetId="1">
        <row r="16">
          <cell r="F16">
            <v>0.85688323489323026</v>
          </cell>
          <cell r="G16">
            <v>0.87323943661971826</v>
          </cell>
        </row>
      </sheetData>
      <sheetData sheetId="2"/>
      <sheetData sheetId="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refreshError="1"/>
      <sheetData sheetId="1">
        <row r="15">
          <cell r="F15">
            <v>0.74437500000000001</v>
          </cell>
          <cell r="G15">
            <v>0.75031249999999994</v>
          </cell>
        </row>
      </sheetData>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0.48561541981239992</v>
          </cell>
          <cell r="G13">
            <v>0.49048387096774188</v>
          </cell>
        </row>
      </sheetData>
      <sheetData sheetId="2"/>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xNry1Eat0u1doLpKuCyhTAZq_UD1GlMss2MxI9SfRBc5mzAGO30R6lXr9MVRIyc" itemId="01J6RWUE5KZDYEC5ETQVFZ5ILVAZZ7D2UU">
      <xxl21:absoluteUrl r:id="rId2"/>
    </xxl21:alternateUrls>
    <sheetNames>
      <sheetName val="Escopo A3"/>
      <sheetName val="Plano de Ação"/>
      <sheetName val="Cronograma"/>
      <sheetName val="Analise de risco"/>
      <sheetName val="Transferência_Terceirização"/>
    </sheetNames>
    <sheetDataSet>
      <sheetData sheetId="0">
        <row r="63">
          <cell r="D63" t="str">
            <v>Reunião Fast Response</v>
          </cell>
          <cell r="H63" t="str">
            <v>OK</v>
          </cell>
        </row>
        <row r="64">
          <cell r="D64" t="str">
            <v>Reunião diaria de produção</v>
          </cell>
          <cell r="H64" t="str">
            <v>OK</v>
          </cell>
        </row>
        <row r="65">
          <cell r="D65" t="str">
            <v>Reunião diaria de passagem de turno</v>
          </cell>
          <cell r="H65" t="str">
            <v>OK</v>
          </cell>
        </row>
        <row r="66">
          <cell r="D66" t="str">
            <v>Reunião mensal de gestão da produção</v>
          </cell>
          <cell r="H66" t="str">
            <v>Não Ok</v>
          </cell>
        </row>
        <row r="67">
          <cell r="D67" t="str">
            <v>Reunião diaria de produto não conforme</v>
          </cell>
          <cell r="H67" t="str">
            <v>Não Ok</v>
          </cell>
        </row>
        <row r="68">
          <cell r="D68" t="str">
            <v>Form.682 Quadro hora/hora</v>
          </cell>
          <cell r="H68" t="str">
            <v>Não Ok</v>
          </cell>
        </row>
        <row r="69">
          <cell r="D69" t="str">
            <v>PLR</v>
          </cell>
          <cell r="H69" t="str">
            <v>OK</v>
          </cell>
        </row>
        <row r="70">
          <cell r="D70" t="str">
            <v>SQDCM</v>
          </cell>
          <cell r="H70" t="str">
            <v>OK</v>
          </cell>
        </row>
        <row r="71">
          <cell r="D71" t="str">
            <v>Form.121 Indicadores de SGI</v>
          </cell>
          <cell r="H71" t="str">
            <v>OK</v>
          </cell>
        </row>
        <row r="72">
          <cell r="D72" t="str">
            <v>Quadro de Aviso Padronizado</v>
          </cell>
          <cell r="H72" t="str">
            <v>Não Ok</v>
          </cell>
        </row>
        <row r="73">
          <cell r="D73" t="str">
            <v>Acompanhamento de OEE</v>
          </cell>
          <cell r="H73" t="str">
            <v>OK</v>
          </cell>
        </row>
        <row r="74">
          <cell r="D74" t="str">
            <v>Acompanhamento de SCRAP</v>
          </cell>
          <cell r="H74" t="str">
            <v>Não Ok</v>
          </cell>
        </row>
        <row r="75">
          <cell r="D75" t="str">
            <v>Acompanhamento de SETUP</v>
          </cell>
          <cell r="H75" t="str">
            <v>Não Ok</v>
          </cell>
        </row>
        <row r="76">
          <cell r="D76" t="str">
            <v>Form. 104 - Indicadores e Ata de Analise Critica</v>
          </cell>
          <cell r="H76" t="str">
            <v>OK</v>
          </cell>
        </row>
        <row r="77">
          <cell r="D77" t="str">
            <v xml:space="preserve">Form.370 - Fast Response Itens Críticos </v>
          </cell>
          <cell r="H77" t="str">
            <v>OK</v>
          </cell>
        </row>
        <row r="78">
          <cell r="D78" t="str">
            <v>Form. 015 – Lista de Presença Resposta Rápida</v>
          </cell>
          <cell r="H78" t="str">
            <v>OK</v>
          </cell>
        </row>
        <row r="79">
          <cell r="D79" t="str">
            <v>Form. 506 Open Issues List</v>
          </cell>
          <cell r="H79" t="str">
            <v>OK</v>
          </cell>
        </row>
        <row r="80">
          <cell r="D80" t="str">
            <v>Ordem de produção</v>
          </cell>
          <cell r="H80" t="str">
            <v>OK</v>
          </cell>
        </row>
        <row r="81">
          <cell r="D81" t="str">
            <v>Form 075 registro de inspeção</v>
          </cell>
          <cell r="H81" t="str">
            <v>OK</v>
          </cell>
        </row>
        <row r="82">
          <cell r="D82" t="str">
            <v>Form 532-Relátorio de produção</v>
          </cell>
          <cell r="H82" t="str">
            <v>Não Ok</v>
          </cell>
        </row>
        <row r="83">
          <cell r="D83" t="str">
            <v>Form 085 identificação do processo-etiqueta azul</v>
          </cell>
          <cell r="H83" t="str">
            <v>OK</v>
          </cell>
        </row>
        <row r="84">
          <cell r="D84" t="str">
            <v>Form 441-Identificação do produto aprovado</v>
          </cell>
          <cell r="H84" t="str">
            <v>OK</v>
          </cell>
        </row>
        <row r="85">
          <cell r="D85" t="str">
            <v>Form 032-Identificação de produto suspeito</v>
          </cell>
          <cell r="H85" t="str">
            <v>OK</v>
          </cell>
        </row>
        <row r="86">
          <cell r="D86" t="str">
            <v>Form 149-Identificação de amostra de produto (try-out)</v>
          </cell>
          <cell r="H86" t="str">
            <v>OK</v>
          </cell>
        </row>
        <row r="87">
          <cell r="D87" t="str">
            <v>Form 093 - Etiqueta "Solicitação de ensaio"</v>
          </cell>
          <cell r="H87" t="str">
            <v>Não Ok</v>
          </cell>
        </row>
        <row r="88">
          <cell r="D88" t="str">
            <v>Etiqueta de beneficiamento</v>
          </cell>
          <cell r="H88" t="str">
            <v>Não Ok</v>
          </cell>
        </row>
        <row r="89">
          <cell r="D89" t="str">
            <v>Etiqueta de RASTREABILIDADE DO PRODUTO/COMPONENTE</v>
          </cell>
          <cell r="H89" t="str">
            <v>OK</v>
          </cell>
        </row>
        <row r="90">
          <cell r="D90" t="str">
            <v xml:space="preserve">Form. 87 - PLANO DE CONTROLE </v>
          </cell>
          <cell r="H90" t="str">
            <v>OK</v>
          </cell>
        </row>
        <row r="91">
          <cell r="D91" t="str">
            <v>Form. 87 - PLANO DE CONTROLE DE CARACTERÍSTICAS ESPECIAIS (RIP "S")</v>
          </cell>
          <cell r="H91" t="str">
            <v>OK</v>
          </cell>
        </row>
        <row r="92">
          <cell r="D92" t="str">
            <v>Form. 647 - INSTRUÇÃO DE TRABALHO</v>
          </cell>
          <cell r="H92" t="str">
            <v>OK</v>
          </cell>
        </row>
        <row r="93">
          <cell r="D93" t="str">
            <v>Form.513 EPS - ESPECIFICAÇÃO DOS PROCESSOS DE SOLDA</v>
          </cell>
          <cell r="H93" t="str">
            <v>Não Ok</v>
          </cell>
        </row>
        <row r="94">
          <cell r="D94" t="str">
            <v>Acompanhamento de Eficiencia de mão de obra</v>
          </cell>
          <cell r="H94" t="str">
            <v>OK</v>
          </cell>
        </row>
        <row r="95">
          <cell r="D95" t="str">
            <v>Plano Mestre de Produtividade</v>
          </cell>
          <cell r="H95" t="str">
            <v>Não Ok</v>
          </cell>
        </row>
        <row r="96">
          <cell r="D96" t="str">
            <v>Projetos Estratégicos: OEE, SCRAP, SMED, Eficiência MOD</v>
          </cell>
          <cell r="H96" t="str">
            <v>Não Ok</v>
          </cell>
        </row>
        <row r="97">
          <cell r="D97" t="str">
            <v>Programa 5S</v>
          </cell>
          <cell r="H97" t="str">
            <v>Não Ok</v>
          </cell>
        </row>
        <row r="98">
          <cell r="D98" t="str">
            <v>Matriz de versatilidade</v>
          </cell>
          <cell r="H98" t="str">
            <v>OK</v>
          </cell>
        </row>
        <row r="99">
          <cell r="D99" t="str">
            <v>Form 080-Registro de Parametros de Processo.xlsx</v>
          </cell>
          <cell r="H99" t="str">
            <v>Não Ok</v>
          </cell>
        </row>
        <row r="100">
          <cell r="D100" t="str">
            <v>Form 048-Retrabalho/Reparo</v>
          </cell>
          <cell r="H100" t="str">
            <v>OK</v>
          </cell>
        </row>
        <row r="101">
          <cell r="D101" t="str">
            <v>Form. 410 – CHECK LIST DE SETUP E FIM DE PRODUÇÃO – ESTAMPARIA</v>
          </cell>
          <cell r="H101" t="str">
            <v>Não Ok</v>
          </cell>
        </row>
        <row r="102">
          <cell r="D102" t="str">
            <v>Form. 411 – CHECK LIST DE SETUP E FIM DE PRODUÇÃO – SOLDA</v>
          </cell>
          <cell r="H102" t="str">
            <v>Não Ok</v>
          </cell>
        </row>
        <row r="103">
          <cell r="D103" t="str">
            <v>FORM 224 – CHECK LIST DE SETUP E FIM DE PRODUÇÃO – OUTROS PROCESSOS</v>
          </cell>
          <cell r="H103" t="str">
            <v>Não Ok</v>
          </cell>
        </row>
        <row r="104">
          <cell r="D104" t="str">
            <v>IT 8.7.1.7 – 033 PLANO DE REAÇÃO</v>
          </cell>
          <cell r="H104" t="str">
            <v>Não Ok</v>
          </cell>
        </row>
        <row r="105">
          <cell r="D105" t="str">
            <v>Programa FIFO</v>
          </cell>
          <cell r="H105" t="str">
            <v>Não Ok</v>
          </cell>
        </row>
        <row r="106">
          <cell r="D106" t="str">
            <v>Alocação de mão de obra</v>
          </cell>
          <cell r="H106" t="str">
            <v>Não Ok</v>
          </cell>
        </row>
        <row r="107">
          <cell r="D107" t="str">
            <v>Form. 477 – REGISTRO DE ALARMES E ESCALONAMENTO</v>
          </cell>
          <cell r="H107" t="str">
            <v>OK</v>
          </cell>
        </row>
        <row r="108">
          <cell r="D108" t="str">
            <v>Form. 148 – IDENTIFICAÇÃO DE RETALHOS</v>
          </cell>
          <cell r="H108" t="str">
            <v>OK</v>
          </cell>
        </row>
        <row r="109">
          <cell r="D109" t="str">
            <v>Form. 030 –  CHECK LIST TPM E PLANO DE MANUTENÇÃO (TPM)</v>
          </cell>
          <cell r="H109" t="str">
            <v>OK</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ral"/>
      <sheetName val="Unidade"/>
    </sheetNames>
    <sheetDataSet>
      <sheetData sheetId="0" refreshError="1"/>
      <sheetData sheetId="1" refreshError="1">
        <row r="1">
          <cell r="E1">
            <v>46071</v>
          </cell>
        </row>
        <row r="36">
          <cell r="E36">
            <v>46081</v>
          </cell>
        </row>
        <row r="51">
          <cell r="E51">
            <v>46095</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FD2542D2-7575-431D-B985-7BA70D2330DF}">
    <nsvFilter filterId="{0EA77265-C537-4C9F-8E83-DFC36F6B4475}" ref="A54:AO98" tableId="0">
      <columnFilter colId="12">
        <dxf>
          <x:fill>
            <x:patternFill patternType="solid">
              <x:fgColor rgb="FFFDE9D9"/>
              <x:bgColor rgb="FF000000"/>
            </x:patternFill>
          </x:fill>
        </dxf>
        <filter colId="12">
          <x:colorFilter/>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Willian Avigni Matos" id="{A7925FDA-A335-4242-996E-ED410B4B0E71}" userId="willian.matos@delga.com.br" providerId="PeoplePicker"/>
  <person displayName="Carolina Reis Machado Rodrigues" id="{5E7F92EB-E611-4CB7-837B-7F6FB24D7B54}" userId="carolina.rodrigues@delga.com.br" providerId="PeoplePicker"/>
  <person displayName="Elio Pereira da Silva" id="{A45066BC-B1A9-4E1C-B993-A135D85F8452}" userId="S::elio.silva@delga.com.br::608502b1-4344-4205-b281-8a691ef26db0" providerId="AD"/>
  <person displayName="Fabiana Francischetti" id="{25509AAA-B16B-409D-9DD9-209657F3C67F}" userId="S::fabiana.fran@delga.com.br::17295806-1b9f-4bea-92e5-33f9800c4b55" providerId="AD"/>
  <person displayName="Joao Carlos Nogueira Cardoso" id="{26ABD6DC-33C5-4BF6-992B-E447033265A7}" userId="S::joao.cardoso@delga.com.br::f65b71d0-4e05-4247-b4ac-41065453ba2e" providerId="AD"/>
  <person displayName="Alex Sandro Monteiro" id="{E44BF8C3-7CC3-4396-8413-BE93DE6EA7C6}" userId="S::alex.monteiro@delga.com.br::bc1feb9f-05a4-45cb-85d7-347bde3622ae" providerId="AD"/>
  <person displayName="Gabriel Gustavo de Souza" id="{B0A81E74-5926-45BD-873A-6F4BF1F3D8BA}" userId="S::gabriel.souza@delga.com.br::47402248-9ce8-4410-9ba9-3800fbd91df1" providerId="AD"/>
  <person displayName="Rafael Kramer de Oliveira" id="{B3884332-42E3-42D7-B010-11D1DA5057BC}" userId="S::rafael.kramer@delga.com.br::a846276b-e899-416c-b84e-e2619adea2a5" providerId="AD"/>
  <person displayName="Douglas Bassini" id="{BD1CECAE-92B5-4FFC-9A27-B8FA1D076FE7}" userId="S::douglas.bassini@delga.com.br::76768289-0891-4b12-976f-8d111a772a6c" providerId="AD"/>
  <person displayName="Eduardo Fajardo" id="{1D3CBD94-FF0F-4AB2-803D-9292F3540078}" userId="S::eduardo.fajardo@delga.com.br::8a6a433d-069a-48a2-97b2-970a90aa786e" providerId="AD"/>
  <person displayName="Ingrid Cristina Freitas Ferreira" id="{B365987C-0BE7-4D17-B3CD-A2CA61805CD8}" userId="S::ingrid.ferreira@delga.com.br::3fab6ff5-2867-463a-914d-114e2032a55b" providerId="AD"/>
  <person displayName="Isabele Rodrigues Portela" id="{7F3580D4-0F0E-43CE-84F8-43847BFEB8C3}" userId="S::isabele.portela@delga.com.br::e6fae3f7-3a67-47fe-aa8c-176fc56bcbeb" providerId="AD"/>
  <person displayName="Vinicius Gonçalves Telles" id="{21DB468F-E5CB-42F8-8C9D-89ADF9F5AD64}" userId="S::vinicius.telles@delga.com.br::a8c0c30a-3a10-419b-ba25-ce06a747e52a" providerId="AD"/>
  <person displayName="Leonardo Bazotto Furquim" id="{F1B12E91-4F90-4E4F-8F59-45E767A5AD8E}" userId="S::leonardo.furquim@delga.com.br::1f6d1e5a-9f8c-4c9a-82f2-9a18bb876bbd" providerId="AD"/>
  <person displayName="Carolina Reis Machado Rodrigues" id="{FD083245-586C-4902-9CFA-5FB3EA0451CE}" userId="S::carolina.rodrigues@delga.com.br::86795fe0-79a3-468e-8808-0e44f708cbb9" providerId="AD"/>
  <person displayName="Janderson Bezerra de Oliveira" id="{E4DAA72B-E3A2-44E7-9174-021DC08673AB}" userId="S::janderson.oliveira@delga.com.br::7f447857-fad1-4d34-9517-393db80384d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C20CDD-3B4E-4813-939F-1B1A6FFDEA02}" name="Tabela2" displayName="Tabela2" ref="A28:X51" totalsRowShown="0" headerRowDxfId="338" dataDxfId="336" headerRowBorderDxfId="337" tableBorderDxfId="335" totalsRowBorderDxfId="334">
  <tableColumns count="24">
    <tableColumn id="1" xr3:uid="{BBF326B8-AA0E-46D0-9F03-BC10E07FEC7C}" name="CATEGORIA" dataDxfId="333"/>
    <tableColumn id="2" xr3:uid="{ACEA1E03-1613-4C65-AEC7-B639C3D78AFB}" name="KPI" dataDxfId="332"/>
    <tableColumn id="3" xr3:uid="{54678CFB-04F8-420B-A216-35C5A0D5E7B8}" name="UN" dataDxfId="331"/>
    <tableColumn id="24" xr3:uid="{6B8C5554-D954-46FA-9AF0-232E3BE68782}" name="Frequência " dataDxfId="330"/>
    <tableColumn id="4" xr3:uid="{D7ED2942-DBE1-40C9-9036-5426893D03E6}" name="TIPO" dataDxfId="329"/>
    <tableColumn id="5" xr3:uid="{29661715-DBD3-458A-9189-6E824CE0B24F}" name="BASELINE 2025" dataDxfId="328"/>
    <tableColumn id="6" xr3:uid="{08AC5614-9C65-40BA-A34D-07AB7C1D80E3}" name="META 2026" dataDxfId="327"/>
    <tableColumn id="7" xr3:uid="{4E52F540-FE78-45F4-B3F7-710DAFA602AC}" name="Jan" dataDxfId="326"/>
    <tableColumn id="8" xr3:uid="{C67B67E7-02D7-4564-BA18-A73B56D5E34C}" name="P. Ofensor1" dataDxfId="325"/>
    <tableColumn id="9" xr3:uid="{071889C9-920B-4C65-B405-801E2A0A7643}" name="Fev" dataDxfId="324"/>
    <tableColumn id="10" xr3:uid="{9B9A248B-110D-4049-B104-710CE5D26CEF}" name="P. Ofensor2" dataDxfId="323"/>
    <tableColumn id="11" xr3:uid="{8DD7BE5B-2152-439D-8583-422D953FC47F}" name="Mar" dataDxfId="322"/>
    <tableColumn id="12" xr3:uid="{6D0B27AC-D890-4608-9A75-57B7CBA6691F}" name="P. Ofensor3" dataDxfId="321"/>
    <tableColumn id="13" xr3:uid="{6706F981-946F-4947-8E8C-6A9F1F39B4F7}" name="Abr" dataDxfId="320"/>
    <tableColumn id="14" xr3:uid="{DC4C6FF7-D3BD-42EA-B784-80F395AB0D29}" name="P. Ofensor4" dataDxfId="319"/>
    <tableColumn id="15" xr3:uid="{A24505CE-8C6F-4282-97D9-217FFD2DF7B8}" name="Mai" dataDxfId="318"/>
    <tableColumn id="16" xr3:uid="{B8F366BC-FF5B-421B-B17A-D3D940FB32D7}" name="P. Ofensor5" dataDxfId="317"/>
    <tableColumn id="17" xr3:uid="{F08680C0-D535-4CBB-8491-0D65EFEA3FE1}" name="Jun" dataDxfId="316"/>
    <tableColumn id="18" xr3:uid="{304C6801-A1A3-43E8-AACB-1944675D2428}" name="P. Ofensor6" dataDxfId="315"/>
    <tableColumn id="19" xr3:uid="{367790EA-D6EB-4D6B-AAD3-1E55B7DE9ECB}" name="Jul" dataDxfId="314"/>
    <tableColumn id="20" xr3:uid="{A87DC41D-63AE-4EF2-A44D-2A789BDB8E2C}" name="P. Ofensor7" dataDxfId="313"/>
    <tableColumn id="21" xr3:uid="{47C411E9-A2C2-4356-A059-B50B1BAEFB8A}" name="Ago" dataDxfId="312"/>
    <tableColumn id="22" xr3:uid="{711CAB77-F2B4-46CB-A731-05CE086591A2}" name="P. Ofensor8" dataDxfId="311"/>
    <tableColumn id="23" xr3:uid="{E8450C98-7936-45D7-9B2B-E9370C115DF1}" name="Set" dataDxfId="3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0D21C6-90E4-4B71-A10B-1A239BA2CA8A}" name="Tabela2456" displayName="Tabela2456" ref="A28:AE51" totalsRowShown="0" headerRowDxfId="309" dataDxfId="307" headerRowBorderDxfId="308" tableBorderDxfId="306" totalsRowBorderDxfId="305">
  <tableColumns count="31">
    <tableColumn id="1" xr3:uid="{3B19E3D7-EF3D-40D6-BD28-E6D0AD64D064}" name="CATEGORIA" dataDxfId="304"/>
    <tableColumn id="2" xr3:uid="{1DF5A9B0-273D-4423-A448-A427D290CEDC}" name="KPI" dataDxfId="303"/>
    <tableColumn id="3" xr3:uid="{CDF26A4F-CB2F-44B8-88DE-31730B3AF056}" name="UN" dataDxfId="302"/>
    <tableColumn id="31" xr3:uid="{A70E38BA-D782-48C8-A781-25BF5B4C9011}" name="Frequência " dataDxfId="301"/>
    <tableColumn id="4" xr3:uid="{3E2A6A64-1F76-46C0-BB20-C64A939A2098}" name="TIPO" dataDxfId="300"/>
    <tableColumn id="5" xr3:uid="{9229A1D2-8B3C-4E66-8ADD-5201002680B4}" name="BASELINE 2025" dataDxfId="299"/>
    <tableColumn id="6" xr3:uid="{1FC83439-95E6-40B6-BAC7-D5C096EBD4C8}" name="META 2026" dataDxfId="298"/>
    <tableColumn id="7" xr3:uid="{91CB54E4-CC6F-4020-8A10-E4175AD21A34}" name="Jan" dataDxfId="297"/>
    <tableColumn id="8" xr3:uid="{371D8B78-4E48-472C-B387-363780AF1E30}" name="P. Ofensor1" dataDxfId="296"/>
    <tableColumn id="9" xr3:uid="{BBAF722C-8315-4DC6-80AF-114BEB7E7E09}" name="Fev" dataDxfId="295"/>
    <tableColumn id="10" xr3:uid="{42DA5467-850A-453D-8A8E-E92B1603B3E7}" name="P. Ofensor2" dataDxfId="294"/>
    <tableColumn id="11" xr3:uid="{F197A4AC-2C71-49B3-983B-441EDDC1D9C9}" name="Mar" dataDxfId="293"/>
    <tableColumn id="12" xr3:uid="{114F6BE1-85DD-46F7-9D70-A8AEA2C70ADB}" name="P. Ofensor3" dataDxfId="292"/>
    <tableColumn id="13" xr3:uid="{2A50AC1D-079A-4D98-867F-17BFF0296FD8}" name="Abr" dataDxfId="291"/>
    <tableColumn id="14" xr3:uid="{95D64E74-FC7E-420F-ACE4-E326C6D63154}" name="P. Ofensor4" dataDxfId="290"/>
    <tableColumn id="15" xr3:uid="{432E685D-203C-4D1E-93CE-D7BF6723FF01}" name="Mai" dataDxfId="289"/>
    <tableColumn id="16" xr3:uid="{D4A23F32-8E63-466B-8BE9-CECD5333580E}" name="P. Ofensor5" dataDxfId="288"/>
    <tableColumn id="17" xr3:uid="{E24B0547-11E2-4812-9F3B-FDF0DE3F7292}" name="Jun" dataDxfId="287"/>
    <tableColumn id="18" xr3:uid="{088F912B-9925-441A-9479-57D678139FD8}" name="P. Ofensor6" dataDxfId="286"/>
    <tableColumn id="19" xr3:uid="{DFB6BFA4-238A-4814-B130-85FD123337DB}" name="Jul" dataDxfId="285"/>
    <tableColumn id="20" xr3:uid="{78BAEAE7-2BE5-4250-89ED-A9C864EBD44C}" name="P. Ofensor7" dataDxfId="284"/>
    <tableColumn id="21" xr3:uid="{60F793E1-2727-4F29-A2AA-07DB5E0AF0CF}" name="Ago" dataDxfId="283"/>
    <tableColumn id="22" xr3:uid="{BF8284F4-B998-4143-B23A-859C84EBF1CC}" name="P. Ofensor8" dataDxfId="282"/>
    <tableColumn id="23" xr3:uid="{71242733-F443-44D3-9412-2F08BBA22C33}" name="Set" dataDxfId="281"/>
    <tableColumn id="24" xr3:uid="{2183498F-9FBE-4138-B3B3-C2DB939C7FDC}" name="P. Ofensor9" dataDxfId="280"/>
    <tableColumn id="25" xr3:uid="{E5813BA1-0182-41B7-B9E7-FB6D83EA1A08}" name="Out" dataDxfId="279"/>
    <tableColumn id="26" xr3:uid="{63A78BC6-807A-4561-B0DE-CF09CCC13B43}" name="P. Ofensor10" dataDxfId="278"/>
    <tableColumn id="27" xr3:uid="{C66F84F7-4B21-4A24-A44F-33F35ABBBB39}" name="Nov" dataDxfId="277"/>
    <tableColumn id="28" xr3:uid="{0CACFB84-FA81-4FFC-8F7D-F098F9908C06}" name="P. Ofensor11" dataDxfId="276"/>
    <tableColumn id="29" xr3:uid="{7E27828F-EB28-409B-A50A-1DAB52E2A0C7}" name="Dez" dataDxfId="275"/>
    <tableColumn id="30" xr3:uid="{78FCAD19-8E25-4195-B5B3-D3091F90DDE0}" name="P. Ofensor12" dataDxfId="2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B89FEB-5C19-4908-81DB-09CABBFC2DDE}" name="Tabela24" displayName="Tabela24" ref="A28:AE51" totalsRowShown="0" headerRowDxfId="273" dataDxfId="271" headerRowBorderDxfId="272" tableBorderDxfId="270" totalsRowBorderDxfId="269">
  <tableColumns count="31">
    <tableColumn id="1" xr3:uid="{3595355E-D3A6-432C-A21C-DE14DF123C4C}" name="CATEGORIA" dataDxfId="268"/>
    <tableColumn id="2" xr3:uid="{0B076919-5816-4D93-9665-4299D27F539A}" name="KPI" dataDxfId="267"/>
    <tableColumn id="3" xr3:uid="{F151C3B2-E973-4483-9722-D632B31CCCE7}" name="UN" dataDxfId="266"/>
    <tableColumn id="31" xr3:uid="{66CF7A1A-790D-4ED8-827E-D5159DEB493D}" name="Frequência " dataDxfId="265"/>
    <tableColumn id="4" xr3:uid="{C1F6FC83-EA9F-4B96-AE6B-7D8AE29C6935}" name="TIPO" dataDxfId="264"/>
    <tableColumn id="5" xr3:uid="{BB24E21D-D45B-420F-9537-366C7C0E829D}" name="BASELINE 2025" dataDxfId="263"/>
    <tableColumn id="6" xr3:uid="{D4C3806C-E874-45B8-987B-61F5A0EA145E}" name="META 2026" dataDxfId="262"/>
    <tableColumn id="7" xr3:uid="{816FB472-3A5A-4D84-8307-BC3FC0F8BD7D}" name="Jan" dataDxfId="261"/>
    <tableColumn id="8" xr3:uid="{8B468D62-0E3D-40F8-B910-A3F007280CFD}" name="P. Ofensor1" dataDxfId="260"/>
    <tableColumn id="9" xr3:uid="{A5E23F0B-22F5-4EF4-BB5E-E56CE7B6C15E}" name="Fev" dataDxfId="259"/>
    <tableColumn id="10" xr3:uid="{2F3A2C41-A52A-46A7-8BC6-891C5D6AC929}" name="P. Ofensor2" dataDxfId="258"/>
    <tableColumn id="11" xr3:uid="{A0B821D5-B0CD-4139-AFA4-734DF91D4C27}" name="Mar" dataDxfId="257"/>
    <tableColumn id="12" xr3:uid="{63B263DA-6987-4288-B851-A04D5DAD470C}" name="P. Ofensor3" dataDxfId="256"/>
    <tableColumn id="13" xr3:uid="{DEABB7AC-BA0B-446F-88A2-14B403CEB237}" name="Abr" dataDxfId="255"/>
    <tableColumn id="14" xr3:uid="{E397A4CC-63D8-46E1-AC82-F898E7F123A4}" name="P. Ofensor4" dataDxfId="254"/>
    <tableColumn id="15" xr3:uid="{1137A8DC-1292-4F50-BE22-E710E106048F}" name="Mai" dataDxfId="253"/>
    <tableColumn id="16" xr3:uid="{271FD523-A29A-4893-B7D9-C64EB7DAF431}" name="P. Ofensor5" dataDxfId="252"/>
    <tableColumn id="17" xr3:uid="{E3507BC0-3E62-4676-BE84-735B5D45C797}" name="Jun" dataDxfId="251"/>
    <tableColumn id="18" xr3:uid="{C3F386BB-8FFB-408C-A365-98096A6EFFB3}" name="P. Ofensor6" dataDxfId="250"/>
    <tableColumn id="19" xr3:uid="{0B880B40-16B0-4725-8E2F-D8037D12A2FB}" name="Jul" dataDxfId="249"/>
    <tableColumn id="20" xr3:uid="{C051233F-EBCA-4060-BF97-567F14C6A560}" name="P. Ofensor7" dataDxfId="248"/>
    <tableColumn id="21" xr3:uid="{94693BF9-0EE8-42DF-8190-141190A65A02}" name="Ago" dataDxfId="247"/>
    <tableColumn id="22" xr3:uid="{BCE6682D-6EDA-4E68-81C1-4802F18C636A}" name="P. Ofensor8" dataDxfId="246"/>
    <tableColumn id="23" xr3:uid="{4D1327DD-4504-4392-BE34-20923189C67E}" name="Set" dataDxfId="245"/>
    <tableColumn id="24" xr3:uid="{980C5398-9AD0-44A9-93A0-DA7EC813C9A8}" name="P. Ofensor9" dataDxfId="244"/>
    <tableColumn id="25" xr3:uid="{9FD07369-097F-4187-BD00-6133D92A514C}" name="Out" dataDxfId="243"/>
    <tableColumn id="26" xr3:uid="{7351A60E-42EF-4B32-BA6F-3B317D33CE09}" name="P. Ofensor10" dataDxfId="242"/>
    <tableColumn id="27" xr3:uid="{237AF5B1-7A79-4888-8292-51BE72F7C683}" name="Nov" dataDxfId="241"/>
    <tableColumn id="28" xr3:uid="{78476C80-7656-44D1-8727-8C77BA4D9D9D}" name="P. Ofensor11" dataDxfId="240"/>
    <tableColumn id="29" xr3:uid="{FCAD369E-4FBA-4908-9A94-1332FF8623C5}" name="Dez" dataDxfId="239"/>
    <tableColumn id="30" xr3:uid="{90F00FB3-7CCE-4655-BF60-BCE2D3B48416}" name="P. Ofensor12" dataDxfId="23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1A1FF-881B-46B1-A4CC-08A6006A56D6}" name="Tabela245" displayName="Tabela245" ref="A28:AE52" totalsRowShown="0" headerRowDxfId="236" dataDxfId="234" headerRowBorderDxfId="235" tableBorderDxfId="233" totalsRowBorderDxfId="232">
  <tableColumns count="31">
    <tableColumn id="1" xr3:uid="{5BD0AC64-C1B3-4571-8957-81CE81BD2161}" name="CATEGORIA" dataDxfId="231"/>
    <tableColumn id="2" xr3:uid="{B4329C3B-65F5-4D46-8E71-A23251F9E184}" name="KPI" dataDxfId="230"/>
    <tableColumn id="3" xr3:uid="{3EED8A2A-40A9-40F1-BAA9-C72216711369}" name="UN" dataDxfId="229"/>
    <tableColumn id="31" xr3:uid="{9F672C5F-AD54-4650-92E2-861D62CF186B}" name="Frequência " dataDxfId="228"/>
    <tableColumn id="4" xr3:uid="{3790DD2F-5459-47EC-9597-6965DF2D1F97}" name="TIPO" dataDxfId="227"/>
    <tableColumn id="5" xr3:uid="{A2CC4372-C333-4000-97F5-F3930F1202FD}" name="BASELINE 2025" dataDxfId="226"/>
    <tableColumn id="6" xr3:uid="{8D0B3B43-9717-47F3-A80F-1392E4CA40F1}" name="META 2026" dataDxfId="225"/>
    <tableColumn id="7" xr3:uid="{B2C5AE4A-56A8-4710-A958-00D5F2198605}" name="Jan" dataDxfId="224"/>
    <tableColumn id="8" xr3:uid="{EDE83221-B7CF-4DE7-B1F0-EF14441A1C5D}" name="P. Ofensor1" dataDxfId="223"/>
    <tableColumn id="9" xr3:uid="{24BED53F-C662-47FC-B47E-4291F3DDBBD4}" name="Fev" dataDxfId="222"/>
    <tableColumn id="10" xr3:uid="{DD1543EF-095E-4012-83D6-5A8228231408}" name="P. Ofensor2" dataDxfId="221"/>
    <tableColumn id="11" xr3:uid="{5730BC99-44AE-4AF6-9707-ACA169D05473}" name="Mar" dataDxfId="220"/>
    <tableColumn id="12" xr3:uid="{7DFDBD10-BC06-4C92-A581-01BB0C2C1E21}" name="P. Ofensor3" dataDxfId="219"/>
    <tableColumn id="13" xr3:uid="{5815AFFC-7359-4531-878B-E9CD942E1E1D}" name="Abr" dataDxfId="218"/>
    <tableColumn id="14" xr3:uid="{BAA29865-754D-4349-B949-E600F36A60EC}" name="P. Ofensor4" dataDxfId="217"/>
    <tableColumn id="15" xr3:uid="{DDE2C386-0A90-4292-B09E-599149B60588}" name="Mai" dataDxfId="216"/>
    <tableColumn id="16" xr3:uid="{80A6E4C5-CC1A-495F-A9B9-396FAE756B59}" name="P. Ofensor5" dataDxfId="215"/>
    <tableColumn id="17" xr3:uid="{8ECFD5ED-DC70-44BB-B6C9-F0CA91C3B8F6}" name="Jun" dataDxfId="214"/>
    <tableColumn id="18" xr3:uid="{035F5BB4-5CE0-4579-A1C1-E931C18ACA35}" name="P. Ofensor6" dataDxfId="213"/>
    <tableColumn id="19" xr3:uid="{114536F5-3185-470D-822A-1385C591D4F4}" name="Jul" dataDxfId="212"/>
    <tableColumn id="20" xr3:uid="{E26B2C3D-DD3B-4030-B831-627401168719}" name="P. Ofensor7" dataDxfId="211"/>
    <tableColumn id="21" xr3:uid="{181EE36F-41F5-42E0-B293-A62FA3A81E96}" name="Ago" dataDxfId="210"/>
    <tableColumn id="22" xr3:uid="{5DB7C887-16B9-4BA2-926B-69B081BFE465}" name="P. Ofensor8" dataDxfId="209"/>
    <tableColumn id="23" xr3:uid="{CA86BC91-257E-4AEF-9EB3-2BE0D25D1306}" name="Set" dataDxfId="208"/>
    <tableColumn id="24" xr3:uid="{B5E4DBE4-CDD8-4E38-926D-335CD0E32695}" name="P. Ofensor9" dataDxfId="207"/>
    <tableColumn id="25" xr3:uid="{279EB2AB-FD60-4AB4-B06F-7A337E52934B}" name="Out" dataDxfId="206"/>
    <tableColumn id="26" xr3:uid="{21178CBF-EFB1-4DC2-8A79-E773348947AC}" name="P. Ofensor10" dataDxfId="205"/>
    <tableColumn id="27" xr3:uid="{F6DF4FD4-63CD-4803-8986-142ECDF89FFD}" name="Nov" dataDxfId="204"/>
    <tableColumn id="28" xr3:uid="{C961DCCA-A10C-4455-A1C9-A237188D757C}" name="P. Ofensor11" dataDxfId="203"/>
    <tableColumn id="29" xr3:uid="{77592EB8-E7FB-4DF5-9D20-1CB5B3422162}" name="Dez" dataDxfId="202"/>
    <tableColumn id="30" xr3:uid="{EF111AF4-EC5D-4BE0-8A57-16E1F581828B}" name="P. Ofensor12" dataDxfId="2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3F975-3C9E-4577-8969-3136C1570AE9}" name="Tabela22" displayName="Tabela22" ref="A28:X51" totalsRowShown="0" headerRowDxfId="164" dataDxfId="162" headerRowBorderDxfId="163" tableBorderDxfId="161" totalsRowBorderDxfId="160">
  <tableColumns count="24">
    <tableColumn id="1" xr3:uid="{2235549A-F4EE-4851-9957-1FD5A8A32063}" name="CATEGORIA" dataDxfId="159"/>
    <tableColumn id="2" xr3:uid="{3F5E43CA-5864-4641-87DB-1A078698744E}" name="KPI" dataDxfId="158"/>
    <tableColumn id="3" xr3:uid="{BD870F2B-2C66-4C87-B516-49DF13BCC039}" name="UN" dataDxfId="157"/>
    <tableColumn id="24" xr3:uid="{D5518542-AC1C-4BFF-9EC4-2AB3F20B043E}" name="Frequência " dataDxfId="156"/>
    <tableColumn id="4" xr3:uid="{12F3ABC3-872B-4C37-A2D7-24F452BF3C2F}" name="TIPO" dataDxfId="155"/>
    <tableColumn id="5" xr3:uid="{4A6344F7-4359-4C37-8EF2-2C2DB703E216}" name="BASELINE 2025" dataDxfId="154"/>
    <tableColumn id="6" xr3:uid="{EF8E0F1C-3029-4E4C-90BF-19DB610717FA}" name="META 2026" dataDxfId="153"/>
    <tableColumn id="7" xr3:uid="{35CD8B94-36E3-4A03-88ED-6E9DECB1D8A1}" name="Jan" dataDxfId="152"/>
    <tableColumn id="8" xr3:uid="{3CAD6D00-EF47-47E9-ADCE-E0CEA457F39C}" name="P. Ofensor1" dataDxfId="151"/>
    <tableColumn id="9" xr3:uid="{C2FB0429-68E8-4163-99D9-3E1DE77EEF9F}" name="Fev" dataDxfId="150"/>
    <tableColumn id="10" xr3:uid="{7078F7D2-0814-487E-9796-D087622CBBD5}" name="P. Ofensor2" dataDxfId="149"/>
    <tableColumn id="11" xr3:uid="{4F2D10B3-C7DE-4249-8A88-DFCEDB69606D}" name="Mar" dataDxfId="148"/>
    <tableColumn id="12" xr3:uid="{C3DBA7FB-293E-46BA-869E-C948EEC1D304}" name="P. Ofensor3" dataDxfId="147"/>
    <tableColumn id="13" xr3:uid="{29D9CA1D-7B19-46EB-B14C-E4F65C9C3A25}" name="Abr" dataDxfId="146"/>
    <tableColumn id="14" xr3:uid="{D956E815-DBF2-4CFE-A236-C0A23C4860E6}" name="P. Ofensor4" dataDxfId="145"/>
    <tableColumn id="15" xr3:uid="{588D78A1-A477-41E2-ADF2-044DC33CD887}" name="Mai" dataDxfId="144"/>
    <tableColumn id="16" xr3:uid="{FF12980B-4A66-4180-8B06-0E1B0BF91BC0}" name="P. Ofensor5" dataDxfId="143"/>
    <tableColumn id="17" xr3:uid="{2A582D12-E00A-48DF-9A95-AFFB683D2826}" name="Jun" dataDxfId="142"/>
    <tableColumn id="18" xr3:uid="{736566ED-C7FF-4528-97F1-2438EA7101B0}" name="P. Ofensor6" dataDxfId="141"/>
    <tableColumn id="19" xr3:uid="{47733A63-E822-4D57-B582-843FCF3DD0C4}" name="Jul" dataDxfId="140"/>
    <tableColumn id="20" xr3:uid="{48742A23-9580-4219-BC8E-A7FC5FCF00CB}" name="P. Ofensor7" dataDxfId="139"/>
    <tableColumn id="21" xr3:uid="{BD2B7AE3-40FA-4502-80D2-1178D899F3E5}" name="Ago" dataDxfId="138"/>
    <tableColumn id="22" xr3:uid="{93C50BBF-6000-46F3-829F-505AB9EC08E9}" name="P. Ofensor8" dataDxfId="137"/>
    <tableColumn id="23" xr3:uid="{5EE95303-8951-400B-8371-59D1724650BD}" name="Set" dataDxfId="13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9AD01E-A80A-46AB-B8B9-3E2E5CB10DAA}" name="Tabela24567" displayName="Tabela24567" ref="A28:AE51" totalsRowShown="0" headerRowDxfId="200" dataDxfId="198" headerRowBorderDxfId="199" tableBorderDxfId="197" totalsRowBorderDxfId="196">
  <tableColumns count="31">
    <tableColumn id="1" xr3:uid="{E3D03C3B-F1AE-402A-BF5A-E0A50EC8279B}" name="CATEGORIA" dataDxfId="195"/>
    <tableColumn id="2" xr3:uid="{624293A8-85FD-48AE-82F0-E0FB6266A50B}" name="KPI" dataDxfId="194"/>
    <tableColumn id="3" xr3:uid="{914CE12B-49AB-4316-B764-655C61896CA0}" name="UN" dataDxfId="193"/>
    <tableColumn id="31" xr3:uid="{D3B47020-8603-4136-83D9-FE29EB2D60A5}" name="Frequência " dataDxfId="192"/>
    <tableColumn id="4" xr3:uid="{E1ED4094-4B85-4E9B-BB9D-778B7186BD60}" name="TIPO" dataDxfId="191"/>
    <tableColumn id="5" xr3:uid="{E110D49C-C63B-456A-8532-AF70DD9BAEA9}" name="BASELINE 2025" dataDxfId="190"/>
    <tableColumn id="6" xr3:uid="{74CA509C-3857-4DBD-ACB7-5094033ECC6C}" name="META 2026" dataDxfId="189"/>
    <tableColumn id="7" xr3:uid="{769F98B8-0F23-4E3F-9ABB-AB796FAF9E7D}" name="Jan" dataDxfId="188"/>
    <tableColumn id="8" xr3:uid="{C62F1DF8-8C9F-4627-83EE-D9FAB6A34C7F}" name="P. Ofensor1" dataDxfId="187"/>
    <tableColumn id="9" xr3:uid="{B0121C15-AB0E-4677-A480-0B0B0DA9B5B0}" name="Fev" dataDxfId="186"/>
    <tableColumn id="10" xr3:uid="{FA996CD0-E49B-4E3C-A8F3-B5820791443A}" name="P. Ofensor2" dataDxfId="185"/>
    <tableColumn id="11" xr3:uid="{3109B331-3F36-4E6C-BBF5-EDC21A843E6B}" name="Mar" dataDxfId="184"/>
    <tableColumn id="12" xr3:uid="{28EB4AEF-C732-49C3-A5EC-ABCC2310DBDF}" name="P. Ofensor3" dataDxfId="183"/>
    <tableColumn id="13" xr3:uid="{8C483FFE-2A8D-419C-AF3F-C707D97BF5F9}" name="Abr" dataDxfId="182"/>
    <tableColumn id="14" xr3:uid="{3856A7A0-CA01-4C97-9DAF-03D0C5A827B3}" name="P. Ofensor4" dataDxfId="181"/>
    <tableColumn id="15" xr3:uid="{BBF5DF13-F289-4FA0-963E-95B0C3C50173}" name="Mai" dataDxfId="180"/>
    <tableColumn id="16" xr3:uid="{13547459-F79E-4C6E-BA9E-792A65DD210E}" name="P. Ofensor5" dataDxfId="179"/>
    <tableColumn id="17" xr3:uid="{FA5160ED-8C69-478C-9E26-6BEC6E999883}" name="Jun" dataDxfId="178"/>
    <tableColumn id="18" xr3:uid="{040B0A8C-A868-4463-AAC6-ADDE06D47C3F}" name="P. Ofensor6" dataDxfId="177"/>
    <tableColumn id="19" xr3:uid="{72E01FC6-CFB0-4559-9BB2-3B113D36B4E9}" name="Jul" dataDxfId="176"/>
    <tableColumn id="20" xr3:uid="{50FBF2BE-A893-4402-9087-18A3AD6D0A0E}" name="P. Ofensor7" dataDxfId="175"/>
    <tableColumn id="21" xr3:uid="{21D56AB3-CAA2-42BF-B56C-FE59CF6E8DEA}" name="Ago" dataDxfId="174"/>
    <tableColumn id="22" xr3:uid="{6E7CEE18-0F5F-4885-902A-6EE695F1C2C3}" name="P. Ofensor8" dataDxfId="173"/>
    <tableColumn id="23" xr3:uid="{7EC10602-6F8C-482D-81D2-8B4AB3D277E9}" name="Set" dataDxfId="172"/>
    <tableColumn id="24" xr3:uid="{E3386400-690D-4069-BC79-B970108657C3}" name="P. Ofensor9" dataDxfId="171"/>
    <tableColumn id="25" xr3:uid="{13A7894C-D58F-41F8-A9FB-74BBF1FE04D5}" name="Out" dataDxfId="170"/>
    <tableColumn id="26" xr3:uid="{EB2CB1BE-FCAF-4003-BD17-C698FE94DF9F}" name="P. Ofensor10" dataDxfId="169"/>
    <tableColumn id="27" xr3:uid="{E22F5FA8-CAEC-4BD8-A247-989F555F345E}" name="Nov" dataDxfId="168"/>
    <tableColumn id="28" xr3:uid="{DAEA004F-7538-4066-A977-9CA267214D40}" name="P. Ofensor11" dataDxfId="167"/>
    <tableColumn id="29" xr3:uid="{19DC3F8F-AC00-47E7-84F1-38A4108558AE}" name="Dez" dataDxfId="166"/>
    <tableColumn id="30" xr3:uid="{F44DCC01-BC0E-4BE7-8031-1A483E69F7A7}" name="P. Ofensor12" dataDxfId="1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4" dT="2026-01-30T11:27:03.63" personId="{B0A81E74-5926-45BD-873A-6F4BF1F3D8BA}" id="{28759D42-4F8A-4AC4-B849-79496CC87E09}">
    <text xml:space="preserve">Nota técnica: O ranking considera valores potenciais distintos. Em caso de empate, recomenda-se ajuste mínimo (ex.: 0,001). </text>
  </threadedComment>
  <threadedComment ref="U18" dT="2026-06-01T18:41:09.81" personId="{A45066BC-B1A9-4E1C-B993-A135D85F8452}" id="{4DF03FE9-7CA2-468A-9517-04DEC2B8E99D}">
    <text>Materia Prima ainda não acabou</text>
  </threadedComment>
  <threadedComment ref="B29" dT="2026-02-06T14:39:15.50" personId="{B0A81E74-5926-45BD-873A-6F4BF1F3D8BA}" id="{BB7C98AD-2251-4C44-ACEB-B2DA8D7167B2}">
    <text xml:space="preserve">Atualização da informação sempre no SETIMO dia útil - By Paulo Ribeiro Controladoria  </text>
  </threadedComment>
  <threadedComment ref="B30" dT="2026-02-06T14:51:25.15" personId="{B0A81E74-5926-45BD-873A-6F4BF1F3D8BA}" id="{676CD507-2FE5-4E54-8EFB-77C0B9BCDEA3}">
    <text xml:space="preserve">Atualização da informação sempre no SETIMO dia útil - By Paulo Ribeiro Controladoria  
</text>
  </threadedComment>
  <threadedComment ref="B32" dT="2026-02-06T14:51:38.42" personId="{B0A81E74-5926-45BD-873A-6F4BF1F3D8BA}" id="{E9DC6DE0-6D4F-4D55-8A98-DC1B2389B2DA}">
    <text xml:space="preserve">Atualização da informação sempre no SETIMO dia útil - By Paulo Ribeiro Controladoria  
</text>
  </threadedComment>
  <threadedComment ref="B42" dT="2026-02-06T14:51:52.23" personId="{B0A81E74-5926-45BD-873A-6F4BF1F3D8BA}" id="{AB0D28BA-B3BC-454D-A3F5-89DCE350A700}">
    <text xml:space="preserve">Atualização da informação sempre no SETIMO dia útil - By Paulo Ribeiro Controladoria  </text>
  </threadedComment>
  <threadedComment ref="J49" dT="2026-04-07T17:12:06.26" personId="{1D3CBD94-FF0F-4AB2-803D-9292F3540078}" id="{B90ED909-B286-44F7-8740-283945A902CC}">
    <text xml:space="preserve">GGF melhor em Janeiro R$170000 MOD e MOI controle e Redução de HE nas áreas suportes EBITDA R$360000 Melhor no bimestre contra Budget </text>
  </threadedComment>
  <threadedComment ref="L49" dT="2026-04-20T17:36:40.75" personId="{1D3CBD94-FF0F-4AB2-803D-9292F3540078}" id="{A1B78FEA-2677-4BF5-BB7F-6C9ABA46D0C7}">
    <text xml:space="preserve">EBITDA R$ 16.000,00 Positivo , Faturamento no mês foi maior, melhora na margem VA e GGF conseguiu absorver o aumento de faturamento , proporcionando  margem bruta positivo.  </text>
  </threadedComment>
  <threadedComment ref="U56" dT="2026-04-20T17:08:10.26" personId="{FD083245-586C-4902-9CFA-5FB3EA0451CE}" id="{9C283E7A-D43D-46F7-B1FD-B2EBC09E60A7}">
    <text>O material novo passou a ser cortado e utilizado a partir de 12/03 - desconsiderada as qtds faturadas anteriores a essa data.
Se fosse no mês todo, o ganho real seria cerca de 19k.</text>
  </threadedComment>
  <threadedComment ref="N57" dT="2026-03-19T16:40:21.38" personId="{FD083245-586C-4902-9CFA-5FB3EA0451CE}" id="{D83B51F4-8645-4F56-98F1-531ED4C00E90}">
    <text>Em standby aguardando definição da Diretoria se seguiremos com Kaizens de energia</text>
  </threadedComment>
  <threadedComment ref="N57" dT="2026-05-07T17:17:27.17" personId="{FD083245-586C-4902-9CFA-5FB3EA0451CE}" id="{870666B8-488A-4465-B021-FC7E1D524DA0}" parentId="{D83B51F4-8645-4F56-98F1-531ED4C00E90}">
    <text xml:space="preserve">DEFINIDO que esse tipo de Kaizen deve sair do controle - deve ser considerado nas questões de performance.
</text>
  </threadedComment>
  <threadedComment ref="N63" dT="2026-04-20T17:13:32.24" personId="{FD083245-586C-4902-9CFA-5FB3EA0451CE}" id="{7E8C0128-7755-48B3-91AB-C09B3489A577}">
    <text>Calculo validado, considerando a previsao de ganho inicial que foi de Fev a Dez. 
- ganho real considerado a partir de Março, com a mudança efetica do contrato e dos pagamentos.</text>
  </threadedComment>
  <threadedComment ref="X66" dT="2026-06-08T14:55:37.60" personId="{FD083245-586C-4902-9CFA-5FB3EA0451CE}" id="{9FC3433F-7D84-40E0-B700-7E8537B51233}">
    <text>No mês ainda sem ganho, pois tivemos o pagamento das rescisões.</text>
  </threadedComment>
  <threadedComment ref="N67" dT="2026-04-29T17:00:30.06" personId="{FD083245-586C-4902-9CFA-5FB3EA0451CE}" id="{5A43565F-B0BF-4D35-94B7-73AE73DFC2AB}">
    <text>Em Standby aguardando definição da Diretoria se seguiremos com Kaizens de Consumo de agua.</text>
  </threadedComment>
  <threadedComment ref="N67" dT="2026-05-07T15:12:04.61" personId="{FD083245-586C-4902-9CFA-5FB3EA0451CE}" id="{8833E4EC-3C37-4DF5-AF5F-B2B5BBC8D6F0}" parentId="{5A43565F-B0BF-4D35-94B7-73AE73DFC2AB}">
    <text>DEFINIDO que esse tipo de Kaizen deve sair do controle - deve ser considerado nas questões de performance.</text>
  </threadedComment>
  <threadedComment ref="X70" dT="2026-06-08T15:22:13.59" personId="{FD083245-586C-4902-9CFA-5FB3EA0451CE}" id="{2DB277DB-B588-445F-828F-5F6F541C64F1}">
    <text>LT atualizada com pesos menores do que o proposto e também não foi atualizada a chapa proposta (permaneceu a mesma) - CONFIRMAR DADOS.</text>
  </threadedComment>
  <threadedComment ref="N71" dT="2026-05-07T15:12:49.10" personId="{FD083245-586C-4902-9CFA-5FB3EA0451CE}" id="{3C057EED-A86A-4CA6-ACFC-77AC795147FD}">
    <text>DEFINIDO que esse tipo de Kaizen deve sair do controle - deve ser considerado nas questões de performance.</text>
  </threadedComment>
  <threadedComment ref="N73" dT="2026-04-29T17:08:49.76" personId="{FD083245-586C-4902-9CFA-5FB3EA0451CE}" id="{10D38F70-6A31-4741-82BC-070C48D97B29}">
    <text>Aguardando retorno do Izaias - sobre memoria de calculo.
De onde foram retirados os valores e quantidades do arame.
Necessario tb o codigo dos arames.</text>
  </threadedComment>
  <threadedComment ref="N79" dT="2026-03-23T12:37:39.57" personId="{FD083245-586C-4902-9CFA-5FB3EA0451CE}" id="{8E8634D2-F205-40BD-9096-E99A464D2CC8}">
    <text xml:space="preserve">Custo da porca = 0,155750 (9 meses de economia) 
última entrada em Diadema - NFs (11/25) </text>
  </threadedComment>
  <threadedComment ref="N79" dT="2026-05-14T01:35:49.51" personId="{FD083245-586C-4902-9CFA-5FB3EA0451CE}" id="{52D6268D-9C07-41BF-AC6D-B24E1366E769}" parentId="{8E8634D2-F205-40BD-9096-E99A464D2CC8}">
    <text>Por favor, enviar em qual codigo Delga realizamos essa reduçao - no A3 tem apenas A9792901919 .</text>
  </threadedComment>
  <threadedComment ref="W80" dT="2026-05-14T02:56:28.21" personId="{FD083245-586C-4902-9CFA-5FB3EA0451CE}" id="{71865C6C-167A-4E96-A15A-729816200225}">
    <text>Por favor, enviar em qual codigo Delga realizamos essa reduçao - no A3 tem apenas A9792901919 .</text>
  </threadedComment>
  <threadedComment ref="X80" dT="2026-05-14T02:56:28.21" personId="{FD083245-586C-4902-9CFA-5FB3EA0451CE}" id="{9AD07D01-7A28-4159-A9C7-0BAA2AB5CE21}">
    <text>Por favor, enviar em qual codigo Delga realizamos essa reduçao - no A3 tem apenas A9792901919 .</text>
  </threadedComment>
  <threadedComment ref="T82" dT="2026-03-19T18:57:18.10" personId="{FD083245-586C-4902-9CFA-5FB3EA0451CE}" id="{D96BD6C1-A00E-456E-B5B2-1D72D0329129}">
    <text>Valor associado ao volume de 1259 pcs  faturadas ( contra 1050 projetada em Budget, utilizada no calculo previsto)</text>
  </threadedComment>
  <threadedComment ref="I89" dT="2026-06-02T11:34:52.33" personId="{E4DAA72B-E3A2-44E7-9174-021DC08673AB}" id="{55FE89BC-2213-44FE-A124-56344DA4DBC7}">
    <text>20k referente a venda de lavadora NF589224 01/06/2026</text>
  </threadedComment>
  <threadedComment ref="I89" dT="2026-06-12T12:41:33.31" personId="{E4DAA72B-E3A2-44E7-9174-021DC08673AB}" id="{294B9A8B-DCA2-42ED-BA36-FAB0D67F0CEF}" parentId="{55FE89BC-2213-44FE-A124-56344DA4DBC7}">
    <text>26k referente a venda de sucata NF 589563
10/06/2026</text>
  </threadedComment>
  <threadedComment ref="S94" dT="2026-03-16T17:57:52.48" personId="{FD083245-586C-4902-9CFA-5FB3EA0451CE}" id="{3688039B-B610-4CD3-B2D3-44B6577C54EA}">
    <text xml:space="preserve">A planta possui um Budget de 20k mensal e esse mês gastou 28k - representando -0,05% de "redução real" sobre o faturamento total do mês. Resultando em 6k a mais do que o planejado.
</text>
  </threadedComment>
  <threadedComment ref="T94" dT="2026-03-16T17:55:52.60" personId="{FD083245-586C-4902-9CFA-5FB3EA0451CE}" id="{BBC5978B-3F4E-4AEB-85F5-A7EA1C414133}">
    <text xml:space="preserve">A planta possui um Budget de 40k mensal e esse mês gastou 110k - representando -0,43% de "redução" sobre o faturamento total do mês. Resultando em 67k a mais do que o planejado.
</text>
  </threadedComment>
  <threadedComment ref="N97" dT="2026-04-06T14:04:20.87" personId="{FD083245-586C-4902-9CFA-5FB3EA0451CE}" id="{02E07E83-1B8B-4A6C-97F0-20E0649452F3}">
    <text>Conversado com Bruno na semana passada, ele irá revisitar o projeto, pois tivemos algumas duvidas e precisamos entender como será feito a validação mensal desse kaizen</text>
  </threadedComment>
  <threadedComment ref="N97" dT="2026-05-07T15:14:16.99" personId="{FD083245-586C-4902-9CFA-5FB3EA0451CE}" id="{E51C52DC-49DF-4907-A962-E1021FE67830}" parentId="{02E07E83-1B8B-4A6C-97F0-20E0649452F3}">
    <text>Em revisao com Bruno, confirmar se iremos retirar esse projeto devido a forma de medição incompativel com o sistema</text>
  </threadedComment>
  <threadedComment ref="N103" dT="2026-05-14T18:48:37.09" personId="{FD083245-586C-4902-9CFA-5FB3EA0451CE}" id="{0D74F7D7-93F7-4476-AA1A-3DCB67E0A57C}">
    <text>Revisado em Abril - novo calculo de peso.</text>
  </threadedComment>
  <threadedComment ref="U108" dT="2026-04-20T17:36:51.16" personId="{FD083245-586C-4902-9CFA-5FB3EA0451CE}" id="{D90BA3A0-8033-4827-AC8F-956FBBE4FD65}">
    <text>Em alinhametno com Bruno (22/04) no momento = Sem retorno calculado, LT no sistema ainda consta com o peso antigo do material (8,403 e não 8,242kgs como proposto)</text>
  </threadedComment>
  <threadedComment ref="N109" dT="2026-03-20T13:46:42.27" personId="{FD083245-586C-4902-9CFA-5FB3EA0451CE}" id="{F8F3DFD2-F49E-4D24-BD03-5CAD63688474}">
    <text xml:space="preserve">Diferenças de cadastro - validar em reuniao.
Volume considerando apenas o  SV205Z - pois o 206Z não foi considerado no Budget.
</text>
  </threadedComment>
  <threadedComment ref="N109" dT="2026-05-07T15:15:38.92" personId="{FD083245-586C-4902-9CFA-5FB3EA0451CE}" id="{8359D321-2E52-491A-AC9E-DE10B43799A7}" parentId="{F8F3DFD2-F49E-4D24-BD03-5CAD63688474}">
    <text>Em revisao com Bruno - veirificar historico da LT cadastrada e processo atual (A premissa de validaçao é o Budget e na lista de 11/2025 não constavam esses materiais no cadastro..</text>
  </threadedComment>
  <threadedComment ref="N111" dT="2026-03-19T20:15:46.40" personId="{FD083245-586C-4902-9CFA-5FB3EA0451CE}" id="{8AD98D8B-ED85-456D-B62C-7276F5911BAA}">
    <text>Ganho previsto considerando as duas peças - o valor de entrada das ultimas MPs está bem inferior ao projetado - compramos mais barato.
De cada blank saem 2pçs.</text>
  </threadedComment>
  <threadedComment ref="N115" dT="2026-03-30T17:31:18.57" personId="{FD083245-586C-4902-9CFA-5FB3EA0451CE}" id="{0B6C7B7A-9CCB-4476-ACC8-7673B822528E}">
    <text>Aguardando Retorno Bruno para validação das informações cadastradas.</text>
  </threadedComment>
  <threadedComment ref="N115" dT="2026-04-06T14:01:10.40" personId="{FD083245-586C-4902-9CFA-5FB3EA0451CE}" id="{A6883C57-112D-42B4-9074-13B6F4B2CEDE}" parentId="{0B6C7B7A-9CCB-4476-ACC8-7673B822528E}">
    <text>Finalizado - volumes atualizados.</text>
  </threadedComment>
  <threadedComment ref="N115" dT="2026-05-07T13:29:07.78" personId="{FD083245-586C-4902-9CFA-5FB3EA0451CE}" id="{04DA306D-3E15-4CCE-B38F-DF7958A048CA}" parentId="{0B6C7B7A-9CCB-4476-ACC8-7673B822528E}">
    <text>Primeira validação = 102.560,41 
Material revisado, aplicado software AlmaCAM, trazendo um melhor aproveitamento da chapa, aumentando o ganho.</text>
  </threadedComment>
  <threadedComment ref="N117" dT="2026-03-17T20:45:27.66" personId="{FD083245-586C-4902-9CFA-5FB3EA0451CE}" id="{260B6D02-4416-45F3-8E82-6812914771FD}">
    <text>O Ganho sinalizado por Diadema no A3 é de 624 reais e não 5.625 como esta no previsto! Checar !!</text>
  </threadedComment>
  <threadedComment ref="U118" dT="2026-04-20T17:51:04.81" personId="{FD083245-586C-4902-9CFA-5FB3EA0451CE}" id="{4BF225A5-F752-4589-B1ED-02C5EEFEBC47}">
    <text>Material ainda não teve a LT alterada (Mar/Abr) - continua com o mesmo peso.</text>
  </threadedComment>
  <threadedComment ref="U120" dT="2026-04-20T17:53:13.21" personId="{FD083245-586C-4902-9CFA-5FB3EA0451CE}" id="{817153C8-6DC8-4DF2-B184-1B97EE56D69E}">
    <text>Item ainda não teve a LT alterada (Mar/Abr) - continuamos com o peso inicial de 0,554</text>
  </threadedComment>
  <threadedComment ref="U122" dT="2026-04-20T17:55:40.72" personId="{FD083245-586C-4902-9CFA-5FB3EA0451CE}" id="{298E6972-510E-4102-B577-CEA45B4F4B91}">
    <text xml:space="preserve">Item ainda não teve a LT alterada (Mar/Abr) - continuamos com o peso inicial de 0,261 e não 0,226 como proposta
</text>
  </threadedComment>
  <threadedComment ref="U124" dT="2026-04-22T11:39:41.61" personId="{FD083245-586C-4902-9CFA-5FB3EA0451CE}" id="{6DDA57E5-3655-4953-9569-CE5945E4F70F}">
    <text xml:space="preserve">Item ainda não teve a LT alterada (Mar/Abr) - continuamos com o peso inicial de 2,117 </text>
  </threadedComment>
  <threadedComment ref="C125" dT="2026-03-17T23:33:43.49" personId="{FD083245-586C-4902-9CFA-5FB3EA0451CE}" id="{AD46BC94-777C-48CC-9292-805537A3EF33}">
    <text>Código = MB003673AL ?</text>
  </threadedComment>
  <threadedComment ref="U126" dT="2026-04-22T11:43:21.75" personId="{FD083245-586C-4902-9CFA-5FB3EA0451CE}" id="{5897A164-4E0C-4EE3-8FA8-CA10A652B9CC}">
    <text>LT não alterada em Mar/Abr.</text>
  </threadedComment>
  <threadedComment ref="W126" dT="2026-05-14T02:36:52.82" personId="{FD083245-586C-4902-9CFA-5FB3EA0451CE}" id="{7CEEFAAD-1CD5-405D-A68D-4C602F4F79CA}">
    <text>LT alterada para 0,572 e não 0,571 como no A3 previsto (ganho total reduzido de $635 para $611)</text>
  </threadedComment>
  <threadedComment ref="M127" dT="2026-03-17T22:20:34.60" personId="{FD083245-586C-4902-9CFA-5FB3EA0451CE}" id="{33242355-8A05-4206-830A-C59703272FBA}">
    <text>Estrutura não contem MP e a chapa sinalizada esta como subcontratação - ao valor de 100,27 reais. - planta = validar cadastros.</text>
  </threadedComment>
  <threadedComment ref="M127" dT="2026-04-06T14:38:13.77" personId="{FD083245-586C-4902-9CFA-5FB3EA0451CE}" id="{E7C25292-DFA8-4A12-BE65-EC8975A9E161}" parentId="{33242355-8A05-4206-830A-C59703272FBA}">
    <text>Cadastro validado, MP atualizada.
Budget considerado quantidade necessaria em Kgs maior que o utilizado, favorecendo o ganho nesse comparativo.</text>
  </threadedComment>
  <threadedComment ref="W130" dT="2026-05-14T01:49:08.54" personId="{FD083245-586C-4902-9CFA-5FB3EA0451CE}" id="{809B165B-6796-4DA9-A728-3035529DB397}">
    <text>Validado sobre o peso informado no A3 - 3,217kgs (na lista atualizada esta com 3,205kgs - solicitado confirmaçao da planta.</text>
  </threadedComment>
  <threadedComment ref="U136" dT="2026-04-20T18:00:16.08" personId="{FD083245-586C-4902-9CFA-5FB3EA0451CE}" id="{B8C6082A-1CA3-4C02-8F8C-D1C222F2224C}">
    <text xml:space="preserve">LT sem atualizaçao (Mar/Abr) - material com 5,211 e não com 4,750 como proposto.
</text>
  </threadedComment>
  <threadedComment ref="N139" dT="2026-04-29T17:30:54.06" personId="{FD083245-586C-4902-9CFA-5FB3EA0451CE}" id="{7498A677-8EF2-4F38-8764-AEDC2252145E}">
    <text>Kaizen não tem memoria de calculo - A MO reduzida foir realocada, desligada ?</text>
  </threadedComment>
  <threadedComment ref="N139" dT="2026-06-12T13:04:49.79" personId="{E4DAA72B-E3A2-44E7-9174-021DC08673AB}" id="{95EF0335-B5D5-4072-9D80-8E75046A31E0}" parentId="{7498A677-8EF2-4F38-8764-AEDC2252145E}">
    <text>@Carolina Reis Machado Rodrigues A MOD será desligada após a implementação do kaizen. A gente sempre usa como base o de custo de 10K/mês para a MOD. Quando ocorrer o desligamento, te enviarei a evidência.</text>
    <mentions>
      <mention mentionpersonId="{5E7F92EB-E611-4CB7-837B-7F6FB24D7B54}" mentionId="{8E35A23A-F24D-4B89-8C90-C381B3F0E720}" startIndex="0" length="32"/>
    </mentions>
  </threadedComment>
  <threadedComment ref="N145" dT="2026-04-29T17:21:49.53" personId="{FD083245-586C-4902-9CFA-5FB3EA0451CE}" id="{2E265D4F-8EAE-49CC-B73A-C3FBFA173303}">
    <text>Enviar evidencia do levantamento dos dados - R$650 gasolina utilizada / R$9mil da compra da água.
Para o Deionizador, gastaremos so o investimento ?
Mensalmente quais são os gastos dele ? 
Sera necessario um operador para isso ?</text>
  </threadedComment>
  <threadedComment ref="N147" dT="2026-04-29T17:56:40.16" personId="{FD083245-586C-4902-9CFA-5FB3EA0451CE}" id="{9CE49821-AD90-46C7-B1A0-02794ACF4E10}">
    <text>Considerado apenas o volume dos itens VW940Z_941Z - os demais não foram encontrados historicos</text>
  </threadedComment>
  <threadedComment ref="N149" dT="2026-04-29T19:42:25.31" personId="{FD083245-586C-4902-9CFA-5FB3EA0451CE}" id="{E37ACD5E-DE92-4E10-AC14-E7DA259C61E9}">
    <text>Volume maior Budget maior que o da proposta - considerando todos os itens GMxxxZ de Ago a Dez.
Necessario ainda passar o item vendavel que consome o DJxxxx</text>
  </threadedComment>
  <threadedComment ref="N151" dT="2026-05-07T14:05:02.14" personId="{FD083245-586C-4902-9CFA-5FB3EA0451CE}" id="{CEB78264-27F6-4317-9E14-AA87CEB25979}">
    <text>Necessario verificar LT cadastrada atualmente, pois já tivemos um Kaizen validado desse mesmo material</text>
  </threadedComment>
  <threadedComment ref="N161" dT="2026-05-27T15:25:58.10" personId="{FD083245-586C-4902-9CFA-5FB3EA0451CE}" id="{1C15A06B-72CF-48D2-ADBD-69452259D7E6}">
    <text>Verificar chapa proposta - não encontrada no sistema. Necessário orçamento, para calcular os valores .</text>
  </threadedComment>
  <threadedComment ref="P224" dT="2026-02-05T14:34:25.09" personId="{B0A81E74-5926-45BD-873A-6F4BF1F3D8BA}" id="{4C844F29-B281-4629-83D1-E7AD1576E12D}">
    <text>Automático conforme preenchimento de datas no controle enviado pelo Elio.</text>
  </threadedComment>
</ThreadedComments>
</file>

<file path=xl/threadedComments/threadedComment2.xml><?xml version="1.0" encoding="utf-8"?>
<ThreadedComments xmlns="http://schemas.microsoft.com/office/spreadsheetml/2018/threadedcomments" xmlns:x="http://schemas.openxmlformats.org/spreadsheetml/2006/main">
  <threadedComment ref="O4" dT="2026-01-30T11:27:03.63" personId="{B0A81E74-5926-45BD-873A-6F4BF1F3D8BA}" id="{6C5D3DFA-3171-4014-A768-5936E9F1A5DC}">
    <text xml:space="preserve">Nota técnica: O ranking considera valores potenciais distintos. Em caso de empate, recomenda-se ajuste mínimo (ex.: 0,001). </text>
  </threadedComment>
  <threadedComment ref="B5" dT="2026-05-04T10:35:56.33" personId="{26ABD6DC-33C5-4BF6-992B-E447033265A7}" id="{05296EBE-5199-457C-BB20-6637F2574CB3}">
    <text>Foi desconsiderado projetos de MOD valor de 1.25M</text>
  </threadedComment>
  <threadedComment ref="N8" dT="2026-03-09T17:55:44.39" personId="{B0A81E74-5926-45BD-873A-6F4BF1F3D8BA}" id="{701FAD2B-41AC-4D18-972F-9E580F4EBF4A}">
    <text>Alinhamento junto ao Plant Manager</text>
  </threadedComment>
  <threadedComment ref="AD10" dT="2026-03-10T10:42:17.82" personId="{26ABD6DC-33C5-4BF6-992B-E447033265A7}" id="{3754B9AF-2423-4845-955C-144BA4799462}">
    <text>Atraso de validação de custos.</text>
  </threadedComment>
  <threadedComment ref="AD11" dT="2026-03-10T10:42:10.71" personId="{26ABD6DC-33C5-4BF6-992B-E447033265A7}" id="{6780A1B4-3784-42DE-964D-65576B57665B}">
    <text>Atraso de validação de custos.</text>
  </threadedComment>
  <threadedComment ref="AD12" dT="2026-03-10T10:41:35.87" personId="{26ABD6DC-33C5-4BF6-992B-E447033265A7}" id="{4C52FC0D-D44C-4E1A-B0B2-472E2A409943}">
    <text>Atraso de validação de custos.</text>
  </threadedComment>
  <threadedComment ref="AD13" dT="2026-03-10T10:42:00.50" personId="{26ABD6DC-33C5-4BF6-992B-E447033265A7}" id="{903C14F0-73A2-424A-A80B-FAFB62E493CC}">
    <text>Atraso de validação de custos.</text>
  </threadedComment>
  <threadedComment ref="AD18" dT="2026-03-10T10:54:32.21" personId="{26ABD6DC-33C5-4BF6-992B-E447033265A7}" id="{AFDD9F63-1752-48FE-8DCC-EB088355A160}">
    <text>Aguardando Compras</text>
  </threadedComment>
  <threadedComment ref="AD24" dT="2026-03-10T10:57:28.59" personId="{26ABD6DC-33C5-4BF6-992B-E447033265A7}" id="{6B9801FA-247A-406C-A2F2-83F94F8BBA09}">
    <text>Pendente compras</text>
  </threadedComment>
  <threadedComment ref="AD25" dT="2026-03-10T10:58:13.59" personId="{26ABD6DC-33C5-4BF6-992B-E447033265A7}" id="{7A5CB152-6C47-4CC7-BA82-79C27187D6FF}">
    <text>Pendente Compras</text>
  </threadedComment>
  <threadedComment ref="G28" dT="2026-02-16T13:14:17.70" personId="{B0A81E74-5926-45BD-873A-6F4BF1F3D8BA}" id="{B72163E5-17FB-420F-9BD8-A7F295B88023}">
    <text xml:space="preserve">Aguardando Sergio 
</text>
  </threadedComment>
  <threadedComment ref="B29" dT="2026-02-06T14:54:27.57" personId="{B0A81E74-5926-45BD-873A-6F4BF1F3D8BA}" id="{07400FC9-6285-4863-9894-0527D1EFE75F}">
    <text xml:space="preserve">Atualização da informação sempre no SETIMO dia útil - By Paulo Ribeiro Controladoria </text>
  </threadedComment>
  <threadedComment ref="B30" dT="2026-02-06T14:54:34.70" personId="{B0A81E74-5926-45BD-873A-6F4BF1F3D8BA}" id="{66F9DF06-A4E7-45D9-AC2A-CBE266FE0DBB}">
    <text xml:space="preserve">Atualização da informação sempre no SETIMO dia útil - By Paulo Ribeiro Controladoria 
</text>
  </threadedComment>
  <threadedComment ref="B32" dT="2026-02-06T14:54:41.00" personId="{B0A81E74-5926-45BD-873A-6F4BF1F3D8BA}" id="{ECE3338E-1AA7-445A-8EDD-A25F7DB0FA73}">
    <text xml:space="preserve">Atualização da informação sempre no SETIMO dia útil - By Paulo Ribeiro Controladoria </text>
  </threadedComment>
  <threadedComment ref="B42" dT="2026-02-06T14:54:21.32" personId="{B0A81E74-5926-45BD-873A-6F4BF1F3D8BA}" id="{9A77F069-39DE-4879-A602-314E17DD9562}">
    <text xml:space="preserve">Atualização da informação sempre no SETIMO dia útil - By Paulo Ribeiro Controladoria </text>
  </threadedComment>
  <threadedComment ref="I55" dT="2026-06-16T10:42:46.18" personId="{26ABD6DC-33C5-4BF6-992B-E447033265A7}" id="{0531DA1A-FCB5-46D1-B52E-F0D28782D7B3}">
    <text>Era previsto R$ 560.00</text>
  </threadedComment>
  <threadedComment ref="C57" dT="2026-06-16T10:37:43.31" personId="{26ABD6DC-33C5-4BF6-992B-E447033265A7}" id="{9764FC8C-7194-4517-9143-695FC3CBB196}">
    <text>Até dia 26/06 Felipe entrega validaçao</text>
  </threadedComment>
  <threadedComment ref="C59" dT="2026-04-30T10:50:52.70" personId="{26ABD6DC-33C5-4BF6-992B-E447033265A7}" id="{44AE43D6-8A57-479C-B974-34022DDE0888}">
    <text>09/06 LISTA COM OS BLANKS</text>
  </threadedComment>
  <threadedComment ref="C61" dT="2026-04-28T10:39:48.05" personId="{26ABD6DC-33C5-4BF6-992B-E447033265A7}" id="{6A086458-C5FC-44FA-A10A-1138F44AB92B}">
    <text>Aguardando retorno de compras</text>
  </threadedComment>
  <threadedComment ref="N63" dT="2026-03-19T18:57:45.46" personId="{FD083245-586C-4902-9CFA-5FB3EA0451CE}" id="{DE666EB3-089E-4E57-966F-BF9D7647287E}">
    <text>Aguardando arquivo final da planta - conversado com Felipe em 19/03..</text>
  </threadedComment>
  <threadedComment ref="C67" dT="2026-05-05T10:34:34.93" personId="{26ABD6DC-33C5-4BF6-992B-E447033265A7}" id="{259014A4-F410-4907-B0C3-378CBE17AD68}">
    <text>946AD não da altura para entrar a ferramenta, 325 rasgo da base superior 06/05</text>
  </threadedComment>
  <threadedComment ref="I67" dT="2026-06-11T10:54:22.81" personId="{26ABD6DC-33C5-4BF6-992B-E447033265A7}" id="{70407FA3-5E8E-47B1-A2BD-CFC5BA48DFA1}">
    <text>Não foi validado por custos: R$ 1.459,30</text>
  </threadedComment>
  <threadedComment ref="C79" dT="2026-04-30T10:52:10.85" personId="{26ABD6DC-33C5-4BF6-992B-E447033265A7}" id="{49ADE79C-0C1C-4AA7-B55B-03DBB53F727F}">
    <text>Novo projeto 08/05</text>
  </threadedComment>
  <threadedComment ref="U80" dT="2026-04-20T18:19:38.01" personId="{FD083245-586C-4902-9CFA-5FB3EA0451CE}" id="{9815DC04-D558-4F0A-BE96-30EE24BA0F2F}">
    <text>LT ainda não foi atuzalizada com o peso proposto (Mar/Abr)</text>
  </threadedComment>
  <threadedComment ref="W80" dT="2026-04-20T18:19:38.01" personId="{FD083245-586C-4902-9CFA-5FB3EA0451CE}" id="{DD81C8B2-1D10-4424-B2F5-852E89B5B727}">
    <text>LT ainda não foi atuzalizada com o peso proposto (Mar/Abr)</text>
  </threadedComment>
  <threadedComment ref="C81" dT="2026-04-30T10:53:25.66" personId="{26ABD6DC-33C5-4BF6-992B-E447033265A7}" id="{1EBDDAE5-0CEB-4795-A49A-31937CB11171}">
    <text>Validar com a Carol 04/05</text>
  </threadedComment>
  <threadedComment ref="M81" dT="2026-02-25T23:20:16.09" personId="{BD1CECAE-92B5-4FFC-9A27-B8FA1D076FE7}" id="{AB851EF9-8729-47FC-BE49-1F675A6ED8DB}">
    <text>Realizar novo calculo -3,0mm</text>
  </threadedComment>
  <threadedComment ref="N81" dT="2026-03-20T17:18:20.80" personId="{FD083245-586C-4902-9CFA-5FB3EA0451CE}" id="{621E6978-943B-4A0D-8A8C-E80AB318078B}">
    <text>Cadastro no SAP já é menor que o proposto.
REVISÃO dos cadastros e nova analise realizada em Abril/26 - cenarios OK.</text>
  </threadedComment>
  <threadedComment ref="W82" dT="2026-04-20T18:19:38.01" personId="{FD083245-586C-4902-9CFA-5FB3EA0451CE}" id="{1CE1AE6D-6159-45B5-BBE7-123B5B3A7C3E}">
    <text>LT ainda não foi atuzalizada com o peso proposto (Mar/Abr).</text>
  </threadedComment>
  <threadedComment ref="X82" dT="2026-04-20T18:19:38.01" personId="{FD083245-586C-4902-9CFA-5FB3EA0451CE}" id="{CDCF625B-19E9-47A4-9E05-24A7F26BAD4D}">
    <text>LT ainda não foi atuzalizada com o peso proposto (Abr/Mai).</text>
  </threadedComment>
  <threadedComment ref="M83" dT="2026-02-25T23:20:16.09" personId="{BD1CECAE-92B5-4FFC-9A27-B8FA1D076FE7}" id="{0693862C-7E65-42C2-BCF0-B931BF946D1C}">
    <text>Realizar novo calculo -3,0mm</text>
  </threadedComment>
  <threadedComment ref="U84" dT="2026-04-20T18:21:46.20" personId="{FD083245-586C-4902-9CFA-5FB3EA0451CE}" id="{F2DD8365-8DDE-42B0-9CEB-03690EA342DC}">
    <text>LT ainda não foi atualizada com o peso proposto (Mar/Abr)</text>
  </threadedComment>
  <threadedComment ref="W84" dT="2026-04-20T18:19:38.01" personId="{FD083245-586C-4902-9CFA-5FB3EA0451CE}" id="{5F19A1DA-1E40-4ACE-B0D3-DCF9DBA7FB7C}">
    <text>LT ainda não foi atuzalizada com o peso proposto (Mar/Abr).</text>
  </threadedComment>
  <threadedComment ref="M85" dT="2026-02-25T23:23:06.37" personId="{BD1CECAE-92B5-4FFC-9A27-B8FA1D076FE7}" id="{ED06F117-19B0-4A8A-ABB3-E35C1A30CD3C}">
    <text>Invalidado por compras</text>
  </threadedComment>
  <threadedComment ref="M85" dT="2026-02-26T10:49:51.80" personId="{BD1CECAE-92B5-4FFC-9A27-B8FA1D076FE7}" id="{D0270AF4-5D76-4F0B-8240-C6FF7DFB529F}" parentId="{ED06F117-19B0-4A8A-ABB3-E35C1A30CD3C}">
    <text>Bucar refilo</text>
  </threadedComment>
  <threadedComment ref="N85" dT="2026-03-19T12:25:02.01" personId="{FD083245-586C-4902-9CFA-5FB3EA0451CE}" id="{9FA81C51-ECE8-48B8-8E27-AFF118DE533C}">
    <text>Material com PESO cadastrado (3,202 p/peça) já menor do que o proposto (3,36 p/peça)
Aguardando reenvio das informações pela planta</text>
  </threadedComment>
  <threadedComment ref="N87" dT="2026-04-10T19:14:26.11" personId="{FD083245-586C-4902-9CFA-5FB3EA0451CE}" id="{4BB0E2D4-F20A-48B3-89FD-804D57BB5427}">
    <text xml:space="preserve">Enviar confirmação do valor sinalizado por compras - referente ao preço dos discos.
</text>
  </threadedComment>
  <threadedComment ref="N87" dT="2026-05-27T14:46:32.64" personId="{FD083245-586C-4902-9CFA-5FB3EA0451CE}" id="{F3DACE2A-2B99-406F-8F7C-29490497B47D}" parentId="{4BB0E2D4-F20A-48B3-89FD-804D57BB5427}">
    <text>Inviabilizado pela qualidade - Retorno em 27/05 com Joao Cardoso</text>
  </threadedComment>
  <threadedComment ref="W88" dT="2026-05-14T12:31:26.37" personId="{FD083245-586C-4902-9CFA-5FB3EA0451CE}" id="{CCA0F6B9-5AEE-4306-A478-DF9D4560BEC9}">
    <text>Aguardando confirmaçaõ das informações  para as consultas de entrada de NFs.</text>
  </threadedComment>
  <threadedComment ref="C93" dT="2026-04-22T10:44:49.14" personId="{26ABD6DC-33C5-4BF6-992B-E447033265A7}" id="{B4DC188F-9E1E-4E0E-9979-8617D9A5C069}">
    <text>Validar com a Carol retorno financeiro</text>
  </threadedComment>
  <threadedComment ref="U94" dT="2026-04-20T18:24:16.37" personId="{FD083245-586C-4902-9CFA-5FB3EA0451CE}" id="{C63BF4A8-873A-40EE-AD07-202C1CD30716}">
    <text>LT ainda não atualizada com o peso proposto (Mr/Abr)</text>
  </threadedComment>
  <threadedComment ref="I99" dT="2026-05-21T10:10:13.63" personId="{26ABD6DC-33C5-4BF6-992B-E447033265A7}" id="{9F02E5C6-DA97-4C79-B2F8-AC5042B4F8AF}">
    <text>Valor foi desconsiderado de 359.000</text>
  </threadedComment>
  <threadedComment ref="M99" dT="2026-04-27T12:18:51.16" personId="{FD083245-586C-4902-9CFA-5FB3EA0451CE}" id="{41E4FF92-F2E4-41A4-9B1A-DD84FA4750DA}">
    <text>Checar memoria de calculo - informações de RT.</text>
  </threadedComment>
  <threadedComment ref="C105" dT="2026-04-22T10:48:26.37" personId="{26ABD6DC-33C5-4BF6-992B-E447033265A7}" id="{C427A4D3-B288-4D8B-97DB-4BBDA3C415C6}">
    <text/>
  </threadedComment>
  <threadedComment ref="W106" dT="2026-06-08T12:24:32.15" personId="{FD083245-586C-4902-9CFA-5FB3EA0451CE}" id="{D8B64661-99DB-48BD-B6C0-344BC1B41EF6}">
    <text>LT não atualizada Abril/26</text>
  </threadedComment>
  <threadedComment ref="X106" dT="2026-06-08T12:24:20.12" personId="{FD083245-586C-4902-9CFA-5FB3EA0451CE}" id="{27F3DDB3-8C28-4B0D-B732-ADE3939E1368}">
    <text>LT não atualizada fechamento Maio/26</text>
  </threadedComment>
  <threadedComment ref="C107" dT="2026-06-04T10:35:44.99" personId="{26ABD6DC-33C5-4BF6-992B-E447033265A7}" id="{D2DF877D-E8B2-4271-B287-1811995F7C41}">
    <text>16/06 Revisão de documentos Engenharia.</text>
  </threadedComment>
  <threadedComment ref="N107" dT="2026-04-10T19:17:57.67" personId="{FD083245-586C-4902-9CFA-5FB3EA0451CE}" id="{B8F54696-81D6-49EF-80CF-D8F1CD636EC4}">
    <text xml:space="preserve">Memoria de calculo para validação real, deve conter as mesmas informações. Itens - qtds de ensaios - vlrs </text>
  </threadedComment>
  <threadedComment ref="N107" dT="2026-05-28T15:03:38.33" personId="{FD083245-586C-4902-9CFA-5FB3EA0451CE}" id="{9928485E-DDB4-4B59-A84D-FF0AEEAEDA8C}" parentId="{B8F54696-81D6-49EF-80CF-D8F1CD636EC4}">
    <text>Alinhado que teremos mais um mês de ensaios nessa frequencia para validar o retorno real (Andreia)</text>
  </threadedComment>
  <threadedComment ref="N109" dT="2026-03-30T17:29:43.78" personId="{FD083245-586C-4902-9CFA-5FB3EA0451CE}" id="{EBC93353-4B0C-4B3F-930F-FA60C97CD8B2}">
    <text>Para que seja possivel validaçao real, importante enviar evidencia do fornecedor com a cobrança de uma impressora a menos na planta.</text>
  </threadedComment>
  <threadedComment ref="C111" dT="2026-04-30T10:40:32.35" personId="{26ABD6DC-33C5-4BF6-992B-E447033265A7}" id="{FEBDDCD5-3EA9-443B-8C33-2CBFB1A682C5}">
    <text>05/05 VAI SER ENTREGUE A3</text>
  </threadedComment>
  <threadedComment ref="N111" dT="2026-05-28T13:49:29.29" personId="{FD083245-586C-4902-9CFA-5FB3EA0451CE}" id="{63D0E797-D039-4C54-9332-2E9871DB99B3}">
    <text>Alinhado, necessidade de retorno de algumas informaçoes.</text>
  </threadedComment>
  <threadedComment ref="N115" dT="2026-04-27T13:39:38.24" personId="{FD083245-586C-4902-9CFA-5FB3EA0451CE}" id="{80BDD79D-ED9E-406F-8132-4FD5FF6A99AA}">
    <text>Em standby - aguardando definição da Diretoria se seguiremos com projetos de energia.</text>
  </threadedComment>
  <threadedComment ref="N115" dT="2026-05-07T17:17:54.06" personId="{FD083245-586C-4902-9CFA-5FB3EA0451CE}" id="{22F894AE-9B00-4739-97E0-9ED40F3BF821}" parentId="{80BDD79D-ED9E-406F-8132-4FD5FF6A99AA}">
    <text xml:space="preserve">DEFINIDO que esse tipo de Kaizen deve sair do controle - deve ser considerado nas questões de performance.
</text>
  </threadedComment>
  <threadedComment ref="C117" dT="2026-04-22T10:48:26.37" personId="{26ABD6DC-33C5-4BF6-992B-E447033265A7}" id="{E0B3E015-4959-4FB6-B1D1-875BC4F0F0B4}">
    <text>Validar quando chegar a MP</text>
  </threadedComment>
  <threadedComment ref="N119" dT="2026-05-15T16:43:35.95" personId="{FD083245-586C-4902-9CFA-5FB3EA0451CE}" id="{15116070-67E9-4519-BD81-5EDBF2A0FB07}">
    <text>Envio de 3 NFs - duas emitidas por Jarinu e uma de 50k é referente ao ativo da anchieta, já considerado na planta.
Valores entraram no resultado em Janeiro/26 (controladoria)</text>
  </threadedComment>
  <threadedComment ref="S120" dT="2026-05-21T17:01:45.77" personId="{FD083245-586C-4902-9CFA-5FB3EA0451CE}" id="{3F4E69B5-C0FB-4718-AFE7-F2908AC5B96D}">
    <text>Retorno Real esta sendo validado, visto que a contabilidade sinalizou que alguns itens ainda podem ter depreciação.</text>
  </threadedComment>
  <threadedComment ref="C121" dT="2026-06-03T10:40:18.65" personId="{26ABD6DC-33C5-4BF6-992B-E447033265A7}" id="{27354356-AED7-483D-89DC-AE28169F207D}">
    <text>Entre dias 08 e 09 a empresa vira coletar</text>
  </threadedComment>
  <threadedComment ref="D123" dT="2026-06-15T10:33:32.76" personId="{26ABD6DC-33C5-4BF6-992B-E447033265A7}" id="{7113F327-422A-48C6-8632-97ACC260AF42}">
    <text>@Willian Avigni Matos , Acionar compras para a venda.</text>
    <mentions>
      <mention mentionpersonId="{A7925FDA-A335-4242-996E-ED410B4B0E71}" mentionId="{48D3CD21-16E5-403E-BD07-AA0743659CB6}" startIndex="0" length="21"/>
    </mentions>
  </threadedComment>
  <threadedComment ref="H141" dT="2026-06-08T13:11:18.19" personId="{A45066BC-B1A9-4E1C-B993-A135D85F8452}" id="{F8D18132-89D2-4774-8CEE-81B22DC1EA1E}">
    <text>Informações do Form 206  como Material utilizado no processo  e tempo diferem do que esta no SAP</text>
  </threadedComment>
  <threadedComment ref="P163" dT="2026-02-05T14:34:25.09" personId="{B0A81E74-5926-45BD-873A-6F4BF1F3D8BA}" id="{841E5A5B-4A15-4C2D-9A2C-331DE4D2F1E7}">
    <text>Automático conforme preenchimento de datas no controle enviado pelo Elio.</text>
  </threadedComment>
</ThreadedComments>
</file>

<file path=xl/threadedComments/threadedComment3.xml><?xml version="1.0" encoding="utf-8"?>
<ThreadedComments xmlns="http://schemas.microsoft.com/office/spreadsheetml/2018/threadedcomments" xmlns:x="http://schemas.openxmlformats.org/spreadsheetml/2006/main">
  <threadedComment ref="O4" dT="2026-01-30T11:27:03.63" personId="{B0A81E74-5926-45BD-873A-6F4BF1F3D8BA}" id="{AD15BF91-1EB0-4ECC-ACCD-AEFFBEFBA4CB}">
    <text xml:space="preserve">Nota técnica: O ranking considera valores potenciais distintos. Em caso de empate, recomenda-se ajuste mínimo (ex.: 0,001). </text>
  </threadedComment>
  <threadedComment ref="U6" dT="2026-06-01T20:11:46.41" personId="{A45066BC-B1A9-4E1C-B993-A135D85F8452}" id="{2ED46F5D-C043-4F15-8C21-F2B393F14266}">
    <text>Desenvolver um formulário mais dinâmico
Emerson e Gleidson</text>
  </threadedComment>
  <threadedComment ref="U7" dT="2026-06-01T20:17:21.46" personId="{A45066BC-B1A9-4E1C-B993-A135D85F8452}" id="{30FE3D46-3BB5-473F-B2BD-B0F3CC2E8E96}">
    <text>Validar com Compras os itens que já tivemos retorno da Usina
Gleidson</text>
  </threadedComment>
  <threadedComment ref="U7" dT="2026-06-10T11:17:51.04" personId="{A45066BC-B1A9-4E1C-B993-A135D85F8452}" id="{7E95C460-2CD3-4CDA-AAD9-ACF9C1B90B1F}" parentId="{30FE3D46-3BB5-473F-B2BD-B0F3CC2E8E96}">
    <text>Retorno de Compras de R$ 772K com Usina - Enviar para Emerson as evidÊncias
Revisar Lista técnica após validação de custo e entrada do novo material</text>
  </threadedComment>
  <threadedComment ref="N8" dT="2026-03-09T17:55:44.39" personId="{B0A81E74-5926-45BD-873A-6F4BF1F3D8BA}" id="{5110C3B8-5C7B-4C9D-91B2-DAC91C1E0F3F}">
    <text>Alinhamento junto ao Plant Manager</text>
  </threadedComment>
  <threadedComment ref="U8" dT="2026-06-10T11:09:47.33" personId="{A45066BC-B1A9-4E1C-B993-A135D85F8452}" id="{578FF154-B75C-4530-9B6E-446E05CA3B64}">
    <text xml:space="preserve">Custos alega que a taxa horária interna esta maior que externa 
Gleidson enviou a crono analise dos itens que são feitos na laser </text>
  </threadedComment>
  <threadedComment ref="U11" dT="2026-06-01T20:19:26.33" personId="{A45066BC-B1A9-4E1C-B993-A135D85F8452}" id="{656AB246-5EE5-417E-BB59-A2F3B64AEEB7}">
    <text>Numero de PNs reduziu, necessidade de validar com o Emerson
Gleidson</text>
  </threadedComment>
  <threadedComment ref="U14" dT="2026-06-10T11:32:05.59" personId="{A45066BC-B1A9-4E1C-B993-A135D85F8452}" id="{169813D5-4589-48ED-9F53-B1864F8B4DCC}">
    <text xml:space="preserve">Verificar com Emerson como esta sendo apurado 
</text>
  </threadedComment>
  <threadedComment ref="U15" dT="2026-06-10T11:32:42.03" personId="{A45066BC-B1A9-4E1C-B993-A135D85F8452}" id="{A41F462D-4B83-4C8D-BF49-F0141BEC7925}">
    <text>Verificar Consumo com Paulo Ribeiro
Conta de Manutenção vem apresentando Saving mensalmente</text>
  </threadedComment>
  <threadedComment ref="U16" dT="2026-06-01T20:34:48.83" personId="{A45066BC-B1A9-4E1C-B993-A135D85F8452}" id="{CFD4E37F-390E-41A8-8D2A-2993982999D3}">
    <text>Falta enviar material para Emerson
Gleidson</text>
  </threadedComment>
  <threadedComment ref="U17" dT="2026-06-01T20:35:00.45" personId="{A45066BC-B1A9-4E1C-B993-A135D85F8452}" id="{3229778D-949F-4E09-8F6E-B88712196FE4}">
    <text xml:space="preserve">Falta enviar material para Emerson
Gleidson
</text>
  </threadedComment>
  <threadedComment ref="U18" dT="2026-06-01T20:35:27.98" personId="{A45066BC-B1A9-4E1C-B993-A135D85F8452}" id="{B2FC7EC7-46E2-4BA1-AD66-7CCB20EECDC5}">
    <text xml:space="preserve">Agendar reunião com Elison e Emerson
Gleidson
</text>
  </threadedComment>
  <threadedComment ref="U21" dT="2026-06-01T20:43:05.05" personId="{A45066BC-B1A9-4E1C-B993-A135D85F8452}" id="{1FB1C2F9-91F8-43AE-A0C1-B4EA3C61298D}">
    <text>Montar Base de Calculo para enviar para Custos
Gleidson</text>
  </threadedComment>
  <threadedComment ref="U22" dT="2026-06-01T20:44:39.39" personId="{A45066BC-B1A9-4E1C-B993-A135D85F8452}" id="{1F6683AB-DBB1-4C00-81CD-35069099378F}">
    <text>Falta validação de Custos
Fabiana</text>
  </threadedComment>
  <threadedComment ref="U23" dT="2026-06-01T20:45:38.02" personId="{A45066BC-B1A9-4E1C-B993-A135D85F8452}" id="{31DCFE99-45E0-4061-BB45-C33C60A32099}">
    <text>Montar A3 
Anderson dos Santos</text>
  </threadedComment>
  <threadedComment ref="U24" dT="2026-06-01T20:47:16.15" personId="{A45066BC-B1A9-4E1C-B993-A135D85F8452}" id="{5BBE9062-337B-4AAD-AE33-2540727DF964}">
    <text>Falta A3
Evangelista</text>
  </threadedComment>
  <threadedComment ref="U25" dT="2026-06-01T20:57:20.83" personId="{A45066BC-B1A9-4E1C-B993-A135D85F8452}" id="{61D7DC84-078C-4C5A-B52D-7AE951F2D15A}">
    <text>Aumentar Escopo considerando mais máquinas
Elio + Gleidson</text>
  </threadedComment>
  <threadedComment ref="B29" dT="2026-02-06T14:54:27.57" personId="{B0A81E74-5926-45BD-873A-6F4BF1F3D8BA}" id="{16FEEFB8-8C4A-4A09-9BAE-B898A306C185}">
    <text xml:space="preserve">Atualização da informação sempre no SETIMO dia útil - By Paulo Ribeiro Controladoria </text>
  </threadedComment>
  <threadedComment ref="B30" dT="2026-02-06T14:54:34.70" personId="{B0A81E74-5926-45BD-873A-6F4BF1F3D8BA}" id="{65247B02-628A-41FC-A3B2-D640AC7382B7}">
    <text xml:space="preserve">Atualização da informação sempre no SETIMO dia útil - By Paulo Ribeiro Controladoria 
</text>
  </threadedComment>
  <threadedComment ref="B32" dT="2026-02-06T14:54:41.00" personId="{B0A81E74-5926-45BD-873A-6F4BF1F3D8BA}" id="{89B734F2-A71F-4AFF-A0C7-5C3471A3AC91}">
    <text xml:space="preserve">Atualização da informação sempre no SETIMO dia útil - By Paulo Ribeiro Controladoria </text>
  </threadedComment>
  <threadedComment ref="B42" dT="2026-02-06T14:54:21.32" personId="{B0A81E74-5926-45BD-873A-6F4BF1F3D8BA}" id="{F47EA6CC-D47B-4B5B-860C-30C50CEB1700}">
    <text xml:space="preserve">Atualização da informação sempre no SETIMO dia útil - By Paulo Ribeiro Controladoria </text>
  </threadedComment>
  <threadedComment ref="N55" dT="2026-05-04T19:50:31.98" personId="{25509AAA-B16B-409D-9DD9-209657F3C67F}" id="{AE18DCE1-2A12-49D5-81E4-82EC07456E31}">
    <text>Inicio validação 05/05</text>
  </threadedComment>
  <threadedComment ref="N63" dT="2026-04-27T20:43:16.31" personId="{25509AAA-B16B-409D-9DD9-209657F3C67F}" id="{90EDE195-5581-45C6-9C49-8E6C552C6AE4}">
    <text>Corte interno no Budget. Corte laser externo estava com saving. Agendei reunião com o Emerson.</text>
  </threadedComment>
  <threadedComment ref="N69" dT="2026-05-04T19:35:27.31" personId="{25509AAA-B16B-409D-9DD9-209657F3C67F}" id="{ADD34DE3-4AA8-4E8D-A8FE-6C0F69E5F426}">
    <text>Códigos SAP dos consumíveis e critérios de consumo</text>
  </threadedComment>
  <threadedComment ref="N75" dT="2026-05-04T19:30:06.87" personId="{25509AAA-B16B-409D-9DD9-209657F3C67F}" id="{C444063D-0925-4C1A-A2DA-236CBC3D1922}">
    <text>Agendando conversa</text>
  </threadedComment>
  <threadedComment ref="M81" dT="2026-04-27T19:15:18.26" personId="{25509AAA-B16B-409D-9DD9-209657F3C67F}" id="{81630990-8F06-4C8E-85A2-EB931C5856BD}">
    <text>Peso Bruto do SAP já está abaixo do peso considerado após a redução da tolerância enviada pela Usina. Emerson e Gleidson levarão para reunião do BSW: não são todos os cenários que estão ok por Compras/Usina.</text>
  </threadedComment>
  <threadedComment ref="N89" dT="2026-05-04T19:42:02.11" personId="{25509AAA-B16B-409D-9DD9-209657F3C67F}" id="{C50745F1-B8DB-48D0-B9E5-54C2EBC3F791}">
    <text>Agendando reunião. Falta dados: qual é a empresa terceirizada?</text>
  </threadedComment>
  <threadedComment ref="N89" dT="2026-06-12T11:37:27.97" personId="{25509AAA-B16B-409D-9DD9-209657F3C67F}" id="{491D16D4-C12F-41BE-B7FE-E90634AEB888}" parentId="{C50745F1-B8DB-48D0-B9E5-54C2EBC3F791}">
    <text>Cálculo do saving de jul a dez.</text>
  </threadedComment>
  <threadedComment ref="N93" dT="2026-05-04T19:47:35.20" personId="{25509AAA-B16B-409D-9DD9-209657F3C67F}" id="{7656BB5F-9D6D-4AD8-8280-23ABBDC44F69}">
    <text>Previsão 05/05</text>
  </threadedComment>
  <threadedComment ref="N93" dT="2026-06-12T12:54:26.99" personId="{25509AAA-B16B-409D-9DD9-209657F3C67F}" id="{F7CFC1A6-1868-4B92-84AC-B8F2330D087A}" parentId="{7656BB5F-9D6D-4AD8-8280-23ABBDC44F69}">
    <text>Elio pediu para o Gleidsom aumentar escopo</text>
  </threadedComment>
  <threadedComment ref="F353" dT="2026-03-20T12:33:46.87" personId="{F1B12E91-4F90-4E4F-8F59-45E767A5AD8E}" id="{FBE3C3AE-87D8-4E67-9D97-F98F5C282058}">
    <text>Incidente com ponte rolante informado como NOK no dia 19 e 09/03 operador escorregou - não foi encontrado ação no Form.370 e também no Form.506  também não houve registro</text>
  </threadedComment>
  <threadedComment ref="F354" dT="2026-03-20T13:12:08.92" personId="{F1B12E91-4F90-4E4F-8F59-45E767A5AD8E}" id="{CA3ED050-36D3-46D6-89AE-337F37015C6B}">
    <text>Está Ok, mas não tem a lista de quem participou da reunião</text>
  </threadedComment>
  <threadedComment ref="F355" dT="2026-02-10T11:54:15.43" personId="{B365987C-0BE7-4D17-B3CD-A2CA61805CD8}" id="{D183D07B-CADA-4F3C-A242-389EE4C96BA7}">
    <text>Evidência Form.015 Fast Response</text>
  </threadedComment>
  <threadedComment ref="F355" dT="2026-03-20T13:03:53.86" personId="{F1B12E91-4F90-4E4F-8F59-45E767A5AD8E}" id="{00EBC3A5-8E83-4AE4-9C98-B493025C1A85}" parentId="{D183D07B-CADA-4F3C-A242-389EE4C96BA7}">
    <text>Acontece, pois temos fotos e afins, mas não há evidência como alguma ATA</text>
  </threadedComment>
  <threadedComment ref="F356" dT="2026-03-20T13:10:28.97" personId="{F1B12E91-4F90-4E4F-8F59-45E767A5AD8E}" id="{11772B05-24A8-4FD7-B319-3D08F67FF915}">
    <text>Não foram realizadas o preenchimento das atas  de Janeiro e Fevereiro.
Foram feitas reuniões porém não evidência no form.104
Está sendo usado Lista de presença e não está usado a Ata de Analise crítica. 104.</text>
  </threadedComment>
  <threadedComment ref="F357" dT="2026-03-20T13:34:15.95" personId="{F1B12E91-4F90-4E4F-8F59-45E767A5AD8E}" id="{D462F49E-A3C2-4A52-B042-B45F2D5C3F05}">
    <text>A reunião acontece, porém, Item com INC acima de 250 sem ação definida no form.506 e 370.</text>
  </threadedComment>
  <threadedComment ref="F358" dT="2026-03-20T14:01:41.42" personId="{F1B12E91-4F90-4E4F-8F59-45E767A5AD8E}" id="{7ED214CB-A858-4766-AEC7-15F9541260C9}">
    <text>Falta disponibilizar o verso na produção - diário de bordo</text>
  </threadedComment>
  <threadedComment ref="F359" dT="2026-03-20T14:02:57.38" personId="{F1B12E91-4F90-4E4F-8F59-45E767A5AD8E}" id="{77847385-7739-47B0-9D1D-1E90ABC20B0B}">
    <text xml:space="preserve">Está no formato correto, mas não está atualizado janeiro e fevereiro </text>
  </threadedComment>
  <threadedComment ref="F360" dT="2026-03-20T17:05:10.67" personId="{F1B12E91-4F90-4E4F-8F59-45E767A5AD8E}" id="{CA2F144E-0BEC-4D8A-91BE-71058BE6C5CA}">
    <text>Falta preenchimento na segurança, perfomance de entrega preenchimento atraso, Refugo OK, OEE falta preenchimento, Manutenção OK.</text>
  </threadedComment>
  <threadedComment ref="F361" dT="2026-03-20T14:37:19.65" personId="{F1B12E91-4F90-4E4F-8F59-45E767A5AD8E}" id="{1D4E3BC8-5775-444E-8BD5-3CE8FAC262F1}">
    <text xml:space="preserve">Indicadores do 121 estão desatualizados. Ex.: recursos humanos e engenharia. </text>
  </threadedComment>
  <threadedComment ref="F362" dT="2026-03-20T14:37:39.95" personId="{F1B12E91-4F90-4E4F-8F59-45E767A5AD8E}" id="{2389CDB8-E268-4EC0-96D7-533232ADC17B}">
    <text>Falta de adesivos</text>
  </threadedComment>
  <threadedComment ref="F366" dT="2026-03-20T13:14:31.19" personId="{F1B12E91-4F90-4E4F-8F59-45E767A5AD8E}" id="{FA7FB255-7483-42A4-9339-8C4DA2F61E98}">
    <text>Não foram realizadas o preenchimento das atas  de Janeiro e Fevereiro.</text>
  </threadedComment>
  <threadedComment ref="F367" dT="2026-03-20T12:50:47.26" personId="{F1B12E91-4F90-4E4F-8F59-45E767A5AD8E}" id="{1E5DB897-C325-489B-B398-6F045387E383}">
    <text>Os 8D's foram fechados com data anterior da abertura e a planilha não está com as fórmulas travadas de acordo com as do Sharepoint.
Falta também o número de alerta da qualidade
Só há reclamação do cliente</text>
  </threadedComment>
  <threadedComment ref="F368" dT="2026-03-20T12:25:39.00" personId="{F1B12E91-4F90-4E4F-8F59-45E767A5AD8E}" id="{AF04D26F-419D-4609-A566-5981E8FAEF1E}">
    <text>Falta assinatura dos representantes ou titulares e nos demais turnos não houve assinatura. 
Há itens marcados ok, mas NOK no 506 que consta como atraso referente ações de Janeiro e  Fevereiro.</text>
  </threadedComment>
  <threadedComment ref="F369" dT="2026-03-20T12:43:40.57" personId="{F1B12E91-4F90-4E4F-8F59-45E767A5AD8E}" id="{F82A4AE4-4916-4904-852A-59C8650ABC86}">
    <text xml:space="preserve">Está usando formulário correto, porém há ações de Janeiro e Fevereiro em atraso. </text>
  </threadedComment>
  <threadedComment ref="F371" dT="2026-03-20T17:15:46.31" personId="{F1B12E91-4F90-4E4F-8F59-45E767A5AD8E}" id="{A5CCBD2E-07FB-445B-928A-F5C303ACFA91}">
    <text>Falta de aprovação de lider</text>
  </threadedComment>
  <threadedComment ref="F372" dT="2026-03-20T17:22:41.38" personId="{F1B12E91-4F90-4E4F-8F59-45E767A5AD8E}" id="{56161C62-83DC-423F-811B-FCD426A154CF}">
    <text>Falta informações nos campos - está em branco.</text>
  </threadedComment>
  <threadedComment ref="F373" dT="2026-03-20T17:20:56.46" personId="{F1B12E91-4F90-4E4F-8F59-45E767A5AD8E}" id="{2D0BCBE5-4BFF-4717-B308-CCEB44068D6F}">
    <text>Falta próxima operação - roteiro</text>
  </threadedComment>
  <threadedComment ref="F374" dT="2026-03-20T17:03:03.00" personId="{F1B12E91-4F90-4E4F-8F59-45E767A5AD8E}" id="{B4B18A84-BDE4-4F06-872F-F2042A4A82D6}">
    <text xml:space="preserve">Falta roteiro da etiqueta </text>
  </threadedComment>
  <threadedComment ref="F375" dT="2026-03-20T17:49:56.35" personId="{F1B12E91-4F90-4E4F-8F59-45E767A5AD8E}" id="{E8490572-1FF1-422C-8224-28D28427944C}">
    <text>- DA87z Falta informação de preenchiment0 - 25/09</text>
  </threadedComment>
  <threadedComment ref="F376" dT="2026-03-20T17:52:16.69" personId="{F1B12E91-4F90-4E4F-8F59-45E767A5AD8E}" id="{7B771F2D-AF3C-422A-84A9-DD31B3CAE1BA}">
    <text xml:space="preserve">Falta informações - EX.: SV000464AE - DA00077AA. </text>
  </threadedComment>
  <threadedComment ref="F377" dT="2026-02-09T20:07:01.50" personId="{B365987C-0BE7-4D17-B3CD-A2CA61805CD8}" id="{24B4733D-6303-4772-A454-A539E1A5097E}">
    <text>Pontuado como ñok, devido ao consumo da etiqueta antiga que possui no almoxarifado, para evitar desperdício de custos.  Porém evidência da solicitação para os próximos pedidos, chegar com etiqueta nova</text>
  </threadedComment>
  <threadedComment ref="F378" dT="2026-03-20T17:25:43.68" personId="{F1B12E91-4F90-4E4F-8F59-45E767A5AD8E}" id="{EC2505FB-8F0E-4875-AB36-80443AC6510F}">
    <text xml:space="preserve">Foi encontrado material em processo - com roteiro de serviço externo </text>
  </threadedComment>
  <threadedComment ref="F379" dT="2026-03-20T17:37:26.06" personId="{F1B12E91-4F90-4E4F-8F59-45E767A5AD8E}" id="{77A7709B-8E5A-439A-AFB3-76B1906B5629}">
    <text xml:space="preserve">Falta identificação
</text>
  </threadedComment>
  <threadedComment ref="F380" dT="2026-03-20T14:48:25.27" personId="{F1B12E91-4F90-4E4F-8F59-45E767A5AD8E}" id="{D6B64185-BD9F-4099-96B1-E85E25F008C3}">
    <text xml:space="preserve">Usar o que tem disponível no sharepoint </text>
  </threadedComment>
  <threadedComment ref="F381" dT="2026-03-20T14:53:52.20" personId="{F1B12E91-4F90-4E4F-8F59-45E767A5AD8E}" id="{EC652186-73A9-4C66-BF55-23EB07FDE33D}">
    <text>Coloração onde fica a letra "S" está preto e branco e o correto é Fundo amarelo e o "S" Vermelho</text>
  </threadedComment>
  <threadedComment ref="F383" dT="2026-03-20T18:35:04.96" personId="{F1B12E91-4F90-4E4F-8F59-45E767A5AD8E}" id="{5C74C366-5AD5-47BF-B799-C52869E5CAA0}">
    <text>Atualizar para o formato do Sharepoint</text>
  </threadedComment>
  <threadedComment ref="F385" dT="2026-03-20T14:59:32.40" personId="{F1B12E91-4F90-4E4F-8F59-45E767A5AD8E}" id="{B254F233-1A25-492E-9E5C-58843BF0A5B4}">
    <text>Padronizar plano mestre de produtividade</text>
  </threadedComment>
  <threadedComment ref="F386" dT="2026-03-20T16:38:47.66" personId="{F1B12E91-4F90-4E4F-8F59-45E767A5AD8E}" id="{69E9F477-E61F-4E71-AB02-D56863939C1D}">
    <text>Falta evidências atualizadas para 2026 (Produtividade), Falta atualização para 2026 (SMED), não está de acordo OEE.</text>
  </threadedComment>
  <threadedComment ref="F387" dT="2026-02-09T20:08:35.48" personId="{B365987C-0BE7-4D17-B3CD-A2CA61805CD8}" id="{FC0A6762-1B22-4487-81DF-D344DEDB258C}">
    <text>Temos o gerenciamento do programa 5S implementado, porém pontuado como não ok devido auditorias em atraso</text>
  </threadedComment>
  <threadedComment ref="F387" dT="2026-03-20T15:08:31.91" personId="{F1B12E91-4F90-4E4F-8F59-45E767A5AD8E}" id="{5AAA5594-8187-4990-874D-3573F6A12F1E}" parentId="{FC0A6762-1B22-4487-81DF-D344DEDB258C}">
    <text>Possui auditorias em atraso desde o dia 03/03 e auditorias não realizada em Janeiro e Fevereiro.
Auditorias realizada com atraso.
As ações estão sendo acompanhadas pelo Planer e não está atualizando o 506.</text>
  </threadedComment>
  <threadedComment ref="F388" dT="2026-03-20T15:14:10.54" personId="{F1B12E91-4F90-4E4F-8F59-45E767A5AD8E}" id="{8E621660-6E20-44B6-A5FC-D332163AC2D9}">
    <text xml:space="preserve">Matriz não se encontra no local correto no sharepoint - Áreas/Recursos Humanos/ Matriz de versatilidade/ Ferraz e anexa.
Preenchimento da situação dos funcionários NOK.
Atualização do change log. 
</text>
  </threadedComment>
  <threadedComment ref="F389" dT="2026-03-20T17:17:43.03" personId="{F1B12E91-4F90-4E4F-8F59-45E767A5AD8E}" id="{68E558DE-0EB6-4F8F-8FBE-3C6328E929C5}">
    <text>Não atende o formato atual</text>
  </threadedComment>
  <threadedComment ref="F390" dT="2026-03-20T17:12:43.27" personId="{F1B12E91-4F90-4E4F-8F59-45E767A5AD8E}" id="{A78DDE0A-DD35-46D0-89B2-BC3096080A6A}">
    <text>Falta aprovação da inspeção, preenchimento do form não está completo e no verso não está preenchido</text>
  </threadedComment>
  <threadedComment ref="F391" dT="2026-03-20T16:14:55.53" personId="{F1B12E91-4F90-4E4F-8F59-45E767A5AD8E}" id="{2DFA707F-A5BA-454E-91DA-268AE3392955}">
    <text>Falta verso - Diário de bordo / falta informação no preenchimento.</text>
  </threadedComment>
  <threadedComment ref="F392" dT="2026-03-20T16:16:18.91" personId="{F1B12E91-4F90-4E4F-8F59-45E767A5AD8E}" id="{289EEF16-269E-4685-932A-4711EC2E202D}">
    <text>Atualizar para novo</text>
  </threadedComment>
  <threadedComment ref="F393" dT="2026-03-20T16:16:09.47" personId="{F1B12E91-4F90-4E4F-8F59-45E767A5AD8E}" id="{431D6035-2EA2-472D-B3A6-B578EC566C19}">
    <text xml:space="preserve">Atualizar para novo
</text>
  </threadedComment>
  <threadedComment ref="F397" dT="2026-03-20T16:29:48.47" personId="{F1B12E91-4F90-4E4F-8F59-45E767A5AD8E}" id="{5B45FD53-A66A-4926-97EC-D983A579867F}">
    <text xml:space="preserve">Form.618 não está sendo utilizado </text>
  </threadedComment>
  <threadedComment ref="F398" dT="2026-03-20T17:55:27.43" personId="{F1B12E91-4F90-4E4F-8F59-45E767A5AD8E}" id="{D07C8F38-2389-4505-B4A3-27E5E45E8B18}">
    <text xml:space="preserve">Falta identificação no Plasma </text>
  </threadedComment>
  <threadedComment ref="F399" dT="2026-02-09T20:09:01.00" personId="{B365987C-0BE7-4D17-B3CD-A2CA61805CD8}" id="{F1644269-4E14-4409-B819-1862CDDB10FA}">
    <text>Fábrica de Eixos 100% implementado, e está em processo fábrica de Chassis.</text>
  </threadedComment>
</ThreadedComments>
</file>

<file path=xl/threadedComments/threadedComment4.xml><?xml version="1.0" encoding="utf-8"?>
<ThreadedComments xmlns="http://schemas.microsoft.com/office/spreadsheetml/2018/threadedcomments" xmlns:x="http://schemas.openxmlformats.org/spreadsheetml/2006/main">
  <threadedComment ref="O4" dT="2026-01-30T11:27:03.63" personId="{B0A81E74-5926-45BD-873A-6F4BF1F3D8BA}" id="{126A1AE3-E599-4CD3-9467-309950A752AA}">
    <text xml:space="preserve">Nota técnica: O ranking considera valores potenciais distintos. Em caso de empate, recomenda-se ajuste mínimo (ex.: 0,001). </text>
  </threadedComment>
  <threadedComment ref="N8" dT="2026-03-09T17:55:44.39" personId="{B0A81E74-5926-45BD-873A-6F4BF1F3D8BA}" id="{F95887A3-92B1-44F0-B857-4B985D1A88F8}">
    <text>Alinhamento junto ao Plant Manager</text>
  </threadedComment>
  <threadedComment ref="B29" dT="2026-02-06T14:54:27.57" personId="{B0A81E74-5926-45BD-873A-6F4BF1F3D8BA}" id="{1CB3A1B9-5D48-476D-BECF-9056085445CE}">
    <text xml:space="preserve">Atualização da informação sempre no SETIMO dia útil - By Paulo Ribeiro Controladoria </text>
  </threadedComment>
  <threadedComment ref="B30" dT="2026-02-06T14:54:34.70" personId="{B0A81E74-5926-45BD-873A-6F4BF1F3D8BA}" id="{1725BE74-358B-47AF-8F11-6F27724D0A4F}">
    <text xml:space="preserve">Atualização da informação sempre no SETIMO dia útil - By Paulo Ribeiro Controladoria 
</text>
  </threadedComment>
  <threadedComment ref="B32" dT="2026-02-06T14:54:41.00" personId="{B0A81E74-5926-45BD-873A-6F4BF1F3D8BA}" id="{43BFD43C-ACEC-4518-9351-DF468B601361}">
    <text xml:space="preserve">Atualização da informação sempre no SETIMO dia útil - By Paulo Ribeiro Controladoria </text>
  </threadedComment>
  <threadedComment ref="B42" dT="2026-02-06T14:54:21.32" personId="{B0A81E74-5926-45BD-873A-6F4BF1F3D8BA}" id="{7E2B708B-0ECF-4119-8E08-4FFA2FB16650}">
    <text xml:space="preserve">Atualização da informação sempre no SETIMO dia útil - By Paulo Ribeiro Controladoria </text>
  </threadedComment>
  <threadedComment ref="H49" dT="2026-03-23T11:06:00.09" personId="{E44BF8C3-7CC3-4396-8413-BE93DE6EA7C6}" id="{FF1853F4-B4B8-4B9F-A504-A81E6C289619}">
    <text>Gases, alocação, manutenção e outras despesas.</text>
  </threadedComment>
  <threadedComment ref="J49" dT="2026-03-23T11:06:09.96" personId="{E44BF8C3-7CC3-4396-8413-BE93DE6EA7C6}" id="{DF6066D4-EC7D-4328-AA1D-1EF17382536D}">
    <text>Gases, alocação, manutenção e outras despesas.</text>
  </threadedComment>
  <threadedComment ref="C67" dT="2026-04-13T17:16:55.78" personId="{B0A81E74-5926-45BD-873A-6F4BF1F3D8BA}" id="{D4932226-367D-432C-8A35-BD55C29E9FAC}">
    <text xml:space="preserve">Aguardando devolutiva do cliente
</text>
  </threadedComment>
  <threadedComment ref="T70" dT="2026-03-17T14:29:45.30" personId="{7F3580D4-0F0E-43CE-84F8-43847BFEB8C3}" id="{EC7DEB58-9FE0-4B91-99CE-294339970F0B}">
    <text>Mês de fev. impacto negativo - rescisão</text>
  </threadedComment>
  <threadedComment ref="T70" dT="2026-03-18T20:34:12.45" personId="{B0A81E74-5926-45BD-873A-6F4BF1F3D8BA}" id="{D86391F2-66AF-4B10-959E-4DB2CBBBA010}" parentId="{EC7DEB58-9FE0-4B91-99CE-294339970F0B}">
    <text xml:space="preserve">Despesas com Rescisão 757.777,62  abatidos da provisão (Conforme acordado com o Emerson)
</text>
  </threadedComment>
  <threadedComment ref="W72" dT="2026-05-22T13:12:11.47" personId="{7F3580D4-0F0E-43CE-84F8-43847BFEB8C3}" id="{C18828FC-2409-45A7-B1F4-AE5868AC9862}">
    <text>Virada oficial realizada para o fornecedor BRASRENTAL. Contudo, houve cobrança referente aos primeiros dias de abril até a devolução do equipamento ao fornecedor anterior, Retrak.</text>
  </threadedComment>
  <threadedComment ref="W84" dT="2026-05-18T18:46:45.24" personId="{7F3580D4-0F0E-43CE-84F8-43847BFEB8C3}" id="{99F98007-554C-469E-A6DF-1E6B9052EA1A}">
    <text>A economia do valor integral da locação da 3ª empilhadeira não ocorreu, pois ainda houve cobrança proporcional referente aos dias do mês de abril em que o equipamento permaneceu na fábrica até sua devolução.</text>
  </threadedComment>
  <threadedComment ref="M85" dT="2026-05-15T14:53:27.89" personId="{7F3580D4-0F0E-43CE-84F8-43847BFEB8C3}" id="{18E268AD-3EF8-402A-A9A4-492D290FC5CC}">
    <text>Conforme decisão da Diretoria, esse tipo de projeto não será validado por Custos.
Ele deve entrar na linha de performance de gestão.</text>
  </threadedComment>
  <threadedComment ref="C89" dT="2026-04-22T11:38:52.96" personId="{7F3580D4-0F0E-43CE-84F8-43847BFEB8C3}" id="{BA60900C-9454-4AE3-B753-AF8F03389F84}">
    <text>A planta ainda está consolidando as informações.</text>
  </threadedComment>
  <threadedComment ref="H128" dT="2026-05-20T11:01:48.36" personId="{E44BF8C3-7CC3-4396-8413-BE93DE6EA7C6}" id="{92D115C8-58FC-4F30-952E-30A07DE45898}">
    <text xml:space="preserve">Link </text>
  </threadedComment>
  <threadedComment ref="H129" dT="2026-05-20T11:02:18.69" personId="{E44BF8C3-7CC3-4396-8413-BE93DE6EA7C6}" id="{7589B562-73CB-44F8-9EF8-0DC02CC2B515}">
    <text>Link</text>
  </threadedComment>
  <threadedComment ref="H130" dT="2026-05-20T11:02:33.92" personId="{E44BF8C3-7CC3-4396-8413-BE93DE6EA7C6}" id="{7FB644CF-A5B3-43BB-A55A-CE33D7810FC1}">
    <text>Link</text>
  </threadedComment>
  <threadedComment ref="H131" dT="2026-05-20T11:02:47.43" personId="{E44BF8C3-7CC3-4396-8413-BE93DE6EA7C6}" id="{76BE9760-1974-43FD-95DC-FEFB062B8A73}">
    <text>Link</text>
  </threadedComment>
  <threadedComment ref="H132" dT="2026-05-20T11:03:44.11" personId="{E44BF8C3-7CC3-4396-8413-BE93DE6EA7C6}" id="{B692DBE5-4D43-4A97-B5A6-FA3BD096CF0B}">
    <text>Link</text>
  </threadedComment>
  <threadedComment ref="H133" dT="2026-05-20T11:03:52.63" personId="{E44BF8C3-7CC3-4396-8413-BE93DE6EA7C6}" id="{D5D39FF5-35A1-42DE-8948-F9FB9409BE08}">
    <text>Link</text>
  </threadedComment>
  <threadedComment ref="H134" dT="2026-05-20T11:04:10.93" personId="{E44BF8C3-7CC3-4396-8413-BE93DE6EA7C6}" id="{96F71421-C4C6-4D09-830B-FF1203AB5D42}">
    <text>Link</text>
  </threadedComment>
  <threadedComment ref="H135" dT="2026-05-20T11:04:27.89" personId="{E44BF8C3-7CC3-4396-8413-BE93DE6EA7C6}" id="{FF380B8C-BD5C-44FB-8B1C-3360415C5EA4}">
    <text>Link</text>
  </threadedComment>
  <threadedComment ref="H136" dT="2026-02-02T20:47:09.18" personId="{B3884332-42E3-42D7-B010-11D1DA5057BC}" id="{3BD7DF7E-7BD0-4535-BC12-C8E13484897E}">
    <text>Item substitui o CN000021Z que não teve PPAP aprovado e está ON HOLD até segunda ordem.</text>
  </threadedComment>
  <threadedComment ref="H137" dT="2026-05-20T11:04:36.76" personId="{E44BF8C3-7CC3-4396-8413-BE93DE6EA7C6}" id="{D043B60C-B98C-4C39-A0D6-C0778EF6CCC5}">
    <text>Link</text>
  </threadedComment>
  <threadedComment ref="P157" dT="2026-02-05T14:34:25.09" personId="{B0A81E74-5926-45BD-873A-6F4BF1F3D8BA}" id="{2EAB8D5A-1FD4-4840-A0D2-D5AF4B7091AD}">
    <text>Automático conforme preenchimento de datas no controle enviado pelo Elio.</text>
  </threadedComment>
</ThreadedComments>
</file>

<file path=xl/threadedComments/threadedComment5.xml><?xml version="1.0" encoding="utf-8"?>
<ThreadedComments xmlns="http://schemas.microsoft.com/office/spreadsheetml/2018/threadedcomments" xmlns:x="http://schemas.openxmlformats.org/spreadsheetml/2006/main">
  <threadedComment ref="O4" dT="2026-01-30T11:27:03.63" personId="{B0A81E74-5926-45BD-873A-6F4BF1F3D8BA}" id="{53340A36-E976-49FC-A577-F4768F339BBD}">
    <text xml:space="preserve">Nota técnica: O ranking considera valores potenciais distintos. Em caso de empate, recomenda-se ajuste mínimo (ex.: 0,001). </text>
  </threadedComment>
  <threadedComment ref="B29" dT="2026-02-06T14:39:15.50" personId="{B0A81E74-5926-45BD-873A-6F4BF1F3D8BA}" id="{DF8D4096-2655-452C-BD3B-DE45DA387D44}">
    <text xml:space="preserve">Atualização da informação sempre no SETIMO dia útil - By Paulo Ribeiro Controladoria  </text>
  </threadedComment>
  <threadedComment ref="B30" dT="2026-02-06T14:51:25.15" personId="{B0A81E74-5926-45BD-873A-6F4BF1F3D8BA}" id="{37DD9B03-E887-44FA-80FC-CA6444C0F425}">
    <text xml:space="preserve">Atualização da informação sempre no SETIMO dia útil - By Paulo Ribeiro Controladoria  
</text>
  </threadedComment>
  <threadedComment ref="B32" dT="2026-02-06T14:51:38.42" personId="{B0A81E74-5926-45BD-873A-6F4BF1F3D8BA}" id="{CF479CBD-6895-4282-912B-EC9F06EC2861}">
    <text xml:space="preserve">Atualização da informação sempre no SETIMO dia útil - By Paulo Ribeiro Controladoria  
</text>
  </threadedComment>
  <threadedComment ref="B42" dT="2026-02-06T14:51:52.23" personId="{B0A81E74-5926-45BD-873A-6F4BF1F3D8BA}" id="{A58C288F-F1EC-47E9-9DF9-915C401DFC83}">
    <text xml:space="preserve">Atualização da informação sempre no SETIMO dia útil - By Paulo Ribeiro Controladoria  </text>
  </threadedComment>
  <threadedComment ref="I173" dT="2026-02-05T14:34:25.09" personId="{B0A81E74-5926-45BD-873A-6F4BF1F3D8BA}" id="{865E8E36-F1B1-4710-83AF-DD113BD40BEF}">
    <text>Automático conforme preenchimento de datas no controle enviado pelo Elio.</text>
  </threadedComment>
</ThreadedComments>
</file>

<file path=xl/threadedComments/threadedComment6.xml><?xml version="1.0" encoding="utf-8"?>
<ThreadedComments xmlns="http://schemas.microsoft.com/office/spreadsheetml/2018/threadedcomments" xmlns:x="http://schemas.openxmlformats.org/spreadsheetml/2006/main">
  <threadedComment ref="O4" dT="2026-01-30T11:27:03.63" personId="{B0A81E74-5926-45BD-873A-6F4BF1F3D8BA}" id="{0797BA69-B0A1-45BC-A265-02EFA0C95E19}">
    <text xml:space="preserve">Nota técnica: O ranking considera valores potenciais distintos. Em caso de empate, recomenda-se ajuste mínimo (ex.: 0,001). </text>
  </threadedComment>
  <threadedComment ref="N8" dT="2026-03-09T17:55:44.39" personId="{B0A81E74-5926-45BD-873A-6F4BF1F3D8BA}" id="{5A5D13B7-C666-460C-8973-376DD490EFDA}">
    <text>Alinhamento junto ao Plant Manager</text>
  </threadedComment>
  <threadedComment ref="B29" dT="2026-02-06T14:54:27.57" personId="{B0A81E74-5926-45BD-873A-6F4BF1F3D8BA}" id="{57605324-39F9-4960-968B-2EBF6E222A27}">
    <text xml:space="preserve">Atualização da informação sempre no SETIMO dia útil - By Paulo Ribeiro Controladoria </text>
  </threadedComment>
  <threadedComment ref="B30" dT="2026-02-06T14:54:34.70" personId="{B0A81E74-5926-45BD-873A-6F4BF1F3D8BA}" id="{875C35AA-683B-4C62-90E3-E711FA3E87D6}">
    <text xml:space="preserve">Atualização da informação sempre no SETIMO dia útil - By Paulo Ribeiro Controladoria 
</text>
  </threadedComment>
  <threadedComment ref="B32" dT="2026-02-06T14:54:41.00" personId="{B0A81E74-5926-45BD-873A-6F4BF1F3D8BA}" id="{CBD3AB78-5AA6-42BC-9B33-C81FA202219F}">
    <text xml:space="preserve">Atualização da informação sempre no SETIMO dia útil - By Paulo Ribeiro Controladoria </text>
  </threadedComment>
  <threadedComment ref="B42" dT="2026-02-06T14:54:21.32" personId="{B0A81E74-5926-45BD-873A-6F4BF1F3D8BA}" id="{83357ED4-4F47-493F-9EB3-A50E9128480E}">
    <text xml:space="preserve">Atualização da informação sempre no SETIMO dia útil - By Paulo Ribeiro Controladoria </text>
  </threadedComment>
  <threadedComment ref="B47" dT="2026-06-01T11:44:09.66" personId="{21DB468F-E5CB-42F8-8C9D-89ADF9F5AD64}" id="{870E3FB5-CAF6-4367-B760-69F1D9EE9774}">
    <text>Fonte: Planilha Controle_Orçamentário Negócio (Controladoria)
Despesas: Outros custos fixos - Materiais auxiliares - Gases industriais - Locação - Energia Elétrica - Manutenção - Frete - T.I - Serviços - Outras despesas ADM - Outros Custos Variáveis - Despesas juridicas</text>
  </threadedComment>
  <threadedComment ref="M57" dT="2026-05-13T19:20:53.62" personId="{7F3580D4-0F0E-43CE-84F8-43847BFEB8C3}" id="{2A5988A5-472C-4533-8F70-CD7B04BE7A64}">
    <text xml:space="preserve">Analise da proposta em andamento. Planta retornará com algumas informações extras importantes para que seja possível dar sequência. </text>
  </threadedComment>
  <threadedComment ref="S60" dT="2026-03-19T18:02:24.72" personId="{7F3580D4-0F0E-43CE-84F8-43847BFEB8C3}" id="{06D9F538-B08D-40F6-B653-0C6F3B1B45BF}">
    <text>Economia não atingida para o mês de Jan.</text>
  </threadedComment>
  <threadedComment ref="M63" dT="2026-04-22T15:00:32.01" personId="{7F3580D4-0F0E-43CE-84F8-43847BFEB8C3}" id="{7A2A8052-A215-4500-AE7D-9E964829F4AA}">
    <text>A proposta está em stand-by, considerando a necessidade de escalonamento aos gerentes para melhor alinhamento.</text>
  </threadedComment>
  <threadedComment ref="M65" dT="2026-04-22T14:55:24.76" personId="{7F3580D4-0F0E-43CE-84F8-43847BFEB8C3}" id="{1D314011-92A1-4346-AE0D-62CD453703F9}">
    <text>A planta está responsável por revisar e analisar uma forma alternativa de melhor refletir o controle e a mensuração da redução proposta na pintura a pó.</text>
  </threadedComment>
  <threadedComment ref="M67" dT="2026-05-13T19:22:56.46" personId="{7F3580D4-0F0E-43CE-84F8-43847BFEB8C3}" id="{F9BE6A23-10F3-43E6-9448-A86E11846267}">
    <text>Já esclarecido pela planta. Analise em andamento.</text>
  </threadedComment>
  <threadedComment ref="M69" dT="2026-04-27T15:14:40.10" personId="{7F3580D4-0F0E-43CE-84F8-43847BFEB8C3}" id="{E18A9F1D-AF22-42DD-8ADB-CE5E6777225C}">
    <text>Conforme decisão da Diretoria, esse tipo de projeto não será validado por Custos.
Ele deve entrar na linha de performance de gestão.</text>
  </threadedComment>
  <threadedComment ref="M71" dT="2026-04-27T15:14:48.43" personId="{7F3580D4-0F0E-43CE-84F8-43847BFEB8C3}" id="{EFA97A40-CDEA-4278-9124-E3F0556F9C5D}">
    <text xml:space="preserve">Conforme decisão da Diretoria, esse tipo de projeto não será validado por Custos.
Ele deve entrar na linha de performance de gestão.
</text>
  </threadedComment>
  <threadedComment ref="N73" dT="2026-03-31T13:02:48.63" personId="{7F3580D4-0F0E-43CE-84F8-43847BFEB8C3}" id="{1D9B8FF9-29D1-4E3B-9F77-F465E72E7D66}">
    <text>Estimativa validada. Acompanharemos mensalmente, iniciando no mês de abril, o reporte da redução, casou houver.</text>
  </threadedComment>
  <threadedComment ref="P137" dT="2026-02-05T14:34:25.09" personId="{B0A81E74-5926-45BD-873A-6F4BF1F3D8BA}" id="{90C35E04-6BBE-4472-A5D5-A08976F1F1A2}">
    <text>Automático conforme preenchimento de datas no controle enviado pelo Elio.</text>
  </threadedComment>
</ThreadedComments>
</file>

<file path=xl/threadedComments/threadedComment7.xml><?xml version="1.0" encoding="utf-8"?>
<ThreadedComments xmlns="http://schemas.microsoft.com/office/spreadsheetml/2018/threadedcomments" xmlns:x="http://schemas.openxmlformats.org/spreadsheetml/2006/main">
  <threadedComment ref="R4" dT="2026-01-30T11:27:03.63" personId="{B0A81E74-5926-45BD-873A-6F4BF1F3D8BA}" id="{850AA130-BC98-4FB1-9A1D-A07A2365AA23}">
    <text xml:space="preserve">Nota técnica: O ranking considera valores potenciais distintos. Em caso de empate, recomenda-se ajuste mínimo (ex.: 0,001). </text>
  </threadedComment>
</ThreadedComments>
</file>

<file path=xl/threadedComments/threadedComment8.xml><?xml version="1.0" encoding="utf-8"?>
<ThreadedComments xmlns="http://schemas.microsoft.com/office/spreadsheetml/2018/threadedcomments" xmlns:x="http://schemas.openxmlformats.org/spreadsheetml/2006/main">
  <threadedComment ref="R8" dT="2026-01-30T11:27:03.63" personId="{B0A81E74-5926-45BD-873A-6F4BF1F3D8BA}" id="{BA37A69C-E1E5-47BB-B2C5-109317351F13}">
    <text xml:space="preserve">Nota técnica: O ranking considera valores potenciais distintos. Em caso de empate, recomenda-se ajuste mínimo (ex.: 0,001). </text>
  </threadedComment>
</ThreadedComments>
</file>

<file path=xl/threadedComments/threadedComment9.xml><?xml version="1.0" encoding="utf-8"?>
<ThreadedComments xmlns="http://schemas.microsoft.com/office/spreadsheetml/2018/threadedcomments" xmlns:x="http://schemas.openxmlformats.org/spreadsheetml/2006/main">
  <threadedComment ref="R3" dT="2026-04-14T20:28:28.75" personId="{B0A81E74-5926-45BD-873A-6F4BF1F3D8BA}" id="{D88A9B23-964D-4147-BA31-C029D418FEC7}">
    <text xml:space="preserve">% eficiência mão de obra - Geral
Downtime - Geral
Hora Extra
Tempo Médio de Setup
Golpes por Minuto
OEE % - Geral
</text>
  </threadedComment>
  <threadedComment ref="S3" dT="2026-04-14T20:34:47.03" personId="{B0A81E74-5926-45BD-873A-6F4BF1F3D8BA}" id="{0FB6B2B9-326A-40F7-8746-ABD1346E42D5}">
    <text xml:space="preserve">%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das Cruzes
PPM - Cliente	Mercedes Benz
PPM - Cliente	Renault
PPM - Cliente	Plascar
PPM - Cliente	Delga Anchieta
PPM - Cliente	Delga Ferraz
PPM - Cliente	Delga Jarinu
PPM - Cliente	Delga São Leopoldo
N.º de Falhas de Garantia/Campo
Satisfação do Cliente (%) - Total
Nº de Peças em Embarque Controlado
PPM Interno (Total)	Total
PPM - Interno	Estamparia
PPM - Interno	Solda
Form.206 na aprovação do cliente - Fase 5 (%)
Atendimento do desenvolvimento no prazo (%)
Auditorias Escalonadas (% de Conformidade)
Auditoria de 5S (% de Conformidade)
 </text>
  </threadedComment>
  <threadedComment ref="T3" dT="2026-04-14T20:16:02.82" personId="{B0A81E74-5926-45BD-873A-6F4BF1F3D8BA}" id="{CDDEE2F8-CA49-4216-9638-B4F6677B97CA}">
    <text>EBITDA Contábil (%)
Margem Contribuição (%)
Custos Fixos / Faturamento Líquido (%)
Faturamento  Bruto Peças (R$) /1000
Faturamento  Liquido (R$) (Efetivo) /1000
Resultado Operacional</text>
  </threadedComment>
  <threadedComment ref="U3" dT="2026-04-14T20:17:24.76" personId="{B0A81E74-5926-45BD-873A-6F4BF1F3D8BA}" id="{BDA776D3-7FAC-4AAF-BDB2-336D2932535C}">
    <text>Kaizen (Qtde.)
Kaizen (R$)
Orçamento Atendido no Prazo
Custo Realizado x Orçado de Amostras</text>
  </threadedComment>
  <threadedComment ref="V3" dT="2026-04-14T20:33:18.26" personId="{B0A81E74-5926-45BD-873A-6F4BF1F3D8BA}" id="{4EE00267-FF71-4296-9A52-237A8130F91F}">
    <text xml:space="preserve"> % Prazo de entrega - Total
% Prazo de entrega	Volkswagem - Anchieta
% Prazo de entrega	Volkswagem - São Jose dos Pinhais
% Prazo de entrega	Volkswagem - Taubaté
% Prazo de entrega	MAN
% Prazo de entrega	GM - SCS
% Prazo de entrega	GM - Gravatai
% Prazo de entrega	GM - São José dos Campos
% Prazo de entrega	GM - Mogi das Cruzes
% Prazo de entrega	Mercedes Benz
% Prazo de entrega	Renault
% Prazo de entrega	Plascar
% Prazo de entrega	Delga Anchieta
% Prazo de entrega	Delga Ferraz
% Prazo de entrega	Delga Jarinu
% Prazo de entrega	Delga São Leopoldo
% atingimento da meta de faturamento mensal
Frete
Frete Extra
Days on hands ( dias de estoque )
Valor total de estoques
Giro de Estoque
IQF Fornecedores</text>
  </threadedComment>
  <threadedComment ref="W3" dT="2026-04-14T20:24:15.91" personId="{B0A81E74-5926-45BD-873A-6F4BF1F3D8BA}" id="{6A1C380F-6F1A-4C0E-A2E5-FBF3183A15F3}">
    <text>MTTR (Hrs) - Ferramentaria
MTBF (Hrs) - Ferramentaria
Disponibilidade % - Ferramentaria</text>
  </threadedComment>
  <threadedComment ref="X3" dT="2026-04-14T20:20:39.55" personId="{B0A81E74-5926-45BD-873A-6F4BF1F3D8BA}" id="{F7F57100-ACA0-41FB-B257-256556E3EE30}">
    <text>MTTR (Hrs) - Manutenção
MTBF (Hrs) - Manutenção
Disponibilidade % - Manutenção</text>
  </threadedComment>
  <threadedComment ref="Y3" dT="2026-04-14T19:38:47.42" personId="{B0A81E74-5926-45BD-873A-6F4BF1F3D8BA}" id="{273B0949-D6C3-4E55-8029-D15D2DBE9483}">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3" dT="2026-04-14T19:45:12.90" personId="{B0A81E74-5926-45BD-873A-6F4BF1F3D8BA}" id="{B2FAF34A-2041-4735-B0E7-7CF011956DBF}">
    <text xml:space="preserve">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3" dT="2026-04-14T20:24:56.32" personId="{B0A81E74-5926-45BD-873A-6F4BF1F3D8BA}" id="{E68BED9F-337E-4AB7-9AC3-202848CC4820}">
    <text>Horas de Treinamentos x Colaborador
Absenteísmo - Geral
Turnover - Geral
Satisfação dos Colaboradores</text>
  </threadedComment>
  <threadedComment ref="R4" dT="2026-04-14T20:19:26.42" personId="{B0A81E74-5926-45BD-873A-6F4BF1F3D8BA}" id="{5C8F071D-7980-458D-8767-03D40A29B005}">
    <text>% eficiência mão de obra - Geral
Downtime - Geral
Hora Extra
Produtividade
OEE % - Geral</text>
  </threadedComment>
  <threadedComment ref="S4" dT="2026-04-14T20:03:39.59" personId="{B0A81E74-5926-45BD-873A-6F4BF1F3D8BA}" id="{97EE70FF-E4BB-403B-BB95-F6187A414EB2}">
    <text>% custo da não conformidade (CONC)
Notas de Debito (R$)
Refugo / Scrap (R$)
Retrabalho (R$)
Nº de Reclamações de Clientes - Total
Nº de Reclamações	Scania
Nº de Reclamações	VWTB
Nº de Reclamações	Mercedes Benz
Nº de Reclamações	Volvo
Nº de Reclamações	Metalsa
Nº de Reclamações	Sogefi
Nº de Reclamações	Delga Diadema
Nº de Reclamações	Delga Ferraz
Nº de Reclamações	Delga Jarinu
N.º de Paradas de Linha (Perturbação no Cliente)
PPM Cliente (Total)	Total
PPM - Cliente	Scania
PPM - Cliente	VWTB
PPM - Cliente	Mercedes Benz
PPM - Cliente	Volvo
PPM - Cliente	Metalsa
PPM - Cliente	Sogefi
PPM - Cliente	Delga Diadema
PPM - Cliente	Delga Ferraz
PPM - Cliente	Delga Jarinu
N.º de Falhas de Garantia/Campo
Satisfação do Cliente (%) - Total
Nº de Peças em Embarque Controlado
PPM Interno (Total)	Total
PPM - Interno	Pintura
PPM - Interno	Montagem
Form.206 na aprovação do cliente - Fase 5 (%)
Atendimento do desenvolvimento no prazo (%)
Auditorias Escalonadas (% de Conformidade)
Auditoria de 5S (% de Conformidade)</text>
  </threadedComment>
  <threadedComment ref="T4" dT="2026-04-14T20:15:57.33" personId="{B0A81E74-5926-45BD-873A-6F4BF1F3D8BA}" id="{2C1D4407-A02A-45F6-9F3F-6684566D664A}">
    <text>EBITDA Contábil (%)
ROS
Margem Contribuição (%)
Custos Fixos / Faturamento Líquido (%)
Faturamento  Bruto Peças (R$) /1000
Faturamento  Liquido (R$) (Efetivo) /1000
Resultado Operacional</text>
  </threadedComment>
  <threadedComment ref="U4" dT="2026-04-14T20:17:16.59" personId="{B0A81E74-5926-45BD-873A-6F4BF1F3D8BA}" id="{1FC23990-861A-4E72-B7E8-DCF7552A4E8E}">
    <text>Kaizen (Qtde.)
Kaizen (R$)
Orçamento Atendido no Prazo
Custo Realizado x Orçado de Amostras</text>
  </threadedComment>
  <threadedComment ref="V4" dT="2026-04-14T20:06:41.30" personId="{B0A81E74-5926-45BD-873A-6F4BF1F3D8BA}" id="{1ECA232C-B845-478D-B73C-9F9EAFD0DF72}">
    <text>% Prazo de entrega - Total
% Prazo de entrega	Scania
% Prazo de entrega	VWTB
% Prazo de entrega	Mercedes Benz
% Prazo de entrega	Volvo
% Prazo de entrega	Metalsa
% Prazo de entrega	Sogefi
% Prazo de entrega	Delga Diadema
% Prazo de entrega	Delga Ferraz
% Prazo de entrega	Delga Jarinu
% atingimento da meta de faturamento mensal
Frete
Bitmap
Frete Extra
Days on hands ( dias de estoque )
Valor total de estoques
Giro de Estoque
IQF Fornecedores</text>
  </threadedComment>
  <threadedComment ref="X4" dT="2026-04-14T20:20:39.55" personId="{B0A81E74-5926-45BD-873A-6F4BF1F3D8BA}" id="{9422A863-C9FC-4432-915B-5BC659602A65}">
    <text>MTTR (Hrs) - Manutenção
MTBF (Hrs) - Manutenção
Disponibilidade % - Manutenção</text>
  </threadedComment>
  <threadedComment ref="Y4" dT="2026-04-14T19:38:47.42" personId="{B0A81E74-5926-45BD-873A-6F4BF1F3D8BA}" id="{93FF6728-9803-410F-84B0-00C7F3D45D3D}">
    <text xml:space="preserve">Dias sem acidentes
Nº acidentes c/ afastamento/comunicado
Taxa de frequência
Taxa de Gravidade
Dias de Afastamento
Qtde de Reclamações Ambientais
Consumo KWH / Colaborador
Consumo KWH / Matéria Prima
Consumo de água / Tonelada produzida
Resíduo sobre MP
% de resíduo reciclável
% de resíduos destinado para aterro </text>
  </threadedComment>
  <threadedComment ref="Z4" dT="2026-04-14T19:45:12.90" personId="{B0A81E74-5926-45BD-873A-6F4BF1F3D8BA}" id="{2D8BE2C1-81B4-4F55-A0B2-B94A32BC0C1E}">
    <text xml:space="preserve">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4" dT="2026-04-14T20:21:22.91" personId="{B0A81E74-5926-45BD-873A-6F4BF1F3D8BA}" id="{A100FC49-CB98-42DF-AEA2-CA70F77BB42C}">
    <text>Horas de Treinamentos x Colaborador
Absenteísmo - Geral
Turnover - Geral
Satisfação dos Colaboradores</text>
  </threadedComment>
  <threadedComment ref="R5" dT="2026-04-14T20:18:57.70" personId="{B0A81E74-5926-45BD-873A-6F4BF1F3D8BA}" id="{AD86390B-09FA-48B8-8095-5EBBDBABA72C}">
    <text>% eficiência mão de obra - Geral
% eficiência mão de obra - Chassis
% eficiência mão de obra - Eixos
Refugo / Scrap (%) - Chassis
Refugo / Scrap (%) Eixos
Downtime - Geral
Hora Extra
Tempo Médio de Setup
Golpes por Minuto
OEE % - Geral
OEE % - Chassis
OEE % - Eixos</text>
  </threadedComment>
  <threadedComment ref="S5" dT="2026-04-14T20:04:35.34" personId="{B0A81E74-5926-45BD-873A-6F4BF1F3D8BA}" id="{C9D2B482-EB38-4F63-BBDB-AB3E09C5102D}">
    <text>% custo da não conformidade (CONC)
Notas de Debito (R$)
Refugo / Scrap (R$)
Refugo / Scrap (%)
Retrabalho (R$)
Controle de Material Não Conforme Bloqueados (R$)
Nº de Reclamações de Clientes - Total
Nº de Reclamações	CNH
Nº de Reclamações	Cummins
Nº de Reclamações	Dana
Nº de Reclamações	Man
Nº de Reclamações	Kongsberg
Nº de Reclamações	Maxion
Nº de Reclamações	Mercedes Benz
Nº de Reclamações	Méritor
Nº de Reclamações	MWM
Nº de Reclamações	SCANIA
N.º de Paradas de Linha (Perturbação no Cliente)
PPM Cliente (Total)
PPM - Cliente	CNH
PPM - Cliente	Cummins
PPM - Cliente	Dana
PPM - Cliente	Man
PPM - Cliente	Kongsberg
PPM - Cliente	Maxion
PPM - Cliente	Mercedes Benz
PPM - Cliente	Méritor
PPM - Cliente	MWM
PPM - Cliente	SCANIA
N.º de Falhas de Garantia/Campo
Satisfação do Cliente (%) - Total
Satisfação do Cliente (%)	CNH
Satisfação do Cliente (%)	Cummins
Satisfação do Cliente (%)	Dana
Satisfação do Cliente (%)	Man
Satisfação do Cliente (%)	Kongsberg
Satisfação do Cliente (%)	Maxion
Satisfação do Cliente (%)	Mercedes Benz
Satisfação do Cliente (%)	Méritor
Satisfação do Cliente (%)	MWM
Satisfação do Cliente (%)	SCANIA
Nº de Peças em Embarque Controlado
PPM Interno (Total)
PPM - Interno	Estamparia
PPM - Interno	Solda
PPM - Interno	Pintura
PPM - Interno	Montagem
PPM - Interno	Corte
PPM - Interno	Dobra
Form.206 na aprovação do cliente - Fase 5 (%)
Atendimento do desenvolvimento no prazo (%)
Auditorias Escalonadas (% de Conformidade)
Auditoria de 5S (% de Conformidade)</text>
  </threadedComment>
  <threadedComment ref="T5" dT="2026-04-14T20:16:02.82" personId="{B0A81E74-5926-45BD-873A-6F4BF1F3D8BA}" id="{21E10CF9-8F7E-4975-AD5D-BBC0CE6D5ECD}">
    <text>EBITDA Contábil (%)
Margem Contribuição (%)
Custos Fixos / Faturamento Líquido (%)
Faturamento  Bruto Peças (R$) /1000
Faturamento  Liquido (R$) (Efetivo) /1000
Resultado Operacional</text>
  </threadedComment>
  <threadedComment ref="U5" dT="2026-04-14T20:17:24.76" personId="{B0A81E74-5926-45BD-873A-6F4BF1F3D8BA}" id="{0B0883C1-DDCD-4F8E-91BD-CF5A46875DC3}">
    <text>Kaizen (Qtde.)
Kaizen (R$)
Orçamento Atendido no Prazo
Custo Realizado x Orçado de Amostras</text>
  </threadedComment>
  <threadedComment ref="V5" dT="2026-04-14T20:07:58.49" personId="{B0A81E74-5926-45BD-873A-6F4BF1F3D8BA}" id="{1BC6D244-8AD9-4F2D-A2AD-5A968CF75719}">
    <text>% Prazo de entrega - Total
% Prazo de entrega	CNH
% Prazo de entrega	Cummins
% Prazo de entrega	Dana
% Prazo de entrega	Man
% Prazo de entrega	Kongsberg
% Prazo de entrega	Maxion
% Prazo de entrega	Mercedes Benz
% Prazo de entrega	Méritor
% Prazo de entrega	MWM
% Prazo de entrega	SCANIA
% atingimento da meta de faturamento mensal
Frete
Frete Extra
Days on hands ( dias de estoque )
Valor total de estoques
Giro de Estoque
IQF Fornecedores</text>
  </threadedComment>
  <threadedComment ref="W5" dT="2026-04-14T20:24:15.91" personId="{B0A81E74-5926-45BD-873A-6F4BF1F3D8BA}" id="{3CD98D5D-E808-4EFC-A73E-BDED3E94E160}">
    <text>MTTR (Hrs) - Ferramentaria
MTBF (Hrs) - Ferramentaria
Disponibilidade % - Ferramentaria</text>
  </threadedComment>
  <threadedComment ref="X5" dT="2026-04-14T20:20:39.55" personId="{B0A81E74-5926-45BD-873A-6F4BF1F3D8BA}" id="{1C9E04FE-CFE4-49DD-A320-F0D7A16E5E27}">
    <text>MTTR (Hrs) - Manutenção
MTBF (Hrs) - Manutenção
Disponibilidade % - Manutenção</text>
  </threadedComment>
  <threadedComment ref="Y5" dT="2026-04-14T19:38:47.42" personId="{B0A81E74-5926-45BD-873A-6F4BF1F3D8BA}" id="{2444F3C4-4027-4EA1-B09E-B0D5C7B8AF33}">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5" dT="2026-04-14T19:32:07.77" personId="{B0A81E74-5926-45BD-873A-6F4BF1F3D8BA}" id="{81456B4A-7638-4F48-9675-FB52A3C93728}">
    <text>Faltou índice de conformidade na auditoria tisax</text>
  </threadedComment>
  <threadedComment ref="Z5" dT="2026-04-14T19:45:38.94" personId="{B0A81E74-5926-45BD-873A-6F4BF1F3D8BA}" id="{319E6291-885E-4924-B1A5-1D4BDDCCED59}" parentId="{81456B4A-7638-4F48-9675-FB52A3C93728}">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5" dT="2026-04-14T20:24:56.32" personId="{B0A81E74-5926-45BD-873A-6F4BF1F3D8BA}" id="{358D4973-AB28-456F-A640-9856E01C5FE9}">
    <text>Horas de Treinamentos x Colaborador
Absenteísmo - Geral
Turnover - Geral
Satisfação dos Colaboradores</text>
  </threadedComment>
  <threadedComment ref="R6" dT="2026-04-14T20:28:28.75" personId="{B0A81E74-5926-45BD-873A-6F4BF1F3D8BA}" id="{9C425455-D843-4E13-AF70-2A45F253ECD5}">
    <text>% eficiência mão de obra - Geral
Downtime - Geral
Downtime - Estamparia
Downtime - Solda
Hora Extra
Tempo Médio de Setup
Golpes por Minuto
OEE % - Geral
OEE % - Isgec - EST25001
OEE % - Celula 04 - CSR61004
OEE % - Prensa Minster - Est05001
OEE % - Prensa Schuler - Est05002
OEE % - Prensa Gutmann - Est04002
OEE % - Prensa Gutmann - Est04003
OEE % - Prensa Schuler - Est08001</text>
  </threadedComment>
  <threadedComment ref="S6" dT="2026-04-14T20:34:47.03" personId="{B0A81E74-5926-45BD-873A-6F4BF1F3D8BA}" id="{941AD74F-8240-4BB2-A2FE-7F6CC395C4EF}">
    <text xml:space="preserve">%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 custo da não conformidade (CONC)Notas de Debito (R$)Refugo / Scrap (R$)Retrabalho (R$)Nº de Reclamações de Clientes - TotalNº de ReclamaçõesVolkswagem - AnchietaNº de ReclamaçõesVolkswagem - São Jose dos PinhaisNº de ReclamaçõesVolkswagem - TaubatéNº de ReclamaçõesGM - SCSNº de ReclamaçõesGM - GravataiNº de ReclamaçõesGM - ArgentinaNº de ReclamaçõesGM -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GM - SCS
Nº de Reclamações	GM - Gravatai
Nº de Reclamações	GM - Argentina
Nº de Reclamações	GM - Uzbequistão
Nº de Reclamações	GM - Colombia
Nº de Reclamações	Gestamp - Santa Isabel
Nº de Reclamações	Gestamp - Paraná
N.º de Paradas de Linha (Perturbação no Cliente)
PPM Cliente (Total)
PPM - Cliente	Volkswagem - Anchieta
PPM - Cliente	Volkswagem - São Jose dos Pinhais
PPM - Cliente	Volkswagem - Taubaté
PPM - Cliente	GM - SCS
PPM - Cliente	GM - Gravatai
PPM - Cliente	GM - Argentina
PPM - Cliente	GM - Uzbequistão
PPM - Cliente	GM - Colombia
PPM - Cliente	Gestamp - Santa Isabel
PPM - Cliente	Gestamp - Paraná
N.º de Falhas de Garantia/Campo
Satisfação do Cliente (%) - Total
Nº de Peças em Embarque Controlado
PPM Interno (Total)
PPM - Interno	Estamparia
PPM - Interno	Solda
Form.206 na aprovação do cliente - Fase 5 (%)
Atendimento do desenvolvimento no prazo (%)
Auditorias Escalonadas (% de Conformidade)
Auditoria de 5S (% de Conformidade)
</text>
  </threadedComment>
  <threadedComment ref="T6" dT="2026-04-14T20:16:02.82" personId="{B0A81E74-5926-45BD-873A-6F4BF1F3D8BA}" id="{1FA16A7E-CE84-44D7-AD2C-1EDBF8270E40}">
    <text>EBITDA Contábil (%)
Margem Contribuição (%)
Custos Fixos / Faturamento Líquido (%)
Faturamento  Bruto Peças (R$) /1000
Faturamento  Liquido (R$) (Efetivo) /1000
Resultado Operacional</text>
  </threadedComment>
  <threadedComment ref="U6" dT="2026-04-14T20:17:24.76" personId="{B0A81E74-5926-45BD-873A-6F4BF1F3D8BA}" id="{4A471903-6BEF-4EE4-8DF8-8721D6A4BCBD}">
    <text>Kaizen (Qtde.)
Kaizen (R$)</text>
  </threadedComment>
  <threadedComment ref="V6" dT="2026-04-14T20:33:18.26" personId="{B0A81E74-5926-45BD-873A-6F4BF1F3D8BA}" id="{315BB803-4484-40F8-9650-4214D3BCB388}">
    <text xml:space="preserve"> 
% Prazo de entrega - Total
% Prazo de entrega	Volkswagem - Anchieta
% Prazo de entrega	Volkswagem - Taubaté
% Prazo de entrega	GM - SCS
% Prazo de entrega	GM - Gravatai
% Prazo de entrega	GM - Argentina
% Prazo de entrega	GM - Uzbequistão
% Prazo de entrega	Gestamp - Santa Isabel
% Prazo de entrega	Gestamp - Paraná
% atingimento da meta de faturamento mensal
Frete
Frete Extra
Days on hands ( dias de estoque )
Valor total de estoques
Giro de Estoque
IQF Fornecedores</text>
  </threadedComment>
  <threadedComment ref="W6" dT="2026-04-14T20:24:15.91" personId="{B0A81E74-5926-45BD-873A-6F4BF1F3D8BA}" id="{CAC2FD96-0BF8-4A1A-AB82-16B95356A42E}">
    <text>MTTR (Hrs) - Ferramentaria
MTTR (Hrs) - Ferramentaria - Estamparia
MTTR (Hrs) - Ferramentaria - Solda
MTBF (Hrs) - Ferramentaria
MTBF (Hrs) - Ferramentaria - Estamparia
MTBF (Hrs) - Ferramentaria - Solda
Disponibilidade % - Ferramentaria
Disponibilidade % - Ferramentaria - Estamparia
Disponibilidade % - Ferramentaria - Solda
Custos - Ferramentaria
Preventivas - Ferramentaria</text>
  </threadedComment>
  <threadedComment ref="X6" dT="2026-04-14T20:20:39.55" personId="{B0A81E74-5926-45BD-873A-6F4BF1F3D8BA}" id="{8A78017D-CAB5-4010-84CD-6B9BC1954DCF}">
    <text>MTTR (Hrs) - Manutenção
MTTR (Hrs) - Manutenção - Estamparia
MTTR (Hrs) - Manutenção - Solda
MTBF (Hrs) - Manutenção
MTBF (Hrs) - Manutenção - Estamparia
MTBF (Hrs) - Manutenção - Solda
Disponibilidade % - Manutenção
Disponibilidade % - Manutenção - Estamparia
Disponibilidade % - Manutenção - Solda
Custos - Manutenção
Preventivas - Manutenção</text>
  </threadedComment>
  <threadedComment ref="Y6" dT="2026-04-14T19:38:47.42" personId="{B0A81E74-5926-45BD-873A-6F4BF1F3D8BA}" id="{27E78490-834C-4EC4-8CC2-3A81E1895CBB}">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6" dT="2026-04-14T19:32:07.77" personId="{B0A81E74-5926-45BD-873A-6F4BF1F3D8BA}" id="{0FA8DC18-D388-442A-B7AC-D1D6A26C4E04}">
    <text>Faltou índice de conformidade na auditoria tisax</text>
  </threadedComment>
  <threadedComment ref="Z6" dT="2026-04-14T19:45:38.94" personId="{B0A81E74-5926-45BD-873A-6F4BF1F3D8BA}" id="{4EB69EED-6D2F-40E7-B620-E9D1504BBFE2}" parentId="{0FA8DC18-D388-442A-B7AC-D1D6A26C4E04}">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6" dT="2026-04-14T20:21:22.91" personId="{B0A81E74-5926-45BD-873A-6F4BF1F3D8BA}" id="{085D4A6D-DD5C-47D4-AD93-CFA16A12A40B}">
    <text>Horas de Treinamentos x Colaborador
Absenteísmo - Geral
Absenteísmo - Efetivos
Absenteísmo - Temporarios
Turnover - Geral
Turnover - Efetivos
Turnover - Temporarios
Satisfação dos Colaboradores</text>
  </threadedComment>
  <threadedComment ref="R7" dT="2026-04-14T20:28:28.75" personId="{B0A81E74-5926-45BD-873A-6F4BF1F3D8BA}" id="{1DEBA298-4B30-4DB7-A997-C084AF8B9CBD}">
    <text xml:space="preserve">% eficiência mão de obra - Geral
Downtime - Geral
Hora Extra
Tempo Médio de Setup
Golpes por Minuto
OEE % - Geral
</text>
  </threadedComment>
  <threadedComment ref="S7" dT="2026-04-14T20:03:39.59" personId="{B0A81E74-5926-45BD-873A-6F4BF1F3D8BA}" id="{5ED7A15F-8670-47F2-B65B-3E522AA01FE6}">
    <text>% custo da não conformidade (CONC)
Notas de Debito (R$)
Refugo / Scrap (R$)
Retrabalho (R$)
Nº de Reclamações de Clientes - Total
Nº de Reclamações de Clientes (Total) - Automotivo
Nº de Reclamações de Clientes (Total) - Agricola
Nº de Reclamações	AGCO
Nº de Reclamações	CNH
Nº de Reclamações	Suspensys
Nº de Reclamações	Master
Nº de Reclamações	Delga Diadema
N.º de Paradas de Linha (Perturbação no Cliente)
PPM Cliente (Total)
PPM Cliente (Total)	Automotivo
PPM Cliente (Total)	Agricola
PPM - Cliente	CNH
PPM - Cliente	AGCO
PPM - Cliente	Suspensys
PPM - Cliente	Master
PPM - Cliente	Delga Diadema
N.º de Falhas de Garantia/Campo
Satisfação do Cliente (%) - Total
Satisfação do Cliente (%)	AGCO
Satisfação do Cliente (%)	CNH	 
Satisfação do Cliente (%)	Suspensys	 
Satisfação do Cliente (%)	Master 	 
Satisfação do Cliente (%)	Delga Diadema 
Nº de Peças em Embarque Controlado
PPM Interno (Total)
PPM - Interno	Estamparia
PPM - Interno	Solda
PPM - Interno	Usinagem
PPM - Interno	Dobradeira
PPM - Interno	Lsaer
PPM - Interno	Montagem
Form.206 na aprovação do cliente - Fase 5 (%)
Atendimento do desenvolvimento no prazo (%)
Auditorias Escalonadas (% de Conformidade)
Auditoria de 5S (% de Conformidade)</text>
  </threadedComment>
  <threadedComment ref="T7" dT="2026-04-14T20:16:02.82" personId="{B0A81E74-5926-45BD-873A-6F4BF1F3D8BA}" id="{FD0F00A5-291B-48DF-887C-3E11F99929AE}">
    <text>EBITDA Contábil (%)
Margem Contribuição (%)
Custos Fixos / Faturamento Líquido (%)
Faturamento  Bruto Peças (R$) /1000
Faturamento  Liquido (R$) (Efetivo) /1000
Resultado Operacional</text>
  </threadedComment>
  <threadedComment ref="U7" dT="2026-04-14T20:17:24.76" personId="{B0A81E74-5926-45BD-873A-6F4BF1F3D8BA}" id="{6AB332AC-A64E-4EAC-9744-1EF1E9C5B40F}">
    <text>Kaizen (Qtde.)
Kaizen (R$)
Orçamento Atendido no Prazo
Custo Realizado x Orçado de Amostras</text>
  </threadedComment>
  <threadedComment ref="V7" dT="2026-04-14T20:06:41.30" personId="{B0A81E74-5926-45BD-873A-6F4BF1F3D8BA}" id="{04E19B96-2646-48EC-840A-C52298D37E6B}">
    <text xml:space="preserve"> 
% Prazo de entrega - Total
% Prazo de entrega	Master
% Prazo de entrega	Suspensys
% Prazo de entrega	AGCO
% Prazo de entrega	CNH
% Prazo de entrega	Delga Diadema
% atingimento da meta de faturamento mensal 
Frete
Frete Extra 
Days on hands ( dias de estoque )
Valor total de estoques
Giro de Estoque
IQF Fornecedores</text>
  </threadedComment>
  <threadedComment ref="W7" dT="2026-04-14T20:24:15.91" personId="{B0A81E74-5926-45BD-873A-6F4BF1F3D8BA}" id="{65164BDE-3C08-4FF9-A10B-BE34958A49D3}">
    <text>MTTR (Hrs) - Ferramentaria
MTBF (Hrs) - Ferramentaria
Disponibilidade % - Ferramentaria</text>
  </threadedComment>
  <threadedComment ref="X7" dT="2026-04-14T20:20:39.55" personId="{B0A81E74-5926-45BD-873A-6F4BF1F3D8BA}" id="{A5197233-05AC-46DD-B84A-06C738456CC7}">
    <text>MTTR (Hrs) - Manutenção
MTBF (Hrs) - Manutenção
Disponibilidade % - Manutenção</text>
  </threadedComment>
  <threadedComment ref="Y7" dT="2026-04-14T19:38:47.42" personId="{B0A81E74-5926-45BD-873A-6F4BF1F3D8BA}" id="{0CBFD93A-BF38-47E2-85F6-EDA8B032C8C9}">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7" dT="2026-04-14T19:32:07.77" personId="{B0A81E74-5926-45BD-873A-6F4BF1F3D8BA}" id="{42D7C201-1EBE-44B9-BE3D-EB654D88F1AC}">
    <text>Faltou índice de conformidade na auditoria tisax</text>
  </threadedComment>
  <threadedComment ref="Z7" dT="2026-04-14T19:45:38.94" personId="{B0A81E74-5926-45BD-873A-6F4BF1F3D8BA}" id="{13F4BEFC-30E6-4A42-B438-78EDEB9CF534}" parentId="{42D7C201-1EBE-44B9-BE3D-EB654D88F1AC}">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7" dT="2026-04-14T20:24:56.32" personId="{B0A81E74-5926-45BD-873A-6F4BF1F3D8BA}" id="{CEC12F9E-B5BD-49F7-ACA2-D8088F90F10C}">
    <text>Horas de Treinamentos x Colaborador
Absenteísmo - Geral
Turnover - Geral
Satisfação dos Colaboradores</text>
  </threadedComment>
</ThreadedComment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48.xml"/><Relationship Id="rId21" Type="http://schemas.openxmlformats.org/officeDocument/2006/relationships/hyperlink" Target="file:///\\192.168.0.20\DEPARTAMENTOS\Engenharia\0.%20Kaizen%20Diadema\6.%202026\02%20Fevereiro\15%20-%20MB002316LA_MB003533LA_MB003673LC%20-%20Bruno%20Manachini_Engenharia\15%20-%20KAIZEN%20-%20MB002316LA_MB003533LA_MB003673LC_Rev00_Bruno%20Manachini.xlsx" TargetMode="External"/><Relationship Id="rId42" Type="http://schemas.openxmlformats.org/officeDocument/2006/relationships/hyperlink" Target="file:///\\192.168.0.20\DEPARTAMENTOS\Engenharia\0.%20Kaizen%20Diadema\6.%202026\03%20Mar&#231;o\41%20-%20VENDA%20DE%20ATIVOS%20OBSOLETOS_Paulo%20Algodoal_Produ&#231;&#227;o\41%20-%20VENDA%20DE%20ATIVOS%20OBSOLETOS_REV00.xlsx" TargetMode="External"/><Relationship Id="rId63" Type="http://schemas.openxmlformats.org/officeDocument/2006/relationships/hyperlink" Target="file:///\\192.168.0.20\departamentos\Engenharia\0.%20Kaizen%20Diadema\6.%202026\04%20Abril\57%20-%20Redu&#231;&#227;o_de_MP%20-%20VW000585Z_586Z_Amauri%20Mantuan\57%20-%20Redu&#231;&#227;o_de_MP%20-%20VW000585Z_586Z_Amauri%20Mantuan_REV00.xlsx" TargetMode="External"/><Relationship Id="rId84" Type="http://schemas.openxmlformats.org/officeDocument/2006/relationships/ctrlProp" Target="../ctrlProps/ctrlProp15.xml"/><Relationship Id="rId138" Type="http://schemas.openxmlformats.org/officeDocument/2006/relationships/ctrlProp" Target="../ctrlProps/ctrlProp69.xml"/><Relationship Id="rId159" Type="http://schemas.openxmlformats.org/officeDocument/2006/relationships/ctrlProp" Target="../ctrlProps/ctrlProp90.xml"/><Relationship Id="rId170" Type="http://schemas.openxmlformats.org/officeDocument/2006/relationships/ctrlProp" Target="../ctrlProps/ctrlProp101.xml"/><Relationship Id="rId191" Type="http://schemas.openxmlformats.org/officeDocument/2006/relationships/ctrlProp" Target="../ctrlProps/ctrlProp122.xml"/><Relationship Id="rId205" Type="http://schemas.openxmlformats.org/officeDocument/2006/relationships/ctrlProp" Target="../ctrlProps/ctrlProp136.xml"/><Relationship Id="rId226" Type="http://schemas.openxmlformats.org/officeDocument/2006/relationships/ctrlProp" Target="../ctrlProps/ctrlProp157.xml"/><Relationship Id="rId247" Type="http://schemas.openxmlformats.org/officeDocument/2006/relationships/ctrlProp" Target="../ctrlProps/ctrlProp178.xml"/><Relationship Id="rId107" Type="http://schemas.openxmlformats.org/officeDocument/2006/relationships/ctrlProp" Target="../ctrlProps/ctrlProp38.xml"/><Relationship Id="rId11"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32" Type="http://schemas.openxmlformats.org/officeDocument/2006/relationships/hyperlink" Target="file:///\\192.168.0.20\DEPARTAMENTOS\Engenharia\0.%20Kaizen%20Diadema\6.%202026\02%20Fevereiro\09%20-%20Redu&#231;&#227;o%20de%20lampadas%20acessas%20na%20f&#225;brica_Eduardo%20Fajardo_Conclu&#237;do\9%20-%20Kaizen%20Redu&#231;&#227;o%20de%20lampadas%20acessas%20na%20f&#225;brica_Eduardo%20Fajardo.xlsx" TargetMode="External"/><Relationship Id="rId53" Type="http://schemas.openxmlformats.org/officeDocument/2006/relationships/hyperlink" Target="file:///\\192.168.0.20\DEPARTAMENTOS\Engenharia\0.%20Kaizen%20Diadema\6.%202026\04%20Abril\45%20-%20Mudan&#231;a%20de%20fonte%20de%20Usiminas%20para%20Arcelor%20-%20Robson%20Luz_Engenharia_REV_00.xlsx" TargetMode="External"/><Relationship Id="rId74" Type="http://schemas.openxmlformats.org/officeDocument/2006/relationships/ctrlProp" Target="../ctrlProps/ctrlProp5.xml"/><Relationship Id="rId128" Type="http://schemas.openxmlformats.org/officeDocument/2006/relationships/ctrlProp" Target="../ctrlProps/ctrlProp59.xml"/><Relationship Id="rId149" Type="http://schemas.openxmlformats.org/officeDocument/2006/relationships/ctrlProp" Target="../ctrlProps/ctrlProp80.xml"/><Relationship Id="rId5" Type="http://schemas.openxmlformats.org/officeDocument/2006/relationships/hyperlink" Target="file:///\\192.168.0.20\DEPARTAMENTOS\Engenharia\0.%20Kaizen%20Diadema\5.%202025\11%20Novembro%20-%205\52%20-%20Kaizen%20Pulm&#227;o.pptx" TargetMode="External"/><Relationship Id="rId95" Type="http://schemas.openxmlformats.org/officeDocument/2006/relationships/ctrlProp" Target="../ctrlProps/ctrlProp26.xml"/><Relationship Id="rId160" Type="http://schemas.openxmlformats.org/officeDocument/2006/relationships/ctrlProp" Target="../ctrlProps/ctrlProp91.xml"/><Relationship Id="rId181" Type="http://schemas.openxmlformats.org/officeDocument/2006/relationships/ctrlProp" Target="../ctrlProps/ctrlProp112.xml"/><Relationship Id="rId216" Type="http://schemas.openxmlformats.org/officeDocument/2006/relationships/ctrlProp" Target="../ctrlProps/ctrlProp147.xml"/><Relationship Id="rId237" Type="http://schemas.openxmlformats.org/officeDocument/2006/relationships/ctrlProp" Target="../ctrlProps/ctrlProp168.xml"/><Relationship Id="rId22" Type="http://schemas.openxmlformats.org/officeDocument/2006/relationships/hyperlink" Target="file:///\\192.168.0.20\DEPARTAMENTOS\Engenharia\0.%20Kaizen%20Diadema\6.%202026\02%20Fevereiro\20%20-%20MB002289LA_MB002290LA%20-%20Bruno%20Manachini_Engenharia\20%20-%20KAIZEN%20-%20Redu&#231;&#227;o%20de%20peso%20bruto_MB002289LA_MB002290LA_Rev00_Bruno%20Manachini.xlsx" TargetMode="External"/><Relationship Id="rId43" Type="http://schemas.openxmlformats.org/officeDocument/2006/relationships/hyperlink" Target="file:///\\192.168.0.20\DEPARTAMENTOS\Engenharia\0.%20Kaizen%20Diadema\6.%202026\02%20Fevereiro\14%20-%20MB003537LA_MB003538LA%20-%20Bruno%20Manachini_Engenharia\14%20-%20KAIZEN%20-%20MB003537LA_MB003538LA_Rev00_Bruno%20Manachini.xlsx" TargetMode="External"/><Relationship Id="rId64" Type="http://schemas.openxmlformats.org/officeDocument/2006/relationships/hyperlink" Target="file:///\\192.168.0.20\departamentos\Engenharia\0.%20Kaizen%20Diadema\6.%202026\05%20Maio\58%20-%20Redu&#231;&#227;o_de_MP%20-%20GM000378Z_379Z_Amauri%20Mantuan\58%20-%20Redu&#231;&#227;o_de_MP%20-%20GM000378Z_GM000379Z.xlsx" TargetMode="External"/><Relationship Id="rId118" Type="http://schemas.openxmlformats.org/officeDocument/2006/relationships/ctrlProp" Target="../ctrlProps/ctrlProp49.xml"/><Relationship Id="rId139" Type="http://schemas.openxmlformats.org/officeDocument/2006/relationships/ctrlProp" Target="../ctrlProps/ctrlProp70.xml"/><Relationship Id="rId85" Type="http://schemas.openxmlformats.org/officeDocument/2006/relationships/ctrlProp" Target="../ctrlProps/ctrlProp16.xml"/><Relationship Id="rId150" Type="http://schemas.openxmlformats.org/officeDocument/2006/relationships/ctrlProp" Target="../ctrlProps/ctrlProp81.xml"/><Relationship Id="rId171" Type="http://schemas.openxmlformats.org/officeDocument/2006/relationships/ctrlProp" Target="../ctrlProps/ctrlProp102.xml"/><Relationship Id="rId192" Type="http://schemas.openxmlformats.org/officeDocument/2006/relationships/ctrlProp" Target="../ctrlProps/ctrlProp123.xml"/><Relationship Id="rId206" Type="http://schemas.openxmlformats.org/officeDocument/2006/relationships/ctrlProp" Target="../ctrlProps/ctrlProp137.xml"/><Relationship Id="rId227" Type="http://schemas.openxmlformats.org/officeDocument/2006/relationships/ctrlProp" Target="../ctrlProps/ctrlProp158.xml"/><Relationship Id="rId248" Type="http://schemas.openxmlformats.org/officeDocument/2006/relationships/ctrlProp" Target="../ctrlProps/ctrlProp179.xml"/><Relationship Id="rId12" Type="http://schemas.openxmlformats.org/officeDocument/2006/relationships/hyperlink" Target="file:///\\192.168.0.20\DEPARTAMENTOS\Engenharia\0.%20Kaizen%20Diadema\6.%202026\03%20Mar&#231;o\27%20-%20MB003610LA%20-%20Bruno%20Manachini_Engenharia" TargetMode="External"/><Relationship Id="rId33" Type="http://schemas.openxmlformats.org/officeDocument/2006/relationships/hyperlink" Target="file:///\\192.168.0.20\DEPARTAMENTOS\Engenharia\0.%20Kaizen%20Diadema\6.%202026\01%20Janeiro\01%20-%20DA000489AB%20-Bruno%20Manachini_Engenharia\01%20-%20KAIZEN%20-%20DA000489AB_Rev00_Bruno%20Manachini.xlsx" TargetMode="External"/><Relationship Id="rId108" Type="http://schemas.openxmlformats.org/officeDocument/2006/relationships/ctrlProp" Target="../ctrlProps/ctrlProp39.xml"/><Relationship Id="rId129" Type="http://schemas.openxmlformats.org/officeDocument/2006/relationships/ctrlProp" Target="../ctrlProps/ctrlProp60.xml"/><Relationship Id="rId54" Type="http://schemas.openxmlformats.org/officeDocument/2006/relationships/hyperlink" Target="file:///\\192.168.0.20\departamentos\Engenharia\0.%20Kaizen%20Diadema\6.%202026\04%20Abril\43%20-%20Projeto%20de%20Automa&#231;&#227;o%20Boomerang_Izaias%20Junior_Engenharia_REV00\43%20-%20Projeto%20de%20Automa&#231;&#227;o%20Boomerang_Izaias%20Junior_Engenharia_REV00.xlsx" TargetMode="External"/><Relationship Id="rId75" Type="http://schemas.openxmlformats.org/officeDocument/2006/relationships/ctrlProp" Target="../ctrlProps/ctrlProp6.xml"/><Relationship Id="rId96" Type="http://schemas.openxmlformats.org/officeDocument/2006/relationships/ctrlProp" Target="../ctrlProps/ctrlProp27.xml"/><Relationship Id="rId140" Type="http://schemas.openxmlformats.org/officeDocument/2006/relationships/ctrlProp" Target="../ctrlProps/ctrlProp71.xml"/><Relationship Id="rId161" Type="http://schemas.openxmlformats.org/officeDocument/2006/relationships/ctrlProp" Target="../ctrlProps/ctrlProp92.xml"/><Relationship Id="rId182" Type="http://schemas.openxmlformats.org/officeDocument/2006/relationships/ctrlProp" Target="../ctrlProps/ctrlProp113.xml"/><Relationship Id="rId217" Type="http://schemas.openxmlformats.org/officeDocument/2006/relationships/ctrlProp" Target="../ctrlProps/ctrlProp148.xml"/><Relationship Id="rId6" Type="http://schemas.openxmlformats.org/officeDocument/2006/relationships/hyperlink" Target="file:///\\192.168.0.20\DEPARTAMENTOS\Engenharia\0.%20Kaizen%20Diadema\5.%202025\12%20Dezembro%20-%205\54%20-%20Aproveitamento_de_pe&#231;as_obsoletas.xlsx" TargetMode="External"/><Relationship Id="rId238" Type="http://schemas.openxmlformats.org/officeDocument/2006/relationships/ctrlProp" Target="../ctrlProps/ctrlProp169.xml"/><Relationship Id="rId23" Type="http://schemas.openxmlformats.org/officeDocument/2006/relationships/hyperlink" Target="file:///\\192.168.0.20\DEPARTAMENTOS\Engenharia\0.%20Kaizen%20Diadema\6.%202026\03%20Mar&#231;o\25%20-%20CHQ0475ED12502650%20-%20Bruno%20Manachini_Engenharia\25%20-%20KAIZEN%20-%20CHQ0475ED12502650_Rev00_Bruno%20Manachini.xlsx" TargetMode="External"/><Relationship Id="rId119" Type="http://schemas.openxmlformats.org/officeDocument/2006/relationships/ctrlProp" Target="../ctrlProps/ctrlProp50.xml"/><Relationship Id="rId44" Type="http://schemas.openxmlformats.org/officeDocument/2006/relationships/hyperlink" Target="file:///\\192.168.0.20\DEPARTAMENTOS\Engenharia\0.%20Kaizen%20Diadema\6.%202026\02%20Fevereiro\16%20-%20VW000581Z_VW000582Z%20-%20Bruno%20Manachini\16%20-%20KAIZEN%20-%20Redu&#231;&#227;o%20do%20peso%20bruto%20VW000581Z%20%20VW000582Z_Rev00_B.%20Manachini.xlsx" TargetMode="External"/><Relationship Id="rId65" Type="http://schemas.openxmlformats.org/officeDocument/2006/relationships/hyperlink" Target="file:///\\192.168.0.20\departamentos\Engenharia\0.%20Kaizen%20Diadema\6.%202026\05%20Maio\59%20-%20Redu&#231;&#227;o_de_MP%20-%20SV001141LA_1142LA%20-%20Bruno%20Manachini_Engenharia\59%20-%20KAIZEN%20-%20SV001141LA_SV001142LA_Rev00_Bruno%20Manachini.xlsx" TargetMode="External"/><Relationship Id="rId86" Type="http://schemas.openxmlformats.org/officeDocument/2006/relationships/ctrlProp" Target="../ctrlProps/ctrlProp17.xml"/><Relationship Id="rId130" Type="http://schemas.openxmlformats.org/officeDocument/2006/relationships/ctrlProp" Target="../ctrlProps/ctrlProp61.xml"/><Relationship Id="rId151" Type="http://schemas.openxmlformats.org/officeDocument/2006/relationships/ctrlProp" Target="../ctrlProps/ctrlProp82.xml"/><Relationship Id="rId172" Type="http://schemas.openxmlformats.org/officeDocument/2006/relationships/ctrlProp" Target="../ctrlProps/ctrlProp103.xml"/><Relationship Id="rId193" Type="http://schemas.openxmlformats.org/officeDocument/2006/relationships/ctrlProp" Target="../ctrlProps/ctrlProp124.xml"/><Relationship Id="rId207" Type="http://schemas.openxmlformats.org/officeDocument/2006/relationships/ctrlProp" Target="../ctrlProps/ctrlProp138.xml"/><Relationship Id="rId228" Type="http://schemas.openxmlformats.org/officeDocument/2006/relationships/ctrlProp" Target="../ctrlProps/ctrlProp159.xml"/><Relationship Id="rId249" Type="http://schemas.openxmlformats.org/officeDocument/2006/relationships/ctrlProp" Target="../ctrlProps/ctrlProp180.xml"/><Relationship Id="rId13" Type="http://schemas.openxmlformats.org/officeDocument/2006/relationships/hyperlink" Target="file:///\\Deptos\Engenharia\0.%20Kaizen%20Diadema\6.%202026\03%20Mar&#231;o\26%20-%20MB003594LA%20-%20Bruno%20Manachini_Engenharia\26%20-%20KAIZEN%20-%20MB003594LA_Rev00_Bruno%20Manachini.xlsx" TargetMode="External"/><Relationship Id="rId109" Type="http://schemas.openxmlformats.org/officeDocument/2006/relationships/ctrlProp" Target="../ctrlProps/ctrlProp40.xml"/><Relationship Id="rId34" Type="http://schemas.openxmlformats.org/officeDocument/2006/relationships/hyperlink" Target="file:///\\192.168.0.20\DEPARTAMENTOS\Engenharia\0.%20Kaizen%20Diadema\6.%202026\01%20Janeiro\03%20-%20GM000463Z_GM000359AA_Robson%20Luz_Engenharia\3%20-%20Efici&#234;ncia_Operacional%20-%20GM000359AA_GM000463Z_REV01.xlsx" TargetMode="External"/><Relationship Id="rId55" Type="http://schemas.openxmlformats.org/officeDocument/2006/relationships/hyperlink" Target="file:///\\192.168.0.20\departamentos\Engenharia\0.%20Kaizen%20Diadema\6.%202026\04%20Abril\44%20-%20Redu&#231;&#227;o%20de%20um%20compressor%20alugado%20planta%20Diadema%202026%20_Mario%20Reami_REV00\44%20-%20Redu&#231;&#227;o%20de%20um%20compressor%20alugado%20planta%20Diadema%202026%20_Mario%20Reami_REV00.xlsx" TargetMode="External"/><Relationship Id="rId76" Type="http://schemas.openxmlformats.org/officeDocument/2006/relationships/ctrlProp" Target="../ctrlProps/ctrlProp7.xml"/><Relationship Id="rId97" Type="http://schemas.openxmlformats.org/officeDocument/2006/relationships/ctrlProp" Target="../ctrlProps/ctrlProp28.xml"/><Relationship Id="rId120" Type="http://schemas.openxmlformats.org/officeDocument/2006/relationships/ctrlProp" Target="../ctrlProps/ctrlProp51.xml"/><Relationship Id="rId141" Type="http://schemas.openxmlformats.org/officeDocument/2006/relationships/ctrlProp" Target="../ctrlProps/ctrlProp72.xml"/><Relationship Id="rId7" Type="http://schemas.openxmlformats.org/officeDocument/2006/relationships/hyperlink" Target="file:///\\192.168.0.20\DEPARTAMENTOS\Engenharia\0.%20Kaizen%20Diadema\6.%202026\02%20Fevereiro\18%20-%20Produtividade_Aumento%20da%20efici&#234;ncia%20para%2073%25_Rua%202-3-4-8_Eduardo%20Fajardo\18%20-%20Produtividade_Aumento%20da%20efici&#234;ncia%20para%2073%25_Rua%202-3-4-8.xlsx" TargetMode="External"/><Relationship Id="rId162" Type="http://schemas.openxmlformats.org/officeDocument/2006/relationships/ctrlProp" Target="../ctrlProps/ctrlProp93.xml"/><Relationship Id="rId183" Type="http://schemas.openxmlformats.org/officeDocument/2006/relationships/ctrlProp" Target="../ctrlProps/ctrlProp114.xml"/><Relationship Id="rId218" Type="http://schemas.openxmlformats.org/officeDocument/2006/relationships/ctrlProp" Target="../ctrlProps/ctrlProp149.xml"/><Relationship Id="rId239" Type="http://schemas.openxmlformats.org/officeDocument/2006/relationships/ctrlProp" Target="../ctrlProps/ctrlProp170.xml"/><Relationship Id="rId250" Type="http://schemas.openxmlformats.org/officeDocument/2006/relationships/ctrlProp" Target="../ctrlProps/ctrlProp181.xml"/><Relationship Id="rId24" Type="http://schemas.openxmlformats.org/officeDocument/2006/relationships/hyperlink" Target="file:///\\192.168.0.20\DEPARTAMENTOS\Engenharia\0.%20Kaizen%20Diadema\6.%202026\03%20Mar&#231;o\28%20-%20MB003554LA%20-%20Bruno%20Manachini_Engenharia\28%20-%20KAIZEN%20-%20MB003554LA_Rev00_Bruno%20Manachini.xlsx" TargetMode="External"/><Relationship Id="rId45" Type="http://schemas.openxmlformats.org/officeDocument/2006/relationships/hyperlink" Target="file:///\\192.168.0.20\DEPARTAMENTOS\Engenharia\0.%20Kaizen%20Diadema\6.%202026\02%20Fevereiro\23%20-%20MB003601LA%20-%20Bruno%20Manachini_Engenharia\23%20-%20KAIZEN%20-%20Redu&#231;&#227;o%20de%20peso%20bruto_MB003601LA_Rev00_Bruno%20Manachini.xlsx" TargetMode="External"/><Relationship Id="rId66" Type="http://schemas.openxmlformats.org/officeDocument/2006/relationships/hyperlink" Target="file:///\\192.168.0.20\departamentos\Engenharia\0.%20Kaizen%20Diadema\6.%202026\05%20Maio\60%20-%20Redu&#231;&#227;o_do_Peso_Bruto_AlmaCAM%20-%20Bruno%20Manachini_Engenharia\60%20-%20KAIZEN%20-%20AlmaCAM_Redu&#231;&#227;o%20de%20Peso_Rev00_Bruno%20Manachini.xlsx" TargetMode="External"/><Relationship Id="rId87" Type="http://schemas.openxmlformats.org/officeDocument/2006/relationships/ctrlProp" Target="../ctrlProps/ctrlProp18.xml"/><Relationship Id="rId110" Type="http://schemas.openxmlformats.org/officeDocument/2006/relationships/ctrlProp" Target="../ctrlProps/ctrlProp41.xml"/><Relationship Id="rId131" Type="http://schemas.openxmlformats.org/officeDocument/2006/relationships/ctrlProp" Target="../ctrlProps/ctrlProp62.xml"/><Relationship Id="rId152" Type="http://schemas.openxmlformats.org/officeDocument/2006/relationships/ctrlProp" Target="../ctrlProps/ctrlProp83.xml"/><Relationship Id="rId173" Type="http://schemas.openxmlformats.org/officeDocument/2006/relationships/ctrlProp" Target="../ctrlProps/ctrlProp104.xml"/><Relationship Id="rId194" Type="http://schemas.openxmlformats.org/officeDocument/2006/relationships/ctrlProp" Target="../ctrlProps/ctrlProp125.xml"/><Relationship Id="rId208" Type="http://schemas.openxmlformats.org/officeDocument/2006/relationships/ctrlProp" Target="../ctrlProps/ctrlProp139.xml"/><Relationship Id="rId229" Type="http://schemas.openxmlformats.org/officeDocument/2006/relationships/ctrlProp" Target="../ctrlProps/ctrlProp160.xml"/><Relationship Id="rId240" Type="http://schemas.openxmlformats.org/officeDocument/2006/relationships/ctrlProp" Target="../ctrlProps/ctrlProp171.xml"/><Relationship Id="rId14" Type="http://schemas.openxmlformats.org/officeDocument/2006/relationships/hyperlink" Target="Evid&#234;ncias%20Grupo%20Delga%202026/Evid&#234;ncias%20Delga%20Diadema/00%20Evid&#234;ncia%20An&#225;lise%20de%20Margem/00%20Form%20206%20preenchido%20pela%20Engenharia/VW000583Z_VW000584Z%20-%20Form.206.xlsx" TargetMode="External"/><Relationship Id="rId35" Type="http://schemas.openxmlformats.org/officeDocument/2006/relationships/hyperlink" Target="file:///\\192.168.0.20\DEPARTAMENTOS\Engenharia\0.%20Kaizen%20Diadema\6.%202026\02%20Fevereiro\17%20-%20Redu&#231;&#227;o%20do%20contrato%20de%20empilhadeiras_Eduardo%20Fajardo\17%20-%20Redu&#231;&#227;o%20de%20do%20contrato%20de%20empilhadeiras_Eduardo%20Fajardo.xlsx" TargetMode="External"/><Relationship Id="rId56" Type="http://schemas.openxmlformats.org/officeDocument/2006/relationships/hyperlink" Target="file:///\\192.168.0.20\departamentos\Engenharia\0.%20Kaizen%20Diadema\6.%202026\04%20Abril\48%20-%20Redu&#231;&#227;o%20de%20MP%20-%20DJ000079Z%20-%2080Z_Rev00_Thiago%20Cardoso\48%20-%20Redu&#231;&#227;o%20de%20MP%20-%20DJ000079Z%20-%2080Z_Rev00_Thiago%20Cardoso.xlsx" TargetMode="External"/><Relationship Id="rId77" Type="http://schemas.openxmlformats.org/officeDocument/2006/relationships/ctrlProp" Target="../ctrlProps/ctrlProp8.xml"/><Relationship Id="rId100" Type="http://schemas.openxmlformats.org/officeDocument/2006/relationships/ctrlProp" Target="../ctrlProps/ctrlProp31.xml"/><Relationship Id="rId8"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98" Type="http://schemas.openxmlformats.org/officeDocument/2006/relationships/ctrlProp" Target="../ctrlProps/ctrlProp29.xml"/><Relationship Id="rId121" Type="http://schemas.openxmlformats.org/officeDocument/2006/relationships/ctrlProp" Target="../ctrlProps/ctrlProp52.xml"/><Relationship Id="rId142" Type="http://schemas.openxmlformats.org/officeDocument/2006/relationships/ctrlProp" Target="../ctrlProps/ctrlProp73.xml"/><Relationship Id="rId163" Type="http://schemas.openxmlformats.org/officeDocument/2006/relationships/ctrlProp" Target="../ctrlProps/ctrlProp94.xml"/><Relationship Id="rId184" Type="http://schemas.openxmlformats.org/officeDocument/2006/relationships/ctrlProp" Target="../ctrlProps/ctrlProp115.xml"/><Relationship Id="rId219" Type="http://schemas.openxmlformats.org/officeDocument/2006/relationships/ctrlProp" Target="../ctrlProps/ctrlProp150.xml"/><Relationship Id="rId230" Type="http://schemas.openxmlformats.org/officeDocument/2006/relationships/ctrlProp" Target="../ctrlProps/ctrlProp161.xml"/><Relationship Id="rId251" Type="http://schemas.openxmlformats.org/officeDocument/2006/relationships/table" Target="../tables/table1.xml"/><Relationship Id="rId25" Type="http://schemas.openxmlformats.org/officeDocument/2006/relationships/hyperlink" Target="file:///\\192.168.0.20\DEPARTAMENTOS\Engenharia\0.%20Kaizen%20Diadema\6.%202026\03%20Mar&#231;o\29%20-%20MB003597LA%20-%20Bruno%20Manachini_Engenharia\29%20-%20KAIZEN%20-%20MB003597LA_Rev00_Bruno%20Manachini.xlsx" TargetMode="External"/><Relationship Id="rId46" Type="http://schemas.openxmlformats.org/officeDocument/2006/relationships/hyperlink" Target="file:///\\192.168.0.20\DEPARTAMENTOS\Engenharia\0.%20Kaizen%20Diadema\6.%202026\03%20Mar&#231;o\37%20-%20DA000459AA%20-%20STC%20Volvo_Sidnei%20Souza_Ferramentaria\37%20-%20DA000459AA%20-%20STC%20Volvo_Sidnei%20Souza_Ferramentaria.xlsx" TargetMode="External"/><Relationship Id="rId67" Type="http://schemas.openxmlformats.org/officeDocument/2006/relationships/printerSettings" Target="../printerSettings/printerSettings2.bin"/><Relationship Id="rId88" Type="http://schemas.openxmlformats.org/officeDocument/2006/relationships/ctrlProp" Target="../ctrlProps/ctrlProp19.xml"/><Relationship Id="rId111" Type="http://schemas.openxmlformats.org/officeDocument/2006/relationships/ctrlProp" Target="../ctrlProps/ctrlProp42.xml"/><Relationship Id="rId132" Type="http://schemas.openxmlformats.org/officeDocument/2006/relationships/ctrlProp" Target="../ctrlProps/ctrlProp63.xml"/><Relationship Id="rId153" Type="http://schemas.openxmlformats.org/officeDocument/2006/relationships/ctrlProp" Target="../ctrlProps/ctrlProp84.xml"/><Relationship Id="rId174" Type="http://schemas.openxmlformats.org/officeDocument/2006/relationships/ctrlProp" Target="../ctrlProps/ctrlProp105.xml"/><Relationship Id="rId195" Type="http://schemas.openxmlformats.org/officeDocument/2006/relationships/ctrlProp" Target="../ctrlProps/ctrlProp126.xml"/><Relationship Id="rId209" Type="http://schemas.openxmlformats.org/officeDocument/2006/relationships/ctrlProp" Target="../ctrlProps/ctrlProp140.xml"/><Relationship Id="rId220" Type="http://schemas.openxmlformats.org/officeDocument/2006/relationships/ctrlProp" Target="../ctrlProps/ctrlProp151.xml"/><Relationship Id="rId241" Type="http://schemas.openxmlformats.org/officeDocument/2006/relationships/ctrlProp" Target="../ctrlProps/ctrlProp172.xml"/><Relationship Id="rId15" Type="http://schemas.openxmlformats.org/officeDocument/2006/relationships/hyperlink" Target="Evid&#234;ncias%20Grupo%20Delga%202026/Evid&#234;ncias%20Delga%20Diadema/00%20Evid&#234;ncia%20An&#225;lise%20de%20Margem/00%20Form%20206%20preenchido%20pela%20Engenharia/VW000583Z_VW000584Z%20-%20Form.206.xlsx" TargetMode="External"/><Relationship Id="rId36" Type="http://schemas.openxmlformats.org/officeDocument/2006/relationships/hyperlink" Target="file:///\\192.168.0.20\DEPARTAMENTOS\Engenharia\0.%20Kaizen%20Diadema\6.%202026\03%20Mar&#231;o\42%20-%20Redu&#231;&#227;o%20do%20Consumo%20de%20&#193;gua_Eduardo%20Fajardo\42%20-%20Redu&#231;&#227;o%20do%20Consumo%20de%20&#193;gua_Eduardo%20Fajardo_REV00.xlsx" TargetMode="External"/><Relationship Id="rId57" Type="http://schemas.openxmlformats.org/officeDocument/2006/relationships/hyperlink" Target="file:///\\192.168.0.20\departamentos\Engenharia\0.%20Kaizen%20Diadema\6.%202026\04%20Abril\49%20-%20Redu&#231;&#227;o%20de%20MP%20-%20BOZ0150HX1000_Rev00_Thiago%20Cardoso\49%20-%20Redu&#231;&#227;o%20de%20MP%20-%20BOZ0150HX1000_Rev00_Thiago%20Cardoso.xlsx" TargetMode="External"/><Relationship Id="rId78" Type="http://schemas.openxmlformats.org/officeDocument/2006/relationships/ctrlProp" Target="../ctrlProps/ctrlProp9.xml"/><Relationship Id="rId99" Type="http://schemas.openxmlformats.org/officeDocument/2006/relationships/ctrlProp" Target="../ctrlProps/ctrlProp30.xml"/><Relationship Id="rId101" Type="http://schemas.openxmlformats.org/officeDocument/2006/relationships/ctrlProp" Target="../ctrlProps/ctrlProp32.xml"/><Relationship Id="rId122" Type="http://schemas.openxmlformats.org/officeDocument/2006/relationships/ctrlProp" Target="../ctrlProps/ctrlProp53.xml"/><Relationship Id="rId143" Type="http://schemas.openxmlformats.org/officeDocument/2006/relationships/ctrlProp" Target="../ctrlProps/ctrlProp74.xml"/><Relationship Id="rId164" Type="http://schemas.openxmlformats.org/officeDocument/2006/relationships/ctrlProp" Target="../ctrlProps/ctrlProp95.xml"/><Relationship Id="rId185" Type="http://schemas.openxmlformats.org/officeDocument/2006/relationships/ctrlProp" Target="../ctrlProps/ctrlProp116.xml"/><Relationship Id="rId9"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210" Type="http://schemas.openxmlformats.org/officeDocument/2006/relationships/ctrlProp" Target="../ctrlProps/ctrlProp141.xml"/><Relationship Id="rId26" Type="http://schemas.openxmlformats.org/officeDocument/2006/relationships/hyperlink" Target="file:///\\192.168.0.20\DEPARTAMENTOS\Engenharia\0.%20Kaizen%20Diadema\6.%202026\03%20Mar&#231;o\30%20-%20MB003673LA%20-%20Bruno%20Manachini_Engenharia\30%20-%20KAIZEN%20-%20MB003673LA_Rev00_Bruno%20Manachini.xlsx" TargetMode="External"/><Relationship Id="rId231" Type="http://schemas.openxmlformats.org/officeDocument/2006/relationships/ctrlProp" Target="../ctrlProps/ctrlProp162.xml"/><Relationship Id="rId252" Type="http://schemas.openxmlformats.org/officeDocument/2006/relationships/comments" Target="../comments1.xml"/><Relationship Id="rId47" Type="http://schemas.openxmlformats.org/officeDocument/2006/relationships/hyperlink" Target="file:///\\192.168.0.20\DEPARTAMENTOS\Engenharia\0.%20Kaizen%20Diadema\6.%202026\03%20Mar&#231;o\38%20-%20DA000487AA_DA000488AA%20-%20STC%20Scania%20P_Sidnei%20Souza_Ferramentaria\38%20-%20DA000487AA_DA000488AA%20-%20STC%20Scania%20P_Sidnei%20Souza_Ferramentaria_REV00.xlsx" TargetMode="External"/><Relationship Id="rId68" Type="http://schemas.openxmlformats.org/officeDocument/2006/relationships/drawing" Target="../drawings/drawing2.xml"/><Relationship Id="rId89" Type="http://schemas.openxmlformats.org/officeDocument/2006/relationships/ctrlProp" Target="../ctrlProps/ctrlProp20.xml"/><Relationship Id="rId112" Type="http://schemas.openxmlformats.org/officeDocument/2006/relationships/ctrlProp" Target="../ctrlProps/ctrlProp43.xml"/><Relationship Id="rId133" Type="http://schemas.openxmlformats.org/officeDocument/2006/relationships/ctrlProp" Target="../ctrlProps/ctrlProp64.xml"/><Relationship Id="rId154" Type="http://schemas.openxmlformats.org/officeDocument/2006/relationships/ctrlProp" Target="../ctrlProps/ctrlProp85.xml"/><Relationship Id="rId175" Type="http://schemas.openxmlformats.org/officeDocument/2006/relationships/ctrlProp" Target="../ctrlProps/ctrlProp106.xml"/><Relationship Id="rId196" Type="http://schemas.openxmlformats.org/officeDocument/2006/relationships/ctrlProp" Target="../ctrlProps/ctrlProp127.xml"/><Relationship Id="rId200" Type="http://schemas.openxmlformats.org/officeDocument/2006/relationships/ctrlProp" Target="../ctrlProps/ctrlProp131.xml"/><Relationship Id="rId16" Type="http://schemas.openxmlformats.org/officeDocument/2006/relationships/hyperlink" Target="file:///\\192.168.0.20\DEPARTAMENTOS\Engenharia\0.%20Kaizen%20Diadema\6.%202026\01%20Janeiro\07%20-%20Kaizen%20Fac&#227;o_Sebasti&#227;o%20Gomes\7%20-%20KAIZEN%20FAC&#195;O%20DA000418Z_JAN%202026.xlsx" TargetMode="External"/><Relationship Id="rId221" Type="http://schemas.openxmlformats.org/officeDocument/2006/relationships/ctrlProp" Target="../ctrlProps/ctrlProp152.xml"/><Relationship Id="rId242" Type="http://schemas.openxmlformats.org/officeDocument/2006/relationships/ctrlProp" Target="../ctrlProps/ctrlProp173.xml"/><Relationship Id="rId37" Type="http://schemas.openxmlformats.org/officeDocument/2006/relationships/hyperlink" Target="file:///\\192.168.0.20\DEPARTAMENTOS\Engenharia\0.%20Kaizen%20Diadema\6.%202026\01%20Janeiro\02%20-%20MB2446LA_MB3670LA_MB3671LA_Engenharia_Bruno%20Manachini_Validado%20Pela%20Controladoria\02%20-%20KAIZEN%20-%20MB2446LA_MB3670LA_MB3671LA_Rev00_Bruno%20Manachini.xlsx" TargetMode="External"/><Relationship Id="rId58" Type="http://schemas.openxmlformats.org/officeDocument/2006/relationships/hyperlink" Target="file:///\\192.168.0.20\departamentos\Engenharia\0.%20Kaizen%20Diadema\6.%202026\04%20Abril\50%20-%20Redu&#231;&#227;o%20de%20MP%20-%20GM000408Z_409Z_Bobina_Rev00_Thiago%20Cardoso\50%20-%20Redu&#231;&#227;o%20de%20MP%20-%20GM000408Z_409Z_Bobina_Rev00_Thiago%20Cardoso.xlsx" TargetMode="External"/><Relationship Id="rId79" Type="http://schemas.openxmlformats.org/officeDocument/2006/relationships/ctrlProp" Target="../ctrlProps/ctrlProp10.xml"/><Relationship Id="rId102" Type="http://schemas.openxmlformats.org/officeDocument/2006/relationships/ctrlProp" Target="../ctrlProps/ctrlProp33.xml"/><Relationship Id="rId123" Type="http://schemas.openxmlformats.org/officeDocument/2006/relationships/ctrlProp" Target="../ctrlProps/ctrlProp54.xml"/><Relationship Id="rId144" Type="http://schemas.openxmlformats.org/officeDocument/2006/relationships/ctrlProp" Target="../ctrlProps/ctrlProp75.xml"/><Relationship Id="rId90" Type="http://schemas.openxmlformats.org/officeDocument/2006/relationships/ctrlProp" Target="../ctrlProps/ctrlProp21.xml"/><Relationship Id="rId165" Type="http://schemas.openxmlformats.org/officeDocument/2006/relationships/ctrlProp" Target="../ctrlProps/ctrlProp96.xml"/><Relationship Id="rId186" Type="http://schemas.openxmlformats.org/officeDocument/2006/relationships/ctrlProp" Target="../ctrlProps/ctrlProp117.xml"/><Relationship Id="rId211" Type="http://schemas.openxmlformats.org/officeDocument/2006/relationships/ctrlProp" Target="../ctrlProps/ctrlProp142.xml"/><Relationship Id="rId232" Type="http://schemas.openxmlformats.org/officeDocument/2006/relationships/ctrlProp" Target="../ctrlProps/ctrlProp163.xml"/><Relationship Id="rId253" Type="http://schemas.microsoft.com/office/2017/10/relationships/threadedComment" Target="../threadedComments/threadedComment1.xml"/><Relationship Id="rId27" Type="http://schemas.openxmlformats.org/officeDocument/2006/relationships/hyperlink" Target="file:///\\192.168.0.20\DEPARTAMENTOS\Engenharia\0.%20Kaizen%20Diadema\6.%202026\03%20Mar&#231;o\31%20-%20MB003673LD%20-%20Bruno%20Manachini_Engenharia\31%20-%20KAIZEN%20-%20MB003673LD_Rev00_Bruno%20Manachini.xlsx" TargetMode="External"/><Relationship Id="rId48" Type="http://schemas.openxmlformats.org/officeDocument/2006/relationships/hyperlink" Target="file:///\\192.168.0.20\DEPARTAMENTOS\Engenharia\0.%20Kaizen%20Diadema\6.%202026\03%20Mar&#231;o\39%20-%20DA000489AA_DA000490AA%20-%20STC%20Scania%20M_Sidnei%20Souza_Ferramentaria\39%20-%20DA000489Z_DE000490Z%20-%20STC%20Scania%20M_Sidnei%20Souza_Ferramentaria_REV00.xlsx" TargetMode="External"/><Relationship Id="rId69" Type="http://schemas.openxmlformats.org/officeDocument/2006/relationships/vmlDrawing" Target="../drawings/vmlDrawing1.vml"/><Relationship Id="rId113" Type="http://schemas.openxmlformats.org/officeDocument/2006/relationships/ctrlProp" Target="../ctrlProps/ctrlProp44.xml"/><Relationship Id="rId134" Type="http://schemas.openxmlformats.org/officeDocument/2006/relationships/ctrlProp" Target="../ctrlProps/ctrlProp65.xml"/><Relationship Id="rId80" Type="http://schemas.openxmlformats.org/officeDocument/2006/relationships/ctrlProp" Target="../ctrlProps/ctrlProp11.xml"/><Relationship Id="rId155" Type="http://schemas.openxmlformats.org/officeDocument/2006/relationships/ctrlProp" Target="../ctrlProps/ctrlProp86.xml"/><Relationship Id="rId176" Type="http://schemas.openxmlformats.org/officeDocument/2006/relationships/ctrlProp" Target="../ctrlProps/ctrlProp107.xml"/><Relationship Id="rId197" Type="http://schemas.openxmlformats.org/officeDocument/2006/relationships/ctrlProp" Target="../ctrlProps/ctrlProp128.xml"/><Relationship Id="rId201" Type="http://schemas.openxmlformats.org/officeDocument/2006/relationships/ctrlProp" Target="../ctrlProps/ctrlProp132.xml"/><Relationship Id="rId222" Type="http://schemas.openxmlformats.org/officeDocument/2006/relationships/ctrlProp" Target="../ctrlProps/ctrlProp153.xml"/><Relationship Id="rId243" Type="http://schemas.openxmlformats.org/officeDocument/2006/relationships/ctrlProp" Target="../ctrlProps/ctrlProp174.xml"/><Relationship Id="rId17" Type="http://schemas.openxmlformats.org/officeDocument/2006/relationships/hyperlink" Target="file:///\\192.168.0.20\DEPARTAMENTOS\Engenharia\0.%20Kaizen%20Diadema\6.%202026\02%20Fevereiro\24%20-%20Redu&#231;&#227;o_de_MP%20-%20DJ000059Z_DJ000060Z\24%20-%20Redu&#231;&#227;o_de_MP%20-%20DJ000059Z_DJ000060Z.xlsx" TargetMode="External"/><Relationship Id="rId38" Type="http://schemas.openxmlformats.org/officeDocument/2006/relationships/hyperlink" Target="file:///\\192.168.0.20\DEPARTAMENTOS\Engenharia\0.%20Kaizen%20Diadema\6.%202026\01%20Janeiro\06%20-%20Padroniza&#231;&#227;o%20de%20Arame%20de%20Solda_Izaias%20Junior_Engenharia\06_Padroniza&#231;&#227;o%20Arame%20de%20Solda.%20rev01_Izaias%20Junior.xlsx" TargetMode="External"/><Relationship Id="rId59" Type="http://schemas.openxmlformats.org/officeDocument/2006/relationships/hyperlink" Target="file:///\\192.168.0.20\departamentos\Engenharia\0.%20Kaizen%20Diadema\6.%202026\04%20Abril\52%20-%20Suporte%20da%20lanterna%20MB003681_Sidnei%20Souza_Ferramentaria\52%20-%20Suporte%20da%20lanterna%20MB003681_REV00.xlsx" TargetMode="External"/><Relationship Id="rId103" Type="http://schemas.openxmlformats.org/officeDocument/2006/relationships/ctrlProp" Target="../ctrlProps/ctrlProp34.xml"/><Relationship Id="rId124" Type="http://schemas.openxmlformats.org/officeDocument/2006/relationships/ctrlProp" Target="../ctrlProps/ctrlProp55.xml"/><Relationship Id="rId70" Type="http://schemas.openxmlformats.org/officeDocument/2006/relationships/ctrlProp" Target="../ctrlProps/ctrlProp1.xml"/><Relationship Id="rId91" Type="http://schemas.openxmlformats.org/officeDocument/2006/relationships/ctrlProp" Target="../ctrlProps/ctrlProp22.xml"/><Relationship Id="rId145" Type="http://schemas.openxmlformats.org/officeDocument/2006/relationships/ctrlProp" Target="../ctrlProps/ctrlProp76.xml"/><Relationship Id="rId166" Type="http://schemas.openxmlformats.org/officeDocument/2006/relationships/ctrlProp" Target="../ctrlProps/ctrlProp97.xml"/><Relationship Id="rId187" Type="http://schemas.openxmlformats.org/officeDocument/2006/relationships/ctrlProp" Target="../ctrlProps/ctrlProp118.xml"/><Relationship Id="rId1" Type="http://schemas.openxmlformats.org/officeDocument/2006/relationships/hyperlink" Target="01%20Evid&#234;ncias%20Diadema/03%20Otimiza&#231;&#227;o%20de%20processo%20-%20Cavalo%20Marinho/Efici&#234;ncia_Operacional%20-%20GM000359AA_GM000463Z_REV01.xlsx" TargetMode="External"/><Relationship Id="rId212" Type="http://schemas.openxmlformats.org/officeDocument/2006/relationships/ctrlProp" Target="../ctrlProps/ctrlProp143.xml"/><Relationship Id="rId233" Type="http://schemas.openxmlformats.org/officeDocument/2006/relationships/ctrlProp" Target="../ctrlProps/ctrlProp164.xml"/><Relationship Id="rId28" Type="http://schemas.openxmlformats.org/officeDocument/2006/relationships/hyperlink" Target="file:///\\192.168.0.20\DEPARTAMENTOS\Engenharia\0.%20Kaizen%20Diadema\6.%202026\03%20Mar&#231;o\32%20-%20SV000205LB%20-%20Bruno%20Manachini_Engenharia\32%20-%20KAIZEN%20-%20SV000205LB_Rev00_Bruno%20Manachini.xlsx" TargetMode="External"/><Relationship Id="rId49" Type="http://schemas.openxmlformats.org/officeDocument/2006/relationships/hyperlink" Target="file:///\\192.168.0.20\DEPARTAMENTOS\Engenharia\0.%20Kaizen%20Diadema\6.%202026\03%20Mar&#231;o\40%20-%20DA000491AA_DA000492AA%20-%20STC%20Scania%20G_Sidnei%20Souza_Ferramentaria\40%20-%20DA000491AA_DA000492AA%20-%20STC%20Scania%20G_Sidnei%20Souza_Ferramentaria_REV00.xlsx" TargetMode="External"/><Relationship Id="rId114" Type="http://schemas.openxmlformats.org/officeDocument/2006/relationships/ctrlProp" Target="../ctrlProps/ctrlProp45.xml"/><Relationship Id="rId60" Type="http://schemas.openxmlformats.org/officeDocument/2006/relationships/hyperlink" Target="file:///\\192.168.0.20\departamentos\Engenharia\0.%20Kaizen%20Diadema\6.%202026\04%20Abril\55%20-%20Redu&#231;&#227;o%20de%20MP%20-%20GM000402Z_403Z_Passo_Rev00_Thiago%20Cardoso\55%20-%20Redu&#231;&#227;o%20de%20MP%20-%20GM000402Z_403Z_Passo_Rev00_Thiago%20Cardoso.xlsx" TargetMode="External"/><Relationship Id="rId81" Type="http://schemas.openxmlformats.org/officeDocument/2006/relationships/ctrlProp" Target="../ctrlProps/ctrlProp12.xml"/><Relationship Id="rId135" Type="http://schemas.openxmlformats.org/officeDocument/2006/relationships/ctrlProp" Target="../ctrlProps/ctrlProp66.xml"/><Relationship Id="rId156" Type="http://schemas.openxmlformats.org/officeDocument/2006/relationships/ctrlProp" Target="../ctrlProps/ctrlProp87.xml"/><Relationship Id="rId177" Type="http://schemas.openxmlformats.org/officeDocument/2006/relationships/ctrlProp" Target="../ctrlProps/ctrlProp108.xml"/><Relationship Id="rId198" Type="http://schemas.openxmlformats.org/officeDocument/2006/relationships/ctrlProp" Target="../ctrlProps/ctrlProp129.xml"/><Relationship Id="rId202" Type="http://schemas.openxmlformats.org/officeDocument/2006/relationships/ctrlProp" Target="../ctrlProps/ctrlProp133.xml"/><Relationship Id="rId223" Type="http://schemas.openxmlformats.org/officeDocument/2006/relationships/ctrlProp" Target="../ctrlProps/ctrlProp154.xml"/><Relationship Id="rId244" Type="http://schemas.openxmlformats.org/officeDocument/2006/relationships/ctrlProp" Target="../ctrlProps/ctrlProp175.xml"/><Relationship Id="rId18" Type="http://schemas.openxmlformats.org/officeDocument/2006/relationships/hyperlink" Target="file:///\\192.168.0.20\DEPARTAMENTOS\Engenharia\0.%20Kaizen%20Diadema\5.%202025\12%20Dezembro%20-%205\53%20-%20Redu&#231;&#227;o%20de%20Componente%20-%204065%20de%206%20para%204.xlsx" TargetMode="External"/><Relationship Id="rId39" Type="http://schemas.openxmlformats.org/officeDocument/2006/relationships/hyperlink" Target="file:///\\192.168.0.20\DEPARTAMENTOS\Engenharia\0.%20Kaizen%20Diadema\6.%202026\01%20Janeiro\04%20-%20DA000518Z_Thiago%20Cardoso_Engenharia\4%20-%20KAIZEN%20DA000518Z.xlsx" TargetMode="External"/><Relationship Id="rId50" Type="http://schemas.openxmlformats.org/officeDocument/2006/relationships/hyperlink" Target="file:///\\192.168.0.20\departamentos\Engenharia\0.%20Kaizen%20Diadema\6.%202026\04%20Abril\51%20-%20Taxa%20de%20Esgoto_Eduardo%20Fajardo)REV00\51_Taxa%20de%20Esgoto_Eduardo%20Fajardo_Rev00.xlsx" TargetMode="External"/><Relationship Id="rId104" Type="http://schemas.openxmlformats.org/officeDocument/2006/relationships/ctrlProp" Target="../ctrlProps/ctrlProp35.xml"/><Relationship Id="rId125" Type="http://schemas.openxmlformats.org/officeDocument/2006/relationships/ctrlProp" Target="../ctrlProps/ctrlProp56.xml"/><Relationship Id="rId146" Type="http://schemas.openxmlformats.org/officeDocument/2006/relationships/ctrlProp" Target="../ctrlProps/ctrlProp77.xml"/><Relationship Id="rId167" Type="http://schemas.openxmlformats.org/officeDocument/2006/relationships/ctrlProp" Target="../ctrlProps/ctrlProp98.xml"/><Relationship Id="rId188" Type="http://schemas.openxmlformats.org/officeDocument/2006/relationships/ctrlProp" Target="../ctrlProps/ctrlProp119.xml"/><Relationship Id="rId71" Type="http://schemas.openxmlformats.org/officeDocument/2006/relationships/ctrlProp" Target="../ctrlProps/ctrlProp2.xml"/><Relationship Id="rId92" Type="http://schemas.openxmlformats.org/officeDocument/2006/relationships/ctrlProp" Target="../ctrlProps/ctrlProp23.xml"/><Relationship Id="rId213" Type="http://schemas.openxmlformats.org/officeDocument/2006/relationships/ctrlProp" Target="../ctrlProps/ctrlProp144.xml"/><Relationship Id="rId234" Type="http://schemas.openxmlformats.org/officeDocument/2006/relationships/ctrlProp" Target="../ctrlProps/ctrlProp165.xml"/><Relationship Id="rId2" Type="http://schemas.openxmlformats.org/officeDocument/2006/relationships/hyperlink" Target="01%20Evid&#234;ncias%20Diadema/01%20Kaizen%20Redu&#231;&#227;o%20de%20peso%20bruto%20DA000489A/KAIZEN%20-%20DA000489AB_Rev00.xlsx" TargetMode="External"/><Relationship Id="rId29" Type="http://schemas.openxmlformats.org/officeDocument/2006/relationships/hyperlink" Target="file:///\\192.168.0.20\DEPARTAMENTOS\Engenharia\0.%20Kaizen%20Diadema\6.%202026\03%20Mar&#231;o\33%20-%20VB000323LA%20-%20Bruno%20Manachini_Engenharia\33%20-%20KAIZEN%20-%20VB000323LA_Rev00_Bruno%20Manachini.xlsx" TargetMode="External"/><Relationship Id="rId40" Type="http://schemas.openxmlformats.org/officeDocument/2006/relationships/hyperlink" Target="file:///\\192.168.0.20\DEPARTAMENTOS\Engenharia\0.%20Kaizen%20Diadema\6.%202026\01%20Janeiro\05%20-%20Kaizem%20-%20Bot&#245;es%20BI%20-%20MANUAL_Rafael%20Almeida_Ferramentaria\5%20-%20Kaizem%20-%20Bot&#245;es%20BI%20-%20MANUAL_Rev00.xlsx" TargetMode="External"/><Relationship Id="rId115" Type="http://schemas.openxmlformats.org/officeDocument/2006/relationships/ctrlProp" Target="../ctrlProps/ctrlProp46.xml"/><Relationship Id="rId136" Type="http://schemas.openxmlformats.org/officeDocument/2006/relationships/ctrlProp" Target="../ctrlProps/ctrlProp67.xml"/><Relationship Id="rId157" Type="http://schemas.openxmlformats.org/officeDocument/2006/relationships/ctrlProp" Target="../ctrlProps/ctrlProp88.xml"/><Relationship Id="rId178" Type="http://schemas.openxmlformats.org/officeDocument/2006/relationships/ctrlProp" Target="../ctrlProps/ctrlProp109.xml"/><Relationship Id="rId61" Type="http://schemas.openxmlformats.org/officeDocument/2006/relationships/hyperlink" Target="file:///\\192.168.0.20\departamentos\Engenharia\0.%20Kaizen%20Diadema\6.%202026\04%20Abril\56%20-%20Redu&#231;&#227;o_de_MP%20-%20GM000458Z_GM000459Z_Bruno%20Manachini\56%20-%20Redu&#231;&#227;o_de_MP%20-%20GM000458Z_GM000459Z.xlsx" TargetMode="External"/><Relationship Id="rId82" Type="http://schemas.openxmlformats.org/officeDocument/2006/relationships/ctrlProp" Target="../ctrlProps/ctrlProp13.xml"/><Relationship Id="rId199" Type="http://schemas.openxmlformats.org/officeDocument/2006/relationships/ctrlProp" Target="../ctrlProps/ctrlProp130.xml"/><Relationship Id="rId203" Type="http://schemas.openxmlformats.org/officeDocument/2006/relationships/ctrlProp" Target="../ctrlProps/ctrlProp134.xml"/><Relationship Id="rId19" Type="http://schemas.openxmlformats.org/officeDocument/2006/relationships/hyperlink" Target="file:///\\192.168.0.20\DEPARTAMENTOS\Engenharia\0.%20Kaizen%20Diadema\6.%202026\02%20Fevereiro\Kaizens%2010_11_12_consolidados_%20Redu&#231;&#227;o%20de%202MOD.xlsx" TargetMode="External"/><Relationship Id="rId224" Type="http://schemas.openxmlformats.org/officeDocument/2006/relationships/ctrlProp" Target="../ctrlProps/ctrlProp155.xml"/><Relationship Id="rId245" Type="http://schemas.openxmlformats.org/officeDocument/2006/relationships/ctrlProp" Target="../ctrlProps/ctrlProp176.xml"/><Relationship Id="rId30" Type="http://schemas.openxmlformats.org/officeDocument/2006/relationships/hyperlink" Target="file:///\\192.168.0.20\DEPARTAMENTOS\Engenharia\0.%20Kaizen%20Diadema\6.%202026\03%20Mar&#231;o\34%20-%20VW001138LA%20-%20Bruno%20Manachini_Engenharia\34%20-%20KAIZEN%20-%20VW001138LA_Rev00_Bruno%20Manachini.xlsx" TargetMode="External"/><Relationship Id="rId105" Type="http://schemas.openxmlformats.org/officeDocument/2006/relationships/ctrlProp" Target="../ctrlProps/ctrlProp36.xml"/><Relationship Id="rId126" Type="http://schemas.openxmlformats.org/officeDocument/2006/relationships/ctrlProp" Target="../ctrlProps/ctrlProp57.xml"/><Relationship Id="rId147" Type="http://schemas.openxmlformats.org/officeDocument/2006/relationships/ctrlProp" Target="../ctrlProps/ctrlProp78.xml"/><Relationship Id="rId168" Type="http://schemas.openxmlformats.org/officeDocument/2006/relationships/ctrlProp" Target="../ctrlProps/ctrlProp99.xml"/><Relationship Id="rId51" Type="http://schemas.openxmlformats.org/officeDocument/2006/relationships/hyperlink" Target="file:///\\192.168.0.20\departamentos\Engenharia\0.%20Kaizen%20Diadema\6.%202026\04%20Abril\47%20-%20KAIZEN%20AGUA%20DESMINERALIZADA%202026%20Diadema%202026%20_Mario%20REAMI\47%20-%20KAIZEN%20AGUA%20DESMINERALIZADA%202026%20Diadema%202026%20_Mario%20REAMI.xlsx" TargetMode="External"/><Relationship Id="rId72" Type="http://schemas.openxmlformats.org/officeDocument/2006/relationships/ctrlProp" Target="../ctrlProps/ctrlProp3.xml"/><Relationship Id="rId93" Type="http://schemas.openxmlformats.org/officeDocument/2006/relationships/ctrlProp" Target="../ctrlProps/ctrlProp24.xml"/><Relationship Id="rId189" Type="http://schemas.openxmlformats.org/officeDocument/2006/relationships/ctrlProp" Target="../ctrlProps/ctrlProp120.xml"/><Relationship Id="rId3" Type="http://schemas.openxmlformats.org/officeDocument/2006/relationships/hyperlink" Target="Evid&#234;ncias%20Grupo%20Delga%202026/Evid&#234;ncias%20Delga%20Diadema/00%20Evid&#234;ncia%20An&#225;lise%20de%20Margem/00%20Form%20206%20preenchido%20pela%20Engenharia/VW000581Z_VW000582Z%20-%20Form.206.xlsx" TargetMode="External"/><Relationship Id="rId214" Type="http://schemas.openxmlformats.org/officeDocument/2006/relationships/ctrlProp" Target="../ctrlProps/ctrlProp145.xml"/><Relationship Id="rId235" Type="http://schemas.openxmlformats.org/officeDocument/2006/relationships/ctrlProp" Target="../ctrlProps/ctrlProp166.xml"/><Relationship Id="rId116" Type="http://schemas.openxmlformats.org/officeDocument/2006/relationships/ctrlProp" Target="../ctrlProps/ctrlProp47.xml"/><Relationship Id="rId137" Type="http://schemas.openxmlformats.org/officeDocument/2006/relationships/ctrlProp" Target="../ctrlProps/ctrlProp68.xml"/><Relationship Id="rId158" Type="http://schemas.openxmlformats.org/officeDocument/2006/relationships/ctrlProp" Target="../ctrlProps/ctrlProp89.xml"/><Relationship Id="rId20" Type="http://schemas.openxmlformats.org/officeDocument/2006/relationships/hyperlink" Target="file:///\\192.168.0.20\DEPARTAMENTOS\Engenharia\0.%20Kaizen%20Diadema\6.%202026\02%20Fevereiro\19%20-%20Redu&#231;&#227;o%20de%20refugo%20em%20rela&#231;&#227;o%20ao%20budget_Rodrigo%20Larrubia\19%20-%20Redu&#231;&#227;o%20de%20refugo%20em%20rela&#231;&#227;o%20ao%20budget%202026.xlsx" TargetMode="External"/><Relationship Id="rId41" Type="http://schemas.openxmlformats.org/officeDocument/2006/relationships/hyperlink" Target="file:///\\192.168.0.20\DEPARTAMENTOS\Engenharia\0.%20Kaizen%20Diadema\6.%202026\02%20Fevereiro\13%20-%20MB003537LB_MB003538LB%20-%20Bruno%20Manachini_Engenharia\13%20-%20KAIZEN%20-%20MB003537LB_MB003538LB_Rev00_Bruno%20Manachini.xlsx" TargetMode="External"/><Relationship Id="rId62" Type="http://schemas.openxmlformats.org/officeDocument/2006/relationships/hyperlink" Target="file:///\\192.168.0.20\departamentos\Engenharia\0.%20Kaizen%20Diadema\6.%202026\04%20Abril\54%20-%20Redu&#231;&#227;o%20com%20aluguel%20de%20cilindros_Eduardo%20Fajardo\54%20-%20Redu&#231;&#227;o%20com%20aluguel%20de%20cilindros_Eduardo%20Fajardo_REV00.xlsx" TargetMode="External"/><Relationship Id="rId83" Type="http://schemas.openxmlformats.org/officeDocument/2006/relationships/ctrlProp" Target="../ctrlProps/ctrlProp14.xml"/><Relationship Id="rId179" Type="http://schemas.openxmlformats.org/officeDocument/2006/relationships/ctrlProp" Target="../ctrlProps/ctrlProp110.xml"/><Relationship Id="rId190" Type="http://schemas.openxmlformats.org/officeDocument/2006/relationships/ctrlProp" Target="../ctrlProps/ctrlProp121.xml"/><Relationship Id="rId204" Type="http://schemas.openxmlformats.org/officeDocument/2006/relationships/ctrlProp" Target="../ctrlProps/ctrlProp135.xml"/><Relationship Id="rId225" Type="http://schemas.openxmlformats.org/officeDocument/2006/relationships/ctrlProp" Target="../ctrlProps/ctrlProp156.xml"/><Relationship Id="rId246" Type="http://schemas.openxmlformats.org/officeDocument/2006/relationships/ctrlProp" Target="../ctrlProps/ctrlProp177.xml"/><Relationship Id="rId106" Type="http://schemas.openxmlformats.org/officeDocument/2006/relationships/ctrlProp" Target="../ctrlProps/ctrlProp37.xml"/><Relationship Id="rId127" Type="http://schemas.openxmlformats.org/officeDocument/2006/relationships/ctrlProp" Target="../ctrlProps/ctrlProp58.xml"/><Relationship Id="rId10"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31" Type="http://schemas.openxmlformats.org/officeDocument/2006/relationships/hyperlink" Target="file:///\\192.168.0.20\DEPARTAMENTOS\Engenharia\0.%20Kaizen%20Diadema\6.%202026\03%20Mar&#231;o\35%20-%20SV001141LA%20-%20Bruno%20Manachini_Engenharia\35%20-%20KAIZEN%20-%20SV001141LA_Rev00_Bruno%20Manachini.xlsx" TargetMode="External"/><Relationship Id="rId52" Type="http://schemas.openxmlformats.org/officeDocument/2006/relationships/hyperlink" Target="file:///\\192.168.0.20\departamentos\Engenharia\0.%20Kaizen%20Diadema\6.%202026\04%20Abril\46%20-%20Redu&#231;&#227;o%20de%20MP%20-%20GM000408Z_409Z_Passo_Rev00_Thiago%20Cardoso\46%20-%20Redu&#231;&#227;o%20de%20MP%20-%20GM000408Z_409Z_Passo_Rev00_Thiago%20Cardoso.xlsx" TargetMode="External"/><Relationship Id="rId73" Type="http://schemas.openxmlformats.org/officeDocument/2006/relationships/ctrlProp" Target="../ctrlProps/ctrlProp4.xml"/><Relationship Id="rId94" Type="http://schemas.openxmlformats.org/officeDocument/2006/relationships/ctrlProp" Target="../ctrlProps/ctrlProp25.xml"/><Relationship Id="rId148" Type="http://schemas.openxmlformats.org/officeDocument/2006/relationships/ctrlProp" Target="../ctrlProps/ctrlProp79.xml"/><Relationship Id="rId169" Type="http://schemas.openxmlformats.org/officeDocument/2006/relationships/ctrlProp" Target="../ctrlProps/ctrlProp100.xml"/><Relationship Id="rId4" Type="http://schemas.openxmlformats.org/officeDocument/2006/relationships/hyperlink" Target="Evid%C3%AAncias%20Grupo%20Delga%202026/Evid%C3%AAncias%20Delga%20Diadema/00%20Evid%C3%AAncia%20An%C3%A1lise%20de%20Margem/00%20Form%20206%20preenchido%20pela%20Engenharia/VW000581Z_VW000582Z%20-%20Form.206.xlsx?web=1" TargetMode="External"/><Relationship Id="rId180" Type="http://schemas.openxmlformats.org/officeDocument/2006/relationships/ctrlProp" Target="../ctrlProps/ctrlProp111.xml"/><Relationship Id="rId215" Type="http://schemas.openxmlformats.org/officeDocument/2006/relationships/ctrlProp" Target="../ctrlProps/ctrlProp146.xml"/><Relationship Id="rId236" Type="http://schemas.openxmlformats.org/officeDocument/2006/relationships/ctrlProp" Target="../ctrlProps/ctrlProp167.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252.xml"/><Relationship Id="rId21" Type="http://schemas.openxmlformats.org/officeDocument/2006/relationships/hyperlink" Target="file:///\\192.168.5.20\Departamentos\TI\Projetos\Master%202026\06%20-%20Redu&#231;&#227;o%20consumo%20MTP%20aplicando%20toler&#226;ncia%20m&#237;nima\06%20-%20Projeto%20Jarinu.xlsx" TargetMode="External"/><Relationship Id="rId42" Type="http://schemas.openxmlformats.org/officeDocument/2006/relationships/hyperlink" Target="file:///\\192.168.5.20\Departamentos\TI\Projetos\Master%202026\32%20-%20Emplihadeiras%20El&#233;tricas\Planta%20Jarinu%20-%20A3%20Resumo%20de%20Projetos%20(Empilhadeira).xlsx" TargetMode="External"/><Relationship Id="rId63" Type="http://schemas.openxmlformats.org/officeDocument/2006/relationships/ctrlProp" Target="../ctrlProps/ctrlProp198.xml"/><Relationship Id="rId84" Type="http://schemas.openxmlformats.org/officeDocument/2006/relationships/ctrlProp" Target="../ctrlProps/ctrlProp219.xml"/><Relationship Id="rId138" Type="http://schemas.openxmlformats.org/officeDocument/2006/relationships/ctrlProp" Target="../ctrlProps/ctrlProp273.xml"/><Relationship Id="rId107" Type="http://schemas.openxmlformats.org/officeDocument/2006/relationships/ctrlProp" Target="../ctrlProps/ctrlProp242.xml"/><Relationship Id="rId11" Type="http://schemas.openxmlformats.org/officeDocument/2006/relationships/hyperlink" Target="../../../../:x:/s/GestoEstratgica/IQCZZWh_dlbwSZ00WysXllzQAXAUEBkpbWvdGQ9tryC5EmI?e=BHWUqC" TargetMode="External"/><Relationship Id="rId32" Type="http://schemas.openxmlformats.org/officeDocument/2006/relationships/hyperlink" Target="file:///\\192.168.5.20\Departamentos\TI\Projetos\Master%202026\27%20-%20Mean%20to-low%20Curva%20B\27%20-%20Mean%20to%20low%20curva%20B.xlsx" TargetMode="External"/><Relationship Id="rId53" Type="http://schemas.openxmlformats.org/officeDocument/2006/relationships/ctrlProp" Target="../ctrlProps/ctrlProp188.xml"/><Relationship Id="rId74" Type="http://schemas.openxmlformats.org/officeDocument/2006/relationships/ctrlProp" Target="../ctrlProps/ctrlProp209.xml"/><Relationship Id="rId128" Type="http://schemas.openxmlformats.org/officeDocument/2006/relationships/ctrlProp" Target="../ctrlProps/ctrlProp263.xml"/><Relationship Id="rId5" Type="http://schemas.openxmlformats.org/officeDocument/2006/relationships/hyperlink" Target="file:///\\192.168.5.20\Departamentos\TI\Projetos\Master%202026\08%20-%20Individualiza&#231;&#227;o%20de%20zonas%20de%20seguran&#231;a%20da%20m&#225;quina%20Baltec\Planta%20Jarinu-%20Gest&#227;o%20de%20Projetos%20-%20Individualiza&#231;&#227;o%20de%20zonas%20de%20seguran&#231;a.xlsx" TargetMode="External"/><Relationship Id="rId90" Type="http://schemas.openxmlformats.org/officeDocument/2006/relationships/ctrlProp" Target="../ctrlProps/ctrlProp225.xml"/><Relationship Id="rId95" Type="http://schemas.openxmlformats.org/officeDocument/2006/relationships/ctrlProp" Target="../ctrlProps/ctrlProp230.xml"/><Relationship Id="rId22" Type="http://schemas.openxmlformats.org/officeDocument/2006/relationships/hyperlink" Target="file:///\\192.168.5.20\Departamentos\TI\Projetos\Master%202026\20%20-%20Redu&#231;&#227;o%20do%20custos%20na%20aquisi&#231;&#227;o%20de%20FLAP\20%20-%20Redu&#231;&#227;o%20do%20custos%20na%20aquisi&#231;&#227;o%20de%20FLAP.xlsx" TargetMode="External"/><Relationship Id="rId27" Type="http://schemas.openxmlformats.org/officeDocument/2006/relationships/hyperlink" Target="file:///\\192.168.5.20\Departamentos\TI\Projetos\Master%202026\25%20-%20Redu&#231;&#227;o%20de%20consumo%20de%20MTP%20dos%20%20Redu&#231;&#227;o%20China%202%20porca%20(-10%20mm%20Slitter)\25%20-%20Redu&#231;&#227;o%20de%20consumo%20de%20MTP%20dos%20%20Redu&#231;&#227;o%20China%202.xlsx" TargetMode="External"/><Relationship Id="rId43" Type="http://schemas.openxmlformats.org/officeDocument/2006/relationships/hyperlink" Target="file:///\\192.168.5.20\Departamentos\TI\Projetos\Master%202026\36%20-%20Venda%20Robos\35%20-%20Venda%20Robos.xlsx" TargetMode="External"/><Relationship Id="rId48" Type="http://schemas.openxmlformats.org/officeDocument/2006/relationships/ctrlProp" Target="../ctrlProps/ctrlProp183.xml"/><Relationship Id="rId64" Type="http://schemas.openxmlformats.org/officeDocument/2006/relationships/ctrlProp" Target="../ctrlProps/ctrlProp199.xml"/><Relationship Id="rId69" Type="http://schemas.openxmlformats.org/officeDocument/2006/relationships/ctrlProp" Target="../ctrlProps/ctrlProp204.xml"/><Relationship Id="rId113" Type="http://schemas.openxmlformats.org/officeDocument/2006/relationships/ctrlProp" Target="../ctrlProps/ctrlProp248.xml"/><Relationship Id="rId118" Type="http://schemas.openxmlformats.org/officeDocument/2006/relationships/ctrlProp" Target="../ctrlProps/ctrlProp253.xml"/><Relationship Id="rId134" Type="http://schemas.openxmlformats.org/officeDocument/2006/relationships/ctrlProp" Target="../ctrlProps/ctrlProp269.xml"/><Relationship Id="rId139" Type="http://schemas.openxmlformats.org/officeDocument/2006/relationships/ctrlProp" Target="../ctrlProps/ctrlProp274.xml"/><Relationship Id="rId80" Type="http://schemas.openxmlformats.org/officeDocument/2006/relationships/ctrlProp" Target="../ctrlProps/ctrlProp215.xml"/><Relationship Id="rId85" Type="http://schemas.openxmlformats.org/officeDocument/2006/relationships/ctrlProp" Target="../ctrlProps/ctrlProp220.xml"/><Relationship Id="rId12" Type="http://schemas.openxmlformats.org/officeDocument/2006/relationships/hyperlink" Target="../../../../:x:/s/GestoEstratgica/IQBn8hlZ64AhRZD0h8gUvf_OAfSc9VI2aToYeGCj2hrFZ9M?e=Gn9fBq" TargetMode="External"/><Relationship Id="rId17" Type="http://schemas.openxmlformats.org/officeDocument/2006/relationships/hyperlink" Target="../../../../:x:/s/GestoEstratgica/IQCxHdtpvRoLQpNBPvRhXTM0AbB8D18zgOaSeCENHG1ASoY?e=PTA2pv" TargetMode="External"/><Relationship Id="rId33" Type="http://schemas.openxmlformats.org/officeDocument/2006/relationships/hyperlink" Target="file:///\\192.168.5.20\Departamentos\TI\Projetos\Master%202026\28%20-%20Mean%20to-low%20Curva%20C\28%20-%20Mean%20to%20low%20curva%20C.xlsx" TargetMode="External"/><Relationship Id="rId38" Type="http://schemas.openxmlformats.org/officeDocument/2006/relationships/hyperlink" Target="file:///\\192.168.5.20\Departamentos\TI\Projetos\Master%202026\34%20-%20Ilumina&#231;&#227;o%20Led\Planta%20Jarinu%20-%20A3%20Resumo%20de%20Projetos%20(Lampadas%20de%20Led).xlsx" TargetMode="External"/><Relationship Id="rId59" Type="http://schemas.openxmlformats.org/officeDocument/2006/relationships/ctrlProp" Target="../ctrlProps/ctrlProp194.xml"/><Relationship Id="rId103" Type="http://schemas.openxmlformats.org/officeDocument/2006/relationships/ctrlProp" Target="../ctrlProps/ctrlProp238.xml"/><Relationship Id="rId108" Type="http://schemas.openxmlformats.org/officeDocument/2006/relationships/ctrlProp" Target="../ctrlProps/ctrlProp243.xml"/><Relationship Id="rId124" Type="http://schemas.openxmlformats.org/officeDocument/2006/relationships/ctrlProp" Target="../ctrlProps/ctrlProp259.xml"/><Relationship Id="rId129" Type="http://schemas.openxmlformats.org/officeDocument/2006/relationships/ctrlProp" Target="../ctrlProps/ctrlProp264.xml"/><Relationship Id="rId54" Type="http://schemas.openxmlformats.org/officeDocument/2006/relationships/ctrlProp" Target="../ctrlProps/ctrlProp189.xml"/><Relationship Id="rId70" Type="http://schemas.openxmlformats.org/officeDocument/2006/relationships/ctrlProp" Target="../ctrlProps/ctrlProp205.xml"/><Relationship Id="rId75" Type="http://schemas.openxmlformats.org/officeDocument/2006/relationships/ctrlProp" Target="../ctrlProps/ctrlProp210.xml"/><Relationship Id="rId91" Type="http://schemas.openxmlformats.org/officeDocument/2006/relationships/ctrlProp" Target="../ctrlProps/ctrlProp226.xml"/><Relationship Id="rId96" Type="http://schemas.openxmlformats.org/officeDocument/2006/relationships/ctrlProp" Target="../ctrlProps/ctrlProp231.xml"/><Relationship Id="rId140" Type="http://schemas.openxmlformats.org/officeDocument/2006/relationships/ctrlProp" Target="../ctrlProps/ctrlProp275.xml"/><Relationship Id="rId145" Type="http://schemas.openxmlformats.org/officeDocument/2006/relationships/comments" Target="../comments2.xml"/><Relationship Id="rId1" Type="http://schemas.openxmlformats.org/officeDocument/2006/relationships/hyperlink" Target="file:///\\192.168.5.20\Departamentos\TI\Projetos\Master%202026\12%20-%20Aumento%20do%20OEE%20do%20equipamento%20ISGEC\OEE%20MUNDIAL%20ISGEC%20-%20Gest&#227;o%20de%20Projetos.xlsx" TargetMode="External"/><Relationship Id="rId6" Type="http://schemas.openxmlformats.org/officeDocument/2006/relationships/hyperlink" Target="file:///\\192.168.5.20\Departamentos\TI\Projetos\Master%202026\13%20-%20Redu&#231;&#227;o%20de%20consumo%20no%20passo%20do%20blank%20dos%20itens%20VW000954Z%20955Z\13%20-%20Projeto%20jarinu.XLS" TargetMode="External"/><Relationship Id="rId23" Type="http://schemas.openxmlformats.org/officeDocument/2006/relationships/hyperlink" Target="file:///\\192.168.5.20\Departamentos\TI\Projetos\Master%202026\21%20-%20Melhoria%20no%20fluxo%20do%20processo%20para%20redu&#231;&#227;o%20de%20MOD\21%20-%20Melhoria%20no%20fluxo%20do%20processo%20para%20redu&#231;&#227;o%20de%20MOD.xlsx" TargetMode="External"/><Relationship Id="rId28" Type="http://schemas.openxmlformats.org/officeDocument/2006/relationships/hyperlink" Target="file:///\\192.168.5.20\Departamentos\TI\Projetos\Master%202026\26%20-%20Redu&#231;&#227;o%20de%20gastos%20com%20HE\26%20-%20Redu&#231;&#227;o%20de%20gastos%20com%20HE.xlsx" TargetMode="External"/><Relationship Id="rId49" Type="http://schemas.openxmlformats.org/officeDocument/2006/relationships/ctrlProp" Target="../ctrlProps/ctrlProp184.xml"/><Relationship Id="rId114" Type="http://schemas.openxmlformats.org/officeDocument/2006/relationships/ctrlProp" Target="../ctrlProps/ctrlProp249.xml"/><Relationship Id="rId119" Type="http://schemas.openxmlformats.org/officeDocument/2006/relationships/ctrlProp" Target="../ctrlProps/ctrlProp254.xml"/><Relationship Id="rId44" Type="http://schemas.openxmlformats.org/officeDocument/2006/relationships/printerSettings" Target="../printerSettings/printerSettings3.bin"/><Relationship Id="rId60" Type="http://schemas.openxmlformats.org/officeDocument/2006/relationships/ctrlProp" Target="../ctrlProps/ctrlProp195.xml"/><Relationship Id="rId65" Type="http://schemas.openxmlformats.org/officeDocument/2006/relationships/ctrlProp" Target="../ctrlProps/ctrlProp200.xml"/><Relationship Id="rId81" Type="http://schemas.openxmlformats.org/officeDocument/2006/relationships/ctrlProp" Target="../ctrlProps/ctrlProp216.xml"/><Relationship Id="rId86" Type="http://schemas.openxmlformats.org/officeDocument/2006/relationships/ctrlProp" Target="../ctrlProps/ctrlProp221.xml"/><Relationship Id="rId130" Type="http://schemas.openxmlformats.org/officeDocument/2006/relationships/ctrlProp" Target="../ctrlProps/ctrlProp265.xml"/><Relationship Id="rId135" Type="http://schemas.openxmlformats.org/officeDocument/2006/relationships/ctrlProp" Target="../ctrlProps/ctrlProp270.xml"/><Relationship Id="rId13" Type="http://schemas.openxmlformats.org/officeDocument/2006/relationships/hyperlink" Target="../../../../:x:/s/GestoEstratgica/IQAgXFz4UgyPSZdVZDmQBljlAclGZpPwQ_dfWsHcylfWCbE?e=2WGM2M" TargetMode="External"/><Relationship Id="rId18" Type="http://schemas.openxmlformats.org/officeDocument/2006/relationships/hyperlink" Target="../../../../:x:/s/GestoEstratgica/IQCcI_E5grQSQJVCi_ogt63QATFIZRWROJwZTv4H47FYRP8?e=jGnqyN" TargetMode="External"/><Relationship Id="rId39" Type="http://schemas.openxmlformats.org/officeDocument/2006/relationships/hyperlink" Target="file:///\\192.168.5.20\Departamentos\TI\Projetos\Master%202026\30%20-%20Redu&#231;&#227;o%20de%20impressora%20Backup\30%20-%20Projeto%20Jarinu.xlsx" TargetMode="External"/><Relationship Id="rId109" Type="http://schemas.openxmlformats.org/officeDocument/2006/relationships/ctrlProp" Target="../ctrlProps/ctrlProp244.xml"/><Relationship Id="rId34" Type="http://schemas.openxmlformats.org/officeDocument/2006/relationships/hyperlink" Target="file:///\\192.168.5.20\Departamentos\TI\Projetos\Master%202026\02%20-%20Aumentar%20a%20produtividade%20da%20estamparia%20atraves%20da%20implementa&#231;&#227;o%20lote%20econ&#244;mico%20e%20multiplos%20de%20MTP\A3%20Aumento%20de%20Produtividade%20por%20Implementa&#231;&#227;o%20de%20Lote%20Econ&#244;mico%20e%20Padroniza&#231;&#227;o%20de%20Embalagens.xlsx" TargetMode="External"/><Relationship Id="rId50" Type="http://schemas.openxmlformats.org/officeDocument/2006/relationships/ctrlProp" Target="../ctrlProps/ctrlProp185.xml"/><Relationship Id="rId55" Type="http://schemas.openxmlformats.org/officeDocument/2006/relationships/ctrlProp" Target="../ctrlProps/ctrlProp190.xml"/><Relationship Id="rId76" Type="http://schemas.openxmlformats.org/officeDocument/2006/relationships/ctrlProp" Target="../ctrlProps/ctrlProp211.xml"/><Relationship Id="rId97" Type="http://schemas.openxmlformats.org/officeDocument/2006/relationships/ctrlProp" Target="../ctrlProps/ctrlProp232.xml"/><Relationship Id="rId104" Type="http://schemas.openxmlformats.org/officeDocument/2006/relationships/ctrlProp" Target="../ctrlProps/ctrlProp239.xml"/><Relationship Id="rId120" Type="http://schemas.openxmlformats.org/officeDocument/2006/relationships/ctrlProp" Target="../ctrlProps/ctrlProp255.xml"/><Relationship Id="rId125" Type="http://schemas.openxmlformats.org/officeDocument/2006/relationships/ctrlProp" Target="../ctrlProps/ctrlProp260.xml"/><Relationship Id="rId141" Type="http://schemas.openxmlformats.org/officeDocument/2006/relationships/ctrlProp" Target="../ctrlProps/ctrlProp276.xml"/><Relationship Id="rId146" Type="http://schemas.microsoft.com/office/2017/10/relationships/threadedComment" Target="../threadedComments/threadedComment2.xml"/><Relationship Id="rId7" Type="http://schemas.openxmlformats.org/officeDocument/2006/relationships/hyperlink" Target="file:///\\192.168.5.20\Departamentos\TI\Projetos\Master%202026\14%20-%20Redu&#231;&#227;o%20de%20consumo%20no%20passo%20do%20blank%20dos%20itens%20VW000950AA%20951AA\14%20-%20Redu&#231;&#227;o%20de%20consumo%20no%20passo%20%20VW000950AA%20951AA.xlsx" TargetMode="External"/><Relationship Id="rId71" Type="http://schemas.openxmlformats.org/officeDocument/2006/relationships/ctrlProp" Target="../ctrlProps/ctrlProp206.xml"/><Relationship Id="rId92" Type="http://schemas.openxmlformats.org/officeDocument/2006/relationships/ctrlProp" Target="../ctrlProps/ctrlProp227.xml"/><Relationship Id="rId2" Type="http://schemas.openxmlformats.org/officeDocument/2006/relationships/hyperlink" Target="file:///\\192.168.5.20\Departamentos\TI\Projetos\Master%202026\03%20-%20Redu&#231;&#227;o%20de%20consumo%20de%20MP%20dos%20blanks%20com%20a%20t&#233;cnica%20de%20corte%20Wave\Planta%20Melhoria%20Blank%20Wave%20-%20Gest&#227;o%20de%20Projetos.xlsx" TargetMode="External"/><Relationship Id="rId29" Type="http://schemas.openxmlformats.org/officeDocument/2006/relationships/hyperlink" Target="file:///\\192.168.5.20\Departamentos\TI\Projetos\Master%202026\06%20-%20Redu&#231;&#227;o%20consumo%20MTP%20aplicando%20toler&#226;ncia%20m&#237;nima\06%20-%20Projeto%20Jarinu.xlsx" TargetMode="External"/><Relationship Id="rId24" Type="http://schemas.openxmlformats.org/officeDocument/2006/relationships/hyperlink" Target="file:///\\192.168.5.20\Departamentos\TI\Projetos\Master%202026\22%20-%20Melhoria%20no%20fluxo%20de%20processo%20para%20redu&#231;&#227;o%20de%20MOD\22%20-%20Melhoria%20no%20fluxo%20de%20processo%20para%20redu&#231;&#227;o%20de%20MOD.xlsx" TargetMode="External"/><Relationship Id="rId40" Type="http://schemas.openxmlformats.org/officeDocument/2006/relationships/hyperlink" Target="file:///\\192.168.5.20\Departamentos\TI\Projetos\Master%202026\30%20-%20Redu&#231;&#227;o%20de%20impressora%20Backup\30%20-%20Projeto%20Jarinu.xlsx" TargetMode="External"/><Relationship Id="rId45" Type="http://schemas.openxmlformats.org/officeDocument/2006/relationships/drawing" Target="../drawings/drawing3.xml"/><Relationship Id="rId66" Type="http://schemas.openxmlformats.org/officeDocument/2006/relationships/ctrlProp" Target="../ctrlProps/ctrlProp201.xml"/><Relationship Id="rId87" Type="http://schemas.openxmlformats.org/officeDocument/2006/relationships/ctrlProp" Target="../ctrlProps/ctrlProp222.xml"/><Relationship Id="rId110" Type="http://schemas.openxmlformats.org/officeDocument/2006/relationships/ctrlProp" Target="../ctrlProps/ctrlProp245.xml"/><Relationship Id="rId115" Type="http://schemas.openxmlformats.org/officeDocument/2006/relationships/ctrlProp" Target="../ctrlProps/ctrlProp250.xml"/><Relationship Id="rId131" Type="http://schemas.openxmlformats.org/officeDocument/2006/relationships/ctrlProp" Target="../ctrlProps/ctrlProp266.xml"/><Relationship Id="rId136" Type="http://schemas.openxmlformats.org/officeDocument/2006/relationships/ctrlProp" Target="../ctrlProps/ctrlProp271.xml"/><Relationship Id="rId61" Type="http://schemas.openxmlformats.org/officeDocument/2006/relationships/ctrlProp" Target="../ctrlProps/ctrlProp196.xml"/><Relationship Id="rId82" Type="http://schemas.openxmlformats.org/officeDocument/2006/relationships/ctrlProp" Target="../ctrlProps/ctrlProp217.xml"/><Relationship Id="rId19" Type="http://schemas.openxmlformats.org/officeDocument/2006/relationships/hyperlink" Target="../../../../:x:/s/GestoEstratgica/IQCK4C6k6wB6SaQGwEvYrCtlAbuboCzP0OKN1KmZPhV5kPk?e=l6pgg7" TargetMode="External"/><Relationship Id="rId14" Type="http://schemas.openxmlformats.org/officeDocument/2006/relationships/hyperlink" Target="../../../../:x:/s/GestoEstratgica/IQADqwFlDmQcRJjd6Rvrjie2ASaUmv9t6gqJyYpuTitVIZs?e=chRsbz" TargetMode="External"/><Relationship Id="rId30" Type="http://schemas.openxmlformats.org/officeDocument/2006/relationships/hyperlink" Target="file:///\\192.168.5.20\Departamentos\TI\Projetos\Master%202026\05-%20Aplicar%20borda%20aparada%20nas%20bobinas\05%20-%20Aplica&#231;&#227;o%20de%20bordas%20aparadas.xlsx" TargetMode="External"/><Relationship Id="rId35" Type="http://schemas.openxmlformats.org/officeDocument/2006/relationships/hyperlink" Target="file:///\\192.168.5.20\Departamentos\TI\Projetos\Master%202026\29%20-%20Redu&#231;&#227;o%20de%20consumo%20de%20MTP%20no%20passo%20do%20Blank%20do%20item%20VW000942AB943AB%20(Passo%20-5%20)\29%20-%20Projeto%20Jarinu.xlsx" TargetMode="External"/><Relationship Id="rId56" Type="http://schemas.openxmlformats.org/officeDocument/2006/relationships/ctrlProp" Target="../ctrlProps/ctrlProp191.xml"/><Relationship Id="rId77" Type="http://schemas.openxmlformats.org/officeDocument/2006/relationships/ctrlProp" Target="../ctrlProps/ctrlProp212.xml"/><Relationship Id="rId100" Type="http://schemas.openxmlformats.org/officeDocument/2006/relationships/ctrlProp" Target="../ctrlProps/ctrlProp235.xml"/><Relationship Id="rId105" Type="http://schemas.openxmlformats.org/officeDocument/2006/relationships/ctrlProp" Target="../ctrlProps/ctrlProp240.xml"/><Relationship Id="rId126" Type="http://schemas.openxmlformats.org/officeDocument/2006/relationships/ctrlProp" Target="../ctrlProps/ctrlProp261.xml"/><Relationship Id="rId8" Type="http://schemas.openxmlformats.org/officeDocument/2006/relationships/hyperlink" Target="file:///\\192.168.5.20\Departamentos\TI\Projetos\Master%202026\15%20-%20Redu&#231;&#227;o%20de%20consumo%20no%20slitter%20dos%20itens%20VW000950AA%20951AA\15%20-%20Projeto%20Jarinu.xlsx" TargetMode="External"/><Relationship Id="rId51" Type="http://schemas.openxmlformats.org/officeDocument/2006/relationships/ctrlProp" Target="../ctrlProps/ctrlProp186.xml"/><Relationship Id="rId72" Type="http://schemas.openxmlformats.org/officeDocument/2006/relationships/ctrlProp" Target="../ctrlProps/ctrlProp207.xml"/><Relationship Id="rId93" Type="http://schemas.openxmlformats.org/officeDocument/2006/relationships/ctrlProp" Target="../ctrlProps/ctrlProp228.xml"/><Relationship Id="rId98" Type="http://schemas.openxmlformats.org/officeDocument/2006/relationships/ctrlProp" Target="../ctrlProps/ctrlProp233.xml"/><Relationship Id="rId121" Type="http://schemas.openxmlformats.org/officeDocument/2006/relationships/ctrlProp" Target="../ctrlProps/ctrlProp256.xml"/><Relationship Id="rId142" Type="http://schemas.openxmlformats.org/officeDocument/2006/relationships/ctrlProp" Target="../ctrlProps/ctrlProp277.xml"/><Relationship Id="rId3" Type="http://schemas.openxmlformats.org/officeDocument/2006/relationships/hyperlink" Target="file:///\\192.168.5.20\Departamentos\TI\Projetos\Master%202026\04%20-%20Redu&#231;&#227;o%20da%20largura%20dos%20slitters\04%20-%20Redu&#231;&#227;o%20da%20largura%20dos%20slitters.xlsx" TargetMode="External"/><Relationship Id="rId25" Type="http://schemas.openxmlformats.org/officeDocument/2006/relationships/hyperlink" Target="file:///\\192.168.5.20\Departamentos\TI\Projetos\Master%202026\23%20-%20Piloto%20MTP%20VW000938AB%20(-%203%20mm%20no%20passo)\23%20-%20Piloto%20MTP%20VW000938AB%20(-%203%20mm%20no%20passo).xlsx" TargetMode="External"/><Relationship Id="rId46" Type="http://schemas.openxmlformats.org/officeDocument/2006/relationships/vmlDrawing" Target="../drawings/vmlDrawing2.vml"/><Relationship Id="rId67" Type="http://schemas.openxmlformats.org/officeDocument/2006/relationships/ctrlProp" Target="../ctrlProps/ctrlProp202.xml"/><Relationship Id="rId116" Type="http://schemas.openxmlformats.org/officeDocument/2006/relationships/ctrlProp" Target="../ctrlProps/ctrlProp251.xml"/><Relationship Id="rId137" Type="http://schemas.openxmlformats.org/officeDocument/2006/relationships/ctrlProp" Target="../ctrlProps/ctrlProp272.xml"/><Relationship Id="rId20" Type="http://schemas.openxmlformats.org/officeDocument/2006/relationships/hyperlink" Target="file:///\\192.168.5.20\Departamentos\TI\Projetos\Master%202026\01%20-%20Desenvolver%20c&#233;lula%20de%20solda%20para%20soldar%20porcas\01%20-%20Desenvolver%20c&#233;lula%20de%20solda%20para%20soldar%20porcas.xlsx" TargetMode="External"/><Relationship Id="rId41" Type="http://schemas.openxmlformats.org/officeDocument/2006/relationships/hyperlink" Target="file:///\\192.168.5.20\Departamentos\TI\Projetos\Master%202026\30%20-%20Redu&#231;&#227;o%20de%20Refugo\Kaizen%20XXX-%20poposta%20redu&#231;&#227;o%20de%20custos%20com%20ensaios%20destrutivos..xlsx" TargetMode="External"/><Relationship Id="rId62" Type="http://schemas.openxmlformats.org/officeDocument/2006/relationships/ctrlProp" Target="../ctrlProps/ctrlProp197.xml"/><Relationship Id="rId83" Type="http://schemas.openxmlformats.org/officeDocument/2006/relationships/ctrlProp" Target="../ctrlProps/ctrlProp218.xml"/><Relationship Id="rId88" Type="http://schemas.openxmlformats.org/officeDocument/2006/relationships/ctrlProp" Target="../ctrlProps/ctrlProp223.xml"/><Relationship Id="rId111" Type="http://schemas.openxmlformats.org/officeDocument/2006/relationships/ctrlProp" Target="../ctrlProps/ctrlProp246.xml"/><Relationship Id="rId132" Type="http://schemas.openxmlformats.org/officeDocument/2006/relationships/ctrlProp" Target="../ctrlProps/ctrlProp267.xml"/><Relationship Id="rId15" Type="http://schemas.openxmlformats.org/officeDocument/2006/relationships/hyperlink" Target="../../../../:x:/s/GestoEstratgica/IQCbWO9lb4DWRoTVi8hP8S3jARAq5TNk-GpwUxG0g6vk-d4?e=18HHjC" TargetMode="External"/><Relationship Id="rId36" Type="http://schemas.openxmlformats.org/officeDocument/2006/relationships/hyperlink" Target="file:///\\192.168.5.20\Departamentos\TI\Projetos\Master%202026\31%20-%20Redu&#231;&#227;o%20de%20Refugo\Kaizen%20XXX-%20poposta%20redu&#231;&#227;o%20de%20custos%20com%20ensaios%20destrutivos..xlsx" TargetMode="External"/><Relationship Id="rId57" Type="http://schemas.openxmlformats.org/officeDocument/2006/relationships/ctrlProp" Target="../ctrlProps/ctrlProp192.xml"/><Relationship Id="rId106" Type="http://schemas.openxmlformats.org/officeDocument/2006/relationships/ctrlProp" Target="../ctrlProps/ctrlProp241.xml"/><Relationship Id="rId127" Type="http://schemas.openxmlformats.org/officeDocument/2006/relationships/ctrlProp" Target="../ctrlProps/ctrlProp262.xml"/><Relationship Id="rId10" Type="http://schemas.openxmlformats.org/officeDocument/2006/relationships/hyperlink" Target="../../../../:x:/s/GestoEstratgica/IQA6tdhbQYLeSr7IRm6LtyO0AeKvFg36YOmstOTPwIEELgc?e=XcwNhe" TargetMode="External"/><Relationship Id="rId31" Type="http://schemas.openxmlformats.org/officeDocument/2006/relationships/hyperlink" Target="Controles%20VA" TargetMode="External"/><Relationship Id="rId52" Type="http://schemas.openxmlformats.org/officeDocument/2006/relationships/ctrlProp" Target="../ctrlProps/ctrlProp187.xml"/><Relationship Id="rId73" Type="http://schemas.openxmlformats.org/officeDocument/2006/relationships/ctrlProp" Target="../ctrlProps/ctrlProp208.xml"/><Relationship Id="rId78" Type="http://schemas.openxmlformats.org/officeDocument/2006/relationships/ctrlProp" Target="../ctrlProps/ctrlProp213.xml"/><Relationship Id="rId94" Type="http://schemas.openxmlformats.org/officeDocument/2006/relationships/ctrlProp" Target="../ctrlProps/ctrlProp229.xml"/><Relationship Id="rId99" Type="http://schemas.openxmlformats.org/officeDocument/2006/relationships/ctrlProp" Target="../ctrlProps/ctrlProp234.xml"/><Relationship Id="rId101" Type="http://schemas.openxmlformats.org/officeDocument/2006/relationships/ctrlProp" Target="../ctrlProps/ctrlProp236.xml"/><Relationship Id="rId122" Type="http://schemas.openxmlformats.org/officeDocument/2006/relationships/ctrlProp" Target="../ctrlProps/ctrlProp257.xml"/><Relationship Id="rId143" Type="http://schemas.openxmlformats.org/officeDocument/2006/relationships/ctrlProp" Target="../ctrlProps/ctrlProp278.xml"/><Relationship Id="rId4" Type="http://schemas.openxmlformats.org/officeDocument/2006/relationships/hyperlink" Target="file:///\\192.168.5.20\Departamentos\TI\Projetos\Master%202026\07%20-%20Balanceamento%20de%20carga%20m&#225;quina%20entre%20a%20prensa%20Gutmnan%20e%20Minster\07%20-%20Balanceamento%20de%20carga%20m&#225;quina%20entre%20a%20prensa%20Gutmnan%20e%20Minster.xlsx" TargetMode="External"/><Relationship Id="rId9" Type="http://schemas.openxmlformats.org/officeDocument/2006/relationships/hyperlink" Target="file:///\\192.168.5.20\Departamentos\TI\Projetos\Master%202026\19%20-%20Redu&#231;&#227;o%20da%20largura%20da%20bobina%20m&#227;e%20do%20Curv&#227;o\19%20-%20Redu&#231;&#227;o%20da%20largura%20da%20bobina%20m&#227;e%20do%20Curv&#227;o.xlsx" TargetMode="External"/><Relationship Id="rId26" Type="http://schemas.openxmlformats.org/officeDocument/2006/relationships/hyperlink" Target="file:///\\192.168.5.20\Departamentos\TI\Projetos\Master%202026\24%20-%20Redu&#231;&#227;o%20de%20consumo%20de%20MTP%20dos%20%20Redu&#231;&#227;o%20China%201%20porca%20(-10%20mm%20Slitter)\24%20-%20Redu&#231;&#227;o%20de%20consumo%20de%20MTP%20dos%20%20Redu&#231;&#227;o%20China%201%20por.xlsx" TargetMode="External"/><Relationship Id="rId47" Type="http://schemas.openxmlformats.org/officeDocument/2006/relationships/ctrlProp" Target="../ctrlProps/ctrlProp182.xml"/><Relationship Id="rId68" Type="http://schemas.openxmlformats.org/officeDocument/2006/relationships/ctrlProp" Target="../ctrlProps/ctrlProp203.xml"/><Relationship Id="rId89" Type="http://schemas.openxmlformats.org/officeDocument/2006/relationships/ctrlProp" Target="../ctrlProps/ctrlProp224.xml"/><Relationship Id="rId112" Type="http://schemas.openxmlformats.org/officeDocument/2006/relationships/ctrlProp" Target="../ctrlProps/ctrlProp247.xml"/><Relationship Id="rId133" Type="http://schemas.openxmlformats.org/officeDocument/2006/relationships/ctrlProp" Target="../ctrlProps/ctrlProp268.xml"/><Relationship Id="rId16" Type="http://schemas.openxmlformats.org/officeDocument/2006/relationships/hyperlink" Target="../../../../:x:/s/GestoEstratgica/IQDGf1rvFT7gQ6if6BKlruawARtQ8pciR28V8b2c3d_WpzE?e=0KXSXH" TargetMode="External"/><Relationship Id="rId37" Type="http://schemas.openxmlformats.org/officeDocument/2006/relationships/hyperlink" Target="../../../../:x:/s/GestoEstratgica/IQDSbR9Pl4kfS45vLq-6zo_PARaJEsXRfhE80Cy5S5j9KS0?e=9u5dIG" TargetMode="External"/><Relationship Id="rId58" Type="http://schemas.openxmlformats.org/officeDocument/2006/relationships/ctrlProp" Target="../ctrlProps/ctrlProp193.xml"/><Relationship Id="rId79" Type="http://schemas.openxmlformats.org/officeDocument/2006/relationships/ctrlProp" Target="../ctrlProps/ctrlProp214.xml"/><Relationship Id="rId102" Type="http://schemas.openxmlformats.org/officeDocument/2006/relationships/ctrlProp" Target="../ctrlProps/ctrlProp237.xml"/><Relationship Id="rId123" Type="http://schemas.openxmlformats.org/officeDocument/2006/relationships/ctrlProp" Target="../ctrlProps/ctrlProp258.xml"/><Relationship Id="rId14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6" Type="http://schemas.openxmlformats.org/officeDocument/2006/relationships/hyperlink" Target="file:///\\dfsrvfile01\Departamentos\Engenharia\02.%20Engenharia%20de%20Processo\02%20-%20Projetos\05%20-%20Projetos%20estrat&#233;gicos\20%20-%20Limpador%20de%20grelha\KAIZEN%20XX%20-%20A3_LIMPADOR%20DE%20GRELHA.xlsx" TargetMode="External"/><Relationship Id="rId117" Type="http://schemas.openxmlformats.org/officeDocument/2006/relationships/ctrlProp" Target="../ctrlProps/ctrlProp363.xml"/><Relationship Id="rId21" Type="http://schemas.openxmlformats.org/officeDocument/2006/relationships/hyperlink" Target="file:///\\dfsrvfile01\Departamentos\Engenharia\02.%20Engenharia%20de%20Processo\02%20-%20Projetos\05%20-%20Projetos%20estrat&#233;gicos\12%20-%20Sistema%20hidr&#225;ulico%203500T\KAIZEN%20XX%20-%20A3_SISTEMA%20HIDR&#193;ULICO_3500.xlsx" TargetMode="External"/><Relationship Id="rId42" Type="http://schemas.openxmlformats.org/officeDocument/2006/relationships/ctrlProp" Target="../ctrlProps/ctrlProp288.xml"/><Relationship Id="rId47" Type="http://schemas.openxmlformats.org/officeDocument/2006/relationships/ctrlProp" Target="../ctrlProps/ctrlProp293.xml"/><Relationship Id="rId63" Type="http://schemas.openxmlformats.org/officeDocument/2006/relationships/ctrlProp" Target="../ctrlProps/ctrlProp309.xml"/><Relationship Id="rId68" Type="http://schemas.openxmlformats.org/officeDocument/2006/relationships/ctrlProp" Target="../ctrlProps/ctrlProp314.xml"/><Relationship Id="rId84" Type="http://schemas.openxmlformats.org/officeDocument/2006/relationships/ctrlProp" Target="../ctrlProps/ctrlProp330.xml"/><Relationship Id="rId89" Type="http://schemas.openxmlformats.org/officeDocument/2006/relationships/ctrlProp" Target="../ctrlProps/ctrlProp335.xml"/><Relationship Id="rId112" Type="http://schemas.openxmlformats.org/officeDocument/2006/relationships/ctrlProp" Target="../ctrlProps/ctrlProp358.xml"/><Relationship Id="rId16" Type="http://schemas.openxmlformats.org/officeDocument/2006/relationships/hyperlink" Target="file:///\\dfsrvfile01\Departamentos\Engenharia\02.%20Engenharia%20de%20Processo\02%20-%20Projetos\05%20-%20Projetos%20estrat&#233;gicos\05%20-%20Nitrog&#234;nio%20da%20m&#225;quina%20laser\KAIZEN%20XX%20-%20A3_NITROGENIO%20LASER" TargetMode="External"/><Relationship Id="rId107" Type="http://schemas.openxmlformats.org/officeDocument/2006/relationships/ctrlProp" Target="../ctrlProps/ctrlProp353.xml"/><Relationship Id="rId11" Type="http://schemas.openxmlformats.org/officeDocument/2006/relationships/hyperlink" Target="../../../../:f:/s/GestoEstratgica/IgBqjJbGolRbSZkhv_Zw-DZnAe0bIqufQekON8m5uSw6vVs?e=8TpJQe" TargetMode="External"/><Relationship Id="rId32" Type="http://schemas.openxmlformats.org/officeDocument/2006/relationships/vmlDrawing" Target="../drawings/vmlDrawing3.vml"/><Relationship Id="rId37" Type="http://schemas.openxmlformats.org/officeDocument/2006/relationships/ctrlProp" Target="../ctrlProps/ctrlProp283.xml"/><Relationship Id="rId53" Type="http://schemas.openxmlformats.org/officeDocument/2006/relationships/ctrlProp" Target="../ctrlProps/ctrlProp299.xml"/><Relationship Id="rId58" Type="http://schemas.openxmlformats.org/officeDocument/2006/relationships/ctrlProp" Target="../ctrlProps/ctrlProp304.xml"/><Relationship Id="rId74" Type="http://schemas.openxmlformats.org/officeDocument/2006/relationships/ctrlProp" Target="../ctrlProps/ctrlProp320.xml"/><Relationship Id="rId79" Type="http://schemas.openxmlformats.org/officeDocument/2006/relationships/ctrlProp" Target="../ctrlProps/ctrlProp325.xml"/><Relationship Id="rId102" Type="http://schemas.openxmlformats.org/officeDocument/2006/relationships/ctrlProp" Target="../ctrlProps/ctrlProp348.xml"/><Relationship Id="rId123" Type="http://schemas.openxmlformats.org/officeDocument/2006/relationships/table" Target="../tables/table3.xml"/><Relationship Id="rId5" Type="http://schemas.openxmlformats.org/officeDocument/2006/relationships/hyperlink" Target="../../../../:f:/s/GestoEstratgica/IgAoKApAubMDTpWhZ45LlQjZAVlI3CygFAtITkUKt1Cz0rk?e=E4KrOz" TargetMode="External"/><Relationship Id="rId90" Type="http://schemas.openxmlformats.org/officeDocument/2006/relationships/ctrlProp" Target="../ctrlProps/ctrlProp336.xml"/><Relationship Id="rId95" Type="http://schemas.openxmlformats.org/officeDocument/2006/relationships/ctrlProp" Target="../ctrlProps/ctrlProp341.xml"/><Relationship Id="rId22" Type="http://schemas.openxmlformats.org/officeDocument/2006/relationships/hyperlink" Target="file:///\\dfsrvfile01\Departamentos\Engenharia\02.%20Engenharia%20de%20Processo\02%20-%20Projetos\05%20-%20Projetos%20estrat&#233;gicos\13%20-%20Transfer&#234;ncia%20Hasenclaver%20para%20o%20plasma\KAIZEN%20XX%20-%20A3_TRANSFER&#202;NCIA_HASENCLAVER_PLASMA.xlsx" TargetMode="External"/><Relationship Id="rId27" Type="http://schemas.openxmlformats.org/officeDocument/2006/relationships/hyperlink" Target="file:///\\dfsrvfile01\rede_geral\Deptos\Engenharia\02.%20Engenharia%20de%20Processo\02%20-%20Projetos\05%20-%20Projetos%20estrat&#233;gicos\16%20-%20Toler&#226;ncia%20das%20MP's\KAIZEN_A3%20-%20Toler&#226;ncia%20MP%20-%20BOQ1225BA1250.xlsx" TargetMode="External"/><Relationship Id="rId43" Type="http://schemas.openxmlformats.org/officeDocument/2006/relationships/ctrlProp" Target="../ctrlProps/ctrlProp289.xml"/><Relationship Id="rId48" Type="http://schemas.openxmlformats.org/officeDocument/2006/relationships/ctrlProp" Target="../ctrlProps/ctrlProp294.xml"/><Relationship Id="rId64" Type="http://schemas.openxmlformats.org/officeDocument/2006/relationships/ctrlProp" Target="../ctrlProps/ctrlProp310.xml"/><Relationship Id="rId69" Type="http://schemas.openxmlformats.org/officeDocument/2006/relationships/ctrlProp" Target="../ctrlProps/ctrlProp315.xml"/><Relationship Id="rId113" Type="http://schemas.openxmlformats.org/officeDocument/2006/relationships/ctrlProp" Target="../ctrlProps/ctrlProp359.xml"/><Relationship Id="rId118" Type="http://schemas.openxmlformats.org/officeDocument/2006/relationships/ctrlProp" Target="../ctrlProps/ctrlProp364.xml"/><Relationship Id="rId80" Type="http://schemas.openxmlformats.org/officeDocument/2006/relationships/ctrlProp" Target="../ctrlProps/ctrlProp326.xml"/><Relationship Id="rId85" Type="http://schemas.openxmlformats.org/officeDocument/2006/relationships/ctrlProp" Target="../ctrlProps/ctrlProp331.xml"/><Relationship Id="rId12" Type="http://schemas.openxmlformats.org/officeDocument/2006/relationships/hyperlink" Target="file:///\\dfsrvfile01\Departamentos\Engenharia\02.%20Engenharia%20de%20Processo\02%20-%20Projetos\05%20-%20Projetos%20estrat&#233;gicos\01%20-%20Clientes%20com%20baixa%20margem%20de%20contribui&#231;&#227;o\PROJETO%20-%20CLIENTES%20COM%20BAIXA%20MARGEM%20DE%20CONTRIBUI&#199;&#195;O.xlsx" TargetMode="External"/><Relationship Id="rId17" Type="http://schemas.openxmlformats.org/officeDocument/2006/relationships/hyperlink" Target="file:///\\dfsrvfile01\Departamentos\Engenharia\02.%20Engenharia%20de%20Processo\02%20-%20Projetos\05%20-%20Projetos%20estrat&#233;gicos\06%20-%20Reaproveitamento%20de%20lixas\Planta%20Ferraz%20-%20Projeto%20de%20Redu&#231;&#227;o%20de%20Custos%20-%20Lixas%20-%20%202026.xlsx" TargetMode="External"/><Relationship Id="rId33" Type="http://schemas.openxmlformats.org/officeDocument/2006/relationships/ctrlProp" Target="../ctrlProps/ctrlProp279.xml"/><Relationship Id="rId38" Type="http://schemas.openxmlformats.org/officeDocument/2006/relationships/ctrlProp" Target="../ctrlProps/ctrlProp284.xml"/><Relationship Id="rId59" Type="http://schemas.openxmlformats.org/officeDocument/2006/relationships/ctrlProp" Target="../ctrlProps/ctrlProp305.xml"/><Relationship Id="rId103" Type="http://schemas.openxmlformats.org/officeDocument/2006/relationships/ctrlProp" Target="../ctrlProps/ctrlProp349.xml"/><Relationship Id="rId108" Type="http://schemas.openxmlformats.org/officeDocument/2006/relationships/ctrlProp" Target="../ctrlProps/ctrlProp354.xml"/><Relationship Id="rId124" Type="http://schemas.openxmlformats.org/officeDocument/2006/relationships/comments" Target="../comments3.xml"/><Relationship Id="rId54" Type="http://schemas.openxmlformats.org/officeDocument/2006/relationships/ctrlProp" Target="../ctrlProps/ctrlProp300.xml"/><Relationship Id="rId70" Type="http://schemas.openxmlformats.org/officeDocument/2006/relationships/ctrlProp" Target="../ctrlProps/ctrlProp316.xml"/><Relationship Id="rId75" Type="http://schemas.openxmlformats.org/officeDocument/2006/relationships/ctrlProp" Target="../ctrlProps/ctrlProp321.xml"/><Relationship Id="rId91" Type="http://schemas.openxmlformats.org/officeDocument/2006/relationships/ctrlProp" Target="../ctrlProps/ctrlProp337.xml"/><Relationship Id="rId96" Type="http://schemas.openxmlformats.org/officeDocument/2006/relationships/ctrlProp" Target="../ctrlProps/ctrlProp342.xml"/><Relationship Id="rId1" Type="http://schemas.openxmlformats.org/officeDocument/2006/relationships/hyperlink" Target="../../../../:f:/s/GestoEstratgica/IgCMg20ROaSQSaHlzStJoo_7AZZ5Qp-fY-MpP6bI78tuMZY?e=kVCRT5" TargetMode="External"/><Relationship Id="rId6" Type="http://schemas.openxmlformats.org/officeDocument/2006/relationships/hyperlink" Target="../../../../:f:/s/GestoEstratgica/IgBExXIYQ7mfQIKLLvp3uL0XAZHvW2H7jUJfdOYwQHAvxHE?e=PlYzHx" TargetMode="External"/><Relationship Id="rId23" Type="http://schemas.openxmlformats.org/officeDocument/2006/relationships/hyperlink" Target="file:///\\dfsrvfile01\Departamentos\Engenharia\02.%20Engenharia%20de%20Processo\02%20-%20Projetos\05%20-%20Projetos%20estrat&#233;gicos\14%20-%20Consumo%20de%20EPI's\Planta%20Ferraz%20-%20Projeto%20de%20Redu&#231;&#227;o%20de%20Custos%20-%20EPIS%20-%20%202026%20rev%2001.xlsx" TargetMode="External"/><Relationship Id="rId28" Type="http://schemas.openxmlformats.org/officeDocument/2006/relationships/hyperlink" Target="file:///\\dfsrvfile01\Departamentos\Engenharia\02.%20Engenharia%20de%20Processo\02%20-%20Projetos\05%20-%20Projetos%20estrat&#233;gicos\03%20-%20Consumo%20de%20desmoldante\KAIZEN%2036%20-%20A3_R&#201;GUA%20COM%20BICO%20PULVERIZADOR%20-%20DESMOLDANTE%20-%202000T" TargetMode="External"/><Relationship Id="rId49" Type="http://schemas.openxmlformats.org/officeDocument/2006/relationships/ctrlProp" Target="../ctrlProps/ctrlProp295.xml"/><Relationship Id="rId114" Type="http://schemas.openxmlformats.org/officeDocument/2006/relationships/ctrlProp" Target="../ctrlProps/ctrlProp360.xml"/><Relationship Id="rId119" Type="http://schemas.openxmlformats.org/officeDocument/2006/relationships/ctrlProp" Target="../ctrlProps/ctrlProp365.xml"/><Relationship Id="rId44" Type="http://schemas.openxmlformats.org/officeDocument/2006/relationships/ctrlProp" Target="../ctrlProps/ctrlProp290.xml"/><Relationship Id="rId60" Type="http://schemas.openxmlformats.org/officeDocument/2006/relationships/ctrlProp" Target="../ctrlProps/ctrlProp306.xml"/><Relationship Id="rId65" Type="http://schemas.openxmlformats.org/officeDocument/2006/relationships/ctrlProp" Target="../ctrlProps/ctrlProp311.xml"/><Relationship Id="rId81" Type="http://schemas.openxmlformats.org/officeDocument/2006/relationships/ctrlProp" Target="../ctrlProps/ctrlProp327.xml"/><Relationship Id="rId86" Type="http://schemas.openxmlformats.org/officeDocument/2006/relationships/ctrlProp" Target="../ctrlProps/ctrlProp332.xml"/><Relationship Id="rId13" Type="http://schemas.openxmlformats.org/officeDocument/2006/relationships/hyperlink" Target="file:///\\dfsrvfile01\Departamentos\Engenharia\02.%20Engenharia%20de%20Processo\02%20-%20Projetos\05%20-%20Projetos%20estrat&#233;gicos\02%20-%20Efici&#234;ncia%20dos%20planos%20de%20corte\KAIZEN_A3_MB000291GU_JEANSOLA.xlsx" TargetMode="External"/><Relationship Id="rId18" Type="http://schemas.openxmlformats.org/officeDocument/2006/relationships/hyperlink" Target="file:///\\dfsrvfile01\Departamentos\Engenharia\02.%20Engenharia%20de%20Processo\02%20-%20Projetos\05%20-%20Projetos%20estrat&#233;gicos\07%20-%20Consumo%20de%20g&#225;s\Redu&#231;&#227;o%20de%20custos%20-%20Consumo%20de%20g&#225;s.xlsx" TargetMode="External"/><Relationship Id="rId39" Type="http://schemas.openxmlformats.org/officeDocument/2006/relationships/ctrlProp" Target="../ctrlProps/ctrlProp285.xml"/><Relationship Id="rId109" Type="http://schemas.openxmlformats.org/officeDocument/2006/relationships/ctrlProp" Target="../ctrlProps/ctrlProp355.xml"/><Relationship Id="rId34" Type="http://schemas.openxmlformats.org/officeDocument/2006/relationships/ctrlProp" Target="../ctrlProps/ctrlProp280.xml"/><Relationship Id="rId50" Type="http://schemas.openxmlformats.org/officeDocument/2006/relationships/ctrlProp" Target="../ctrlProps/ctrlProp296.xml"/><Relationship Id="rId55" Type="http://schemas.openxmlformats.org/officeDocument/2006/relationships/ctrlProp" Target="../ctrlProps/ctrlProp301.xml"/><Relationship Id="rId76" Type="http://schemas.openxmlformats.org/officeDocument/2006/relationships/ctrlProp" Target="../ctrlProps/ctrlProp322.xml"/><Relationship Id="rId97" Type="http://schemas.openxmlformats.org/officeDocument/2006/relationships/ctrlProp" Target="../ctrlProps/ctrlProp343.xml"/><Relationship Id="rId104" Type="http://schemas.openxmlformats.org/officeDocument/2006/relationships/ctrlProp" Target="../ctrlProps/ctrlProp350.xml"/><Relationship Id="rId120" Type="http://schemas.openxmlformats.org/officeDocument/2006/relationships/ctrlProp" Target="../ctrlProps/ctrlProp366.xml"/><Relationship Id="rId125" Type="http://schemas.microsoft.com/office/2017/10/relationships/threadedComment" Target="../threadedComments/threadedComment3.xml"/><Relationship Id="rId7" Type="http://schemas.openxmlformats.org/officeDocument/2006/relationships/hyperlink" Target="../../../../:f:/s/GestoEstratgica/IgDDyGi9M6ddSqWcu7kH8UaOAb0-z1niFsE3I9EOfeorFUE?e=caj6A0" TargetMode="External"/><Relationship Id="rId71" Type="http://schemas.openxmlformats.org/officeDocument/2006/relationships/ctrlProp" Target="../ctrlProps/ctrlProp317.xml"/><Relationship Id="rId92" Type="http://schemas.openxmlformats.org/officeDocument/2006/relationships/ctrlProp" Target="../ctrlProps/ctrlProp338.xml"/><Relationship Id="rId2" Type="http://schemas.openxmlformats.org/officeDocument/2006/relationships/hyperlink" Target="../../../../:f:/s/GestoEstratgica/IgDjxny_U9yqTKoNQo27E6JhAbX9ACZrKDJXT07hcF2DV90?e=Ozj2uk" TargetMode="External"/><Relationship Id="rId29" Type="http://schemas.openxmlformats.org/officeDocument/2006/relationships/hyperlink" Target="https://delgadiadema-my.sharepoint.com/:x:/g/personal/ingrid_ferreira_delga_com_br/IQCGPLS6W6aLTr_nv0VrJt36AYtpwe00L8Mk7dKszWQA4mw?e=sbPPGU" TargetMode="External"/><Relationship Id="rId24" Type="http://schemas.openxmlformats.org/officeDocument/2006/relationships/hyperlink" Target="file:///\\dfsrvfile01\Departamentos\Engenharia\02.%20Engenharia%20de%20Processo\02%20-%20Projetos\05%20-%20Projetos%20estrat&#233;gicos\15%20-%20Enclausuramento%20do%20jato%20granalha\Redu&#231;&#227;o%20de%20custos%20-%20Enclausuramento%20Jatos%201.xlsx" TargetMode="External"/><Relationship Id="rId40" Type="http://schemas.openxmlformats.org/officeDocument/2006/relationships/ctrlProp" Target="../ctrlProps/ctrlProp286.xml"/><Relationship Id="rId45" Type="http://schemas.openxmlformats.org/officeDocument/2006/relationships/ctrlProp" Target="../ctrlProps/ctrlProp291.xml"/><Relationship Id="rId66" Type="http://schemas.openxmlformats.org/officeDocument/2006/relationships/ctrlProp" Target="../ctrlProps/ctrlProp312.xml"/><Relationship Id="rId87" Type="http://schemas.openxmlformats.org/officeDocument/2006/relationships/ctrlProp" Target="../ctrlProps/ctrlProp333.xml"/><Relationship Id="rId110" Type="http://schemas.openxmlformats.org/officeDocument/2006/relationships/ctrlProp" Target="../ctrlProps/ctrlProp356.xml"/><Relationship Id="rId115" Type="http://schemas.openxmlformats.org/officeDocument/2006/relationships/ctrlProp" Target="../ctrlProps/ctrlProp361.xml"/><Relationship Id="rId61" Type="http://schemas.openxmlformats.org/officeDocument/2006/relationships/ctrlProp" Target="../ctrlProps/ctrlProp307.xml"/><Relationship Id="rId82" Type="http://schemas.openxmlformats.org/officeDocument/2006/relationships/ctrlProp" Target="../ctrlProps/ctrlProp328.xml"/><Relationship Id="rId19" Type="http://schemas.openxmlformats.org/officeDocument/2006/relationships/hyperlink" Target="file:///\\dfsrvfile01\Departamentos\Engenharia\02.%20Engenharia%20de%20Processo\02%20-%20Projetos\05%20-%20Projetos%20estrat&#233;gicos\09%20-%20Crit&#233;rio%20para%20descarte%20de%20consum&#237;veis\Redu&#231;&#227;o%20de%20custos%20-%20Crit&#233;rio%20para%20descarte%20de%20consum&#237;veis.xlsx" TargetMode="External"/><Relationship Id="rId14" Type="http://schemas.openxmlformats.org/officeDocument/2006/relationships/hyperlink" Target="file:///\\dfsrvfile01\Departamentos\Engenharia\02.%20Engenharia%20de%20Processo\02%20-%20Projetos\05%20-%20Projetos%20estrat&#233;gicos\04%20-%20Redu&#231;&#227;o%20dos%20retrabalhos\Planta%20Ferraz%20-%20Projeto%20Redu&#231;&#227;o%20Lixamentos%20de%20Retrabalhos.xlsx" TargetMode="External"/><Relationship Id="rId30" Type="http://schemas.openxmlformats.org/officeDocument/2006/relationships/printerSettings" Target="../printerSettings/printerSettings4.bin"/><Relationship Id="rId35" Type="http://schemas.openxmlformats.org/officeDocument/2006/relationships/ctrlProp" Target="../ctrlProps/ctrlProp281.xml"/><Relationship Id="rId56" Type="http://schemas.openxmlformats.org/officeDocument/2006/relationships/ctrlProp" Target="../ctrlProps/ctrlProp302.xml"/><Relationship Id="rId77" Type="http://schemas.openxmlformats.org/officeDocument/2006/relationships/ctrlProp" Target="../ctrlProps/ctrlProp323.xml"/><Relationship Id="rId100" Type="http://schemas.openxmlformats.org/officeDocument/2006/relationships/ctrlProp" Target="../ctrlProps/ctrlProp346.xml"/><Relationship Id="rId105" Type="http://schemas.openxmlformats.org/officeDocument/2006/relationships/ctrlProp" Target="../ctrlProps/ctrlProp351.xml"/><Relationship Id="rId126" Type="http://schemas.microsoft.com/office/2019/04/relationships/namedSheetView" Target="../namedSheetViews/namedSheetView2.xml"/><Relationship Id="rId8" Type="http://schemas.openxmlformats.org/officeDocument/2006/relationships/hyperlink" Target="../../../../:f:/s/GestoEstratgica/IgCCm3Ok15RpTbDhWqE59d4fAdwO56jGtjnV8BlO3A8VJRI?e=w8OV37" TargetMode="External"/><Relationship Id="rId51" Type="http://schemas.openxmlformats.org/officeDocument/2006/relationships/ctrlProp" Target="../ctrlProps/ctrlProp297.xml"/><Relationship Id="rId72" Type="http://schemas.openxmlformats.org/officeDocument/2006/relationships/ctrlProp" Target="../ctrlProps/ctrlProp318.xml"/><Relationship Id="rId93" Type="http://schemas.openxmlformats.org/officeDocument/2006/relationships/ctrlProp" Target="../ctrlProps/ctrlProp339.xml"/><Relationship Id="rId98" Type="http://schemas.openxmlformats.org/officeDocument/2006/relationships/ctrlProp" Target="../ctrlProps/ctrlProp344.xml"/><Relationship Id="rId121" Type="http://schemas.openxmlformats.org/officeDocument/2006/relationships/ctrlProp" Target="../ctrlProps/ctrlProp367.xml"/><Relationship Id="rId3" Type="http://schemas.openxmlformats.org/officeDocument/2006/relationships/hyperlink" Target="../../../../:f:/s/GestoEstratgica/IgCQznl8qTUMSpaqm9tFn9CkAZFHj8SqZi0akQe97HTTJBg?e=MJ0zng" TargetMode="External"/><Relationship Id="rId25" Type="http://schemas.openxmlformats.org/officeDocument/2006/relationships/hyperlink" Target="file:///\\dfsrvfile01\Departamentos\Engenharia\02.%20Engenharia%20de%20Processo\02%20-%20Projetos\05%20-%20Projetos%20estrat&#233;gicos\17%20-%20Consumo%20de%20&#225;gua\KAIZEN%2001%20-%20A3_REDU&#199;&#195;O%20CONSUMO%20DE%20&#193;GUA%20REVIS&#195;O%2001.xlsx" TargetMode="External"/><Relationship Id="rId46" Type="http://schemas.openxmlformats.org/officeDocument/2006/relationships/ctrlProp" Target="../ctrlProps/ctrlProp292.xml"/><Relationship Id="rId67" Type="http://schemas.openxmlformats.org/officeDocument/2006/relationships/ctrlProp" Target="../ctrlProps/ctrlProp313.xml"/><Relationship Id="rId116" Type="http://schemas.openxmlformats.org/officeDocument/2006/relationships/ctrlProp" Target="../ctrlProps/ctrlProp362.xml"/><Relationship Id="rId20" Type="http://schemas.openxmlformats.org/officeDocument/2006/relationships/hyperlink" Target="file:///\\dfsrvfile01\Departamentos\Engenharia\02.%20Engenharia%20de%20Processo\02%20-%20Projetos\05%20-%20Projetos%20estrat&#233;gicos\10%20-%20Consumo%20de%20energia%20el&#233;trica,%20vazamentos%20de%20ar\Redu&#231;&#227;o%20de%20custos%20-%20Consumo%20de%20energia,%20vazemento%20de%20ar.xlsx" TargetMode="External"/><Relationship Id="rId41" Type="http://schemas.openxmlformats.org/officeDocument/2006/relationships/ctrlProp" Target="../ctrlProps/ctrlProp287.xml"/><Relationship Id="rId62" Type="http://schemas.openxmlformats.org/officeDocument/2006/relationships/ctrlProp" Target="../ctrlProps/ctrlProp308.xml"/><Relationship Id="rId83" Type="http://schemas.openxmlformats.org/officeDocument/2006/relationships/ctrlProp" Target="../ctrlProps/ctrlProp329.xml"/><Relationship Id="rId88" Type="http://schemas.openxmlformats.org/officeDocument/2006/relationships/ctrlProp" Target="../ctrlProps/ctrlProp334.xml"/><Relationship Id="rId111" Type="http://schemas.openxmlformats.org/officeDocument/2006/relationships/ctrlProp" Target="../ctrlProps/ctrlProp357.xml"/><Relationship Id="rId15" Type="http://schemas.openxmlformats.org/officeDocument/2006/relationships/hyperlink" Target="file:///\\dfsrvfile01\Departamentos\Engenharia\02.%20Engenharia%20de%20Processo\02%20-%20Projetos\05%20-%20Projetos%20estrat&#233;gicos\01%20-%20Clientes%20com%20baixa%20margem%20de%20contribui&#231;&#227;o\PROJETO%20-%20CLIENTES%20COM%20BAIXA%20MARGEM%20DE%20CONTRIBUI&#199;&#195;O.xlsx" TargetMode="External"/><Relationship Id="rId36" Type="http://schemas.openxmlformats.org/officeDocument/2006/relationships/ctrlProp" Target="../ctrlProps/ctrlProp282.xml"/><Relationship Id="rId57" Type="http://schemas.openxmlformats.org/officeDocument/2006/relationships/ctrlProp" Target="../ctrlProps/ctrlProp303.xml"/><Relationship Id="rId106" Type="http://schemas.openxmlformats.org/officeDocument/2006/relationships/ctrlProp" Target="../ctrlProps/ctrlProp352.xml"/><Relationship Id="rId10" Type="http://schemas.openxmlformats.org/officeDocument/2006/relationships/hyperlink" Target="../../../../:f:/s/GestoEstratgica/IgCKpM1gTT7xSotuz-svvX8CAbv6KgqLosUJplrh8P9MfRQ?e=GGjEmf" TargetMode="External"/><Relationship Id="rId31" Type="http://schemas.openxmlformats.org/officeDocument/2006/relationships/drawing" Target="../drawings/drawing4.xml"/><Relationship Id="rId52" Type="http://schemas.openxmlformats.org/officeDocument/2006/relationships/ctrlProp" Target="../ctrlProps/ctrlProp298.xml"/><Relationship Id="rId73" Type="http://schemas.openxmlformats.org/officeDocument/2006/relationships/ctrlProp" Target="../ctrlProps/ctrlProp319.xml"/><Relationship Id="rId78" Type="http://schemas.openxmlformats.org/officeDocument/2006/relationships/ctrlProp" Target="../ctrlProps/ctrlProp324.xml"/><Relationship Id="rId94" Type="http://schemas.openxmlformats.org/officeDocument/2006/relationships/ctrlProp" Target="../ctrlProps/ctrlProp340.xml"/><Relationship Id="rId99" Type="http://schemas.openxmlformats.org/officeDocument/2006/relationships/ctrlProp" Target="../ctrlProps/ctrlProp345.xml"/><Relationship Id="rId101" Type="http://schemas.openxmlformats.org/officeDocument/2006/relationships/ctrlProp" Target="../ctrlProps/ctrlProp347.xml"/><Relationship Id="rId122" Type="http://schemas.openxmlformats.org/officeDocument/2006/relationships/ctrlProp" Target="../ctrlProps/ctrlProp368.xml"/><Relationship Id="rId4" Type="http://schemas.openxmlformats.org/officeDocument/2006/relationships/hyperlink" Target="../../../../:f:/s/GestoEstratgica/IgA6CpoxVyvESL-ENTYxnUiVAbheG_LAqpvLt9A1GQbY4BY?e=1Ymm80" TargetMode="External"/><Relationship Id="rId9" Type="http://schemas.openxmlformats.org/officeDocument/2006/relationships/hyperlink" Target="../../../../:f:/s/GestoEstratgica/IgCE87fmHMd-R6nRbkCzDs-XAQdzB02wpqUd1bVJC4vUht4?e=U7pDCs" TargetMode="Externa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459.xml"/><Relationship Id="rId21" Type="http://schemas.openxmlformats.org/officeDocument/2006/relationships/hyperlink" Target="file:///\\192.168.3.20\Departamentos\Engenharia\Planejamento%20Estrat&#233;gico\A3_19%20-%20Garrafas%20de%20&#225;guas%20redu&#231;&#227;o%20de%20descart&#225;veis.xlsx" TargetMode="External"/><Relationship Id="rId42" Type="http://schemas.openxmlformats.org/officeDocument/2006/relationships/ctrlProp" Target="../ctrlProps/ctrlProp384.xml"/><Relationship Id="rId63" Type="http://schemas.openxmlformats.org/officeDocument/2006/relationships/ctrlProp" Target="../ctrlProps/ctrlProp405.xml"/><Relationship Id="rId84" Type="http://schemas.openxmlformats.org/officeDocument/2006/relationships/ctrlProp" Target="../ctrlProps/ctrlProp426.xml"/><Relationship Id="rId16" Type="http://schemas.openxmlformats.org/officeDocument/2006/relationships/hyperlink" Target="file:///\\192.168.3.20\Departamentos\Engenharia\Planejamento%20Estrat&#233;gico\A3%20REDU&#199;&#195;O%20DE%20CUSTO%20DO%20TUBO%20COMPRADO%20DO%20CAP&#212;.xlsx" TargetMode="External"/><Relationship Id="rId107" Type="http://schemas.openxmlformats.org/officeDocument/2006/relationships/ctrlProp" Target="../ctrlProps/ctrlProp449.xml"/><Relationship Id="rId11" Type="http://schemas.openxmlformats.org/officeDocument/2006/relationships/hyperlink" Target="file:///\\192.168.3.20\Departamentos\Engenharia\Planejamento%20Estrat&#233;gico\A3_15%20-%20Redu&#231;&#227;o%20de%20mat&#233;ria-prima%20DD000504-DD000505.xlsx" TargetMode="External"/><Relationship Id="rId32" Type="http://schemas.openxmlformats.org/officeDocument/2006/relationships/ctrlProp" Target="../ctrlProps/ctrlProp374.xml"/><Relationship Id="rId37" Type="http://schemas.openxmlformats.org/officeDocument/2006/relationships/ctrlProp" Target="../ctrlProps/ctrlProp379.xml"/><Relationship Id="rId53" Type="http://schemas.openxmlformats.org/officeDocument/2006/relationships/ctrlProp" Target="../ctrlProps/ctrlProp395.xml"/><Relationship Id="rId58" Type="http://schemas.openxmlformats.org/officeDocument/2006/relationships/ctrlProp" Target="../ctrlProps/ctrlProp400.xml"/><Relationship Id="rId74" Type="http://schemas.openxmlformats.org/officeDocument/2006/relationships/ctrlProp" Target="../ctrlProps/ctrlProp416.xml"/><Relationship Id="rId79" Type="http://schemas.openxmlformats.org/officeDocument/2006/relationships/ctrlProp" Target="../ctrlProps/ctrlProp421.xml"/><Relationship Id="rId102" Type="http://schemas.openxmlformats.org/officeDocument/2006/relationships/ctrlProp" Target="../ctrlProps/ctrlProp444.xml"/><Relationship Id="rId123" Type="http://schemas.openxmlformats.org/officeDocument/2006/relationships/ctrlProp" Target="../ctrlProps/ctrlProp465.xml"/><Relationship Id="rId128" Type="http://schemas.openxmlformats.org/officeDocument/2006/relationships/ctrlProp" Target="../ctrlProps/ctrlProp470.xml"/><Relationship Id="rId5" Type="http://schemas.openxmlformats.org/officeDocument/2006/relationships/hyperlink" Target="file:///\\192.168.3.20\Departamentos\Engenharia\Planejamento%20Estrat&#233;gico\A3_01-Refugo.xlsx" TargetMode="External"/><Relationship Id="rId90" Type="http://schemas.openxmlformats.org/officeDocument/2006/relationships/ctrlProp" Target="../ctrlProps/ctrlProp432.xml"/><Relationship Id="rId95" Type="http://schemas.openxmlformats.org/officeDocument/2006/relationships/ctrlProp" Target="../ctrlProps/ctrlProp437.xml"/><Relationship Id="rId22" Type="http://schemas.openxmlformats.org/officeDocument/2006/relationships/hyperlink" Target="file:///\\192.168.3.20\Departamentos\Engenharia\Planejamento%20Estrat&#233;gico\A3_22-%20Eliminar%20custo%20com%20usinagem%20externa%20CN%2000016-17.xlsx" TargetMode="External"/><Relationship Id="rId27" Type="http://schemas.openxmlformats.org/officeDocument/2006/relationships/ctrlProp" Target="../ctrlProps/ctrlProp369.xml"/><Relationship Id="rId43" Type="http://schemas.openxmlformats.org/officeDocument/2006/relationships/ctrlProp" Target="../ctrlProps/ctrlProp385.xml"/><Relationship Id="rId48" Type="http://schemas.openxmlformats.org/officeDocument/2006/relationships/ctrlProp" Target="../ctrlProps/ctrlProp390.xml"/><Relationship Id="rId64" Type="http://schemas.openxmlformats.org/officeDocument/2006/relationships/ctrlProp" Target="../ctrlProps/ctrlProp406.xml"/><Relationship Id="rId69" Type="http://schemas.openxmlformats.org/officeDocument/2006/relationships/ctrlProp" Target="../ctrlProps/ctrlProp411.xml"/><Relationship Id="rId113" Type="http://schemas.openxmlformats.org/officeDocument/2006/relationships/ctrlProp" Target="../ctrlProps/ctrlProp455.xml"/><Relationship Id="rId118" Type="http://schemas.openxmlformats.org/officeDocument/2006/relationships/ctrlProp" Target="../ctrlProps/ctrlProp460.xml"/><Relationship Id="rId134" Type="http://schemas.microsoft.com/office/2017/10/relationships/threadedComment" Target="../threadedComments/threadedComment4.xml"/><Relationship Id="rId80" Type="http://schemas.openxmlformats.org/officeDocument/2006/relationships/ctrlProp" Target="../ctrlProps/ctrlProp422.xml"/><Relationship Id="rId85" Type="http://schemas.openxmlformats.org/officeDocument/2006/relationships/ctrlProp" Target="../ctrlProps/ctrlProp427.xml"/><Relationship Id="rId12" Type="http://schemas.openxmlformats.org/officeDocument/2006/relationships/hyperlink" Target="file:///\\192.168.3.20\Departamentos\Engenharia\Planejamento%20Estrat&#233;gico\A3_15%20-%20Redu&#231;&#227;o%20de%20mat&#233;ria-prima%20DD000504-DD000505.xlsx" TargetMode="External"/><Relationship Id="rId17" Type="http://schemas.openxmlformats.org/officeDocument/2006/relationships/hyperlink" Target="file:///\\192.168.3.20\Departamentos\Engenharia\Planejamento%20Estrat&#233;gico\A3_01-%20servi&#231;os%20terceiros.xlsx" TargetMode="External"/><Relationship Id="rId33" Type="http://schemas.openxmlformats.org/officeDocument/2006/relationships/ctrlProp" Target="../ctrlProps/ctrlProp375.xml"/><Relationship Id="rId38" Type="http://schemas.openxmlformats.org/officeDocument/2006/relationships/ctrlProp" Target="../ctrlProps/ctrlProp380.xml"/><Relationship Id="rId59" Type="http://schemas.openxmlformats.org/officeDocument/2006/relationships/ctrlProp" Target="../ctrlProps/ctrlProp401.xml"/><Relationship Id="rId103" Type="http://schemas.openxmlformats.org/officeDocument/2006/relationships/ctrlProp" Target="../ctrlProps/ctrlProp445.xml"/><Relationship Id="rId108" Type="http://schemas.openxmlformats.org/officeDocument/2006/relationships/ctrlProp" Target="../ctrlProps/ctrlProp450.xml"/><Relationship Id="rId124" Type="http://schemas.openxmlformats.org/officeDocument/2006/relationships/ctrlProp" Target="../ctrlProps/ctrlProp466.xml"/><Relationship Id="rId129" Type="http://schemas.openxmlformats.org/officeDocument/2006/relationships/ctrlProp" Target="../ctrlProps/ctrlProp471.xml"/><Relationship Id="rId54" Type="http://schemas.openxmlformats.org/officeDocument/2006/relationships/ctrlProp" Target="../ctrlProps/ctrlProp396.xml"/><Relationship Id="rId70" Type="http://schemas.openxmlformats.org/officeDocument/2006/relationships/ctrlProp" Target="../ctrlProps/ctrlProp412.xml"/><Relationship Id="rId75" Type="http://schemas.openxmlformats.org/officeDocument/2006/relationships/ctrlProp" Target="../ctrlProps/ctrlProp417.xml"/><Relationship Id="rId91" Type="http://schemas.openxmlformats.org/officeDocument/2006/relationships/ctrlProp" Target="../ctrlProps/ctrlProp433.xml"/><Relationship Id="rId96" Type="http://schemas.openxmlformats.org/officeDocument/2006/relationships/ctrlProp" Target="../ctrlProps/ctrlProp438.xml"/><Relationship Id="rId1" Type="http://schemas.openxmlformats.org/officeDocument/2006/relationships/hyperlink" Target="file:///\\192.168.3.20\Departamentos\Engenharia\Planejamento%20Estrat&#233;gico\A3_11%20-%20T&#233;rmino%20turno%20da%20noite.xlsx" TargetMode="External"/><Relationship Id="rId6" Type="http://schemas.openxmlformats.org/officeDocument/2006/relationships/hyperlink" Target="file:///\\192.168.3.20\Departamentos\Engenharia\Planejamento%20Estrat&#233;gico\A3_02%20-%20Redu&#231;&#227;o%20de%20mat&#233;ria-prima%20DD000506Z.xlsx" TargetMode="External"/><Relationship Id="rId23" Type="http://schemas.openxmlformats.org/officeDocument/2006/relationships/hyperlink" Target="file:///\\192.168.3.20\Departamentos\Engenharia\Planejamento%20Estrat&#233;gico\A3_16%20-%20Redu&#231;&#227;o%20de%20energia%20el&#233;trica.xlsx" TargetMode="External"/><Relationship Id="rId28" Type="http://schemas.openxmlformats.org/officeDocument/2006/relationships/ctrlProp" Target="../ctrlProps/ctrlProp370.xml"/><Relationship Id="rId49" Type="http://schemas.openxmlformats.org/officeDocument/2006/relationships/ctrlProp" Target="../ctrlProps/ctrlProp391.xml"/><Relationship Id="rId114" Type="http://schemas.openxmlformats.org/officeDocument/2006/relationships/ctrlProp" Target="../ctrlProps/ctrlProp456.xml"/><Relationship Id="rId119" Type="http://schemas.openxmlformats.org/officeDocument/2006/relationships/ctrlProp" Target="../ctrlProps/ctrlProp461.xml"/><Relationship Id="rId44" Type="http://schemas.openxmlformats.org/officeDocument/2006/relationships/ctrlProp" Target="../ctrlProps/ctrlProp386.xml"/><Relationship Id="rId60" Type="http://schemas.openxmlformats.org/officeDocument/2006/relationships/ctrlProp" Target="../ctrlProps/ctrlProp402.xml"/><Relationship Id="rId65" Type="http://schemas.openxmlformats.org/officeDocument/2006/relationships/ctrlProp" Target="../ctrlProps/ctrlProp407.xml"/><Relationship Id="rId81" Type="http://schemas.openxmlformats.org/officeDocument/2006/relationships/ctrlProp" Target="../ctrlProps/ctrlProp423.xml"/><Relationship Id="rId86" Type="http://schemas.openxmlformats.org/officeDocument/2006/relationships/ctrlProp" Target="../ctrlProps/ctrlProp428.xml"/><Relationship Id="rId130" Type="http://schemas.openxmlformats.org/officeDocument/2006/relationships/ctrlProp" Target="../ctrlProps/ctrlProp472.xml"/><Relationship Id="rId13" Type="http://schemas.openxmlformats.org/officeDocument/2006/relationships/hyperlink" Target="file:///\\192.168.3.20\Departamentos\Engenharia\Planejamento%20Estrat&#233;gico\A3_02%20-%20Redu&#231;&#227;o%20de%20mat&#233;ria-prima%20DD000506Z.xlsx" TargetMode="External"/><Relationship Id="rId18" Type="http://schemas.openxmlformats.org/officeDocument/2006/relationships/hyperlink" Target="file:///\\192.168.3.20\Departamentos\Engenharia\Planejamento%20Estrat&#233;gico\A3_REDUZIR%20N&#218;MEROS%20DE%20EMPILHADEIRAS%20LOCADA.xlsx" TargetMode="External"/><Relationship Id="rId39" Type="http://schemas.openxmlformats.org/officeDocument/2006/relationships/ctrlProp" Target="../ctrlProps/ctrlProp381.xml"/><Relationship Id="rId109" Type="http://schemas.openxmlformats.org/officeDocument/2006/relationships/ctrlProp" Target="../ctrlProps/ctrlProp451.xml"/><Relationship Id="rId34" Type="http://schemas.openxmlformats.org/officeDocument/2006/relationships/ctrlProp" Target="../ctrlProps/ctrlProp376.xml"/><Relationship Id="rId50" Type="http://schemas.openxmlformats.org/officeDocument/2006/relationships/ctrlProp" Target="../ctrlProps/ctrlProp392.xml"/><Relationship Id="rId55" Type="http://schemas.openxmlformats.org/officeDocument/2006/relationships/ctrlProp" Target="../ctrlProps/ctrlProp397.xml"/><Relationship Id="rId76" Type="http://schemas.openxmlformats.org/officeDocument/2006/relationships/ctrlProp" Target="../ctrlProps/ctrlProp418.xml"/><Relationship Id="rId97" Type="http://schemas.openxmlformats.org/officeDocument/2006/relationships/ctrlProp" Target="../ctrlProps/ctrlProp439.xml"/><Relationship Id="rId104" Type="http://schemas.openxmlformats.org/officeDocument/2006/relationships/ctrlProp" Target="../ctrlProps/ctrlProp446.xml"/><Relationship Id="rId120" Type="http://schemas.openxmlformats.org/officeDocument/2006/relationships/ctrlProp" Target="../ctrlProps/ctrlProp462.xml"/><Relationship Id="rId125" Type="http://schemas.openxmlformats.org/officeDocument/2006/relationships/ctrlProp" Target="../ctrlProps/ctrlProp467.xml"/><Relationship Id="rId7" Type="http://schemas.openxmlformats.org/officeDocument/2006/relationships/hyperlink" Target="file:///\\192.168.3.20\Departamentos\Engenharia\Planejamento%20Estrat&#233;gico\A3_03-%20Comuniza&#231;&#227;o%20de%20Materiais.xlsx" TargetMode="External"/><Relationship Id="rId71" Type="http://schemas.openxmlformats.org/officeDocument/2006/relationships/ctrlProp" Target="../ctrlProps/ctrlProp413.xml"/><Relationship Id="rId92" Type="http://schemas.openxmlformats.org/officeDocument/2006/relationships/ctrlProp" Target="../ctrlProps/ctrlProp434.xml"/><Relationship Id="rId2" Type="http://schemas.openxmlformats.org/officeDocument/2006/relationships/hyperlink" Target="file:///\\192.168.3.20\Departamentos\Engenharia\Planejamento%20Estrat&#233;gico\A3_11%20-%20T&#233;rmino%20turno%20da%20noite.xlsx" TargetMode="External"/><Relationship Id="rId29" Type="http://schemas.openxmlformats.org/officeDocument/2006/relationships/ctrlProp" Target="../ctrlProps/ctrlProp371.xml"/><Relationship Id="rId24" Type="http://schemas.openxmlformats.org/officeDocument/2006/relationships/printerSettings" Target="../printerSettings/printerSettings5.bin"/><Relationship Id="rId40" Type="http://schemas.openxmlformats.org/officeDocument/2006/relationships/ctrlProp" Target="../ctrlProps/ctrlProp382.xml"/><Relationship Id="rId45" Type="http://schemas.openxmlformats.org/officeDocument/2006/relationships/ctrlProp" Target="../ctrlProps/ctrlProp387.xml"/><Relationship Id="rId66" Type="http://schemas.openxmlformats.org/officeDocument/2006/relationships/ctrlProp" Target="../ctrlProps/ctrlProp408.xml"/><Relationship Id="rId87" Type="http://schemas.openxmlformats.org/officeDocument/2006/relationships/ctrlProp" Target="../ctrlProps/ctrlProp429.xml"/><Relationship Id="rId110" Type="http://schemas.openxmlformats.org/officeDocument/2006/relationships/ctrlProp" Target="../ctrlProps/ctrlProp452.xml"/><Relationship Id="rId115" Type="http://schemas.openxmlformats.org/officeDocument/2006/relationships/ctrlProp" Target="../ctrlProps/ctrlProp457.xml"/><Relationship Id="rId131" Type="http://schemas.openxmlformats.org/officeDocument/2006/relationships/ctrlProp" Target="../ctrlProps/ctrlProp473.xml"/><Relationship Id="rId61" Type="http://schemas.openxmlformats.org/officeDocument/2006/relationships/ctrlProp" Target="../ctrlProps/ctrlProp403.xml"/><Relationship Id="rId82" Type="http://schemas.openxmlformats.org/officeDocument/2006/relationships/ctrlProp" Target="../ctrlProps/ctrlProp424.xml"/><Relationship Id="rId19" Type="http://schemas.openxmlformats.org/officeDocument/2006/relationships/hyperlink" Target="file:///\\192.168.3.20\Departamentos\Engenharia\Planejamento%20Estrat&#233;gico\A3%20REDU&#199;&#195;O%20DE%20CUSTO%20DE%20LOCA&#199;&#195;O%20DE%20M&#193;QUINA%20SOLDA%20MIG.xlsx" TargetMode="External"/><Relationship Id="rId14" Type="http://schemas.openxmlformats.org/officeDocument/2006/relationships/hyperlink" Target="file:///\\192.168.3.20\Departamentos\Engenharia\Planejamento%20Estrat&#233;gico\A3_01-Refugo.xlsx" TargetMode="External"/><Relationship Id="rId30" Type="http://schemas.openxmlformats.org/officeDocument/2006/relationships/ctrlProp" Target="../ctrlProps/ctrlProp372.xml"/><Relationship Id="rId35" Type="http://schemas.openxmlformats.org/officeDocument/2006/relationships/ctrlProp" Target="../ctrlProps/ctrlProp377.xml"/><Relationship Id="rId56" Type="http://schemas.openxmlformats.org/officeDocument/2006/relationships/ctrlProp" Target="../ctrlProps/ctrlProp398.xml"/><Relationship Id="rId77" Type="http://schemas.openxmlformats.org/officeDocument/2006/relationships/ctrlProp" Target="../ctrlProps/ctrlProp419.xml"/><Relationship Id="rId100" Type="http://schemas.openxmlformats.org/officeDocument/2006/relationships/ctrlProp" Target="../ctrlProps/ctrlProp442.xml"/><Relationship Id="rId105" Type="http://schemas.openxmlformats.org/officeDocument/2006/relationships/ctrlProp" Target="../ctrlProps/ctrlProp447.xml"/><Relationship Id="rId126" Type="http://schemas.openxmlformats.org/officeDocument/2006/relationships/ctrlProp" Target="../ctrlProps/ctrlProp468.xml"/><Relationship Id="rId8" Type="http://schemas.openxmlformats.org/officeDocument/2006/relationships/hyperlink" Target="file:///\\192.168.3.20\Departamentos\Engenharia\Planejamento%20Estrat&#233;gico\A3_08%20-%20Redu&#231;&#227;o%20de%20mat&#233;ria-prima%20DD000502-DD000503Z.xlsx" TargetMode="External"/><Relationship Id="rId51" Type="http://schemas.openxmlformats.org/officeDocument/2006/relationships/ctrlProp" Target="../ctrlProps/ctrlProp393.xml"/><Relationship Id="rId72" Type="http://schemas.openxmlformats.org/officeDocument/2006/relationships/ctrlProp" Target="../ctrlProps/ctrlProp414.xml"/><Relationship Id="rId93" Type="http://schemas.openxmlformats.org/officeDocument/2006/relationships/ctrlProp" Target="../ctrlProps/ctrlProp435.xml"/><Relationship Id="rId98" Type="http://schemas.openxmlformats.org/officeDocument/2006/relationships/ctrlProp" Target="../ctrlProps/ctrlProp440.xml"/><Relationship Id="rId121" Type="http://schemas.openxmlformats.org/officeDocument/2006/relationships/ctrlProp" Target="../ctrlProps/ctrlProp463.xml"/><Relationship Id="rId3" Type="http://schemas.openxmlformats.org/officeDocument/2006/relationships/hyperlink" Target="file:///\\192.168.3.20\Departamentos\Engenharia\Planejamento%20Estrat&#233;gico\A3_09-ACABAMENTO%20CAPO%20CNH.xlsx" TargetMode="External"/><Relationship Id="rId25" Type="http://schemas.openxmlformats.org/officeDocument/2006/relationships/drawing" Target="../drawings/drawing5.xml"/><Relationship Id="rId46" Type="http://schemas.openxmlformats.org/officeDocument/2006/relationships/ctrlProp" Target="../ctrlProps/ctrlProp388.xml"/><Relationship Id="rId67" Type="http://schemas.openxmlformats.org/officeDocument/2006/relationships/ctrlProp" Target="../ctrlProps/ctrlProp409.xml"/><Relationship Id="rId116" Type="http://schemas.openxmlformats.org/officeDocument/2006/relationships/ctrlProp" Target="../ctrlProps/ctrlProp458.xml"/><Relationship Id="rId20" Type="http://schemas.openxmlformats.org/officeDocument/2006/relationships/hyperlink" Target="file:///\\192.168.3.20\Departamentos\Engenharia\Planejamento%20Estrat&#233;gico\A3_18%20-%20Redu&#231;&#227;o%20de%20mat&#233;ria-prima%20DD000507z.xlsx" TargetMode="External"/><Relationship Id="rId41" Type="http://schemas.openxmlformats.org/officeDocument/2006/relationships/ctrlProp" Target="../ctrlProps/ctrlProp383.xml"/><Relationship Id="rId62" Type="http://schemas.openxmlformats.org/officeDocument/2006/relationships/ctrlProp" Target="../ctrlProps/ctrlProp404.xml"/><Relationship Id="rId83" Type="http://schemas.openxmlformats.org/officeDocument/2006/relationships/ctrlProp" Target="../ctrlProps/ctrlProp425.xml"/><Relationship Id="rId88" Type="http://schemas.openxmlformats.org/officeDocument/2006/relationships/ctrlProp" Target="../ctrlProps/ctrlProp430.xml"/><Relationship Id="rId111" Type="http://schemas.openxmlformats.org/officeDocument/2006/relationships/ctrlProp" Target="../ctrlProps/ctrlProp453.xml"/><Relationship Id="rId132" Type="http://schemas.openxmlformats.org/officeDocument/2006/relationships/table" Target="../tables/table4.xml"/><Relationship Id="rId15" Type="http://schemas.openxmlformats.org/officeDocument/2006/relationships/hyperlink" Target="file:///\\192.168.3.20\Departamentos\Engenharia\Planejamento%20Estrat&#233;gico\A3_12-REDU&#199;&#195;O%20DE%20CUSTO%20DE%20LOCA&#199;&#195;O%20DE%20PTA%2012%20METROS%20(002).xlsx" TargetMode="External"/><Relationship Id="rId36" Type="http://schemas.openxmlformats.org/officeDocument/2006/relationships/ctrlProp" Target="../ctrlProps/ctrlProp378.xml"/><Relationship Id="rId57" Type="http://schemas.openxmlformats.org/officeDocument/2006/relationships/ctrlProp" Target="../ctrlProps/ctrlProp399.xml"/><Relationship Id="rId106" Type="http://schemas.openxmlformats.org/officeDocument/2006/relationships/ctrlProp" Target="../ctrlProps/ctrlProp448.xml"/><Relationship Id="rId127" Type="http://schemas.openxmlformats.org/officeDocument/2006/relationships/ctrlProp" Target="../ctrlProps/ctrlProp469.xml"/><Relationship Id="rId10" Type="http://schemas.openxmlformats.org/officeDocument/2006/relationships/hyperlink" Target="file:///\\192.168.3.20\Departamentos\Engenharia\Planejamento%20Estrat&#233;gico\A3_14-Troca%20de%20empilhaderia%20GLP%20por%20el&#233;trica.xlsx" TargetMode="External"/><Relationship Id="rId31" Type="http://schemas.openxmlformats.org/officeDocument/2006/relationships/ctrlProp" Target="../ctrlProps/ctrlProp373.xml"/><Relationship Id="rId52" Type="http://schemas.openxmlformats.org/officeDocument/2006/relationships/ctrlProp" Target="../ctrlProps/ctrlProp394.xml"/><Relationship Id="rId73" Type="http://schemas.openxmlformats.org/officeDocument/2006/relationships/ctrlProp" Target="../ctrlProps/ctrlProp415.xml"/><Relationship Id="rId78" Type="http://schemas.openxmlformats.org/officeDocument/2006/relationships/ctrlProp" Target="../ctrlProps/ctrlProp420.xml"/><Relationship Id="rId94" Type="http://schemas.openxmlformats.org/officeDocument/2006/relationships/ctrlProp" Target="../ctrlProps/ctrlProp436.xml"/><Relationship Id="rId99" Type="http://schemas.openxmlformats.org/officeDocument/2006/relationships/ctrlProp" Target="../ctrlProps/ctrlProp441.xml"/><Relationship Id="rId101" Type="http://schemas.openxmlformats.org/officeDocument/2006/relationships/ctrlProp" Target="../ctrlProps/ctrlProp443.xml"/><Relationship Id="rId122" Type="http://schemas.openxmlformats.org/officeDocument/2006/relationships/ctrlProp" Target="../ctrlProps/ctrlProp464.xml"/><Relationship Id="rId4" Type="http://schemas.openxmlformats.org/officeDocument/2006/relationships/hyperlink" Target="file:///\\192.168.3.20\Departamentos\Engenharia\Planejamento%20Estrat&#233;gico\A3_07-Aluguel%20Corte%20Plasma.xlsx" TargetMode="External"/><Relationship Id="rId9" Type="http://schemas.openxmlformats.org/officeDocument/2006/relationships/hyperlink" Target="file:///\\192.168.3.20\Departamentos\Engenharia\Planejamento%20Estrat&#233;gico\A3_13-VAZAMENTOS%20DE%20AR.xlsx" TargetMode="External"/><Relationship Id="rId26" Type="http://schemas.openxmlformats.org/officeDocument/2006/relationships/vmlDrawing" Target="../drawings/vmlDrawing4.vml"/><Relationship Id="rId47" Type="http://schemas.openxmlformats.org/officeDocument/2006/relationships/ctrlProp" Target="../ctrlProps/ctrlProp389.xml"/><Relationship Id="rId68" Type="http://schemas.openxmlformats.org/officeDocument/2006/relationships/ctrlProp" Target="../ctrlProps/ctrlProp410.xml"/><Relationship Id="rId89" Type="http://schemas.openxmlformats.org/officeDocument/2006/relationships/ctrlProp" Target="../ctrlProps/ctrlProp431.xml"/><Relationship Id="rId112" Type="http://schemas.openxmlformats.org/officeDocument/2006/relationships/ctrlProp" Target="../ctrlProps/ctrlProp454.xml"/><Relationship Id="rId133"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6" Type="http://schemas.openxmlformats.org/officeDocument/2006/relationships/ctrlProp" Target="../ctrlProps/ctrlProp482.xml"/><Relationship Id="rId21" Type="http://schemas.openxmlformats.org/officeDocument/2006/relationships/ctrlProp" Target="../ctrlProps/ctrlProp477.xml"/><Relationship Id="rId42" Type="http://schemas.openxmlformats.org/officeDocument/2006/relationships/ctrlProp" Target="../ctrlProps/ctrlProp498.xml"/><Relationship Id="rId47" Type="http://schemas.openxmlformats.org/officeDocument/2006/relationships/ctrlProp" Target="../ctrlProps/ctrlProp503.xml"/><Relationship Id="rId63" Type="http://schemas.openxmlformats.org/officeDocument/2006/relationships/ctrlProp" Target="../ctrlProps/ctrlProp519.xml"/><Relationship Id="rId68" Type="http://schemas.openxmlformats.org/officeDocument/2006/relationships/ctrlProp" Target="../ctrlProps/ctrlProp524.xml"/><Relationship Id="rId84" Type="http://schemas.openxmlformats.org/officeDocument/2006/relationships/ctrlProp" Target="../ctrlProps/ctrlProp540.xml"/><Relationship Id="rId89" Type="http://schemas.openxmlformats.org/officeDocument/2006/relationships/ctrlProp" Target="../ctrlProps/ctrlProp545.xml"/><Relationship Id="rId16" Type="http://schemas.openxmlformats.org/officeDocument/2006/relationships/drawing" Target="../drawings/drawing9.xml"/><Relationship Id="rId107" Type="http://schemas.openxmlformats.org/officeDocument/2006/relationships/ctrlProp" Target="../ctrlProps/ctrlProp563.xml"/><Relationship Id="rId11" Type="http://schemas.openxmlformats.org/officeDocument/2006/relationships/hyperlink" Target="file:///\\192.168.0.20\DEPARTAMENTOS\Engenharia\0.%20Kaizen%20Diadema\6.%202026\02%20Fevereiro\18%20-%20Produtividade_Aumento%20da%20efici&#234;ncia%20para%2073%25_Rua%202-3-4-8_Eduardo%20Fajardo\18%20-%20Produtividade_Aumento%20da%20efici&#234;ncia%20para%2073%25_Rua%202-3-4-8.xlsx" TargetMode="External"/><Relationship Id="rId32" Type="http://schemas.openxmlformats.org/officeDocument/2006/relationships/ctrlProp" Target="../ctrlProps/ctrlProp488.xml"/><Relationship Id="rId37" Type="http://schemas.openxmlformats.org/officeDocument/2006/relationships/ctrlProp" Target="../ctrlProps/ctrlProp493.xml"/><Relationship Id="rId53" Type="http://schemas.openxmlformats.org/officeDocument/2006/relationships/ctrlProp" Target="../ctrlProps/ctrlProp509.xml"/><Relationship Id="rId58" Type="http://schemas.openxmlformats.org/officeDocument/2006/relationships/ctrlProp" Target="../ctrlProps/ctrlProp514.xml"/><Relationship Id="rId74" Type="http://schemas.openxmlformats.org/officeDocument/2006/relationships/ctrlProp" Target="../ctrlProps/ctrlProp530.xml"/><Relationship Id="rId79" Type="http://schemas.openxmlformats.org/officeDocument/2006/relationships/ctrlProp" Target="../ctrlProps/ctrlProp535.xml"/><Relationship Id="rId102" Type="http://schemas.openxmlformats.org/officeDocument/2006/relationships/ctrlProp" Target="../ctrlProps/ctrlProp558.xml"/><Relationship Id="rId5" Type="http://schemas.openxmlformats.org/officeDocument/2006/relationships/hyperlink" Target="file:///\\192.168.0.20\Departamentos\Engenharia\0.%20Kaizen%20Diadema\6.%202026\01%20Janeiro\01%20-%20DA000489AB%20-Bruno%20Manachini_Engenharia_Validado%20160K\01%20-%20KAIZEN%20-%20DA000489AB_Rev00_Bruno%20Manachini.xlsx" TargetMode="External"/><Relationship Id="rId90" Type="http://schemas.openxmlformats.org/officeDocument/2006/relationships/ctrlProp" Target="../ctrlProps/ctrlProp546.xml"/><Relationship Id="rId95" Type="http://schemas.openxmlformats.org/officeDocument/2006/relationships/ctrlProp" Target="../ctrlProps/ctrlProp551.xml"/><Relationship Id="rId22" Type="http://schemas.openxmlformats.org/officeDocument/2006/relationships/ctrlProp" Target="../ctrlProps/ctrlProp478.xml"/><Relationship Id="rId27" Type="http://schemas.openxmlformats.org/officeDocument/2006/relationships/ctrlProp" Target="../ctrlProps/ctrlProp483.xml"/><Relationship Id="rId43" Type="http://schemas.openxmlformats.org/officeDocument/2006/relationships/ctrlProp" Target="../ctrlProps/ctrlProp499.xml"/><Relationship Id="rId48" Type="http://schemas.openxmlformats.org/officeDocument/2006/relationships/ctrlProp" Target="../ctrlProps/ctrlProp504.xml"/><Relationship Id="rId64" Type="http://schemas.openxmlformats.org/officeDocument/2006/relationships/ctrlProp" Target="../ctrlProps/ctrlProp520.xml"/><Relationship Id="rId69" Type="http://schemas.openxmlformats.org/officeDocument/2006/relationships/ctrlProp" Target="../ctrlProps/ctrlProp525.xml"/><Relationship Id="rId80" Type="http://schemas.openxmlformats.org/officeDocument/2006/relationships/ctrlProp" Target="../ctrlProps/ctrlProp536.xml"/><Relationship Id="rId85" Type="http://schemas.openxmlformats.org/officeDocument/2006/relationships/ctrlProp" Target="../ctrlProps/ctrlProp541.xml"/><Relationship Id="rId12" Type="http://schemas.openxmlformats.org/officeDocument/2006/relationships/hyperlink" Target="file:///\\192.168.0.20\DEPARTAMENTOS\Engenharia\0.%20Kaizen%20Diadema\6.%202026\02%20Fevereiro\17%20-%20Redu&#231;&#227;o%20do%20contrato%20de%20empilhadeiras_Eduardo%20Fajardo\17%20-%20Redu&#231;&#227;o%20de%20do%20contrato%20de%20empilhadeiras_Eduardo%20Fajardo.xlsx" TargetMode="External"/><Relationship Id="rId17" Type="http://schemas.openxmlformats.org/officeDocument/2006/relationships/vmlDrawing" Target="../drawings/vmlDrawing5.vml"/><Relationship Id="rId33" Type="http://schemas.openxmlformats.org/officeDocument/2006/relationships/ctrlProp" Target="../ctrlProps/ctrlProp489.xml"/><Relationship Id="rId38" Type="http://schemas.openxmlformats.org/officeDocument/2006/relationships/ctrlProp" Target="../ctrlProps/ctrlProp494.xml"/><Relationship Id="rId59" Type="http://schemas.openxmlformats.org/officeDocument/2006/relationships/ctrlProp" Target="../ctrlProps/ctrlProp515.xml"/><Relationship Id="rId103" Type="http://schemas.openxmlformats.org/officeDocument/2006/relationships/ctrlProp" Target="../ctrlProps/ctrlProp559.xml"/><Relationship Id="rId108" Type="http://schemas.openxmlformats.org/officeDocument/2006/relationships/table" Target="../tables/table5.xml"/><Relationship Id="rId54" Type="http://schemas.openxmlformats.org/officeDocument/2006/relationships/ctrlProp" Target="../ctrlProps/ctrlProp510.xml"/><Relationship Id="rId70" Type="http://schemas.openxmlformats.org/officeDocument/2006/relationships/ctrlProp" Target="../ctrlProps/ctrlProp526.xml"/><Relationship Id="rId75" Type="http://schemas.openxmlformats.org/officeDocument/2006/relationships/ctrlProp" Target="../ctrlProps/ctrlProp531.xml"/><Relationship Id="rId91" Type="http://schemas.openxmlformats.org/officeDocument/2006/relationships/ctrlProp" Target="../ctrlProps/ctrlProp547.xml"/><Relationship Id="rId96" Type="http://schemas.openxmlformats.org/officeDocument/2006/relationships/ctrlProp" Target="../ctrlProps/ctrlProp552.xml"/><Relationship Id="rId1" Type="http://schemas.openxmlformats.org/officeDocument/2006/relationships/hyperlink" Target="01%20Evid&#234;ncias%20Diadema/03%20Otimiza&#231;&#227;o%20de%20processo%20-%20Cavalo%20Marinho/Efici&#234;ncia_Operacional%20-%20GM000359AA_GM000463Z_REV01.xlsx" TargetMode="External"/><Relationship Id="rId6" Type="http://schemas.openxmlformats.org/officeDocument/2006/relationships/hyperlink" Target="file:///\\192.168.0.20\DEPARTAMENTOS\Engenharia\0.%20Kaizen%20Diadema\6.%202026\02%20Fevereiro\09%20-%20Redu&#231;&#227;o%20de%20lampadas%20acessas%20na%20f&#225;brica_Eduardo%20Fajardo\9%20-%20Kaizen%20Redu&#231;&#227;o%20de%20lampadas%20acessas%20na%20f&#225;brica_Eduardo%20Fajardo.xlsx" TargetMode="External"/><Relationship Id="rId15"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23" Type="http://schemas.openxmlformats.org/officeDocument/2006/relationships/ctrlProp" Target="../ctrlProps/ctrlProp479.xml"/><Relationship Id="rId28" Type="http://schemas.openxmlformats.org/officeDocument/2006/relationships/ctrlProp" Target="../ctrlProps/ctrlProp484.xml"/><Relationship Id="rId36" Type="http://schemas.openxmlformats.org/officeDocument/2006/relationships/ctrlProp" Target="../ctrlProps/ctrlProp492.xml"/><Relationship Id="rId49" Type="http://schemas.openxmlformats.org/officeDocument/2006/relationships/ctrlProp" Target="../ctrlProps/ctrlProp505.xml"/><Relationship Id="rId57" Type="http://schemas.openxmlformats.org/officeDocument/2006/relationships/ctrlProp" Target="../ctrlProps/ctrlProp513.xml"/><Relationship Id="rId106" Type="http://schemas.openxmlformats.org/officeDocument/2006/relationships/ctrlProp" Target="../ctrlProps/ctrlProp562.xml"/><Relationship Id="rId10" Type="http://schemas.openxmlformats.org/officeDocument/2006/relationships/hyperlink" Target="file:///\\192.168.0.20\DEPARTAMENTOS\Engenharia\0.%20Kaizen%20Diadema\5.%202025\12%20Dezembro%20-%205\54%20-%20Aproveitamento_de_pe&#231;as_obsoletas.xlsx" TargetMode="External"/><Relationship Id="rId31" Type="http://schemas.openxmlformats.org/officeDocument/2006/relationships/ctrlProp" Target="../ctrlProps/ctrlProp487.xml"/><Relationship Id="rId44" Type="http://schemas.openxmlformats.org/officeDocument/2006/relationships/ctrlProp" Target="../ctrlProps/ctrlProp500.xml"/><Relationship Id="rId52" Type="http://schemas.openxmlformats.org/officeDocument/2006/relationships/ctrlProp" Target="../ctrlProps/ctrlProp508.xml"/><Relationship Id="rId60" Type="http://schemas.openxmlformats.org/officeDocument/2006/relationships/ctrlProp" Target="../ctrlProps/ctrlProp516.xml"/><Relationship Id="rId65" Type="http://schemas.openxmlformats.org/officeDocument/2006/relationships/ctrlProp" Target="../ctrlProps/ctrlProp521.xml"/><Relationship Id="rId73" Type="http://schemas.openxmlformats.org/officeDocument/2006/relationships/ctrlProp" Target="../ctrlProps/ctrlProp529.xml"/><Relationship Id="rId78" Type="http://schemas.openxmlformats.org/officeDocument/2006/relationships/ctrlProp" Target="../ctrlProps/ctrlProp534.xml"/><Relationship Id="rId81" Type="http://schemas.openxmlformats.org/officeDocument/2006/relationships/ctrlProp" Target="../ctrlProps/ctrlProp537.xml"/><Relationship Id="rId86" Type="http://schemas.openxmlformats.org/officeDocument/2006/relationships/ctrlProp" Target="../ctrlProps/ctrlProp542.xml"/><Relationship Id="rId94" Type="http://schemas.openxmlformats.org/officeDocument/2006/relationships/ctrlProp" Target="../ctrlProps/ctrlProp550.xml"/><Relationship Id="rId99" Type="http://schemas.openxmlformats.org/officeDocument/2006/relationships/ctrlProp" Target="../ctrlProps/ctrlProp555.xml"/><Relationship Id="rId101" Type="http://schemas.openxmlformats.org/officeDocument/2006/relationships/ctrlProp" Target="../ctrlProps/ctrlProp557.xml"/><Relationship Id="rId4" Type="http://schemas.openxmlformats.org/officeDocument/2006/relationships/hyperlink" Target="Evid%C3%AAncias%20Grupo%20Delga%202026/Evid%C3%AAncias%20Delga%20Diadema/00%20Evid%C3%AAncia%20An%C3%A1lise%20de%20Margem/00%20Form%20206%20preenchido%20pela%20Engenharia/VW000581Z_VW000582Z%20-%20Form.206.xlsx?web=1" TargetMode="External"/><Relationship Id="rId9" Type="http://schemas.openxmlformats.org/officeDocument/2006/relationships/hyperlink" Target="file:///\\192.168.0.20\departamentos\Engenharia\0.%20Kaizen%20Diadema\6.%202026\01%20Janeiro\02%20-%20MB2446LA_MB3670LA_MB3671LA_Engenharia_Bruno%20Manachini\02%20-%20KAIZEN%20-%20MB2446LA_MB3670LA_MB3671LA_Rev00_Bruno%20Manachini.xlsx" TargetMode="External"/><Relationship Id="rId13"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18" Type="http://schemas.openxmlformats.org/officeDocument/2006/relationships/ctrlProp" Target="../ctrlProps/ctrlProp474.xml"/><Relationship Id="rId39" Type="http://schemas.openxmlformats.org/officeDocument/2006/relationships/ctrlProp" Target="../ctrlProps/ctrlProp495.xml"/><Relationship Id="rId109" Type="http://schemas.openxmlformats.org/officeDocument/2006/relationships/comments" Target="../comments5.xml"/><Relationship Id="rId34" Type="http://schemas.openxmlformats.org/officeDocument/2006/relationships/ctrlProp" Target="../ctrlProps/ctrlProp490.xml"/><Relationship Id="rId50" Type="http://schemas.openxmlformats.org/officeDocument/2006/relationships/ctrlProp" Target="../ctrlProps/ctrlProp506.xml"/><Relationship Id="rId55" Type="http://schemas.openxmlformats.org/officeDocument/2006/relationships/ctrlProp" Target="../ctrlProps/ctrlProp511.xml"/><Relationship Id="rId76" Type="http://schemas.openxmlformats.org/officeDocument/2006/relationships/ctrlProp" Target="../ctrlProps/ctrlProp532.xml"/><Relationship Id="rId97" Type="http://schemas.openxmlformats.org/officeDocument/2006/relationships/ctrlProp" Target="../ctrlProps/ctrlProp553.xml"/><Relationship Id="rId104" Type="http://schemas.openxmlformats.org/officeDocument/2006/relationships/ctrlProp" Target="../ctrlProps/ctrlProp560.xml"/><Relationship Id="rId7" Type="http://schemas.openxmlformats.org/officeDocument/2006/relationships/hyperlink" Target="file:///\\192.168.5.20\Departamentos\TI\Projetos\Master%202026\03%20-%20Redu&#231;&#227;o%20de%20consumo%20de%20MP%20dos%20blanks%20com%20a%20t&#233;cnica%20de%20corte%20Wave\Planta%20Melhoria%20Blank%20Wave%20-%20Gest&#227;o%20de%20Projetos%20REV01.xlsx" TargetMode="External"/><Relationship Id="rId71" Type="http://schemas.openxmlformats.org/officeDocument/2006/relationships/ctrlProp" Target="../ctrlProps/ctrlProp527.xml"/><Relationship Id="rId92" Type="http://schemas.openxmlformats.org/officeDocument/2006/relationships/ctrlProp" Target="../ctrlProps/ctrlProp548.xml"/><Relationship Id="rId2" Type="http://schemas.openxmlformats.org/officeDocument/2006/relationships/hyperlink" Target="01%20Evid&#234;ncias%20Diadema/01%20Kaizen%20Redu&#231;&#227;o%20de%20peso%20bruto%20DA000489A/KAIZEN%20-%20DA000489AB_Rev00.xlsx" TargetMode="External"/><Relationship Id="rId29" Type="http://schemas.openxmlformats.org/officeDocument/2006/relationships/ctrlProp" Target="../ctrlProps/ctrlProp485.xml"/><Relationship Id="rId24" Type="http://schemas.openxmlformats.org/officeDocument/2006/relationships/ctrlProp" Target="../ctrlProps/ctrlProp480.xml"/><Relationship Id="rId40" Type="http://schemas.openxmlformats.org/officeDocument/2006/relationships/ctrlProp" Target="../ctrlProps/ctrlProp496.xml"/><Relationship Id="rId45" Type="http://schemas.openxmlformats.org/officeDocument/2006/relationships/ctrlProp" Target="../ctrlProps/ctrlProp501.xml"/><Relationship Id="rId66" Type="http://schemas.openxmlformats.org/officeDocument/2006/relationships/ctrlProp" Target="../ctrlProps/ctrlProp522.xml"/><Relationship Id="rId87" Type="http://schemas.openxmlformats.org/officeDocument/2006/relationships/ctrlProp" Target="../ctrlProps/ctrlProp543.xml"/><Relationship Id="rId110" Type="http://schemas.microsoft.com/office/2017/10/relationships/threadedComment" Target="../threadedComments/threadedComment5.xml"/><Relationship Id="rId61" Type="http://schemas.openxmlformats.org/officeDocument/2006/relationships/ctrlProp" Target="../ctrlProps/ctrlProp517.xml"/><Relationship Id="rId82" Type="http://schemas.openxmlformats.org/officeDocument/2006/relationships/ctrlProp" Target="../ctrlProps/ctrlProp538.xml"/><Relationship Id="rId19" Type="http://schemas.openxmlformats.org/officeDocument/2006/relationships/ctrlProp" Target="../ctrlProps/ctrlProp475.xml"/><Relationship Id="rId14"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30" Type="http://schemas.openxmlformats.org/officeDocument/2006/relationships/ctrlProp" Target="../ctrlProps/ctrlProp486.xml"/><Relationship Id="rId35" Type="http://schemas.openxmlformats.org/officeDocument/2006/relationships/ctrlProp" Target="../ctrlProps/ctrlProp491.xml"/><Relationship Id="rId56" Type="http://schemas.openxmlformats.org/officeDocument/2006/relationships/ctrlProp" Target="../ctrlProps/ctrlProp512.xml"/><Relationship Id="rId77" Type="http://schemas.openxmlformats.org/officeDocument/2006/relationships/ctrlProp" Target="../ctrlProps/ctrlProp533.xml"/><Relationship Id="rId100" Type="http://schemas.openxmlformats.org/officeDocument/2006/relationships/ctrlProp" Target="../ctrlProps/ctrlProp556.xml"/><Relationship Id="rId105" Type="http://schemas.openxmlformats.org/officeDocument/2006/relationships/ctrlProp" Target="../ctrlProps/ctrlProp561.xml"/><Relationship Id="rId8" Type="http://schemas.openxmlformats.org/officeDocument/2006/relationships/hyperlink" Target="file:///\\192.168.0.20\DEPARTAMENTOS\Engenharia\0.%20Kaizen%20Diadema\5.%202025\11%20Novembro%20-%205\52%20-%20Kaizen%20Pulm&#227;o.pptx" TargetMode="External"/><Relationship Id="rId51" Type="http://schemas.openxmlformats.org/officeDocument/2006/relationships/ctrlProp" Target="../ctrlProps/ctrlProp507.xml"/><Relationship Id="rId72" Type="http://schemas.openxmlformats.org/officeDocument/2006/relationships/ctrlProp" Target="../ctrlProps/ctrlProp528.xml"/><Relationship Id="rId93" Type="http://schemas.openxmlformats.org/officeDocument/2006/relationships/ctrlProp" Target="../ctrlProps/ctrlProp549.xml"/><Relationship Id="rId98" Type="http://schemas.openxmlformats.org/officeDocument/2006/relationships/ctrlProp" Target="../ctrlProps/ctrlProp554.xml"/><Relationship Id="rId3" Type="http://schemas.openxmlformats.org/officeDocument/2006/relationships/hyperlink" Target="Evid&#234;ncias%20Grupo%20Delga%202026/Evid&#234;ncias%20Delga%20Diadema/00%20Evid&#234;ncia%20An&#225;lise%20de%20Margem/00%20Form%20206%20preenchido%20pela%20Engenharia/VW000581Z_VW000582Z%20-%20Form.206.xlsx" TargetMode="External"/><Relationship Id="rId25" Type="http://schemas.openxmlformats.org/officeDocument/2006/relationships/ctrlProp" Target="../ctrlProps/ctrlProp481.xml"/><Relationship Id="rId46" Type="http://schemas.openxmlformats.org/officeDocument/2006/relationships/ctrlProp" Target="../ctrlProps/ctrlProp502.xml"/><Relationship Id="rId67" Type="http://schemas.openxmlformats.org/officeDocument/2006/relationships/ctrlProp" Target="../ctrlProps/ctrlProp523.xml"/><Relationship Id="rId20" Type="http://schemas.openxmlformats.org/officeDocument/2006/relationships/ctrlProp" Target="../ctrlProps/ctrlProp476.xml"/><Relationship Id="rId41" Type="http://schemas.openxmlformats.org/officeDocument/2006/relationships/ctrlProp" Target="../ctrlProps/ctrlProp497.xml"/><Relationship Id="rId62" Type="http://schemas.openxmlformats.org/officeDocument/2006/relationships/ctrlProp" Target="../ctrlProps/ctrlProp518.xml"/><Relationship Id="rId83" Type="http://schemas.openxmlformats.org/officeDocument/2006/relationships/ctrlProp" Target="../ctrlProps/ctrlProp539.xml"/><Relationship Id="rId88" Type="http://schemas.openxmlformats.org/officeDocument/2006/relationships/ctrlProp" Target="../ctrlProps/ctrlProp544.xml"/></Relationships>
</file>

<file path=xl/worksheets/_rels/sheet14.xml.rels><?xml version="1.0" encoding="UTF-8" standalone="yes"?>
<Relationships xmlns="http://schemas.openxmlformats.org/package/2006/relationships"><Relationship Id="rId26" Type="http://schemas.openxmlformats.org/officeDocument/2006/relationships/hyperlink" Target="https://delgadiadema.sharepoint.com/:x:/s/GestoEstratgica/IQC52EvIoUySTrb58UgpJ7PXAVz23Xxb9EcCgo6SF1HnNkM?e=uhAPmi" TargetMode="External"/><Relationship Id="rId21" Type="http://schemas.openxmlformats.org/officeDocument/2006/relationships/hyperlink" Target="../../../../:x:/r/sites/GestoEstratgica/_layouts/15/Doc.aspx?sourcedoc=%7BFDFD5E91-3120-4F48-AAD1-C304AC2ACC80%7D&amp;file=AUDITORIA%20SDP%20-%2016-03-2026.xlsx&amp;action=default&amp;mobileredirect=true" TargetMode="External"/><Relationship Id="rId42" Type="http://schemas.openxmlformats.org/officeDocument/2006/relationships/ctrlProp" Target="../ctrlProps/ctrlProp568.xml"/><Relationship Id="rId47" Type="http://schemas.openxmlformats.org/officeDocument/2006/relationships/ctrlProp" Target="../ctrlProps/ctrlProp573.xml"/><Relationship Id="rId63" Type="http://schemas.openxmlformats.org/officeDocument/2006/relationships/ctrlProp" Target="../ctrlProps/ctrlProp589.xml"/><Relationship Id="rId68" Type="http://schemas.openxmlformats.org/officeDocument/2006/relationships/ctrlProp" Target="../ctrlProps/ctrlProp594.xml"/><Relationship Id="rId84" Type="http://schemas.openxmlformats.org/officeDocument/2006/relationships/ctrlProp" Target="../ctrlProps/ctrlProp610.xml"/><Relationship Id="rId89" Type="http://schemas.openxmlformats.org/officeDocument/2006/relationships/ctrlProp" Target="../ctrlProps/ctrlProp615.xml"/><Relationship Id="rId16" Type="http://schemas.openxmlformats.org/officeDocument/2006/relationships/hyperlink" Target="file:///\\DDSRVFILE\Rede_Geral\Departamentos\ENGENHARIA\1.1%20Projetos%20de%20redu&#231;&#227;o%20custo\08%20-%20&#193;GUA\08.%20&#193;GUA%20-%20MELHORAR%20A%20EFICI&#202;NCIA%20DO%20CONSUMO%20DE%20&#192;GUA.xlsx" TargetMode="External"/><Relationship Id="rId11" Type="http://schemas.openxmlformats.org/officeDocument/2006/relationships/hyperlink" Target="file:///\\DASRVFILE\Departamentos\ENGENHARIA\1.1%20Projetos%20de%20redu&#231;&#227;o%20custo\09%20-%20ENERGIA%20EL&#201;TRICA\A3%20Projeto%2009%20-%20ENERGIA%20EL&#201;TRICA.xlsx" TargetMode="External"/><Relationship Id="rId32" Type="http://schemas.openxmlformats.org/officeDocument/2006/relationships/hyperlink" Target="https://delgadiadema.sharepoint.com/:x:/s/GestoEstratgica/IQDoovNTHITWTrAq8zyYJ7b4ASoQqmrBCG5h61Id3l-e570?e=fckjWz" TargetMode="External"/><Relationship Id="rId37" Type="http://schemas.openxmlformats.org/officeDocument/2006/relationships/vmlDrawing" Target="../drawings/vmlDrawing6.vml"/><Relationship Id="rId53" Type="http://schemas.openxmlformats.org/officeDocument/2006/relationships/ctrlProp" Target="../ctrlProps/ctrlProp579.xml"/><Relationship Id="rId58" Type="http://schemas.openxmlformats.org/officeDocument/2006/relationships/ctrlProp" Target="../ctrlProps/ctrlProp584.xml"/><Relationship Id="rId74" Type="http://schemas.openxmlformats.org/officeDocument/2006/relationships/ctrlProp" Target="../ctrlProps/ctrlProp600.xml"/><Relationship Id="rId79" Type="http://schemas.openxmlformats.org/officeDocument/2006/relationships/ctrlProp" Target="../ctrlProps/ctrlProp605.xml"/><Relationship Id="rId102" Type="http://schemas.openxmlformats.org/officeDocument/2006/relationships/ctrlProp" Target="../ctrlProps/ctrlProp628.xml"/><Relationship Id="rId5" Type="http://schemas.openxmlformats.org/officeDocument/2006/relationships/hyperlink" Target="file:///\\DASRVFILE\Departamentos\ENGENHARIA\1.1%20Projetos%20de%20redu&#231;&#227;o%20custo\12%20-%20VENDA%20DE%20DESCART&#193;VEIS\A3%20Projeto%2012%20-%20VENDA%20DE%20DESCART&#193;VEIS.xlsx" TargetMode="External"/><Relationship Id="rId90" Type="http://schemas.openxmlformats.org/officeDocument/2006/relationships/ctrlProp" Target="../ctrlProps/ctrlProp616.xml"/><Relationship Id="rId95" Type="http://schemas.openxmlformats.org/officeDocument/2006/relationships/ctrlProp" Target="../ctrlProps/ctrlProp621.xml"/><Relationship Id="rId22" Type="http://schemas.openxmlformats.org/officeDocument/2006/relationships/hyperlink" Target="file:///\\DASRVFILE\Departamentos\ENGENHARIA\1.1%20Projetos%20de%20redu&#231;&#227;o%20custo\13%20-%20CONSUMO%20DE%20MATERIAIS%20DA%20ETE\A3%20Projeto%2013%20-%20CONSUMO%20DE%20MATERIAIS%20DA%20ETE.xlsx" TargetMode="External"/><Relationship Id="rId27" Type="http://schemas.openxmlformats.org/officeDocument/2006/relationships/hyperlink" Target="https://delgadiadema.sharepoint.com/:x:/s/GestoEstratgica/IQBuGupJ2-0CT6MJYJVtotyeAW2Qw_cLZWJO7m2o_EfTrIc?e=icZFTn" TargetMode="External"/><Relationship Id="rId43" Type="http://schemas.openxmlformats.org/officeDocument/2006/relationships/ctrlProp" Target="../ctrlProps/ctrlProp569.xml"/><Relationship Id="rId48" Type="http://schemas.openxmlformats.org/officeDocument/2006/relationships/ctrlProp" Target="../ctrlProps/ctrlProp574.xml"/><Relationship Id="rId64" Type="http://schemas.openxmlformats.org/officeDocument/2006/relationships/ctrlProp" Target="../ctrlProps/ctrlProp590.xml"/><Relationship Id="rId69" Type="http://schemas.openxmlformats.org/officeDocument/2006/relationships/ctrlProp" Target="../ctrlProps/ctrlProp595.xml"/><Relationship Id="rId80" Type="http://schemas.openxmlformats.org/officeDocument/2006/relationships/ctrlProp" Target="../ctrlProps/ctrlProp606.xml"/><Relationship Id="rId85" Type="http://schemas.openxmlformats.org/officeDocument/2006/relationships/ctrlProp" Target="../ctrlProps/ctrlProp611.xml"/><Relationship Id="rId12" Type="http://schemas.openxmlformats.org/officeDocument/2006/relationships/hyperlink" Target="file:///\\DASRVFILE\Departamentos\ENGENHARIA\1.1%20Projetos%20de%20redu&#231;&#227;o%20custo\10%20-%20CONSUMO%20PERNA%20DE%20MO&#199;A\A3%20Projeto%2010%20-%20CONSUMO%20PERNA%20DE%20MO&#199;A.xlsx" TargetMode="External"/><Relationship Id="rId17" Type="http://schemas.openxmlformats.org/officeDocument/2006/relationships/hyperlink" Target="file:///\\DDSRVFILE\Rede_Geral\Departamentos\ENGENHARIA\1.1%20Projetos%20de%20redu&#231;&#227;o%20custo\09%20-%20ENERGIA%20EL&#201;TRICA\A3%20Projeto%2009%20-%20MELHORAR%20A%20EFICI&#202;NCIA%20DO%20CONSUMO%20DA%20ENERGIA%20EL&#201;TRICA.xlsx" TargetMode="External"/><Relationship Id="rId33" Type="http://schemas.openxmlformats.org/officeDocument/2006/relationships/hyperlink" Target="https://delgadiadema.sharepoint.com/:x:/s/GestoEstratgica/IQDCzmkRPPNdSbo_2ohx4euhAaV7ya7HdX8dr27b4ORrc-A?e=yhBxWf" TargetMode="External"/><Relationship Id="rId38" Type="http://schemas.openxmlformats.org/officeDocument/2006/relationships/ctrlProp" Target="../ctrlProps/ctrlProp564.xml"/><Relationship Id="rId59" Type="http://schemas.openxmlformats.org/officeDocument/2006/relationships/ctrlProp" Target="../ctrlProps/ctrlProp585.xml"/><Relationship Id="rId103" Type="http://schemas.openxmlformats.org/officeDocument/2006/relationships/table" Target="../tables/table6.xml"/><Relationship Id="rId20" Type="http://schemas.openxmlformats.org/officeDocument/2006/relationships/hyperlink" Target="file:///\\DASRVFILE\Departamentos\ENGENHARIA\1.1%20Projetos%20de%20redu&#231;&#227;o%20custo\03%20-%20PRODUTOS%20QU&#205;MICOS%20KTL\A3%20Projeto%2003%20-%20PRODUTOS%20QU&#205;MICOS%20KTL.xlsx" TargetMode="External"/><Relationship Id="rId41" Type="http://schemas.openxmlformats.org/officeDocument/2006/relationships/ctrlProp" Target="../ctrlProps/ctrlProp567.xml"/><Relationship Id="rId54" Type="http://schemas.openxmlformats.org/officeDocument/2006/relationships/ctrlProp" Target="../ctrlProps/ctrlProp580.xml"/><Relationship Id="rId62" Type="http://schemas.openxmlformats.org/officeDocument/2006/relationships/ctrlProp" Target="../ctrlProps/ctrlProp588.xml"/><Relationship Id="rId70" Type="http://schemas.openxmlformats.org/officeDocument/2006/relationships/ctrlProp" Target="../ctrlProps/ctrlProp596.xml"/><Relationship Id="rId75" Type="http://schemas.openxmlformats.org/officeDocument/2006/relationships/ctrlProp" Target="../ctrlProps/ctrlProp601.xml"/><Relationship Id="rId83" Type="http://schemas.openxmlformats.org/officeDocument/2006/relationships/ctrlProp" Target="../ctrlProps/ctrlProp609.xml"/><Relationship Id="rId88" Type="http://schemas.openxmlformats.org/officeDocument/2006/relationships/ctrlProp" Target="../ctrlProps/ctrlProp614.xml"/><Relationship Id="rId91" Type="http://schemas.openxmlformats.org/officeDocument/2006/relationships/ctrlProp" Target="../ctrlProps/ctrlProp617.xml"/><Relationship Id="rId96" Type="http://schemas.openxmlformats.org/officeDocument/2006/relationships/ctrlProp" Target="../ctrlProps/ctrlProp622.xml"/><Relationship Id="rId1" Type="http://schemas.openxmlformats.org/officeDocument/2006/relationships/hyperlink" Target="file:///\\DASRVFILE\Departamentos\ENGENHARIA\1.1%20Projetos%20de%20redu&#231;&#227;o%20custo\01%20-%20VENDA%20DE%20ATIVOS\A3%20Projeto%2001%20-%20VENDA%20DE%20ATIVOS.xlsx" TargetMode="External"/><Relationship Id="rId6" Type="http://schemas.openxmlformats.org/officeDocument/2006/relationships/hyperlink" Target="file:///\\DASRVFILE\Departamentos\ENGENHARIA\1.1%20Projetos%20de%20redu&#231;&#227;o%20custo\13%20-%20CONSUMO%20DE%20MATERIAIS%20DA%20ETE\A3%20Projeto%2013%20-%20CONSUMO%20DE%20MATERIAIS%20DA%20ETE.xlsx" TargetMode="External"/><Relationship Id="rId15" Type="http://schemas.openxmlformats.org/officeDocument/2006/relationships/hyperlink" Target="file:///\\DDSRVFILE01\Rede_Geral\Departamentos\ENGENHARIA\1.1%20Projetos%20de%20redu&#231;&#227;o%20custo\07%20-%20CONSUMO%20DE%20EPI%20e%20SERVI&#199;OS\A3%20Projeto%2007%20-%20CONSUMO%20DE%20EPI%20e%20SERVI&#199;OS_Feveiro2026.xlsx" TargetMode="External"/><Relationship Id="rId23" Type="http://schemas.openxmlformats.org/officeDocument/2006/relationships/hyperlink" Target="https://delgadiadema.sharepoint.com/:x:/s/GestoEstratgica/IQBkBXXBLbrPRodQEfQ5o7h3AaN0OKBnbNza3RgfiUOIYfc?e=hf6ibc" TargetMode="External"/><Relationship Id="rId28" Type="http://schemas.openxmlformats.org/officeDocument/2006/relationships/hyperlink" Target="https://delgadiadema.sharepoint.com/:x:/s/GestoEstratgica/IQBfWpjL1wiwQo8dHQbObYYWAbv49memCm32tTXrYs1PZh8?e=0yfHDl" TargetMode="External"/><Relationship Id="rId36" Type="http://schemas.openxmlformats.org/officeDocument/2006/relationships/drawing" Target="../drawings/drawing10.xml"/><Relationship Id="rId49" Type="http://schemas.openxmlformats.org/officeDocument/2006/relationships/ctrlProp" Target="../ctrlProps/ctrlProp575.xml"/><Relationship Id="rId57" Type="http://schemas.openxmlformats.org/officeDocument/2006/relationships/ctrlProp" Target="../ctrlProps/ctrlProp583.xml"/><Relationship Id="rId10" Type="http://schemas.openxmlformats.org/officeDocument/2006/relationships/hyperlink" Target="file:///\\DASRVFILE\Departamentos\ENGENHARIA\1.1%20Projetos%20de%20redu&#231;&#227;o%20custo\08%20-%20&#193;GUA\A3%20Projeto%2008%20-%20&#193;GUA.xlsx" TargetMode="External"/><Relationship Id="rId31" Type="http://schemas.openxmlformats.org/officeDocument/2006/relationships/hyperlink" Target="https://delgadiadema.sharepoint.com/:x:/s/GestoEstratgica/IQBvPE_rU4SVRK6VTBH1BcoKAaseST6TXEvmoAOBmvpAE98?e=svxpD3" TargetMode="External"/><Relationship Id="rId44" Type="http://schemas.openxmlformats.org/officeDocument/2006/relationships/ctrlProp" Target="../ctrlProps/ctrlProp570.xml"/><Relationship Id="rId52" Type="http://schemas.openxmlformats.org/officeDocument/2006/relationships/ctrlProp" Target="../ctrlProps/ctrlProp578.xml"/><Relationship Id="rId60" Type="http://schemas.openxmlformats.org/officeDocument/2006/relationships/ctrlProp" Target="../ctrlProps/ctrlProp586.xml"/><Relationship Id="rId65" Type="http://schemas.openxmlformats.org/officeDocument/2006/relationships/ctrlProp" Target="../ctrlProps/ctrlProp591.xml"/><Relationship Id="rId73" Type="http://schemas.openxmlformats.org/officeDocument/2006/relationships/ctrlProp" Target="../ctrlProps/ctrlProp599.xml"/><Relationship Id="rId78" Type="http://schemas.openxmlformats.org/officeDocument/2006/relationships/ctrlProp" Target="../ctrlProps/ctrlProp604.xml"/><Relationship Id="rId81" Type="http://schemas.openxmlformats.org/officeDocument/2006/relationships/ctrlProp" Target="../ctrlProps/ctrlProp607.xml"/><Relationship Id="rId86" Type="http://schemas.openxmlformats.org/officeDocument/2006/relationships/ctrlProp" Target="../ctrlProps/ctrlProp612.xml"/><Relationship Id="rId94" Type="http://schemas.openxmlformats.org/officeDocument/2006/relationships/ctrlProp" Target="../ctrlProps/ctrlProp620.xml"/><Relationship Id="rId99" Type="http://schemas.openxmlformats.org/officeDocument/2006/relationships/ctrlProp" Target="../ctrlProps/ctrlProp625.xml"/><Relationship Id="rId101" Type="http://schemas.openxmlformats.org/officeDocument/2006/relationships/ctrlProp" Target="../ctrlProps/ctrlProp627.xml"/><Relationship Id="rId4" Type="http://schemas.openxmlformats.org/officeDocument/2006/relationships/hyperlink" Target="file:///\\DASRVFILE\Departamentos\ENGENHARIA\1.1%20Projetos%20de%20redu&#231;&#227;o%20custo\04%20-%20G&#193;S\A3%20Projeto%2004%20-%20G&#193;S.xlsx" TargetMode="External"/><Relationship Id="rId9" Type="http://schemas.openxmlformats.org/officeDocument/2006/relationships/hyperlink" Target="file:///\\DASRVFILE\Departamentos\ENGENHARIA\1.1%20Projetos%20de%20redu&#231;&#227;o%20custo\07%20-%20CONSUMO%20DE%20EPI%20e%20SERVI&#199;OS\A3%20Projeto%2007%20-%20CONSUMO%20DE%20EPI%20e%20SERVI&#199;OS.xlsx" TargetMode="External"/><Relationship Id="rId13" Type="http://schemas.openxmlformats.org/officeDocument/2006/relationships/hyperlink" Target="file:///\\DASRVFILE\Departamentos\ENGENHARIA\1.1%20Projetos%20de%20redu&#231;&#227;o%20custo\11%20-%20WORKSHOP%20LIXAMENTO%20DD%20%20DF\A3%20Projeto%2011%20-%20WORKSHOP%20LIXAMENTO%20DD%20%20DF.xlsx" TargetMode="External"/><Relationship Id="rId18" Type="http://schemas.openxmlformats.org/officeDocument/2006/relationships/hyperlink" Target="file:///\\DDSRVFILE\Rede_Geral\Departamentos\ENGENHARIA\1.1%20Projetos%20de%20redu&#231;&#227;o%20custo\10%20-%20CONSUMO%20PERNA%20DE%20MO&#199;A\A3%20-%2010.%20CONSUMO%20PERNA%20DE%20MO&#199;A.xlsx" TargetMode="External"/><Relationship Id="rId39" Type="http://schemas.openxmlformats.org/officeDocument/2006/relationships/ctrlProp" Target="../ctrlProps/ctrlProp565.xml"/><Relationship Id="rId34" Type="http://schemas.openxmlformats.org/officeDocument/2006/relationships/hyperlink" Target="https://delgadiadema.sharepoint.com/:x:/s/GestoEstratgica/IQA2Dx1JPCA9S7OEwx_IiDqqARJzN9KW8Wyw6CMrDHHVdls?e=HlRS2s" TargetMode="External"/><Relationship Id="rId50" Type="http://schemas.openxmlformats.org/officeDocument/2006/relationships/ctrlProp" Target="../ctrlProps/ctrlProp576.xml"/><Relationship Id="rId55" Type="http://schemas.openxmlformats.org/officeDocument/2006/relationships/ctrlProp" Target="../ctrlProps/ctrlProp581.xml"/><Relationship Id="rId76" Type="http://schemas.openxmlformats.org/officeDocument/2006/relationships/ctrlProp" Target="../ctrlProps/ctrlProp602.xml"/><Relationship Id="rId97" Type="http://schemas.openxmlformats.org/officeDocument/2006/relationships/ctrlProp" Target="../ctrlProps/ctrlProp623.xml"/><Relationship Id="rId104" Type="http://schemas.openxmlformats.org/officeDocument/2006/relationships/comments" Target="../comments6.xml"/><Relationship Id="rId7" Type="http://schemas.openxmlformats.org/officeDocument/2006/relationships/hyperlink" Target="file:///\\DASRVFILE\Departamentos\ENGENHARIA\1.1%20Projetos%20de%20redu&#231;&#227;o%20custo\05%20-%20REDU&#199;&#195;O%20DE%20FRETE\A3%20Projeto%2005%20-%20REDU&#199;&#195;O%20DE%20FRETE.xlsx" TargetMode="External"/><Relationship Id="rId71" Type="http://schemas.openxmlformats.org/officeDocument/2006/relationships/ctrlProp" Target="../ctrlProps/ctrlProp597.xml"/><Relationship Id="rId92" Type="http://schemas.openxmlformats.org/officeDocument/2006/relationships/ctrlProp" Target="../ctrlProps/ctrlProp618.xml"/><Relationship Id="rId2" Type="http://schemas.openxmlformats.org/officeDocument/2006/relationships/hyperlink" Target="file:///\\DASRVFILE\Departamentos\ENGENHARIA\1.1%20Projetos%20de%20redu&#231;&#227;o%20custo\02%20-%20TANQUE%20DE%20DECAPAGEM\A3%20Projeto%2002%20-%20TANQUE%20DE%20DECAPAGEM.xlsx" TargetMode="External"/><Relationship Id="rId29" Type="http://schemas.openxmlformats.org/officeDocument/2006/relationships/hyperlink" Target="https://delgadiadema.sharepoint.com/:x:/s/GestoEstratgica/IQB2PjXGTX6NRIIYUfzik9jGAQ9hD-lHZT1Ok1ryu1WpMNs?e=C3Xgv1" TargetMode="External"/><Relationship Id="rId24" Type="http://schemas.openxmlformats.org/officeDocument/2006/relationships/hyperlink" Target="https://delgadiadema.sharepoint.com/:x:/s/GestoEstratgica/IQCkBAVm0CseQ56f8FUaa_GGASpmZhys1hVN5mKQ4FC7L1s?e=X6oski" TargetMode="External"/><Relationship Id="rId40" Type="http://schemas.openxmlformats.org/officeDocument/2006/relationships/ctrlProp" Target="../ctrlProps/ctrlProp566.xml"/><Relationship Id="rId45" Type="http://schemas.openxmlformats.org/officeDocument/2006/relationships/ctrlProp" Target="../ctrlProps/ctrlProp571.xml"/><Relationship Id="rId66" Type="http://schemas.openxmlformats.org/officeDocument/2006/relationships/ctrlProp" Target="../ctrlProps/ctrlProp592.xml"/><Relationship Id="rId87" Type="http://schemas.openxmlformats.org/officeDocument/2006/relationships/ctrlProp" Target="../ctrlProps/ctrlProp613.xml"/><Relationship Id="rId61" Type="http://schemas.openxmlformats.org/officeDocument/2006/relationships/ctrlProp" Target="../ctrlProps/ctrlProp587.xml"/><Relationship Id="rId82" Type="http://schemas.openxmlformats.org/officeDocument/2006/relationships/ctrlProp" Target="../ctrlProps/ctrlProp608.xml"/><Relationship Id="rId19" Type="http://schemas.openxmlformats.org/officeDocument/2006/relationships/hyperlink" Target="file:///\\DASRVFILE\Departamentos\ENGENHARIA\1.1%20Projetos%20de%20redu&#231;&#227;o%20custo\01%20-%20VENDA%20DE%20ATIVOS\A3%20Projeto%2001%20-%20VENDA%20DE%20ATIVOS.xlsx" TargetMode="External"/><Relationship Id="rId14" Type="http://schemas.openxmlformats.org/officeDocument/2006/relationships/hyperlink" Target="file:///\\DDSRVFILE01\Rede_Geral\Departamentos\ENGENHARIA\1.1%20Projetos%20de%20redu&#231;&#227;o%20custo\04%20-%20G&#193;S\A3%20Projeto%2004%20-%20Projeto%20de%20efici&#234;ncia%20do%20G&#225;s.xlsx" TargetMode="External"/><Relationship Id="rId30" Type="http://schemas.openxmlformats.org/officeDocument/2006/relationships/hyperlink" Target="https://delgadiadema.sharepoint.com/:x:/s/GestoEstratgica/IQB9NXblLQ1qR4Q2fJ-euF_sAS-Tr9yZa-9VDgVewc2ru1I?e=pvd6m1" TargetMode="External"/><Relationship Id="rId35" Type="http://schemas.openxmlformats.org/officeDocument/2006/relationships/printerSettings" Target="../printerSettings/printerSettings6.bin"/><Relationship Id="rId56" Type="http://schemas.openxmlformats.org/officeDocument/2006/relationships/ctrlProp" Target="../ctrlProps/ctrlProp582.xml"/><Relationship Id="rId77" Type="http://schemas.openxmlformats.org/officeDocument/2006/relationships/ctrlProp" Target="../ctrlProps/ctrlProp603.xml"/><Relationship Id="rId100" Type="http://schemas.openxmlformats.org/officeDocument/2006/relationships/ctrlProp" Target="../ctrlProps/ctrlProp626.xml"/><Relationship Id="rId105" Type="http://schemas.microsoft.com/office/2017/10/relationships/threadedComment" Target="../threadedComments/threadedComment6.xml"/><Relationship Id="rId8" Type="http://schemas.openxmlformats.org/officeDocument/2006/relationships/hyperlink" Target="file:///\\DASRVFILE\Departamentos\ENGENHARIA\1.1%20Projetos%20de%20redu&#231;&#227;o%20custo\06%20-%20CONSUMO%20DE%20TINTA%20P&#211;\A3%20Projeto%2006%20-%20CONSUMO%20DE%20TINTA%20P&#211;.xlsx" TargetMode="External"/><Relationship Id="rId51" Type="http://schemas.openxmlformats.org/officeDocument/2006/relationships/ctrlProp" Target="../ctrlProps/ctrlProp577.xml"/><Relationship Id="rId72" Type="http://schemas.openxmlformats.org/officeDocument/2006/relationships/ctrlProp" Target="../ctrlProps/ctrlProp598.xml"/><Relationship Id="rId93" Type="http://schemas.openxmlformats.org/officeDocument/2006/relationships/ctrlProp" Target="../ctrlProps/ctrlProp619.xml"/><Relationship Id="rId98" Type="http://schemas.openxmlformats.org/officeDocument/2006/relationships/ctrlProp" Target="../ctrlProps/ctrlProp624.xml"/><Relationship Id="rId3" Type="http://schemas.openxmlformats.org/officeDocument/2006/relationships/hyperlink" Target="file:///\\DASRVFILE\Departamentos\ENGENHARIA\1.1%20Projetos%20de%20redu&#231;&#227;o%20custo\03%20-%20PRODUTOS%20QU&#205;MICOS%20KTL\A3%20Projeto%2003%20-%20PRODUTOS%20QU&#205;MICOS%20KTL.xlsx" TargetMode="External"/><Relationship Id="rId25" Type="http://schemas.openxmlformats.org/officeDocument/2006/relationships/hyperlink" Target="https://delgadiadema.sharepoint.com/:x:/s/GestoEstratgica/IQDTTYm0l057RYdZjn6xmq61AeXithrSYzFsorcO8fQ2dq0?e=ThwdnF" TargetMode="External"/><Relationship Id="rId46" Type="http://schemas.openxmlformats.org/officeDocument/2006/relationships/ctrlProp" Target="../ctrlProps/ctrlProp572.xml"/><Relationship Id="rId67" Type="http://schemas.openxmlformats.org/officeDocument/2006/relationships/ctrlProp" Target="../ctrlProps/ctrlProp593.xml"/></Relationships>
</file>

<file path=xl/worksheets/_rels/sheet15.xml.rels><?xml version="1.0" encoding="UTF-8" standalone="yes"?>
<Relationships xmlns="http://schemas.openxmlformats.org/package/2006/relationships"><Relationship Id="rId117" Type="http://schemas.openxmlformats.org/officeDocument/2006/relationships/ctrlProp" Target="../ctrlProps/ctrlProp691.xml"/><Relationship Id="rId21" Type="http://schemas.openxmlformats.org/officeDocument/2006/relationships/hyperlink" Target="file:///\\DDSRVFILE\Rede_Geral\Deptos\Compras\GESTAO%20DEPARTAMENTO%20SUPRIMENTOS\27-PROJETOS\EF0325\EF0325_Novos%20Modelos%20Planos%20M&#233;dicos.xlsx" TargetMode="External"/><Relationship Id="rId42" Type="http://schemas.openxmlformats.org/officeDocument/2006/relationships/hyperlink" Target="file:///\\DDSRVFILE01\Departamentos\Compras\GESTAO%20DEPARTAMENTO%20SUPRIMENTOS\27-PROJETOS\DN0726\DN0726%20-Negocia&#231;&#227;o%20TCC00690-691.xlsx" TargetMode="External"/><Relationship Id="rId63" Type="http://schemas.openxmlformats.org/officeDocument/2006/relationships/ctrlProp" Target="../ctrlProps/ctrlProp637.xml"/><Relationship Id="rId84" Type="http://schemas.openxmlformats.org/officeDocument/2006/relationships/ctrlProp" Target="../ctrlProps/ctrlProp658.xml"/><Relationship Id="rId138" Type="http://schemas.openxmlformats.org/officeDocument/2006/relationships/ctrlProp" Target="../ctrlProps/ctrlProp712.xml"/><Relationship Id="rId159" Type="http://schemas.openxmlformats.org/officeDocument/2006/relationships/ctrlProp" Target="../ctrlProps/ctrlProp733.xml"/><Relationship Id="rId170" Type="http://schemas.openxmlformats.org/officeDocument/2006/relationships/ctrlProp" Target="../ctrlProps/ctrlProp744.xml"/><Relationship Id="rId191" Type="http://schemas.openxmlformats.org/officeDocument/2006/relationships/ctrlProp" Target="../ctrlProps/ctrlProp765.xml"/><Relationship Id="rId205" Type="http://schemas.openxmlformats.org/officeDocument/2006/relationships/ctrlProp" Target="../ctrlProps/ctrlProp779.xml"/><Relationship Id="rId226" Type="http://schemas.openxmlformats.org/officeDocument/2006/relationships/ctrlProp" Target="../ctrlProps/ctrlProp800.xml"/><Relationship Id="rId107" Type="http://schemas.openxmlformats.org/officeDocument/2006/relationships/ctrlProp" Target="../ctrlProps/ctrlProp681.xml"/><Relationship Id="rId11" Type="http://schemas.openxmlformats.org/officeDocument/2006/relationships/hyperlink" Target="file:///\\DDSRVFILE\Rede_Geral\Deptos\Compras\GESTAO%20DEPARTAMENTO%20SUPRIMENTOS\27-PROJETOS\JE0326\JE0326%20-%20Troca%20fornecedor%20decapagem%20gancheiras.xlsx" TargetMode="External"/><Relationship Id="rId32" Type="http://schemas.openxmlformats.org/officeDocument/2006/relationships/hyperlink" Target="file:///\\DDSRVFILE\Rede_Geral\Deptos\Compras\GESTAO%20DEPARTAMENTO%20SUPRIMENTOS\27-PROJETOS\CR0125\CR0125-Renegocia&#231;&#227;o%20CG%20-%20DANA.xlsx" TargetMode="External"/><Relationship Id="rId53" Type="http://schemas.openxmlformats.org/officeDocument/2006/relationships/drawing" Target="../drawings/drawing11.xml"/><Relationship Id="rId74" Type="http://schemas.openxmlformats.org/officeDocument/2006/relationships/ctrlProp" Target="../ctrlProps/ctrlProp648.xml"/><Relationship Id="rId128" Type="http://schemas.openxmlformats.org/officeDocument/2006/relationships/ctrlProp" Target="../ctrlProps/ctrlProp702.xml"/><Relationship Id="rId149" Type="http://schemas.openxmlformats.org/officeDocument/2006/relationships/ctrlProp" Target="../ctrlProps/ctrlProp723.xml"/><Relationship Id="rId5" Type="http://schemas.openxmlformats.org/officeDocument/2006/relationships/hyperlink" Target="file:///\\DDSRVFILE\Rede_Geral\Deptos\Compras\GESTAO%20DEPARTAMENTO%20SUPRIMENTOS\27-PROJETOS\DN1525\DN1525%20-%20Resourcing%20Tubos%20Mercante%20para%20Cartec.xlsx" TargetMode="External"/><Relationship Id="rId95" Type="http://schemas.openxmlformats.org/officeDocument/2006/relationships/ctrlProp" Target="../ctrlProps/ctrlProp669.xml"/><Relationship Id="rId160" Type="http://schemas.openxmlformats.org/officeDocument/2006/relationships/ctrlProp" Target="../ctrlProps/ctrlProp734.xml"/><Relationship Id="rId181" Type="http://schemas.openxmlformats.org/officeDocument/2006/relationships/ctrlProp" Target="../ctrlProps/ctrlProp755.xml"/><Relationship Id="rId216" Type="http://schemas.openxmlformats.org/officeDocument/2006/relationships/ctrlProp" Target="../ctrlProps/ctrlProp790.xml"/><Relationship Id="rId22" Type="http://schemas.openxmlformats.org/officeDocument/2006/relationships/hyperlink" Target="file:///\\DDSRVFILE\Rede_Geral\Deptos\Compras\GESTAO%20DEPARTAMENTO%20SUPRIMENTOS\27-PROJETOS\JE0426\JE0426%20-%20Fornecimento%20arame%20de%20solda%20China.xlsx" TargetMode="External"/><Relationship Id="rId43" Type="http://schemas.openxmlformats.org/officeDocument/2006/relationships/hyperlink" Target="file:///\\DDSRVFILE01\Departamentos\Compras\GESTAO%20DEPARTAMENTO%20SUPRIMENTOS\27-PROJETOS\TS0226\TS0226-Compressores.xlsx" TargetMode="External"/><Relationship Id="rId64" Type="http://schemas.openxmlformats.org/officeDocument/2006/relationships/ctrlProp" Target="../ctrlProps/ctrlProp638.xml"/><Relationship Id="rId118" Type="http://schemas.openxmlformats.org/officeDocument/2006/relationships/ctrlProp" Target="../ctrlProps/ctrlProp692.xml"/><Relationship Id="rId139" Type="http://schemas.openxmlformats.org/officeDocument/2006/relationships/ctrlProp" Target="../ctrlProps/ctrlProp713.xml"/><Relationship Id="rId85" Type="http://schemas.openxmlformats.org/officeDocument/2006/relationships/ctrlProp" Target="../ctrlProps/ctrlProp659.xml"/><Relationship Id="rId150" Type="http://schemas.openxmlformats.org/officeDocument/2006/relationships/ctrlProp" Target="../ctrlProps/ctrlProp724.xml"/><Relationship Id="rId171" Type="http://schemas.openxmlformats.org/officeDocument/2006/relationships/ctrlProp" Target="../ctrlProps/ctrlProp745.xml"/><Relationship Id="rId192" Type="http://schemas.openxmlformats.org/officeDocument/2006/relationships/ctrlProp" Target="../ctrlProps/ctrlProp766.xml"/><Relationship Id="rId206" Type="http://schemas.openxmlformats.org/officeDocument/2006/relationships/ctrlProp" Target="../ctrlProps/ctrlProp780.xml"/><Relationship Id="rId227" Type="http://schemas.openxmlformats.org/officeDocument/2006/relationships/ctrlProp" Target="../ctrlProps/ctrlProp801.xml"/><Relationship Id="rId12" Type="http://schemas.openxmlformats.org/officeDocument/2006/relationships/hyperlink" Target="file:///\\DDSRVFILE\Rede_Geral\Deptos\Compras\GESTAO%20DEPARTAMENTO%20SUPRIMENTOS\27-PROJETOS\JE0325\JE0325%20-%20Abrasivos%20Curva%20A%20Ferraz.xlsx" TargetMode="External"/><Relationship Id="rId33" Type="http://schemas.openxmlformats.org/officeDocument/2006/relationships/hyperlink" Target="file:///\\DDSRVFILE\departamentos\Compras\GESTAO%20DEPARTAMENTO%20SUPRIMENTOS\27-PROJETOS\EF0326\EF0326_Energia%20eletrica.xlsx" TargetMode="External"/><Relationship Id="rId108" Type="http://schemas.openxmlformats.org/officeDocument/2006/relationships/ctrlProp" Target="../ctrlProps/ctrlProp682.xml"/><Relationship Id="rId129" Type="http://schemas.openxmlformats.org/officeDocument/2006/relationships/ctrlProp" Target="../ctrlProps/ctrlProp703.xml"/><Relationship Id="rId54" Type="http://schemas.openxmlformats.org/officeDocument/2006/relationships/vmlDrawing" Target="../drawings/vmlDrawing7.vml"/><Relationship Id="rId75" Type="http://schemas.openxmlformats.org/officeDocument/2006/relationships/ctrlProp" Target="../ctrlProps/ctrlProp649.xml"/><Relationship Id="rId96" Type="http://schemas.openxmlformats.org/officeDocument/2006/relationships/ctrlProp" Target="../ctrlProps/ctrlProp670.xml"/><Relationship Id="rId140" Type="http://schemas.openxmlformats.org/officeDocument/2006/relationships/ctrlProp" Target="../ctrlProps/ctrlProp714.xml"/><Relationship Id="rId161" Type="http://schemas.openxmlformats.org/officeDocument/2006/relationships/ctrlProp" Target="../ctrlProps/ctrlProp735.xml"/><Relationship Id="rId182" Type="http://schemas.openxmlformats.org/officeDocument/2006/relationships/ctrlProp" Target="../ctrlProps/ctrlProp756.xml"/><Relationship Id="rId217" Type="http://schemas.openxmlformats.org/officeDocument/2006/relationships/ctrlProp" Target="../ctrlProps/ctrlProp791.xml"/><Relationship Id="rId6" Type="http://schemas.openxmlformats.org/officeDocument/2006/relationships/hyperlink" Target="file:///\\DDSRVFILE\Rede_Geral\Deptos\Compras\GESTAO%20DEPARTAMENTO%20SUPRIMENTOS\27-PROJETOS\VH0125\VH0125-Gonvarri%20itens%20Usiminas.xlsx" TargetMode="External"/><Relationship Id="rId23" Type="http://schemas.openxmlformats.org/officeDocument/2006/relationships/hyperlink" Target="file:///\\DDSRVFILE\Rede_Geral\Deptos\Compras\GESTAO%20DEPARTAMENTO%20SUPRIMENTOS\27-PROJETOS\JE0625\JE0625%20-%20Unifica&#231;&#227;o%20&#243;leos%20de%20processo.xlsx" TargetMode="External"/><Relationship Id="rId119" Type="http://schemas.openxmlformats.org/officeDocument/2006/relationships/ctrlProp" Target="../ctrlProps/ctrlProp693.xml"/><Relationship Id="rId44" Type="http://schemas.openxmlformats.org/officeDocument/2006/relationships/hyperlink" Target="file:///\\DSSRVFILE\Rede_Geral\Deptos\Compras\GESTAO%20DEPARTAMENTO%20SUPRIMENTOS\27-PROJETOS\DN0226\DN0226%20-%20Negocia&#231;&#227;o%20Mercante%20(Corte%20a%20Laser).xlsx" TargetMode="External"/><Relationship Id="rId65" Type="http://schemas.openxmlformats.org/officeDocument/2006/relationships/ctrlProp" Target="../ctrlProps/ctrlProp639.xml"/><Relationship Id="rId86" Type="http://schemas.openxmlformats.org/officeDocument/2006/relationships/ctrlProp" Target="../ctrlProps/ctrlProp660.xml"/><Relationship Id="rId130" Type="http://schemas.openxmlformats.org/officeDocument/2006/relationships/ctrlProp" Target="../ctrlProps/ctrlProp704.xml"/><Relationship Id="rId151" Type="http://schemas.openxmlformats.org/officeDocument/2006/relationships/ctrlProp" Target="../ctrlProps/ctrlProp725.xml"/><Relationship Id="rId172" Type="http://schemas.openxmlformats.org/officeDocument/2006/relationships/ctrlProp" Target="../ctrlProps/ctrlProp746.xml"/><Relationship Id="rId193" Type="http://schemas.openxmlformats.org/officeDocument/2006/relationships/ctrlProp" Target="../ctrlProps/ctrlProp767.xml"/><Relationship Id="rId207" Type="http://schemas.openxmlformats.org/officeDocument/2006/relationships/ctrlProp" Target="../ctrlProps/ctrlProp781.xml"/><Relationship Id="rId228" Type="http://schemas.openxmlformats.org/officeDocument/2006/relationships/ctrlProp" Target="../ctrlProps/ctrlProp802.xml"/><Relationship Id="rId13" Type="http://schemas.openxmlformats.org/officeDocument/2006/relationships/hyperlink" Target="file:///\\192.168.0.20\departamentos\Compras\GESTAO%20DEPARTAMENTO%20SUPRIMENTOS\27-PROJETOS\EF0226\EF00226_%20MO.xlsx" TargetMode="External"/><Relationship Id="rId109" Type="http://schemas.openxmlformats.org/officeDocument/2006/relationships/ctrlProp" Target="../ctrlProps/ctrlProp683.xml"/><Relationship Id="rId34" Type="http://schemas.openxmlformats.org/officeDocument/2006/relationships/hyperlink" Target="file:///\\DDSRVFILE\Rede_Geral\Deptos\Compras\GESTAO%20DEPARTAMENTO%20SUPRIMENTOS\27-PROJETOS\VH0126\VH0126-Ex%20tarif&#225;rio%20SAGA.xlsx" TargetMode="External"/><Relationship Id="rId55" Type="http://schemas.openxmlformats.org/officeDocument/2006/relationships/ctrlProp" Target="../ctrlProps/ctrlProp629.xml"/><Relationship Id="rId76" Type="http://schemas.openxmlformats.org/officeDocument/2006/relationships/ctrlProp" Target="../ctrlProps/ctrlProp650.xml"/><Relationship Id="rId97" Type="http://schemas.openxmlformats.org/officeDocument/2006/relationships/ctrlProp" Target="../ctrlProps/ctrlProp671.xml"/><Relationship Id="rId120" Type="http://schemas.openxmlformats.org/officeDocument/2006/relationships/ctrlProp" Target="../ctrlProps/ctrlProp694.xml"/><Relationship Id="rId141" Type="http://schemas.openxmlformats.org/officeDocument/2006/relationships/ctrlProp" Target="../ctrlProps/ctrlProp715.xml"/><Relationship Id="rId7" Type="http://schemas.openxmlformats.org/officeDocument/2006/relationships/hyperlink" Target="file:///\\DDSRVFILE\Rede_Geral\Deptos\Compras\GESTAO%20DEPARTAMENTO%20SUPRIMENTOS\27-PROJETOS\DN0625\DN625%20-%20RESOURCING%20ITENS%20PARA%20WURTH.xlsx" TargetMode="External"/><Relationship Id="rId162" Type="http://schemas.openxmlformats.org/officeDocument/2006/relationships/ctrlProp" Target="../ctrlProps/ctrlProp736.xml"/><Relationship Id="rId183" Type="http://schemas.openxmlformats.org/officeDocument/2006/relationships/ctrlProp" Target="../ctrlProps/ctrlProp757.xml"/><Relationship Id="rId218" Type="http://schemas.openxmlformats.org/officeDocument/2006/relationships/ctrlProp" Target="../ctrlProps/ctrlProp792.xml"/><Relationship Id="rId24" Type="http://schemas.openxmlformats.org/officeDocument/2006/relationships/hyperlink" Target="file:///\\DDSRVFILE\Rede_Geral\Deptos\Compras\GESTAO%20DEPARTAMENTO%20SUPRIMENTOS\27-PROJETOS\JE0725\JE0725%20-%20PR%20Carimbos.xlsx" TargetMode="External"/><Relationship Id="rId45" Type="http://schemas.openxmlformats.org/officeDocument/2006/relationships/hyperlink" Target="file:///\\DSSRVFILE\Rede_Geral\Deptos\Compras\GESTAO%20DEPARTAMENTO%20SUPRIMENTOS\27-PROJETOS\JE0526\JE0526%20-%20BID%20Fita%20Alta%20Temp%203M%20+%20Anti-Slip%203M.xlsx" TargetMode="External"/><Relationship Id="rId66" Type="http://schemas.openxmlformats.org/officeDocument/2006/relationships/ctrlProp" Target="../ctrlProps/ctrlProp640.xml"/><Relationship Id="rId87" Type="http://schemas.openxmlformats.org/officeDocument/2006/relationships/ctrlProp" Target="../ctrlProps/ctrlProp661.xml"/><Relationship Id="rId110" Type="http://schemas.openxmlformats.org/officeDocument/2006/relationships/ctrlProp" Target="../ctrlProps/ctrlProp684.xml"/><Relationship Id="rId131" Type="http://schemas.openxmlformats.org/officeDocument/2006/relationships/ctrlProp" Target="../ctrlProps/ctrlProp705.xml"/><Relationship Id="rId152" Type="http://schemas.openxmlformats.org/officeDocument/2006/relationships/ctrlProp" Target="../ctrlProps/ctrlProp726.xml"/><Relationship Id="rId173" Type="http://schemas.openxmlformats.org/officeDocument/2006/relationships/ctrlProp" Target="../ctrlProps/ctrlProp747.xml"/><Relationship Id="rId194" Type="http://schemas.openxmlformats.org/officeDocument/2006/relationships/ctrlProp" Target="../ctrlProps/ctrlProp768.xml"/><Relationship Id="rId208" Type="http://schemas.openxmlformats.org/officeDocument/2006/relationships/ctrlProp" Target="../ctrlProps/ctrlProp782.xml"/><Relationship Id="rId229" Type="http://schemas.openxmlformats.org/officeDocument/2006/relationships/ctrlProp" Target="../ctrlProps/ctrlProp803.xml"/><Relationship Id="rId14" Type="http://schemas.openxmlformats.org/officeDocument/2006/relationships/hyperlink" Target="file:///\\DDSRVFILE\Rede_Geral\Deptos\Compras\GESTAO%20DEPARTAMENTO%20SUPRIMENTOS\27-PROJETOS\EF0526\Projetos_EF0526_%20Mod%20Tarif&#225;ria.xlsx" TargetMode="External"/><Relationship Id="rId35" Type="http://schemas.openxmlformats.org/officeDocument/2006/relationships/hyperlink" Target="file:///\\DDSRVFILE\Rede_Geral\Deptos\Compras\GESTAO%20DEPARTAMENTO%20SUPRIMENTOS\27-PROJETOS\VH0226\VH0226-Estrat&#233;gia%20Comercial%20Usinas.xlsx" TargetMode="External"/><Relationship Id="rId56" Type="http://schemas.openxmlformats.org/officeDocument/2006/relationships/ctrlProp" Target="../ctrlProps/ctrlProp630.xml"/><Relationship Id="rId77" Type="http://schemas.openxmlformats.org/officeDocument/2006/relationships/ctrlProp" Target="../ctrlProps/ctrlProp651.xml"/><Relationship Id="rId100" Type="http://schemas.openxmlformats.org/officeDocument/2006/relationships/ctrlProp" Target="../ctrlProps/ctrlProp674.xml"/><Relationship Id="rId8" Type="http://schemas.openxmlformats.org/officeDocument/2006/relationships/hyperlink" Target="file:///\\DDSRVFILE\Rede_Geral\Deptos\Compras\GESTAO%20DEPARTAMENTO%20SUPRIMENTOS\27-PROJETOS\JE0125\JE0125-Fita%20Zebrada%20e%20Etiqueta%20Litografada.xlsx" TargetMode="External"/><Relationship Id="rId98" Type="http://schemas.openxmlformats.org/officeDocument/2006/relationships/ctrlProp" Target="../ctrlProps/ctrlProp672.xml"/><Relationship Id="rId121" Type="http://schemas.openxmlformats.org/officeDocument/2006/relationships/ctrlProp" Target="../ctrlProps/ctrlProp695.xml"/><Relationship Id="rId142" Type="http://schemas.openxmlformats.org/officeDocument/2006/relationships/ctrlProp" Target="../ctrlProps/ctrlProp716.xml"/><Relationship Id="rId163" Type="http://schemas.openxmlformats.org/officeDocument/2006/relationships/ctrlProp" Target="../ctrlProps/ctrlProp737.xml"/><Relationship Id="rId184" Type="http://schemas.openxmlformats.org/officeDocument/2006/relationships/ctrlProp" Target="../ctrlProps/ctrlProp758.xml"/><Relationship Id="rId219" Type="http://schemas.openxmlformats.org/officeDocument/2006/relationships/ctrlProp" Target="../ctrlProps/ctrlProp793.xml"/><Relationship Id="rId230" Type="http://schemas.openxmlformats.org/officeDocument/2006/relationships/comments" Target="../comments7.xml"/><Relationship Id="rId25" Type="http://schemas.openxmlformats.org/officeDocument/2006/relationships/hyperlink" Target="file:///\\DDSRVFILE\Rede_Geral\Deptos\Compras\GESTAO%20DEPARTAMENTO%20SUPRIMENTOS\27-PROJETOS\JE0925\JE0925%20-%20Eletrodos.xlsx" TargetMode="External"/><Relationship Id="rId46" Type="http://schemas.openxmlformats.org/officeDocument/2006/relationships/hyperlink" Target="file:///\\DDSRVFILE01\Rede_Geral\Deptos\Compras\GESTAO%20DEPARTAMENTO%20SUPRIMENTOS\27-PROJETOS\JE0626\JE0626%20-%20BID%20Poliuretano%20Expansivo.xlsx" TargetMode="External"/><Relationship Id="rId67" Type="http://schemas.openxmlformats.org/officeDocument/2006/relationships/ctrlProp" Target="../ctrlProps/ctrlProp641.xml"/><Relationship Id="rId116" Type="http://schemas.openxmlformats.org/officeDocument/2006/relationships/ctrlProp" Target="../ctrlProps/ctrlProp690.xml"/><Relationship Id="rId137" Type="http://schemas.openxmlformats.org/officeDocument/2006/relationships/ctrlProp" Target="../ctrlProps/ctrlProp711.xml"/><Relationship Id="rId158" Type="http://schemas.openxmlformats.org/officeDocument/2006/relationships/ctrlProp" Target="../ctrlProps/ctrlProp732.xml"/><Relationship Id="rId20" Type="http://schemas.openxmlformats.org/officeDocument/2006/relationships/hyperlink" Target="file:///\\DDSRVFILE\Rede_Geral\Deptos\Compras\GESTAO%20DEPARTAMENTO%20SUPRIMENTOS\27-PROJETOS\AG0125\AG0125-Compressores.xlsx" TargetMode="External"/><Relationship Id="rId41" Type="http://schemas.openxmlformats.org/officeDocument/2006/relationships/hyperlink" Target="file:///\\DDSRVFILE\Rede_Geral\Deptos\Compras\GESTAO%20DEPARTAMENTO%20SUPRIMENTOS\27-PROJETOS\LJ0726\LJ0127%20-%20USIMINAS%20-%20REDU&#199;&#195;O%20DE%20ITENS%20MBB.xlsx" TargetMode="External"/><Relationship Id="rId62" Type="http://schemas.openxmlformats.org/officeDocument/2006/relationships/ctrlProp" Target="../ctrlProps/ctrlProp636.xml"/><Relationship Id="rId83" Type="http://schemas.openxmlformats.org/officeDocument/2006/relationships/ctrlProp" Target="../ctrlProps/ctrlProp657.xml"/><Relationship Id="rId88" Type="http://schemas.openxmlformats.org/officeDocument/2006/relationships/ctrlProp" Target="../ctrlProps/ctrlProp662.xml"/><Relationship Id="rId111" Type="http://schemas.openxmlformats.org/officeDocument/2006/relationships/ctrlProp" Target="../ctrlProps/ctrlProp685.xml"/><Relationship Id="rId132" Type="http://schemas.openxmlformats.org/officeDocument/2006/relationships/ctrlProp" Target="../ctrlProps/ctrlProp706.xml"/><Relationship Id="rId153" Type="http://schemas.openxmlformats.org/officeDocument/2006/relationships/ctrlProp" Target="../ctrlProps/ctrlProp727.xml"/><Relationship Id="rId174" Type="http://schemas.openxmlformats.org/officeDocument/2006/relationships/ctrlProp" Target="../ctrlProps/ctrlProp748.xml"/><Relationship Id="rId179" Type="http://schemas.openxmlformats.org/officeDocument/2006/relationships/ctrlProp" Target="../ctrlProps/ctrlProp753.xml"/><Relationship Id="rId195" Type="http://schemas.openxmlformats.org/officeDocument/2006/relationships/ctrlProp" Target="../ctrlProps/ctrlProp769.xml"/><Relationship Id="rId209" Type="http://schemas.openxmlformats.org/officeDocument/2006/relationships/ctrlProp" Target="../ctrlProps/ctrlProp783.xml"/><Relationship Id="rId190" Type="http://schemas.openxmlformats.org/officeDocument/2006/relationships/ctrlProp" Target="../ctrlProps/ctrlProp764.xml"/><Relationship Id="rId204" Type="http://schemas.openxmlformats.org/officeDocument/2006/relationships/ctrlProp" Target="../ctrlProps/ctrlProp778.xml"/><Relationship Id="rId220" Type="http://schemas.openxmlformats.org/officeDocument/2006/relationships/ctrlProp" Target="../ctrlProps/ctrlProp794.xml"/><Relationship Id="rId225" Type="http://schemas.openxmlformats.org/officeDocument/2006/relationships/ctrlProp" Target="../ctrlProps/ctrlProp799.xml"/><Relationship Id="rId15" Type="http://schemas.openxmlformats.org/officeDocument/2006/relationships/hyperlink" Target="file:///\\DDSRVFILE\Rede_Geral\Deptos\Compras\GESTAO%20DEPARTAMENTO%20SUPRIMENTOS\27-PROJETOS\DN1125\DN1125%20-%20Resourcing%20Pino%20Esf&#233;rico%20GM.xlsx" TargetMode="External"/><Relationship Id="rId36" Type="http://schemas.openxmlformats.org/officeDocument/2006/relationships/hyperlink" Target="file:///\\DDSRVFILE\Rede_Geral\Deptos\Compras\GESTAO%20DEPARTAMENTO%20SUPRIMENTOS\27-PROJETOS\DN0426\DN0426%20-%20NEGOCIA&#199;&#195;O%20PORCA%2015341.xlsx" TargetMode="External"/><Relationship Id="rId57" Type="http://schemas.openxmlformats.org/officeDocument/2006/relationships/ctrlProp" Target="../ctrlProps/ctrlProp631.xml"/><Relationship Id="rId106" Type="http://schemas.openxmlformats.org/officeDocument/2006/relationships/ctrlProp" Target="../ctrlProps/ctrlProp680.xml"/><Relationship Id="rId127" Type="http://schemas.openxmlformats.org/officeDocument/2006/relationships/ctrlProp" Target="../ctrlProps/ctrlProp701.xml"/><Relationship Id="rId10" Type="http://schemas.openxmlformats.org/officeDocument/2006/relationships/hyperlink" Target="file:///\\DDSRVFILE\Rede_Geral\Deptos\Compras\GESTAO%20DEPARTAMENTO%20SUPRIMENTOS\27-PROJETOS\JE0126\JE0126%20-%20Troca%20fornecedor%20usinagem.xlsx" TargetMode="External"/><Relationship Id="rId31" Type="http://schemas.openxmlformats.org/officeDocument/2006/relationships/hyperlink" Target="file:///\\DDSRVFILE\Rede_Geral\Deptos\Compras\GESTAO%20DEPARTAMENTO%20SUPRIMENTOS\27-PROJETOS\DN0425\DN425%20-%20PARAF%2048002%20(HASSMANN%20PARA%20METALAC).xlsx" TargetMode="External"/><Relationship Id="rId52" Type="http://schemas.openxmlformats.org/officeDocument/2006/relationships/printerSettings" Target="../printerSettings/printerSettings7.bin"/><Relationship Id="rId73" Type="http://schemas.openxmlformats.org/officeDocument/2006/relationships/ctrlProp" Target="../ctrlProps/ctrlProp647.xml"/><Relationship Id="rId78" Type="http://schemas.openxmlformats.org/officeDocument/2006/relationships/ctrlProp" Target="../ctrlProps/ctrlProp652.xml"/><Relationship Id="rId94" Type="http://schemas.openxmlformats.org/officeDocument/2006/relationships/ctrlProp" Target="../ctrlProps/ctrlProp668.xml"/><Relationship Id="rId99" Type="http://schemas.openxmlformats.org/officeDocument/2006/relationships/ctrlProp" Target="../ctrlProps/ctrlProp673.xml"/><Relationship Id="rId101" Type="http://schemas.openxmlformats.org/officeDocument/2006/relationships/ctrlProp" Target="../ctrlProps/ctrlProp675.xml"/><Relationship Id="rId122" Type="http://schemas.openxmlformats.org/officeDocument/2006/relationships/ctrlProp" Target="../ctrlProps/ctrlProp696.xml"/><Relationship Id="rId143" Type="http://schemas.openxmlformats.org/officeDocument/2006/relationships/ctrlProp" Target="../ctrlProps/ctrlProp717.xml"/><Relationship Id="rId148" Type="http://schemas.openxmlformats.org/officeDocument/2006/relationships/ctrlProp" Target="../ctrlProps/ctrlProp722.xml"/><Relationship Id="rId164" Type="http://schemas.openxmlformats.org/officeDocument/2006/relationships/ctrlProp" Target="../ctrlProps/ctrlProp738.xml"/><Relationship Id="rId169" Type="http://schemas.openxmlformats.org/officeDocument/2006/relationships/ctrlProp" Target="../ctrlProps/ctrlProp743.xml"/><Relationship Id="rId185" Type="http://schemas.openxmlformats.org/officeDocument/2006/relationships/ctrlProp" Target="../ctrlProps/ctrlProp759.xml"/><Relationship Id="rId4" Type="http://schemas.openxmlformats.org/officeDocument/2006/relationships/hyperlink" Target="file:///\\DDSRVFILE\Rede_Geral\Deptos\Compras\GESTAO%20DEPARTAMENTO%20SUPRIMENTOS\27-PROJETOS\EF0426\Projetos_EF0426_%20Agua%20recupera&#231;&#227;o%20de%20valores.xlsx" TargetMode="External"/><Relationship Id="rId9" Type="http://schemas.openxmlformats.org/officeDocument/2006/relationships/hyperlink" Target="file:///\\DDSRVFILE\Rede_Geral\Deptos\Compras\GESTAO%20DEPARTAMENTO%20SUPRIMENTOS\27-PROJETOS\VH1325\VH1325-Viabilizar%20material%20alternativo%20Carca&#231;a%20Scania.xlsx" TargetMode="External"/><Relationship Id="rId180" Type="http://schemas.openxmlformats.org/officeDocument/2006/relationships/ctrlProp" Target="../ctrlProps/ctrlProp754.xml"/><Relationship Id="rId210" Type="http://schemas.openxmlformats.org/officeDocument/2006/relationships/ctrlProp" Target="../ctrlProps/ctrlProp784.xml"/><Relationship Id="rId215" Type="http://schemas.openxmlformats.org/officeDocument/2006/relationships/ctrlProp" Target="../ctrlProps/ctrlProp789.xml"/><Relationship Id="rId26" Type="http://schemas.openxmlformats.org/officeDocument/2006/relationships/hyperlink" Target="file:///\\DDSRVFILE\Rede_Geral\Deptos\Compras\GESTAO%20DEPARTAMENTO%20SUPRIMENTOS\27-PROJETOS\JE1125\JE1125%20-%20Pun&#231;&#245;es%20Jarinu.xlsx" TargetMode="External"/><Relationship Id="rId231" Type="http://schemas.microsoft.com/office/2017/10/relationships/threadedComment" Target="../threadedComments/threadedComment7.xml"/><Relationship Id="rId47" Type="http://schemas.openxmlformats.org/officeDocument/2006/relationships/hyperlink" Target="file:///\\DDSRVFILE\Rede_Geral\Deptos\Compras\GESTAO%20DEPARTAMENTO%20SUPRIMENTOS\27-PROJETOS\DN0826\DN0826%20-%20NACIONALIZA&#199;&#195;O%20RIBE%20-%2075640%20(PINO%20REBITE%20M6%20X%2016).xlsx" TargetMode="External"/><Relationship Id="rId68" Type="http://schemas.openxmlformats.org/officeDocument/2006/relationships/ctrlProp" Target="../ctrlProps/ctrlProp642.xml"/><Relationship Id="rId89" Type="http://schemas.openxmlformats.org/officeDocument/2006/relationships/ctrlProp" Target="../ctrlProps/ctrlProp663.xml"/><Relationship Id="rId112" Type="http://schemas.openxmlformats.org/officeDocument/2006/relationships/ctrlProp" Target="../ctrlProps/ctrlProp686.xml"/><Relationship Id="rId133" Type="http://schemas.openxmlformats.org/officeDocument/2006/relationships/ctrlProp" Target="../ctrlProps/ctrlProp707.xml"/><Relationship Id="rId154" Type="http://schemas.openxmlformats.org/officeDocument/2006/relationships/ctrlProp" Target="../ctrlProps/ctrlProp728.xml"/><Relationship Id="rId175" Type="http://schemas.openxmlformats.org/officeDocument/2006/relationships/ctrlProp" Target="../ctrlProps/ctrlProp749.xml"/><Relationship Id="rId196" Type="http://schemas.openxmlformats.org/officeDocument/2006/relationships/ctrlProp" Target="../ctrlProps/ctrlProp770.xml"/><Relationship Id="rId200" Type="http://schemas.openxmlformats.org/officeDocument/2006/relationships/ctrlProp" Target="../ctrlProps/ctrlProp774.xml"/><Relationship Id="rId16" Type="http://schemas.openxmlformats.org/officeDocument/2006/relationships/hyperlink" Target="file:///\\DDSRVFILE\Rede_Geral\Deptos\Compras\GESTAO%20DEPARTAMENTO%20SUPRIMENTOS\27-PROJETOS\AG0225\AG0225-Lixadeiras.xlsx" TargetMode="External"/><Relationship Id="rId221" Type="http://schemas.openxmlformats.org/officeDocument/2006/relationships/ctrlProp" Target="../ctrlProps/ctrlProp795.xml"/><Relationship Id="rId37" Type="http://schemas.openxmlformats.org/officeDocument/2006/relationships/hyperlink" Target="file:///\\DDSRVFILE\Rede_Geral\Deptos\Compras\GESTAO%20DEPARTAMENTO%20SUPRIMENTOS\27-PROJETOS\LJ0226\LJ0226%20-%20PROJETO%20DANA%20-%20FORNECIMENTO%20MTL.xlsx" TargetMode="External"/><Relationship Id="rId58" Type="http://schemas.openxmlformats.org/officeDocument/2006/relationships/ctrlProp" Target="../ctrlProps/ctrlProp632.xml"/><Relationship Id="rId79" Type="http://schemas.openxmlformats.org/officeDocument/2006/relationships/ctrlProp" Target="../ctrlProps/ctrlProp653.xml"/><Relationship Id="rId102" Type="http://schemas.openxmlformats.org/officeDocument/2006/relationships/ctrlProp" Target="../ctrlProps/ctrlProp676.xml"/><Relationship Id="rId123" Type="http://schemas.openxmlformats.org/officeDocument/2006/relationships/ctrlProp" Target="../ctrlProps/ctrlProp697.xml"/><Relationship Id="rId144" Type="http://schemas.openxmlformats.org/officeDocument/2006/relationships/ctrlProp" Target="../ctrlProps/ctrlProp718.xml"/><Relationship Id="rId90" Type="http://schemas.openxmlformats.org/officeDocument/2006/relationships/ctrlProp" Target="../ctrlProps/ctrlProp664.xml"/><Relationship Id="rId165" Type="http://schemas.openxmlformats.org/officeDocument/2006/relationships/ctrlProp" Target="../ctrlProps/ctrlProp739.xml"/><Relationship Id="rId186" Type="http://schemas.openxmlformats.org/officeDocument/2006/relationships/ctrlProp" Target="../ctrlProps/ctrlProp760.xml"/><Relationship Id="rId211" Type="http://schemas.openxmlformats.org/officeDocument/2006/relationships/ctrlProp" Target="../ctrlProps/ctrlProp785.xml"/><Relationship Id="rId27" Type="http://schemas.openxmlformats.org/officeDocument/2006/relationships/hyperlink" Target="file:///\\DDSRVFILE\Rede_Geral\Deptos\Compras\GESTAO%20DEPARTAMENTO%20SUPRIMENTOS\27-PROJETOS\JE1225\JE1225%20-%20BID%20Tamp&#245;es%20Pintura%20Anchieta.xlsx" TargetMode="External"/><Relationship Id="rId48" Type="http://schemas.openxmlformats.org/officeDocument/2006/relationships/hyperlink" Target="file:///\\DDSRVFILE01\Rede_Geral\Deptos\Compras\GESTAO%20DEPARTAMENTO%20SUPRIMENTOS\27-PROJETOS\TS0326\TS0326-Venda%20M&#225;quinas.xlsx" TargetMode="External"/><Relationship Id="rId69" Type="http://schemas.openxmlformats.org/officeDocument/2006/relationships/ctrlProp" Target="../ctrlProps/ctrlProp643.xml"/><Relationship Id="rId113" Type="http://schemas.openxmlformats.org/officeDocument/2006/relationships/ctrlProp" Target="../ctrlProps/ctrlProp687.xml"/><Relationship Id="rId134" Type="http://schemas.openxmlformats.org/officeDocument/2006/relationships/ctrlProp" Target="../ctrlProps/ctrlProp708.xml"/><Relationship Id="rId80" Type="http://schemas.openxmlformats.org/officeDocument/2006/relationships/ctrlProp" Target="../ctrlProps/ctrlProp654.xml"/><Relationship Id="rId155" Type="http://schemas.openxmlformats.org/officeDocument/2006/relationships/ctrlProp" Target="../ctrlProps/ctrlProp729.xml"/><Relationship Id="rId176" Type="http://schemas.openxmlformats.org/officeDocument/2006/relationships/ctrlProp" Target="../ctrlProps/ctrlProp750.xml"/><Relationship Id="rId197" Type="http://schemas.openxmlformats.org/officeDocument/2006/relationships/ctrlProp" Target="../ctrlProps/ctrlProp771.xml"/><Relationship Id="rId201" Type="http://schemas.openxmlformats.org/officeDocument/2006/relationships/ctrlProp" Target="../ctrlProps/ctrlProp775.xml"/><Relationship Id="rId222" Type="http://schemas.openxmlformats.org/officeDocument/2006/relationships/ctrlProp" Target="../ctrlProps/ctrlProp796.xml"/><Relationship Id="rId17" Type="http://schemas.openxmlformats.org/officeDocument/2006/relationships/hyperlink" Target="file:///\\DDSRVFILE\Rede_Geral\Deptos\Compras\GESTAO%20DEPARTAMENTO%20SUPRIMENTOS\27-PROJETOS\EF0126\EF0126_Substitui&#231;&#227;o%20Plano%20M&#233;dico%20-DSL.xlsx" TargetMode="External"/><Relationship Id="rId38" Type="http://schemas.openxmlformats.org/officeDocument/2006/relationships/hyperlink" Target="file:///\\DDSRVFILE\Rede_Geral\Deptos\Compras\GESTAO%20DEPARTAMENTO%20SUPRIMENTOS\27-PROJETOS\DN0526\DN0526%20-%20NEGOCIA&#199;&#195;O%2085290%20(BOELLHOFF).xlsx" TargetMode="External"/><Relationship Id="rId59" Type="http://schemas.openxmlformats.org/officeDocument/2006/relationships/ctrlProp" Target="../ctrlProps/ctrlProp633.xml"/><Relationship Id="rId103" Type="http://schemas.openxmlformats.org/officeDocument/2006/relationships/ctrlProp" Target="../ctrlProps/ctrlProp677.xml"/><Relationship Id="rId124" Type="http://schemas.openxmlformats.org/officeDocument/2006/relationships/ctrlProp" Target="../ctrlProps/ctrlProp698.xml"/><Relationship Id="rId70" Type="http://schemas.openxmlformats.org/officeDocument/2006/relationships/ctrlProp" Target="../ctrlProps/ctrlProp644.xml"/><Relationship Id="rId91" Type="http://schemas.openxmlformats.org/officeDocument/2006/relationships/ctrlProp" Target="../ctrlProps/ctrlProp665.xml"/><Relationship Id="rId145" Type="http://schemas.openxmlformats.org/officeDocument/2006/relationships/ctrlProp" Target="../ctrlProps/ctrlProp719.xml"/><Relationship Id="rId166" Type="http://schemas.openxmlformats.org/officeDocument/2006/relationships/ctrlProp" Target="../ctrlProps/ctrlProp740.xml"/><Relationship Id="rId187" Type="http://schemas.openxmlformats.org/officeDocument/2006/relationships/ctrlProp" Target="../ctrlProps/ctrlProp761.xml"/><Relationship Id="rId1" Type="http://schemas.openxmlformats.org/officeDocument/2006/relationships/hyperlink" Target="file:///\\DDSRVFILE\departamentos\Compras\GESTAO%20DEPARTAMENTO%20SUPRIMENTOS\27-PROJETOS\JE0425\JE0425%20-%20Produtos%20Pr&#233;%20Tratamento.xlsx" TargetMode="External"/><Relationship Id="rId212" Type="http://schemas.openxmlformats.org/officeDocument/2006/relationships/ctrlProp" Target="../ctrlProps/ctrlProp786.xml"/><Relationship Id="rId28" Type="http://schemas.openxmlformats.org/officeDocument/2006/relationships/hyperlink" Target="file:///\\DDSRVFILE\Rede_Geral\Deptos\Compras\GESTAO%20DEPARTAMENTO%20SUPRIMENTOS\27-PROJETOS\JE0226\JE0226%20-%20BID%20Consum&#237;veis%20Laser.xlsx" TargetMode="External"/><Relationship Id="rId49" Type="http://schemas.openxmlformats.org/officeDocument/2006/relationships/hyperlink" Target="file:///\\DDSRVFILE01\Rede_Geral\Deptos\Compras\GESTAO%20DEPARTAMENTO%20SUPRIMENTOS\27-PROJETOS\TS0426\TS0426-%20Ultrasom.xlsx" TargetMode="External"/><Relationship Id="rId114" Type="http://schemas.openxmlformats.org/officeDocument/2006/relationships/ctrlProp" Target="../ctrlProps/ctrlProp688.xml"/><Relationship Id="rId60" Type="http://schemas.openxmlformats.org/officeDocument/2006/relationships/ctrlProp" Target="../ctrlProps/ctrlProp634.xml"/><Relationship Id="rId81" Type="http://schemas.openxmlformats.org/officeDocument/2006/relationships/ctrlProp" Target="../ctrlProps/ctrlProp655.xml"/><Relationship Id="rId135" Type="http://schemas.openxmlformats.org/officeDocument/2006/relationships/ctrlProp" Target="../ctrlProps/ctrlProp709.xml"/><Relationship Id="rId156" Type="http://schemas.openxmlformats.org/officeDocument/2006/relationships/ctrlProp" Target="../ctrlProps/ctrlProp730.xml"/><Relationship Id="rId177" Type="http://schemas.openxmlformats.org/officeDocument/2006/relationships/ctrlProp" Target="../ctrlProps/ctrlProp751.xml"/><Relationship Id="rId198" Type="http://schemas.openxmlformats.org/officeDocument/2006/relationships/ctrlProp" Target="../ctrlProps/ctrlProp772.xml"/><Relationship Id="rId202" Type="http://schemas.openxmlformats.org/officeDocument/2006/relationships/ctrlProp" Target="../ctrlProps/ctrlProp776.xml"/><Relationship Id="rId223" Type="http://schemas.openxmlformats.org/officeDocument/2006/relationships/ctrlProp" Target="../ctrlProps/ctrlProp797.xml"/><Relationship Id="rId18" Type="http://schemas.openxmlformats.org/officeDocument/2006/relationships/hyperlink" Target="file:///\\192.168.0.20\departamentos\Compras\GESTAO%20DEPARTAMENTO%20SUPRIMENTOS\27-PROJETOS\DN0126\DN0126%20-%20SRM%20Componentes.xlsx" TargetMode="External"/><Relationship Id="rId39" Type="http://schemas.openxmlformats.org/officeDocument/2006/relationships/hyperlink" Target="file:///\\DDSRVFILE\Rede_Geral\Deptos\Compras\GESTAO%20DEPARTAMENTO%20SUPRIMENTOS\27-PROJETOS\EF0626\Projetos_EF0626_%20Borra%20Plasma%20Ferraz.xlsx" TargetMode="External"/><Relationship Id="rId50" Type="http://schemas.openxmlformats.org/officeDocument/2006/relationships/hyperlink" Target="file:///\\DDSRVFILE01\Rede_Geral\Deptos\Compras\GESTAO%20DEPARTAMENTO%20SUPRIMENTOS\27-PROJETOS\LJ0426\Migra&#231;&#227;o%20de%20itens%20Usiminas%20para%20Arcelor.xlsx" TargetMode="External"/><Relationship Id="rId104" Type="http://schemas.openxmlformats.org/officeDocument/2006/relationships/ctrlProp" Target="../ctrlProps/ctrlProp678.xml"/><Relationship Id="rId125" Type="http://schemas.openxmlformats.org/officeDocument/2006/relationships/ctrlProp" Target="../ctrlProps/ctrlProp699.xml"/><Relationship Id="rId146" Type="http://schemas.openxmlformats.org/officeDocument/2006/relationships/ctrlProp" Target="../ctrlProps/ctrlProp720.xml"/><Relationship Id="rId167" Type="http://schemas.openxmlformats.org/officeDocument/2006/relationships/ctrlProp" Target="../ctrlProps/ctrlProp741.xml"/><Relationship Id="rId188" Type="http://schemas.openxmlformats.org/officeDocument/2006/relationships/ctrlProp" Target="../ctrlProps/ctrlProp762.xml"/><Relationship Id="rId71" Type="http://schemas.openxmlformats.org/officeDocument/2006/relationships/ctrlProp" Target="../ctrlProps/ctrlProp645.xml"/><Relationship Id="rId92" Type="http://schemas.openxmlformats.org/officeDocument/2006/relationships/ctrlProp" Target="../ctrlProps/ctrlProp666.xml"/><Relationship Id="rId213" Type="http://schemas.openxmlformats.org/officeDocument/2006/relationships/ctrlProp" Target="../ctrlProps/ctrlProp787.xml"/><Relationship Id="rId2" Type="http://schemas.openxmlformats.org/officeDocument/2006/relationships/hyperlink" Target="file:///\\DDSRVFILE\Rede_Geral\Deptos\Compras\GESTAO%20DEPARTAMENTO%20SUPRIMENTOS\27-PROJETOS\JE0825\JE0825%20-%20Arame%20de%20Solda.xlsx" TargetMode="External"/><Relationship Id="rId29" Type="http://schemas.openxmlformats.org/officeDocument/2006/relationships/hyperlink" Target="file:///\\DDSRVFILE\departamentos\Compras\GESTAO%20DEPARTAMENTO%20SUPRIMENTOS\27-PROJETOS\LJ0225\LJ0225%20-%20Projeto%20DANA%20-%20mudan&#231;a%20de%20CH%20para%20BQ.xlsx" TargetMode="External"/><Relationship Id="rId40" Type="http://schemas.openxmlformats.org/officeDocument/2006/relationships/hyperlink" Target="file:///\\DDSRVFILE\Rede_Geral\Deptos\Compras\GESTAO%20DEPARTAMENTO%20SUPRIMENTOS\27-PROJETOS\TS0126\TS0126-Ex-tarif&#225;rio%20-%20Transfer.xlsx" TargetMode="External"/><Relationship Id="rId115" Type="http://schemas.openxmlformats.org/officeDocument/2006/relationships/ctrlProp" Target="../ctrlProps/ctrlProp689.xml"/><Relationship Id="rId136" Type="http://schemas.openxmlformats.org/officeDocument/2006/relationships/ctrlProp" Target="../ctrlProps/ctrlProp710.xml"/><Relationship Id="rId157" Type="http://schemas.openxmlformats.org/officeDocument/2006/relationships/ctrlProp" Target="../ctrlProps/ctrlProp731.xml"/><Relationship Id="rId178" Type="http://schemas.openxmlformats.org/officeDocument/2006/relationships/ctrlProp" Target="../ctrlProps/ctrlProp752.xml"/><Relationship Id="rId61" Type="http://schemas.openxmlformats.org/officeDocument/2006/relationships/ctrlProp" Target="../ctrlProps/ctrlProp635.xml"/><Relationship Id="rId82" Type="http://schemas.openxmlformats.org/officeDocument/2006/relationships/ctrlProp" Target="../ctrlProps/ctrlProp656.xml"/><Relationship Id="rId199" Type="http://schemas.openxmlformats.org/officeDocument/2006/relationships/ctrlProp" Target="../ctrlProps/ctrlProp773.xml"/><Relationship Id="rId203" Type="http://schemas.openxmlformats.org/officeDocument/2006/relationships/ctrlProp" Target="../ctrlProps/ctrlProp777.xml"/><Relationship Id="rId19" Type="http://schemas.openxmlformats.org/officeDocument/2006/relationships/hyperlink" Target="file:///\\DDSRVFILE\Rede_Geral\Deptos\Compras\GESTAO%20DEPARTAMENTO%20SUPRIMENTOS\27-PROJETOS\ES0126\ES0126%20-%20LOCA&#199;&#195;O%20GERADOR.xlsx" TargetMode="External"/><Relationship Id="rId224" Type="http://schemas.openxmlformats.org/officeDocument/2006/relationships/ctrlProp" Target="../ctrlProps/ctrlProp798.xml"/><Relationship Id="rId30" Type="http://schemas.openxmlformats.org/officeDocument/2006/relationships/hyperlink" Target="file:///\\DDSRVFILE\Rede_Geral\Deptos\Compras\GESTAO%20DEPARTAMENTO%20SUPRIMENTOS\27-PROJETOS\LJ0126\LJ0126%20-%20Negocia&#231;&#227;o%20item%20Viga%20Banana.xlsx" TargetMode="External"/><Relationship Id="rId105" Type="http://schemas.openxmlformats.org/officeDocument/2006/relationships/ctrlProp" Target="../ctrlProps/ctrlProp679.xml"/><Relationship Id="rId126" Type="http://schemas.openxmlformats.org/officeDocument/2006/relationships/ctrlProp" Target="../ctrlProps/ctrlProp700.xml"/><Relationship Id="rId147" Type="http://schemas.openxmlformats.org/officeDocument/2006/relationships/ctrlProp" Target="../ctrlProps/ctrlProp721.xml"/><Relationship Id="rId168" Type="http://schemas.openxmlformats.org/officeDocument/2006/relationships/ctrlProp" Target="../ctrlProps/ctrlProp742.xml"/><Relationship Id="rId51" Type="http://schemas.openxmlformats.org/officeDocument/2006/relationships/hyperlink" Target="file:///\\DDSRVFILE01\Rede_Geral\Deptos\Compras\GESTAO%20DEPARTAMENTO%20SUPRIMENTOS\27-PROJETOS\LJ0526\LJ0526%20MIGRA&#199;&#195;O%20DE%20ITENS%20CSN%20E%20USIMINAS%20PARA%20GERDAU%20-%20.xlsx" TargetMode="External"/><Relationship Id="rId72" Type="http://schemas.openxmlformats.org/officeDocument/2006/relationships/ctrlProp" Target="../ctrlProps/ctrlProp646.xml"/><Relationship Id="rId93" Type="http://schemas.openxmlformats.org/officeDocument/2006/relationships/ctrlProp" Target="../ctrlProps/ctrlProp667.xml"/><Relationship Id="rId189" Type="http://schemas.openxmlformats.org/officeDocument/2006/relationships/ctrlProp" Target="../ctrlProps/ctrlProp763.xml"/><Relationship Id="rId3" Type="http://schemas.openxmlformats.org/officeDocument/2006/relationships/hyperlink" Target="file:///\\DDSRVFILE\Rede_Geral\Deptos\Compras\GESTAO%20DEPARTAMENTO%20SUPRIMENTOS\27-PROJETOS\DN0825\DN825%20-%20PORCA%2073189.xlsx" TargetMode="External"/><Relationship Id="rId214" Type="http://schemas.openxmlformats.org/officeDocument/2006/relationships/ctrlProp" Target="../ctrlProps/ctrlProp788.xml"/></Relationships>
</file>

<file path=xl/worksheets/_rels/sheet16.xml.rels><?xml version="1.0" encoding="UTF-8" standalone="yes"?>
<Relationships xmlns="http://schemas.openxmlformats.org/package/2006/relationships"><Relationship Id="rId26" Type="http://schemas.openxmlformats.org/officeDocument/2006/relationships/ctrlProp" Target="../ctrlProps/ctrlProp825.xml"/><Relationship Id="rId21" Type="http://schemas.openxmlformats.org/officeDocument/2006/relationships/ctrlProp" Target="../ctrlProps/ctrlProp820.xml"/><Relationship Id="rId42" Type="http://schemas.openxmlformats.org/officeDocument/2006/relationships/ctrlProp" Target="../ctrlProps/ctrlProp841.xml"/><Relationship Id="rId47" Type="http://schemas.openxmlformats.org/officeDocument/2006/relationships/ctrlProp" Target="../ctrlProps/ctrlProp846.xml"/><Relationship Id="rId63" Type="http://schemas.openxmlformats.org/officeDocument/2006/relationships/ctrlProp" Target="../ctrlProps/ctrlProp862.xml"/><Relationship Id="rId68" Type="http://schemas.openxmlformats.org/officeDocument/2006/relationships/ctrlProp" Target="../ctrlProps/ctrlProp867.xml"/><Relationship Id="rId16" Type="http://schemas.openxmlformats.org/officeDocument/2006/relationships/ctrlProp" Target="../ctrlProps/ctrlProp815.xml"/><Relationship Id="rId11" Type="http://schemas.openxmlformats.org/officeDocument/2006/relationships/ctrlProp" Target="../ctrlProps/ctrlProp810.xml"/><Relationship Id="rId32" Type="http://schemas.openxmlformats.org/officeDocument/2006/relationships/ctrlProp" Target="../ctrlProps/ctrlProp831.xml"/><Relationship Id="rId37" Type="http://schemas.openxmlformats.org/officeDocument/2006/relationships/ctrlProp" Target="../ctrlProps/ctrlProp836.xml"/><Relationship Id="rId53" Type="http://schemas.openxmlformats.org/officeDocument/2006/relationships/ctrlProp" Target="../ctrlProps/ctrlProp852.xml"/><Relationship Id="rId58" Type="http://schemas.openxmlformats.org/officeDocument/2006/relationships/ctrlProp" Target="../ctrlProps/ctrlProp857.xml"/><Relationship Id="rId74" Type="http://schemas.openxmlformats.org/officeDocument/2006/relationships/ctrlProp" Target="../ctrlProps/ctrlProp873.xml"/><Relationship Id="rId79" Type="http://schemas.openxmlformats.org/officeDocument/2006/relationships/ctrlProp" Target="../ctrlProps/ctrlProp878.xml"/><Relationship Id="rId5" Type="http://schemas.openxmlformats.org/officeDocument/2006/relationships/ctrlProp" Target="../ctrlProps/ctrlProp804.xml"/><Relationship Id="rId61" Type="http://schemas.openxmlformats.org/officeDocument/2006/relationships/ctrlProp" Target="../ctrlProps/ctrlProp860.xml"/><Relationship Id="rId82" Type="http://schemas.microsoft.com/office/2017/10/relationships/threadedComment" Target="../threadedComments/threadedComment8.xml"/><Relationship Id="rId19" Type="http://schemas.openxmlformats.org/officeDocument/2006/relationships/ctrlProp" Target="../ctrlProps/ctrlProp818.xml"/><Relationship Id="rId14" Type="http://schemas.openxmlformats.org/officeDocument/2006/relationships/ctrlProp" Target="../ctrlProps/ctrlProp813.xml"/><Relationship Id="rId22" Type="http://schemas.openxmlformats.org/officeDocument/2006/relationships/ctrlProp" Target="../ctrlProps/ctrlProp821.xml"/><Relationship Id="rId27" Type="http://schemas.openxmlformats.org/officeDocument/2006/relationships/ctrlProp" Target="../ctrlProps/ctrlProp826.xml"/><Relationship Id="rId30" Type="http://schemas.openxmlformats.org/officeDocument/2006/relationships/ctrlProp" Target="../ctrlProps/ctrlProp829.xml"/><Relationship Id="rId35" Type="http://schemas.openxmlformats.org/officeDocument/2006/relationships/ctrlProp" Target="../ctrlProps/ctrlProp834.xml"/><Relationship Id="rId43" Type="http://schemas.openxmlformats.org/officeDocument/2006/relationships/ctrlProp" Target="../ctrlProps/ctrlProp842.xml"/><Relationship Id="rId48" Type="http://schemas.openxmlformats.org/officeDocument/2006/relationships/ctrlProp" Target="../ctrlProps/ctrlProp847.xml"/><Relationship Id="rId56" Type="http://schemas.openxmlformats.org/officeDocument/2006/relationships/ctrlProp" Target="../ctrlProps/ctrlProp855.xml"/><Relationship Id="rId64" Type="http://schemas.openxmlformats.org/officeDocument/2006/relationships/ctrlProp" Target="../ctrlProps/ctrlProp863.xml"/><Relationship Id="rId69" Type="http://schemas.openxmlformats.org/officeDocument/2006/relationships/ctrlProp" Target="../ctrlProps/ctrlProp868.xml"/><Relationship Id="rId77" Type="http://schemas.openxmlformats.org/officeDocument/2006/relationships/ctrlProp" Target="../ctrlProps/ctrlProp876.xml"/><Relationship Id="rId8" Type="http://schemas.openxmlformats.org/officeDocument/2006/relationships/ctrlProp" Target="../ctrlProps/ctrlProp807.xml"/><Relationship Id="rId51" Type="http://schemas.openxmlformats.org/officeDocument/2006/relationships/ctrlProp" Target="../ctrlProps/ctrlProp850.xml"/><Relationship Id="rId72" Type="http://schemas.openxmlformats.org/officeDocument/2006/relationships/ctrlProp" Target="../ctrlProps/ctrlProp871.xml"/><Relationship Id="rId80" Type="http://schemas.openxmlformats.org/officeDocument/2006/relationships/ctrlProp" Target="../ctrlProps/ctrlProp879.xml"/><Relationship Id="rId3" Type="http://schemas.openxmlformats.org/officeDocument/2006/relationships/drawing" Target="../drawings/drawing12.xml"/><Relationship Id="rId12" Type="http://schemas.openxmlformats.org/officeDocument/2006/relationships/ctrlProp" Target="../ctrlProps/ctrlProp811.xml"/><Relationship Id="rId17" Type="http://schemas.openxmlformats.org/officeDocument/2006/relationships/ctrlProp" Target="../ctrlProps/ctrlProp816.xml"/><Relationship Id="rId25" Type="http://schemas.openxmlformats.org/officeDocument/2006/relationships/ctrlProp" Target="../ctrlProps/ctrlProp824.xml"/><Relationship Id="rId33" Type="http://schemas.openxmlformats.org/officeDocument/2006/relationships/ctrlProp" Target="../ctrlProps/ctrlProp832.xml"/><Relationship Id="rId38" Type="http://schemas.openxmlformats.org/officeDocument/2006/relationships/ctrlProp" Target="../ctrlProps/ctrlProp837.xml"/><Relationship Id="rId46" Type="http://schemas.openxmlformats.org/officeDocument/2006/relationships/ctrlProp" Target="../ctrlProps/ctrlProp845.xml"/><Relationship Id="rId59" Type="http://schemas.openxmlformats.org/officeDocument/2006/relationships/ctrlProp" Target="../ctrlProps/ctrlProp858.xml"/><Relationship Id="rId67" Type="http://schemas.openxmlformats.org/officeDocument/2006/relationships/ctrlProp" Target="../ctrlProps/ctrlProp866.xml"/><Relationship Id="rId20" Type="http://schemas.openxmlformats.org/officeDocument/2006/relationships/ctrlProp" Target="../ctrlProps/ctrlProp819.xml"/><Relationship Id="rId41" Type="http://schemas.openxmlformats.org/officeDocument/2006/relationships/ctrlProp" Target="../ctrlProps/ctrlProp840.xml"/><Relationship Id="rId54" Type="http://schemas.openxmlformats.org/officeDocument/2006/relationships/ctrlProp" Target="../ctrlProps/ctrlProp853.xml"/><Relationship Id="rId62" Type="http://schemas.openxmlformats.org/officeDocument/2006/relationships/ctrlProp" Target="../ctrlProps/ctrlProp861.xml"/><Relationship Id="rId70" Type="http://schemas.openxmlformats.org/officeDocument/2006/relationships/ctrlProp" Target="../ctrlProps/ctrlProp869.xml"/><Relationship Id="rId75" Type="http://schemas.openxmlformats.org/officeDocument/2006/relationships/ctrlProp" Target="../ctrlProps/ctrlProp874.xml"/><Relationship Id="rId1" Type="http://schemas.openxmlformats.org/officeDocument/2006/relationships/hyperlink" Target="file:///\\192.168.0.20\departamentos\Engenharia\0.%20Kaizen%20Diadema\6.%202026\04%20Abril\43%20-%20Projeto%20de%20Automa&#231;&#227;o%20Boomerang_Izaias%20Junior_Engenharia_REV00\43%20-%20Projeto%20de%20Automa&#231;&#227;o%20Boomerang_Izaias%20Junior_Engenharia_REV00.xlsx" TargetMode="External"/><Relationship Id="rId6" Type="http://schemas.openxmlformats.org/officeDocument/2006/relationships/ctrlProp" Target="../ctrlProps/ctrlProp805.xml"/><Relationship Id="rId15" Type="http://schemas.openxmlformats.org/officeDocument/2006/relationships/ctrlProp" Target="../ctrlProps/ctrlProp814.xml"/><Relationship Id="rId23" Type="http://schemas.openxmlformats.org/officeDocument/2006/relationships/ctrlProp" Target="../ctrlProps/ctrlProp822.xml"/><Relationship Id="rId28" Type="http://schemas.openxmlformats.org/officeDocument/2006/relationships/ctrlProp" Target="../ctrlProps/ctrlProp827.xml"/><Relationship Id="rId36" Type="http://schemas.openxmlformats.org/officeDocument/2006/relationships/ctrlProp" Target="../ctrlProps/ctrlProp835.xml"/><Relationship Id="rId49" Type="http://schemas.openxmlformats.org/officeDocument/2006/relationships/ctrlProp" Target="../ctrlProps/ctrlProp848.xml"/><Relationship Id="rId57" Type="http://schemas.openxmlformats.org/officeDocument/2006/relationships/ctrlProp" Target="../ctrlProps/ctrlProp856.xml"/><Relationship Id="rId10" Type="http://schemas.openxmlformats.org/officeDocument/2006/relationships/ctrlProp" Target="../ctrlProps/ctrlProp809.xml"/><Relationship Id="rId31" Type="http://schemas.openxmlformats.org/officeDocument/2006/relationships/ctrlProp" Target="../ctrlProps/ctrlProp830.xml"/><Relationship Id="rId44" Type="http://schemas.openxmlformats.org/officeDocument/2006/relationships/ctrlProp" Target="../ctrlProps/ctrlProp843.xml"/><Relationship Id="rId52" Type="http://schemas.openxmlformats.org/officeDocument/2006/relationships/ctrlProp" Target="../ctrlProps/ctrlProp851.xml"/><Relationship Id="rId60" Type="http://schemas.openxmlformats.org/officeDocument/2006/relationships/ctrlProp" Target="../ctrlProps/ctrlProp859.xml"/><Relationship Id="rId65" Type="http://schemas.openxmlformats.org/officeDocument/2006/relationships/ctrlProp" Target="../ctrlProps/ctrlProp864.xml"/><Relationship Id="rId73" Type="http://schemas.openxmlformats.org/officeDocument/2006/relationships/ctrlProp" Target="../ctrlProps/ctrlProp872.xml"/><Relationship Id="rId78" Type="http://schemas.openxmlformats.org/officeDocument/2006/relationships/ctrlProp" Target="../ctrlProps/ctrlProp877.xml"/><Relationship Id="rId81" Type="http://schemas.openxmlformats.org/officeDocument/2006/relationships/comments" Target="../comments8.xml"/><Relationship Id="rId4" Type="http://schemas.openxmlformats.org/officeDocument/2006/relationships/vmlDrawing" Target="../drawings/vmlDrawing8.vml"/><Relationship Id="rId9" Type="http://schemas.openxmlformats.org/officeDocument/2006/relationships/ctrlProp" Target="../ctrlProps/ctrlProp808.xml"/><Relationship Id="rId13" Type="http://schemas.openxmlformats.org/officeDocument/2006/relationships/ctrlProp" Target="../ctrlProps/ctrlProp812.xml"/><Relationship Id="rId18" Type="http://schemas.openxmlformats.org/officeDocument/2006/relationships/ctrlProp" Target="../ctrlProps/ctrlProp817.xml"/><Relationship Id="rId39" Type="http://schemas.openxmlformats.org/officeDocument/2006/relationships/ctrlProp" Target="../ctrlProps/ctrlProp838.xml"/><Relationship Id="rId34" Type="http://schemas.openxmlformats.org/officeDocument/2006/relationships/ctrlProp" Target="../ctrlProps/ctrlProp833.xml"/><Relationship Id="rId50" Type="http://schemas.openxmlformats.org/officeDocument/2006/relationships/ctrlProp" Target="../ctrlProps/ctrlProp849.xml"/><Relationship Id="rId55" Type="http://schemas.openxmlformats.org/officeDocument/2006/relationships/ctrlProp" Target="../ctrlProps/ctrlProp854.xml"/><Relationship Id="rId76" Type="http://schemas.openxmlformats.org/officeDocument/2006/relationships/ctrlProp" Target="../ctrlProps/ctrlProp875.xml"/><Relationship Id="rId7" Type="http://schemas.openxmlformats.org/officeDocument/2006/relationships/ctrlProp" Target="../ctrlProps/ctrlProp806.xml"/><Relationship Id="rId71" Type="http://schemas.openxmlformats.org/officeDocument/2006/relationships/ctrlProp" Target="../ctrlProps/ctrlProp870.xml"/><Relationship Id="rId2" Type="http://schemas.openxmlformats.org/officeDocument/2006/relationships/printerSettings" Target="../printerSettings/printerSettings8.bin"/><Relationship Id="rId29" Type="http://schemas.openxmlformats.org/officeDocument/2006/relationships/ctrlProp" Target="../ctrlProps/ctrlProp828.xml"/><Relationship Id="rId24" Type="http://schemas.openxmlformats.org/officeDocument/2006/relationships/ctrlProp" Target="../ctrlProps/ctrlProp823.xml"/><Relationship Id="rId40" Type="http://schemas.openxmlformats.org/officeDocument/2006/relationships/ctrlProp" Target="../ctrlProps/ctrlProp839.xml"/><Relationship Id="rId45" Type="http://schemas.openxmlformats.org/officeDocument/2006/relationships/ctrlProp" Target="../ctrlProps/ctrlProp844.xml"/><Relationship Id="rId66" Type="http://schemas.openxmlformats.org/officeDocument/2006/relationships/ctrlProp" Target="../ctrlProps/ctrlProp86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20.xml.rels><?xml version="1.0" encoding="UTF-8" standalone="yes"?>
<Relationships xmlns="http://schemas.openxmlformats.org/package/2006/relationships"><Relationship Id="rId1" Type="http://schemas.openxmlformats.org/officeDocument/2006/relationships/hyperlink" Target="mailto:M@ster" TargetMode="Externa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opLeftCell="A6" workbookViewId="0">
      <selection activeCell="K6" sqref="K6:L6"/>
    </sheetView>
  </sheetViews>
  <sheetFormatPr defaultRowHeight="14.4" x14ac:dyDescent="0.3"/>
  <cols>
    <col min="1" max="1" width="12" customWidth="1"/>
    <col min="2" max="2" width="16.5546875" bestFit="1" customWidth="1"/>
    <col min="3" max="4" width="12" customWidth="1"/>
    <col min="5" max="5" width="18.5546875" customWidth="1"/>
    <col min="6" max="6" width="12" customWidth="1"/>
    <col min="7" max="7" width="19" customWidth="1"/>
    <col min="8" max="14" width="12" customWidth="1"/>
  </cols>
  <sheetData>
    <row r="1" spans="1:14" ht="36.6" customHeight="1" x14ac:dyDescent="0.3">
      <c r="A1" s="1221" t="s">
        <v>0</v>
      </c>
      <c r="B1" s="1216"/>
      <c r="C1" s="1216"/>
      <c r="D1" s="1216"/>
      <c r="E1" s="1216"/>
      <c r="F1" s="1216"/>
      <c r="G1" s="1216"/>
      <c r="H1" s="1216"/>
      <c r="I1" s="1216"/>
      <c r="J1" s="1216"/>
      <c r="K1" s="1216"/>
      <c r="L1" s="1216"/>
      <c r="M1" s="1216"/>
      <c r="N1" s="1216"/>
    </row>
    <row r="2" spans="1:14" x14ac:dyDescent="0.3">
      <c r="A2" t="s">
        <v>1</v>
      </c>
      <c r="B2" t="s">
        <v>2</v>
      </c>
      <c r="D2" t="s">
        <v>3</v>
      </c>
    </row>
    <row r="4" spans="1:14" ht="18" x14ac:dyDescent="0.35">
      <c r="A4" s="1228" t="s">
        <v>4</v>
      </c>
      <c r="B4" s="1216"/>
      <c r="C4" s="1216"/>
      <c r="D4" s="1216"/>
      <c r="E4" s="1216"/>
      <c r="F4" s="1216"/>
      <c r="G4" s="1216"/>
      <c r="H4" s="1216"/>
      <c r="I4" s="1216"/>
      <c r="J4" s="1216"/>
      <c r="K4" s="1216"/>
      <c r="L4" s="1216"/>
      <c r="M4" s="1216"/>
      <c r="N4" s="1216"/>
    </row>
    <row r="5" spans="1:14" ht="41.85" customHeight="1" x14ac:dyDescent="0.3">
      <c r="A5" s="1222" t="s">
        <v>5</v>
      </c>
      <c r="B5" s="1223"/>
      <c r="C5" s="1222" t="s">
        <v>6</v>
      </c>
      <c r="D5" s="1223"/>
      <c r="E5" s="1222" t="s">
        <v>7</v>
      </c>
      <c r="F5" s="1223"/>
      <c r="G5" s="1222" t="s">
        <v>8</v>
      </c>
      <c r="H5" s="1223"/>
      <c r="I5" s="1222" t="s">
        <v>9</v>
      </c>
      <c r="J5" s="1223"/>
      <c r="K5" s="1222" t="s">
        <v>10</v>
      </c>
      <c r="L5" s="1226"/>
    </row>
    <row r="6" spans="1:14" ht="63" customHeight="1" x14ac:dyDescent="0.3">
      <c r="A6" s="1224" t="s">
        <v>11</v>
      </c>
      <c r="B6" s="1225"/>
      <c r="C6" s="1224" t="s">
        <v>12</v>
      </c>
      <c r="D6" s="1225"/>
      <c r="E6" s="1224" t="s">
        <v>13</v>
      </c>
      <c r="F6" s="1225"/>
      <c r="G6" s="1224" t="s">
        <v>11</v>
      </c>
      <c r="H6" s="1225"/>
      <c r="I6" s="1224" t="s">
        <v>14</v>
      </c>
      <c r="J6" s="1225"/>
      <c r="K6" s="1224" t="s">
        <v>14</v>
      </c>
      <c r="L6" s="1227"/>
    </row>
    <row r="8" spans="1:14" ht="15.6" x14ac:dyDescent="0.3">
      <c r="A8" s="1218" t="s">
        <v>15</v>
      </c>
      <c r="B8" s="1218"/>
      <c r="C8" s="1218"/>
      <c r="D8" s="1218"/>
      <c r="E8" s="1218"/>
      <c r="F8" s="1218"/>
    </row>
    <row r="9" spans="1:14" x14ac:dyDescent="0.3">
      <c r="A9" s="1" t="s">
        <v>16</v>
      </c>
      <c r="B9" s="1" t="s">
        <v>17</v>
      </c>
      <c r="C9" s="1" t="s">
        <v>18</v>
      </c>
      <c r="D9" s="1" t="s">
        <v>19</v>
      </c>
      <c r="E9" s="1" t="s">
        <v>8</v>
      </c>
      <c r="F9" s="1" t="s">
        <v>20</v>
      </c>
    </row>
    <row r="10" spans="1:14" x14ac:dyDescent="0.3">
      <c r="A10" s="2" t="s">
        <v>21</v>
      </c>
      <c r="B10" s="11">
        <v>6947000</v>
      </c>
      <c r="C10" s="11">
        <v>0</v>
      </c>
      <c r="D10" s="3">
        <f t="shared" ref="D10:D18" si="0">IF(B10=0,0,C10/B10)</f>
        <v>0</v>
      </c>
      <c r="E10" s="11">
        <f t="shared" ref="E10:E18" si="1">B10-C10</f>
        <v>6947000</v>
      </c>
      <c r="F10" s="2"/>
    </row>
    <row r="11" spans="1:14" x14ac:dyDescent="0.3">
      <c r="A11" s="2" t="s">
        <v>22</v>
      </c>
      <c r="B11" s="11">
        <v>13367000</v>
      </c>
      <c r="C11" s="11">
        <v>0</v>
      </c>
      <c r="D11" s="3">
        <f t="shared" si="0"/>
        <v>0</v>
      </c>
      <c r="E11" s="11">
        <f t="shared" si="1"/>
        <v>13367000</v>
      </c>
      <c r="F11" s="2"/>
    </row>
    <row r="12" spans="1:14" x14ac:dyDescent="0.3">
      <c r="A12" s="2" t="s">
        <v>23</v>
      </c>
      <c r="B12" s="11">
        <v>2100000</v>
      </c>
      <c r="C12" s="11">
        <v>0</v>
      </c>
      <c r="D12" s="3">
        <f t="shared" si="0"/>
        <v>0</v>
      </c>
      <c r="E12" s="11">
        <f t="shared" si="1"/>
        <v>2100000</v>
      </c>
      <c r="F12" s="2"/>
    </row>
    <row r="13" spans="1:14" x14ac:dyDescent="0.3">
      <c r="A13" s="2" t="s">
        <v>24</v>
      </c>
      <c r="B13" s="11">
        <v>5356000</v>
      </c>
      <c r="C13" s="11">
        <v>0</v>
      </c>
      <c r="D13" s="3">
        <f t="shared" si="0"/>
        <v>0</v>
      </c>
      <c r="E13" s="11">
        <f t="shared" si="1"/>
        <v>5356000</v>
      </c>
      <c r="F13" s="2"/>
    </row>
    <row r="14" spans="1:14" x14ac:dyDescent="0.3">
      <c r="A14" s="2" t="s">
        <v>25</v>
      </c>
      <c r="B14" s="11">
        <v>3841000</v>
      </c>
      <c r="C14" s="11">
        <v>0</v>
      </c>
      <c r="D14" s="3">
        <f t="shared" si="0"/>
        <v>0</v>
      </c>
      <c r="E14" s="11">
        <f t="shared" si="1"/>
        <v>3841000</v>
      </c>
      <c r="F14" s="2"/>
    </row>
    <row r="15" spans="1:14" x14ac:dyDescent="0.3">
      <c r="A15" s="2" t="s">
        <v>26</v>
      </c>
      <c r="B15" s="11">
        <v>7000000</v>
      </c>
      <c r="C15" s="11">
        <v>0</v>
      </c>
      <c r="D15" s="3">
        <f t="shared" si="0"/>
        <v>0</v>
      </c>
      <c r="E15" s="11">
        <f t="shared" si="1"/>
        <v>7000000</v>
      </c>
      <c r="F15" s="2"/>
    </row>
    <row r="16" spans="1:14" x14ac:dyDescent="0.3">
      <c r="A16" s="2" t="s">
        <v>27</v>
      </c>
      <c r="B16" s="11">
        <v>10000000</v>
      </c>
      <c r="C16" s="11">
        <v>0</v>
      </c>
      <c r="D16" s="3">
        <f t="shared" si="0"/>
        <v>0</v>
      </c>
      <c r="E16" s="11">
        <f t="shared" si="1"/>
        <v>10000000</v>
      </c>
      <c r="F16" s="2"/>
    </row>
    <row r="17" spans="1:9" x14ac:dyDescent="0.3">
      <c r="A17" s="2" t="s">
        <v>28</v>
      </c>
      <c r="B17" s="11">
        <v>1709000</v>
      </c>
      <c r="C17" s="11"/>
      <c r="D17" s="3"/>
      <c r="E17" s="11"/>
      <c r="F17" s="2"/>
    </row>
    <row r="18" spans="1:9" x14ac:dyDescent="0.3">
      <c r="A18" s="4" t="s">
        <v>29</v>
      </c>
      <c r="B18" s="12">
        <f>SUM(B10:B16)</f>
        <v>48611000</v>
      </c>
      <c r="C18" s="12">
        <f>SUM(C10:C16)</f>
        <v>0</v>
      </c>
      <c r="D18" s="3">
        <f t="shared" si="0"/>
        <v>0</v>
      </c>
      <c r="E18" s="11">
        <f t="shared" si="1"/>
        <v>48611000</v>
      </c>
      <c r="G18" s="6"/>
      <c r="H18" s="6"/>
    </row>
    <row r="20" spans="1:9" ht="15.6" x14ac:dyDescent="0.3">
      <c r="A20" s="1220" t="s">
        <v>30</v>
      </c>
      <c r="B20" s="1216"/>
      <c r="C20" s="1216"/>
      <c r="D20" s="1216"/>
      <c r="E20" s="1216"/>
      <c r="F20" s="1216"/>
      <c r="G20" s="1216"/>
      <c r="H20" s="1216"/>
      <c r="I20" s="1216"/>
    </row>
    <row r="21" spans="1:9" x14ac:dyDescent="0.3">
      <c r="A21" s="5" t="s">
        <v>31</v>
      </c>
      <c r="B21" s="5" t="s">
        <v>17</v>
      </c>
      <c r="C21" s="5" t="s">
        <v>32</v>
      </c>
      <c r="D21" s="5" t="s">
        <v>33</v>
      </c>
      <c r="E21" s="5" t="s">
        <v>34</v>
      </c>
      <c r="F21" s="5" t="s">
        <v>35</v>
      </c>
      <c r="G21" s="5" t="s">
        <v>36</v>
      </c>
      <c r="H21" s="5" t="s">
        <v>37</v>
      </c>
      <c r="I21" s="5" t="s">
        <v>20</v>
      </c>
    </row>
    <row r="22" spans="1:9" x14ac:dyDescent="0.3">
      <c r="A22" s="2"/>
      <c r="B22" s="2"/>
      <c r="C22" s="2"/>
      <c r="D22" s="2"/>
      <c r="E22" s="2"/>
      <c r="F22" s="2"/>
      <c r="G22" s="2"/>
      <c r="H22" s="2" t="e">
        <f t="shared" ref="H22:H37" si="2">AVERAGE(C22:G22)</f>
        <v>#DIV/0!</v>
      </c>
      <c r="I22" s="2"/>
    </row>
    <row r="23" spans="1:9" x14ac:dyDescent="0.3">
      <c r="A23" s="2"/>
      <c r="B23" s="2"/>
      <c r="C23" s="2"/>
      <c r="D23" s="2"/>
      <c r="E23" s="2"/>
      <c r="F23" s="2"/>
      <c r="G23" s="2"/>
      <c r="H23" s="2" t="e">
        <f t="shared" si="2"/>
        <v>#DIV/0!</v>
      </c>
      <c r="I23" s="2"/>
    </row>
    <row r="24" spans="1:9" x14ac:dyDescent="0.3">
      <c r="A24" s="2"/>
      <c r="B24" s="2"/>
      <c r="C24" s="2"/>
      <c r="D24" s="2"/>
      <c r="E24" s="2"/>
      <c r="F24" s="2"/>
      <c r="G24" s="2"/>
      <c r="H24" s="2" t="e">
        <f t="shared" si="2"/>
        <v>#DIV/0!</v>
      </c>
      <c r="I24" s="2"/>
    </row>
    <row r="25" spans="1:9" x14ac:dyDescent="0.3">
      <c r="A25" s="2"/>
      <c r="B25" s="2"/>
      <c r="C25" s="2"/>
      <c r="D25" s="2"/>
      <c r="E25" s="2"/>
      <c r="F25" s="2"/>
      <c r="G25" s="2"/>
      <c r="H25" s="2" t="e">
        <f t="shared" si="2"/>
        <v>#DIV/0!</v>
      </c>
      <c r="I25" s="2"/>
    </row>
    <row r="26" spans="1:9" x14ac:dyDescent="0.3">
      <c r="A26" s="2"/>
      <c r="B26" s="2"/>
      <c r="C26" s="2"/>
      <c r="D26" s="2"/>
      <c r="E26" s="2"/>
      <c r="F26" s="2"/>
      <c r="G26" s="2"/>
      <c r="H26" s="2" t="e">
        <f t="shared" si="2"/>
        <v>#DIV/0!</v>
      </c>
      <c r="I26" s="2"/>
    </row>
    <row r="27" spans="1:9" x14ac:dyDescent="0.3">
      <c r="A27" s="2"/>
      <c r="B27" s="2"/>
      <c r="C27" s="2"/>
      <c r="D27" s="2"/>
      <c r="E27" s="2"/>
      <c r="F27" s="2"/>
      <c r="G27" s="2"/>
      <c r="H27" s="2" t="e">
        <f t="shared" si="2"/>
        <v>#DIV/0!</v>
      </c>
      <c r="I27" s="2"/>
    </row>
    <row r="28" spans="1:9" x14ac:dyDescent="0.3">
      <c r="A28" s="2"/>
      <c r="B28" s="2"/>
      <c r="C28" s="2"/>
      <c r="D28" s="2"/>
      <c r="E28" s="2"/>
      <c r="F28" s="2"/>
      <c r="G28" s="2"/>
      <c r="H28" s="2" t="e">
        <f t="shared" si="2"/>
        <v>#DIV/0!</v>
      </c>
      <c r="I28" s="2"/>
    </row>
    <row r="29" spans="1:9" x14ac:dyDescent="0.3">
      <c r="A29" s="2"/>
      <c r="B29" s="2"/>
      <c r="C29" s="2"/>
      <c r="D29" s="2"/>
      <c r="E29" s="2"/>
      <c r="F29" s="2"/>
      <c r="G29" s="2"/>
      <c r="H29" s="2" t="e">
        <f t="shared" si="2"/>
        <v>#DIV/0!</v>
      </c>
      <c r="I29" s="2"/>
    </row>
    <row r="30" spans="1:9" x14ac:dyDescent="0.3">
      <c r="A30" s="2"/>
      <c r="B30" s="2"/>
      <c r="C30" s="2"/>
      <c r="D30" s="2"/>
      <c r="E30" s="2"/>
      <c r="F30" s="2"/>
      <c r="G30" s="2"/>
      <c r="H30" s="2" t="e">
        <f t="shared" si="2"/>
        <v>#DIV/0!</v>
      </c>
      <c r="I30" s="2"/>
    </row>
    <row r="31" spans="1:9" x14ac:dyDescent="0.3">
      <c r="A31" s="2"/>
      <c r="B31" s="2"/>
      <c r="C31" s="2"/>
      <c r="D31" s="2"/>
      <c r="E31" s="2"/>
      <c r="F31" s="2"/>
      <c r="G31" s="2"/>
      <c r="H31" s="2" t="e">
        <f t="shared" si="2"/>
        <v>#DIV/0!</v>
      </c>
      <c r="I31" s="2"/>
    </row>
    <row r="32" spans="1:9" x14ac:dyDescent="0.3">
      <c r="A32" s="2"/>
      <c r="B32" s="2"/>
      <c r="C32" s="2"/>
      <c r="D32" s="2"/>
      <c r="E32" s="2"/>
      <c r="F32" s="2"/>
      <c r="G32" s="2"/>
      <c r="H32" s="2" t="e">
        <f t="shared" si="2"/>
        <v>#DIV/0!</v>
      </c>
      <c r="I32" s="2"/>
    </row>
    <row r="33" spans="1:14" x14ac:dyDescent="0.3">
      <c r="A33" s="2"/>
      <c r="B33" s="2"/>
      <c r="C33" s="2"/>
      <c r="D33" s="2"/>
      <c r="E33" s="2"/>
      <c r="F33" s="2"/>
      <c r="G33" s="2"/>
      <c r="H33" s="2" t="e">
        <f t="shared" si="2"/>
        <v>#DIV/0!</v>
      </c>
      <c r="I33" s="2"/>
    </row>
    <row r="34" spans="1:14" x14ac:dyDescent="0.3">
      <c r="A34" s="2"/>
      <c r="B34" s="2"/>
      <c r="C34" s="2"/>
      <c r="D34" s="2"/>
      <c r="E34" s="2"/>
      <c r="F34" s="2"/>
      <c r="G34" s="2"/>
      <c r="H34" s="2" t="e">
        <f t="shared" si="2"/>
        <v>#DIV/0!</v>
      </c>
      <c r="I34" s="2"/>
    </row>
    <row r="35" spans="1:14" x14ac:dyDescent="0.3">
      <c r="A35" s="2"/>
      <c r="B35" s="2"/>
      <c r="C35" s="2"/>
      <c r="D35" s="2"/>
      <c r="E35" s="2"/>
      <c r="F35" s="2"/>
      <c r="G35" s="2"/>
      <c r="H35" s="2" t="e">
        <f t="shared" si="2"/>
        <v>#DIV/0!</v>
      </c>
      <c r="I35" s="2"/>
    </row>
    <row r="36" spans="1:14" x14ac:dyDescent="0.3">
      <c r="A36" s="2"/>
      <c r="B36" s="2"/>
      <c r="C36" s="2"/>
      <c r="D36" s="2"/>
      <c r="E36" s="2"/>
      <c r="F36" s="2"/>
      <c r="G36" s="2"/>
      <c r="H36" s="2" t="e">
        <f t="shared" si="2"/>
        <v>#DIV/0!</v>
      </c>
      <c r="I36" s="2"/>
    </row>
    <row r="37" spans="1:14" x14ac:dyDescent="0.3">
      <c r="A37" s="2"/>
      <c r="B37" s="2"/>
      <c r="C37" s="2"/>
      <c r="D37" s="2"/>
      <c r="E37" s="2"/>
      <c r="F37" s="2"/>
      <c r="G37" s="2"/>
      <c r="H37" s="2" t="e">
        <f t="shared" si="2"/>
        <v>#DIV/0!</v>
      </c>
      <c r="I37" s="2"/>
    </row>
    <row r="40" spans="1:14" ht="15.6" x14ac:dyDescent="0.3">
      <c r="A40" s="1219" t="s">
        <v>38</v>
      </c>
      <c r="B40" s="1216"/>
      <c r="C40" s="1216"/>
      <c r="D40" s="1216"/>
      <c r="E40" s="1216"/>
      <c r="F40" s="1216"/>
      <c r="G40" s="1216"/>
      <c r="H40" s="1217" t="s">
        <v>39</v>
      </c>
      <c r="I40" s="1216"/>
      <c r="J40" s="1216"/>
      <c r="K40" s="1216"/>
      <c r="L40" s="1216"/>
      <c r="M40" s="1216"/>
      <c r="N40" s="1216"/>
    </row>
    <row r="41" spans="1:14" x14ac:dyDescent="0.3">
      <c r="A41" s="2" t="s">
        <v>40</v>
      </c>
      <c r="B41" s="1215"/>
      <c r="C41" s="1216"/>
      <c r="D41" s="1216"/>
      <c r="E41" s="1216"/>
      <c r="F41" s="1216"/>
      <c r="G41" s="1216"/>
      <c r="H41" s="2" t="s">
        <v>40</v>
      </c>
      <c r="I41" s="1215"/>
      <c r="J41" s="1216"/>
      <c r="K41" s="1216"/>
      <c r="L41" s="1216"/>
      <c r="M41" s="1216"/>
      <c r="N41" s="1216"/>
    </row>
    <row r="42" spans="1:14" x14ac:dyDescent="0.3">
      <c r="A42" s="2" t="s">
        <v>41</v>
      </c>
      <c r="B42" s="1215"/>
      <c r="C42" s="1216"/>
      <c r="D42" s="1216"/>
      <c r="E42" s="1216"/>
      <c r="F42" s="1216"/>
      <c r="G42" s="1216"/>
      <c r="H42" s="2" t="s">
        <v>41</v>
      </c>
      <c r="I42" s="1215"/>
      <c r="J42" s="1216"/>
      <c r="K42" s="1216"/>
      <c r="L42" s="1216"/>
      <c r="M42" s="1216"/>
      <c r="N42" s="1216"/>
    </row>
    <row r="43" spans="1:14" x14ac:dyDescent="0.3">
      <c r="A43" s="2" t="s">
        <v>42</v>
      </c>
      <c r="B43" s="1215"/>
      <c r="C43" s="1216"/>
      <c r="D43" s="1216"/>
      <c r="E43" s="1216"/>
      <c r="F43" s="1216"/>
      <c r="G43" s="1216"/>
      <c r="H43" s="2" t="s">
        <v>42</v>
      </c>
      <c r="I43" s="1215"/>
      <c r="J43" s="1216"/>
      <c r="K43" s="1216"/>
      <c r="L43" s="1216"/>
      <c r="M43" s="1216"/>
      <c r="N43" s="1216"/>
    </row>
    <row r="44" spans="1:14" x14ac:dyDescent="0.3">
      <c r="A44" s="2" t="s">
        <v>43</v>
      </c>
      <c r="B44" s="1215"/>
      <c r="C44" s="1216"/>
      <c r="D44" s="1216"/>
      <c r="E44" s="1216"/>
      <c r="F44" s="1216"/>
      <c r="G44" s="1216"/>
      <c r="H44" s="2" t="s">
        <v>43</v>
      </c>
      <c r="I44" s="1215"/>
      <c r="J44" s="1216"/>
      <c r="K44" s="1216"/>
      <c r="L44" s="1216"/>
      <c r="M44" s="1216"/>
      <c r="N44" s="1216"/>
    </row>
    <row r="45" spans="1:14" x14ac:dyDescent="0.3">
      <c r="A45" s="2" t="s">
        <v>44</v>
      </c>
      <c r="B45" s="1215"/>
      <c r="C45" s="1216"/>
      <c r="D45" s="1216"/>
      <c r="E45" s="1216"/>
      <c r="F45" s="1216"/>
      <c r="G45" s="1216"/>
      <c r="H45" s="2" t="s">
        <v>44</v>
      </c>
      <c r="I45" s="1215"/>
      <c r="J45" s="1216"/>
      <c r="K45" s="1216"/>
      <c r="L45" s="1216"/>
      <c r="M45" s="1216"/>
      <c r="N45" s="1216"/>
    </row>
  </sheetData>
  <mergeCells count="28">
    <mergeCell ref="A1:N1"/>
    <mergeCell ref="A5:B5"/>
    <mergeCell ref="A6:B6"/>
    <mergeCell ref="C5:D5"/>
    <mergeCell ref="C6:D6"/>
    <mergeCell ref="E5:F5"/>
    <mergeCell ref="E6:F6"/>
    <mergeCell ref="G5:H5"/>
    <mergeCell ref="G6:H6"/>
    <mergeCell ref="I5:J5"/>
    <mergeCell ref="I6:J6"/>
    <mergeCell ref="K5:L5"/>
    <mergeCell ref="K6:L6"/>
    <mergeCell ref="A4:N4"/>
    <mergeCell ref="B45:G45"/>
    <mergeCell ref="I44:N44"/>
    <mergeCell ref="I45:N45"/>
    <mergeCell ref="B43:G43"/>
    <mergeCell ref="I43:N43"/>
    <mergeCell ref="B44:G44"/>
    <mergeCell ref="I42:N42"/>
    <mergeCell ref="H40:N40"/>
    <mergeCell ref="B41:G41"/>
    <mergeCell ref="A8:F8"/>
    <mergeCell ref="A40:G40"/>
    <mergeCell ref="B42:G42"/>
    <mergeCell ref="A20:I20"/>
    <mergeCell ref="I41:N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386B-FF62-4363-8709-53270BF3324E}">
  <sheetPr filterMode="1"/>
  <dimension ref="A1:AI356"/>
  <sheetViews>
    <sheetView tabSelected="1" topLeftCell="B3" zoomScale="70" zoomScaleNormal="70" workbookViewId="0">
      <selection activeCell="L279" sqref="L279"/>
    </sheetView>
  </sheetViews>
  <sheetFormatPr defaultRowHeight="15" customHeight="1" x14ac:dyDescent="0.3"/>
  <cols>
    <col min="1" max="1" width="5.44140625" hidden="1" customWidth="1"/>
    <col min="2" max="2" width="3.5546875" style="20" customWidth="1"/>
    <col min="3" max="3" width="1.44140625" customWidth="1"/>
    <col min="4" max="4" width="30.5546875" bestFit="1" customWidth="1"/>
    <col min="5" max="5" width="31.44140625" bestFit="1" customWidth="1"/>
    <col min="6" max="6" width="47.5546875" customWidth="1"/>
    <col min="7" max="7" width="35.5546875" customWidth="1"/>
    <col min="8" max="8" width="26" customWidth="1"/>
    <col min="9" max="9" width="25.5546875" customWidth="1"/>
    <col min="10" max="10" width="30" customWidth="1"/>
    <col min="11" max="11" width="30.77734375" bestFit="1" customWidth="1"/>
    <col min="12" max="12" width="26" customWidth="1"/>
    <col min="13" max="13" width="24.5546875" customWidth="1"/>
    <col min="14" max="14" width="21.5546875" customWidth="1"/>
    <col min="15" max="15" width="1" customWidth="1"/>
    <col min="16" max="17" width="25.44140625" customWidth="1"/>
    <col min="18" max="18" width="29.44140625" customWidth="1"/>
    <col min="19" max="19" width="17" customWidth="1"/>
    <col min="20" max="20" width="1.44140625" customWidth="1"/>
    <col min="28" max="30" width="17" customWidth="1"/>
    <col min="31" max="31" width="45.5546875" bestFit="1" customWidth="1"/>
    <col min="32" max="32" width="4" bestFit="1" customWidth="1"/>
  </cols>
  <sheetData>
    <row r="1" spans="3:35" s="20" customFormat="1" ht="4.3499999999999996" customHeight="1" thickBot="1" x14ac:dyDescent="0.35"/>
    <row r="2" spans="3:35" ht="6" customHeight="1" thickTop="1" thickBot="1" x14ac:dyDescent="0.35">
      <c r="C2" s="43"/>
      <c r="D2" s="44"/>
      <c r="E2" s="44"/>
      <c r="F2" s="44"/>
      <c r="G2" s="44"/>
      <c r="H2" s="44"/>
      <c r="I2" s="44"/>
      <c r="J2" s="44"/>
      <c r="K2" s="44"/>
      <c r="L2" s="44"/>
      <c r="M2" s="44"/>
      <c r="N2" s="44"/>
      <c r="O2" s="44"/>
      <c r="P2" s="44"/>
      <c r="Q2" s="44"/>
      <c r="R2" s="44"/>
      <c r="S2" s="44"/>
      <c r="T2" s="45"/>
      <c r="V2" s="20"/>
      <c r="W2" s="20"/>
      <c r="X2" s="20"/>
      <c r="Y2" s="20"/>
      <c r="Z2" s="20"/>
      <c r="AA2" s="20"/>
      <c r="AB2" s="20"/>
      <c r="AC2" s="20"/>
      <c r="AD2" s="20"/>
      <c r="AE2" s="20"/>
      <c r="AF2" s="20"/>
      <c r="AG2" s="20"/>
      <c r="AH2" s="20"/>
      <c r="AI2" s="20"/>
    </row>
    <row r="3" spans="3:35" ht="50.85" customHeight="1" thickTop="1" x14ac:dyDescent="1.1000000000000001">
      <c r="C3" s="36"/>
      <c r="D3" s="1276" t="s">
        <v>45</v>
      </c>
      <c r="E3" s="1277"/>
      <c r="F3" s="1277"/>
      <c r="G3" s="1277"/>
      <c r="H3" s="1277"/>
      <c r="I3" s="1277"/>
      <c r="J3" s="1277"/>
      <c r="K3" s="1277"/>
      <c r="L3" s="1277"/>
      <c r="M3" s="1277"/>
      <c r="N3" s="1277"/>
      <c r="O3" s="1277"/>
      <c r="P3" s="1277"/>
      <c r="Q3" s="1277"/>
      <c r="R3" s="1277"/>
      <c r="S3" s="46"/>
      <c r="T3" s="27"/>
      <c r="U3" s="20"/>
      <c r="V3" s="20"/>
      <c r="W3" s="20"/>
      <c r="X3" s="20"/>
      <c r="Y3" s="20"/>
      <c r="Z3" s="20"/>
      <c r="AA3" s="20"/>
      <c r="AB3" s="20"/>
      <c r="AC3" s="20"/>
      <c r="AD3" s="20"/>
      <c r="AE3" s="20"/>
      <c r="AF3" s="20"/>
      <c r="AG3" s="20"/>
      <c r="AH3" s="20"/>
      <c r="AI3" s="20"/>
    </row>
    <row r="4" spans="3:35" ht="25.35" customHeight="1" thickBot="1" x14ac:dyDescent="0.35">
      <c r="C4" s="37"/>
      <c r="D4" s="1278" t="s">
        <v>46</v>
      </c>
      <c r="E4" s="1279"/>
      <c r="F4" s="1279"/>
      <c r="G4" s="1279"/>
      <c r="H4" s="1279"/>
      <c r="I4" s="1279"/>
      <c r="J4" s="1279"/>
      <c r="K4" s="1279"/>
      <c r="L4" s="1279"/>
      <c r="M4" s="1279"/>
      <c r="N4" s="1279"/>
      <c r="O4" s="1279"/>
      <c r="P4" s="1279"/>
      <c r="Q4" s="1279"/>
      <c r="R4" s="1279"/>
      <c r="S4" s="1280"/>
      <c r="T4" s="33"/>
      <c r="U4" s="20"/>
      <c r="V4" s="20"/>
      <c r="W4" s="20"/>
      <c r="X4" s="20"/>
      <c r="Y4" s="20"/>
      <c r="Z4" s="20"/>
      <c r="AA4" s="20"/>
      <c r="AB4" s="20"/>
      <c r="AC4" s="20"/>
      <c r="AD4" s="20"/>
      <c r="AE4" s="20"/>
      <c r="AF4" s="20"/>
      <c r="AG4" s="20"/>
      <c r="AH4" s="20"/>
      <c r="AI4" s="20"/>
    </row>
    <row r="5" spans="3:35" ht="8.1" customHeight="1" thickTop="1" x14ac:dyDescent="0.3">
      <c r="C5" s="36"/>
      <c r="D5" s="47"/>
      <c r="E5" s="47"/>
      <c r="F5" s="47"/>
      <c r="G5" s="47"/>
      <c r="H5" s="47"/>
      <c r="I5" s="47"/>
      <c r="J5" s="47"/>
      <c r="K5" s="47"/>
      <c r="L5" s="47"/>
      <c r="M5" s="47"/>
      <c r="N5" s="47"/>
      <c r="O5" s="47"/>
      <c r="P5" s="47"/>
      <c r="Q5" s="47"/>
      <c r="R5" s="47"/>
      <c r="S5" s="47"/>
      <c r="T5" s="27"/>
      <c r="U5" s="20"/>
      <c r="V5" s="20"/>
      <c r="W5" s="20"/>
      <c r="X5" s="20"/>
      <c r="Y5" s="20"/>
      <c r="Z5" s="20"/>
      <c r="AA5" s="20"/>
      <c r="AB5" s="20"/>
      <c r="AC5" s="20"/>
      <c r="AD5" s="20"/>
      <c r="AE5" s="20"/>
      <c r="AF5" s="20"/>
      <c r="AG5" s="20"/>
      <c r="AH5" s="20"/>
      <c r="AI5" s="20"/>
    </row>
    <row r="6" spans="3:35" ht="15.6" customHeight="1" x14ac:dyDescent="0.3">
      <c r="C6" s="36"/>
      <c r="D6" s="1281" t="s">
        <v>47</v>
      </c>
      <c r="E6" s="1281"/>
      <c r="F6" s="513" t="s">
        <v>48</v>
      </c>
      <c r="G6" s="511" t="s">
        <v>49</v>
      </c>
      <c r="H6" s="1282" t="s">
        <v>50</v>
      </c>
      <c r="I6" s="1282"/>
      <c r="J6" s="1283" t="s">
        <v>51</v>
      </c>
      <c r="K6" s="1284"/>
      <c r="L6" s="1285" t="s">
        <v>53</v>
      </c>
      <c r="M6" s="1285"/>
      <c r="N6" s="1285" t="s">
        <v>54</v>
      </c>
      <c r="O6" s="1286"/>
      <c r="P6" s="1287" t="s">
        <v>55</v>
      </c>
      <c r="Q6" s="1288"/>
      <c r="R6" s="1288"/>
      <c r="S6" s="1289"/>
      <c r="T6" s="27"/>
      <c r="U6" s="20"/>
      <c r="V6" s="20"/>
      <c r="W6" s="20"/>
      <c r="X6" s="20"/>
      <c r="Y6" s="20"/>
      <c r="Z6" s="20"/>
      <c r="AA6" s="20"/>
      <c r="AB6" s="20"/>
      <c r="AC6" s="20"/>
      <c r="AD6" s="20"/>
      <c r="AE6" s="20"/>
      <c r="AF6" s="20"/>
      <c r="AG6" s="20"/>
      <c r="AH6" s="20"/>
      <c r="AI6" s="20"/>
    </row>
    <row r="7" spans="3:35" ht="24.6" customHeight="1" x14ac:dyDescent="0.3">
      <c r="C7" s="36"/>
      <c r="D7" s="1229">
        <f>Diadema!A5+Ferraz!A5+'São Leopoldo'!A5+Jarinu!A5+Anchieta!A5+Corporativo!A5+'Compras '!A5+Vendas!A5+'Diretoria Financeira'!A5+'Head Qualidade&amp;Dir. Industrial'!A5</f>
        <v>50320000</v>
      </c>
      <c r="E7" s="1230"/>
      <c r="F7" s="1253">
        <f>SUM(E23:L23)</f>
        <v>48275348.831732072</v>
      </c>
      <c r="G7" s="1256">
        <f>Diadema!D5+Ferraz!D5+Anchieta!D5+'São Leopoldo'!C26+'São Leopoldo'!D5+Jarinu!C5+'Compras '!E5+Vendas!E5</f>
        <v>21759476.585775279</v>
      </c>
      <c r="H7" s="1235">
        <f>Diadema!E5+Ferraz!E5+'São Leopoldo'!E5+Jarinu!E5+Anchieta!E5+Corporativo!E5+'Compras '!G5+Vendas!G5+'Diretoria Financeira'!E5+'Head Qualidade&amp;Dir. Industrial'!E5</f>
        <v>16843791.920637146</v>
      </c>
      <c r="I7" s="1236"/>
      <c r="J7" s="1241">
        <f>Diadema!G5+Ferraz!G5+Jarinu!G5+Anchieta!G5+'São Leopoldo'!G5+Vendas!I5+'Compras '!I5+Corporativo!G5</f>
        <v>4978229.5737575097</v>
      </c>
      <c r="K7" s="1242"/>
      <c r="L7" s="1247">
        <f>J7/D7</f>
        <v>9.8931430321095179E-2</v>
      </c>
      <c r="M7" s="1248"/>
      <c r="N7" s="1261">
        <f ca="1">SUM(J13:J15)</f>
        <v>204</v>
      </c>
      <c r="O7" s="1262"/>
      <c r="P7" s="886">
        <f ca="1">'Top Ganhos '!B2</f>
        <v>699813</v>
      </c>
      <c r="Q7" s="1267" t="str">
        <f ca="1">'Top Ganhos '!C2</f>
        <v>08 - Reestruturação</v>
      </c>
      <c r="R7" s="1268"/>
      <c r="S7" s="888" t="str">
        <f ca="1">'Top Ganhos '!D2</f>
        <v>São leopoldo</v>
      </c>
      <c r="T7" s="27"/>
      <c r="U7" s="20"/>
      <c r="V7" s="20"/>
      <c r="W7" s="20"/>
      <c r="X7" s="20"/>
      <c r="Y7" s="20"/>
      <c r="Z7" s="20"/>
      <c r="AA7" s="20"/>
      <c r="AB7" s="20"/>
      <c r="AC7" s="20"/>
      <c r="AD7" s="20"/>
      <c r="AE7" s="20"/>
      <c r="AF7" s="20"/>
      <c r="AG7" s="20"/>
      <c r="AH7" s="20"/>
      <c r="AI7" s="20"/>
    </row>
    <row r="8" spans="3:35" ht="24.6" customHeight="1" x14ac:dyDescent="0.3">
      <c r="C8" s="36"/>
      <c r="D8" s="1231"/>
      <c r="E8" s="1232"/>
      <c r="F8" s="1254"/>
      <c r="G8" s="1257"/>
      <c r="H8" s="1237"/>
      <c r="I8" s="1238"/>
      <c r="J8" s="1243"/>
      <c r="K8" s="1244"/>
      <c r="L8" s="1249"/>
      <c r="M8" s="1250"/>
      <c r="N8" s="1263"/>
      <c r="O8" s="1264"/>
      <c r="P8" s="887">
        <f ca="1">'Top Ganhos '!B3</f>
        <v>570440.18000000005</v>
      </c>
      <c r="Q8" s="1269" t="str">
        <f ca="1">'Top Ganhos '!C3</f>
        <v>Negociação de preços materiais carcaça Dana</v>
      </c>
      <c r="R8" s="1270"/>
      <c r="S8" s="889" t="str">
        <f ca="1">'Top Ganhos '!D3</f>
        <v>Compras</v>
      </c>
      <c r="T8" s="27"/>
      <c r="U8" s="20"/>
      <c r="V8" s="20"/>
      <c r="W8" s="20"/>
      <c r="X8" s="20"/>
      <c r="Y8" s="20"/>
      <c r="Z8" s="20"/>
      <c r="AA8" s="20"/>
      <c r="AB8" s="20"/>
      <c r="AC8" s="20"/>
      <c r="AD8" s="20"/>
      <c r="AE8" s="20"/>
      <c r="AF8" s="20"/>
      <c r="AG8" s="20"/>
      <c r="AH8" s="20"/>
      <c r="AI8" s="20"/>
    </row>
    <row r="9" spans="3:35" ht="24.6" customHeight="1" x14ac:dyDescent="0.3">
      <c r="C9" s="36"/>
      <c r="D9" s="1233"/>
      <c r="E9" s="1234"/>
      <c r="F9" s="1255"/>
      <c r="G9" s="1258"/>
      <c r="H9" s="1239"/>
      <c r="I9" s="1240"/>
      <c r="J9" s="1245"/>
      <c r="K9" s="1246"/>
      <c r="L9" s="1251"/>
      <c r="M9" s="1252"/>
      <c r="N9" s="1265"/>
      <c r="O9" s="1266"/>
      <c r="P9" s="886">
        <f ca="1">'Top Ganhos '!B4</f>
        <v>421900.92000000004</v>
      </c>
      <c r="Q9" s="1271" t="str">
        <f ca="1">'Top Ganhos '!C4</f>
        <v xml:space="preserve">03 - Consumo de desmoldante </v>
      </c>
      <c r="R9" s="1272"/>
      <c r="S9" s="888" t="str">
        <f ca="1">'Top Ganhos '!D4</f>
        <v>Ferraz</v>
      </c>
      <c r="T9" s="27"/>
      <c r="U9" s="20"/>
      <c r="V9" s="20"/>
      <c r="W9" s="20"/>
      <c r="X9" s="20"/>
      <c r="Y9" s="20"/>
      <c r="Z9" s="20"/>
      <c r="AA9" s="20"/>
      <c r="AB9" s="20"/>
      <c r="AC9" s="20"/>
      <c r="AD9" s="20"/>
      <c r="AE9" s="20"/>
      <c r="AF9" s="20"/>
      <c r="AG9" s="20"/>
      <c r="AH9" s="20"/>
      <c r="AI9" s="20"/>
    </row>
    <row r="10" spans="3:35" ht="8.1" customHeight="1" x14ac:dyDescent="0.3">
      <c r="C10" s="36"/>
      <c r="D10" s="47"/>
      <c r="E10" s="47"/>
      <c r="F10" s="47"/>
      <c r="G10" s="47"/>
      <c r="H10" s="47"/>
      <c r="I10" s="47"/>
      <c r="J10" s="47"/>
      <c r="K10" s="47"/>
      <c r="L10" s="47"/>
      <c r="M10" s="47"/>
      <c r="N10" s="47"/>
      <c r="O10" s="47"/>
      <c r="P10" s="47"/>
      <c r="Q10" s="47"/>
      <c r="R10" s="47"/>
      <c r="S10" s="47"/>
      <c r="T10" s="27"/>
      <c r="U10" s="20"/>
      <c r="V10" s="20"/>
      <c r="W10" s="20"/>
      <c r="X10" s="20"/>
      <c r="Y10" s="20"/>
      <c r="Z10" s="20"/>
      <c r="AA10" s="20"/>
      <c r="AB10" s="20"/>
      <c r="AC10" s="20"/>
      <c r="AD10" s="20"/>
      <c r="AE10" s="20"/>
      <c r="AF10" s="20"/>
      <c r="AG10" s="20"/>
      <c r="AH10" s="20"/>
      <c r="AI10" s="20"/>
    </row>
    <row r="11" spans="3:35" ht="22.35" customHeight="1" x14ac:dyDescent="0.3">
      <c r="C11" s="165"/>
      <c r="D11" s="858" t="s">
        <v>58</v>
      </c>
      <c r="E11" s="859"/>
      <c r="F11" s="859"/>
      <c r="G11" s="859"/>
      <c r="H11" s="859"/>
      <c r="I11" s="1273" t="s">
        <v>59</v>
      </c>
      <c r="J11" s="1273"/>
      <c r="K11" s="1273"/>
      <c r="L11" s="1273" t="s">
        <v>60</v>
      </c>
      <c r="M11" s="1273"/>
      <c r="N11" s="1273"/>
      <c r="O11" s="1273"/>
      <c r="P11" s="1273" t="s">
        <v>61</v>
      </c>
      <c r="Q11" s="1273"/>
      <c r="R11" s="1273"/>
      <c r="S11" s="224"/>
      <c r="T11" s="164"/>
      <c r="U11" s="20"/>
      <c r="V11" s="20"/>
      <c r="W11" s="20"/>
      <c r="X11" s="20"/>
      <c r="Y11" s="20"/>
      <c r="Z11" s="20"/>
      <c r="AA11" s="20"/>
      <c r="AB11" s="20"/>
      <c r="AC11" s="20"/>
      <c r="AD11" s="20"/>
      <c r="AE11" s="20"/>
      <c r="AF11" s="20"/>
      <c r="AG11" s="20"/>
      <c r="AH11" s="20"/>
      <c r="AI11" s="20"/>
    </row>
    <row r="12" spans="3:35" ht="18" customHeight="1" x14ac:dyDescent="0.3">
      <c r="C12" s="38"/>
      <c r="D12" s="221" t="s">
        <v>62</v>
      </c>
      <c r="E12" s="213" t="s">
        <v>63</v>
      </c>
      <c r="F12" s="213" t="s">
        <v>64</v>
      </c>
      <c r="G12" s="213" t="s">
        <v>65</v>
      </c>
      <c r="H12" s="213" t="s">
        <v>66</v>
      </c>
      <c r="I12" s="214" t="s">
        <v>67</v>
      </c>
      <c r="J12" s="214" t="s">
        <v>63</v>
      </c>
      <c r="K12" s="214" t="s">
        <v>68</v>
      </c>
      <c r="L12" s="1259" t="s">
        <v>69</v>
      </c>
      <c r="M12" s="1259" t="s">
        <v>70</v>
      </c>
      <c r="N12" s="1259" t="s">
        <v>71</v>
      </c>
      <c r="O12" s="1259"/>
      <c r="P12" s="56" t="s">
        <v>72</v>
      </c>
      <c r="Q12" s="57" t="s">
        <v>73</v>
      </c>
      <c r="R12" s="57" t="s">
        <v>74</v>
      </c>
      <c r="S12" s="57" t="s">
        <v>75</v>
      </c>
      <c r="T12" s="34"/>
      <c r="U12" s="20"/>
      <c r="V12" s="20"/>
      <c r="W12" s="20"/>
      <c r="X12" s="20"/>
      <c r="Y12" s="20"/>
      <c r="Z12" s="20"/>
      <c r="AA12" s="20"/>
      <c r="AB12" s="20"/>
      <c r="AC12" s="20"/>
      <c r="AD12" s="20"/>
      <c r="AE12" s="20"/>
      <c r="AF12" s="20"/>
      <c r="AG12" s="20"/>
      <c r="AH12" s="20"/>
      <c r="AI12" s="20"/>
    </row>
    <row r="13" spans="3:35" ht="18" customHeight="1" x14ac:dyDescent="0.3">
      <c r="C13" s="38"/>
      <c r="D13" s="222" t="s">
        <v>76</v>
      </c>
      <c r="E13" s="17">
        <f>SUM(Diadema!B9,Ferraz!B9,'São Leopoldo'!B9,Jarinu!B9,Anchieta!B9,Corporativo!B9,'Compras '!B9,Vendas!B11,'Diretoria Financeira'!B9,'Head Qualidade&amp;Dir. Industrial'!B9)</f>
        <v>34</v>
      </c>
      <c r="F13" s="211">
        <f>SUM(Diadema!C9,Ferraz!C9,'São Leopoldo'!C9,Jarinu!C9,Anchieta!C9,Corporativo!C9,'Compras '!C9,Vendas!C11,'Diretoria Financeira'!C9,'Head Qualidade&amp;Dir. Industrial'!C9)</f>
        <v>4453440.9267361648</v>
      </c>
      <c r="G13" s="211">
        <f>Diadema!D9+Anchieta!D9+Jarinu!D9+'São Leopoldo'!D9+Ferraz!D9+'Compras '!D9+Vendas!D11</f>
        <v>3647094.9</v>
      </c>
      <c r="H13" s="60">
        <f>G13/$G$18</f>
        <v>0.21652457577153697</v>
      </c>
      <c r="I13" s="225" t="s">
        <v>77</v>
      </c>
      <c r="J13" s="226">
        <f ca="1">SUM(Diadema!I9,Ferraz!I9,'São Leopoldo'!I9,Jarinu!I9,Anchieta!I9,Corporativo!H9,'Compras '!H9,Vendas!M11,'Diretoria Financeira'!H9,'Head Qualidade&amp;Dir. Industrial'!H9)</f>
        <v>67</v>
      </c>
      <c r="K13" s="939">
        <f ca="1">SUM(Diadema!J9,Ferraz!J9,'São Leopoldo'!J9,Jarinu!J9,Anchieta!J9,Corporativo!I9,'Compras '!I9,Vendas!N11,'Diretoria Financeira'!I9,'Head Qualidade&amp;Dir. Industrial'!I9)</f>
        <v>12917194.246951099</v>
      </c>
      <c r="L13" s="1260"/>
      <c r="M13" s="1260"/>
      <c r="N13" s="1260"/>
      <c r="O13" s="1260"/>
      <c r="P13" s="58" t="s">
        <v>78</v>
      </c>
      <c r="Q13" s="773">
        <f>SUM(Diadema!L219,Anchieta!L132,Ferraz!L144,Jarinu!L158,'São Leopoldo'!L152)/5</f>
        <v>0.9</v>
      </c>
      <c r="R13" s="773">
        <f>SUM(Diadema!M219,Anchieta!M132,Ferraz!M144,Jarinu!M158,'São Leopoldo'!M152)/5</f>
        <v>0.4</v>
      </c>
      <c r="S13" s="227">
        <v>1</v>
      </c>
      <c r="T13" s="34"/>
      <c r="U13" s="20"/>
      <c r="V13" s="20"/>
      <c r="W13" s="20"/>
      <c r="X13" s="20"/>
      <c r="Y13" s="20"/>
      <c r="Z13" s="20"/>
      <c r="AA13" s="20"/>
      <c r="AB13" s="20"/>
      <c r="AC13" s="20"/>
      <c r="AD13" s="20"/>
      <c r="AE13" s="20"/>
      <c r="AF13" s="20"/>
      <c r="AG13" s="20"/>
      <c r="AH13" s="20"/>
      <c r="AI13" s="20"/>
    </row>
    <row r="14" spans="3:35" ht="15.6" customHeight="1" x14ac:dyDescent="0.3">
      <c r="C14" s="39"/>
      <c r="D14" s="223" t="s">
        <v>79</v>
      </c>
      <c r="E14" s="212">
        <f>SUM(Diadema!B10,Ferraz!B10,'São Leopoldo'!B10,Jarinu!B10,Anchieta!B10,Corporativo!B10,'Compras '!B10,Vendas!B12,'Diretoria Financeira'!B10,'Head Qualidade&amp;Dir. Industrial'!B10)</f>
        <v>114</v>
      </c>
      <c r="F14" s="436">
        <f>SUM(Diadema!C10,Ferraz!C10,'São Leopoldo'!C10,Jarinu!C10,Anchieta!C10,Corporativo!C10,'Compras '!C10,Vendas!C12,'Diretoria Financeira'!C10,'Head Qualidade&amp;Dir. Industrial'!C10)</f>
        <v>26091796.743400004</v>
      </c>
      <c r="G14" s="436">
        <f>Diadema!D10+Anchieta!D10+Jarinu!D10+'São Leopoldo'!D10+Ferraz!D10+'Compras '!D10+Vendas!D12</f>
        <v>7567605.4804999996</v>
      </c>
      <c r="H14" s="860">
        <f t="shared" ref="H14:H17" si="0">G14/$G$18</f>
        <v>0.44928158197134399</v>
      </c>
      <c r="I14" s="228" t="s">
        <v>80</v>
      </c>
      <c r="J14" s="229">
        <f ca="1">SUM(Diadema!I10,Ferraz!I10,'São Leopoldo'!I10,Jarinu!I10,Anchieta!I10,Corporativo!H10,'Compras '!H10,Vendas!M12,'Diretoria Financeira'!H10,'Head Qualidade&amp;Dir. Industrial'!H10)</f>
        <v>125</v>
      </c>
      <c r="K14" s="940">
        <f ca="1">SUM(Diadema!J10,Ferraz!J10,'São Leopoldo'!J10,Jarinu!J10,Anchieta!J10,Corporativo!I10,'Compras '!I10,Vendas!N12,'Diretoria Financeira'!I10,'Head Qualidade&amp;Dir. Industrial'!I10)</f>
        <v>23870856.448400967</v>
      </c>
      <c r="L14" s="1290">
        <f>AVERAGE(Diadema!K10,Ferraz!K10,'São Leopoldo'!K10:K11,Jarinu!K10,Anchieta!K10)</f>
        <v>0.72142857142857153</v>
      </c>
      <c r="M14" s="1290">
        <f>AVERAGE(Diadema!L10,Ferraz!L10,'São Leopoldo'!L10:L11,Jarinu!L10,Anchieta!L10)</f>
        <v>0.32142857142857145</v>
      </c>
      <c r="N14" s="1293">
        <f>AVERAGE(Diadema!M10,Ferraz!M10,'São Leopoldo'!M10,Jarinu!M10,Anchieta!M10)</f>
        <v>0.2580924605115385</v>
      </c>
      <c r="O14" s="1294"/>
      <c r="P14" s="216" t="s">
        <v>81</v>
      </c>
      <c r="Q14" s="774">
        <f>SUM(Diadema!L220,Anchieta!L133,Ferraz!L145,Jarinu!L159,'São Leopoldo'!L153)/5</f>
        <v>0.8</v>
      </c>
      <c r="R14" s="774">
        <f>SUM(Diadema!M220,Anchieta!M133,Ferraz!M145,Jarinu!M159,'São Leopoldo'!M153)/5</f>
        <v>0.38333333333333336</v>
      </c>
      <c r="S14" s="230">
        <v>1</v>
      </c>
      <c r="T14" s="35"/>
      <c r="U14" s="20"/>
      <c r="V14" s="20"/>
      <c r="W14" s="20"/>
      <c r="X14" s="20"/>
      <c r="Y14" s="20"/>
      <c r="Z14" s="20"/>
      <c r="AA14" s="20"/>
      <c r="AB14" s="20"/>
      <c r="AC14" s="20"/>
      <c r="AD14" s="20"/>
      <c r="AE14" s="20"/>
      <c r="AF14" s="20"/>
      <c r="AG14" s="20"/>
      <c r="AH14" s="20"/>
      <c r="AI14" s="20"/>
    </row>
    <row r="15" spans="3:35" ht="15.6" customHeight="1" x14ac:dyDescent="0.3">
      <c r="C15" s="39"/>
      <c r="D15" s="222" t="s">
        <v>82</v>
      </c>
      <c r="E15" s="17">
        <f>SUM(Diadema!B11,Ferraz!B11,'São Leopoldo'!B11,Jarinu!B11,Anchieta!B11,Corporativo!B11,'Compras '!B11,Vendas!B13,'Diretoria Financeira'!B11,'Head Qualidade&amp;Dir. Industrial'!B11)</f>
        <v>2</v>
      </c>
      <c r="F15" s="211">
        <f>SUM(Diadema!C11,Ferraz!C11,'São Leopoldo'!C11,Jarinu!C11,Anchieta!C11,Corporativo!C11,'Compras '!C11,Vendas!C13,'Diretoria Financeira'!C11,'Head Qualidade&amp;Dir. Industrial'!C11)</f>
        <v>690000</v>
      </c>
      <c r="G15" s="211">
        <f>Diadema!D11+Anchieta!D11+Jarinu!D11+'São Leopoldo'!D11+Ferraz!D11+'Compras '!D11+Vendas!D13</f>
        <v>0</v>
      </c>
      <c r="H15" s="60">
        <f t="shared" si="0"/>
        <v>0</v>
      </c>
      <c r="I15" s="231" t="s">
        <v>83</v>
      </c>
      <c r="J15" s="232">
        <f ca="1">SUM(Diadema!I11,Ferraz!I11,'São Leopoldo'!I11,Jarinu!I11,Anchieta!I11,Corporativo!H11,'Compras '!H11,Vendas!M13,'Diretoria Financeira'!H11,'Head Qualidade&amp;Dir. Industrial'!H11)</f>
        <v>12</v>
      </c>
      <c r="K15" s="941">
        <f ca="1">SUM(Diadema!J11,Ferraz!J11,'São Leopoldo'!J11,Jarinu!J11,Anchieta!J11,Corporativo!I11,'Compras '!I11,Vendas!N13,'Diretoria Financeira'!I11,'Head Qualidade&amp;Dir. Industrial'!I11)</f>
        <v>843525.13549999997</v>
      </c>
      <c r="L15" s="1291"/>
      <c r="M15" s="1291"/>
      <c r="N15" s="1295"/>
      <c r="O15" s="1296"/>
      <c r="P15" s="215" t="s">
        <v>84</v>
      </c>
      <c r="Q15" s="773">
        <f>SUM(Diadema!L221,Anchieta!L134,Ferraz!L146,Jarinu!L160,'São Leopoldo'!L154)/5</f>
        <v>0.54545454545454553</v>
      </c>
      <c r="R15" s="773">
        <f>SUM(Diadema!M221,Anchieta!M134,Ferraz!M146,Jarinu!M160,'São Leopoldo'!M154)/5</f>
        <v>0.23636363636363633</v>
      </c>
      <c r="S15" s="227">
        <v>1</v>
      </c>
      <c r="T15" s="35"/>
      <c r="U15" s="20"/>
      <c r="V15" s="20"/>
      <c r="W15" s="20"/>
      <c r="X15" s="20"/>
      <c r="Y15" s="20"/>
      <c r="Z15" s="20"/>
      <c r="AA15" s="20"/>
      <c r="AB15" s="20"/>
      <c r="AC15" s="20"/>
      <c r="AD15" s="20"/>
      <c r="AE15" s="20"/>
      <c r="AF15" s="20"/>
      <c r="AG15" s="20"/>
      <c r="AH15" s="20"/>
      <c r="AI15" s="20"/>
    </row>
    <row r="16" spans="3:35" ht="15.6" customHeight="1" x14ac:dyDescent="0.3">
      <c r="C16" s="39"/>
      <c r="D16" s="563" t="s">
        <v>85</v>
      </c>
      <c r="E16" s="564">
        <f>SUM(Diadema!B12,Ferraz!B12,'São Leopoldo'!B12,Jarinu!B12,Anchieta!B12,Corporativo!B12,'Compras '!B12,Vendas!B14,'Diretoria Financeira'!B12,'Head Qualidade&amp;Dir. Industrial'!B12)</f>
        <v>56</v>
      </c>
      <c r="F16" s="942">
        <f>SUM(Diadema!C12,Ferraz!C12,'São Leopoldo'!C12,Jarinu!C12,Anchieta!C12,Corporativo!C12,'Compras '!C12,Vendas!C14,'Diretoria Financeira'!C12,'Head Qualidade&amp;Dir. Industrial'!C12)</f>
        <v>7044111.1615958996</v>
      </c>
      <c r="G16" s="436">
        <f>Diadema!D12+Anchieta!D12+Jarinu!D12+'São Leopoldo'!D12+Ferraz!D12+'Compras '!D12+Vendas!D14</f>
        <v>4229091.5401371438</v>
      </c>
      <c r="H16" s="860">
        <f t="shared" si="0"/>
        <v>0.25107716600058611</v>
      </c>
      <c r="I16" s="47"/>
      <c r="J16" s="47"/>
      <c r="K16" s="47"/>
      <c r="L16" s="1292"/>
      <c r="M16" s="1291"/>
      <c r="N16" s="1295"/>
      <c r="O16" s="1296"/>
      <c r="P16" s="987" t="s">
        <v>86</v>
      </c>
      <c r="Q16" s="988">
        <f>SUM(Diadema!L222,Anchieta!L135,Ferraz!L147,Jarinu!L161,'São Leopoldo'!L155)/5</f>
        <v>1</v>
      </c>
      <c r="R16" s="988">
        <f>SUM(Diadema!M222,Anchieta!M135,Ferraz!M147,Jarinu!M161,'São Leopoldo'!M155)/5</f>
        <v>0.2</v>
      </c>
      <c r="S16" s="989">
        <v>1</v>
      </c>
      <c r="T16" s="35"/>
      <c r="U16" s="20"/>
      <c r="V16" s="20"/>
      <c r="W16" s="20"/>
      <c r="X16" s="20"/>
      <c r="Y16" s="20"/>
      <c r="Z16" s="20"/>
      <c r="AA16" s="20"/>
      <c r="AB16" s="20"/>
      <c r="AC16" s="20"/>
      <c r="AD16" s="20"/>
      <c r="AE16" s="20"/>
      <c r="AF16" s="20"/>
      <c r="AG16" s="20"/>
      <c r="AH16" s="20"/>
      <c r="AI16" s="20"/>
    </row>
    <row r="17" spans="3:35" ht="18" x14ac:dyDescent="0.35">
      <c r="C17" s="40"/>
      <c r="D17" s="514" t="s">
        <v>87</v>
      </c>
      <c r="E17" s="17">
        <f>'Compras '!B13+Vendas!B15</f>
        <v>2</v>
      </c>
      <c r="F17" s="211">
        <f>Vendas!C15+'Compras '!C13</f>
        <v>9996000</v>
      </c>
      <c r="G17" s="211">
        <f>'Compras '!D13+Vendas!D15</f>
        <v>1400000</v>
      </c>
      <c r="H17" s="60">
        <f t="shared" si="0"/>
        <v>8.3116676256532768E-2</v>
      </c>
      <c r="I17" s="47"/>
      <c r="J17" s="47"/>
      <c r="K17" s="47"/>
      <c r="L17" s="47"/>
      <c r="M17" s="990"/>
      <c r="N17" s="991"/>
      <c r="O17" s="991"/>
      <c r="P17" s="992"/>
      <c r="Q17" s="992"/>
      <c r="R17" s="992"/>
      <c r="S17" s="993"/>
      <c r="T17" s="28"/>
      <c r="U17" s="20"/>
      <c r="V17" s="20"/>
      <c r="W17" s="20"/>
      <c r="X17" s="20"/>
      <c r="Y17" s="20"/>
      <c r="Z17" s="20"/>
      <c r="AA17" s="20"/>
      <c r="AB17" s="20"/>
      <c r="AC17" s="20"/>
      <c r="AD17" s="20"/>
      <c r="AE17" s="20"/>
      <c r="AF17" s="20"/>
      <c r="AG17" s="20"/>
      <c r="AH17" s="20"/>
      <c r="AI17" s="20"/>
    </row>
    <row r="18" spans="3:35" ht="18" x14ac:dyDescent="0.35">
      <c r="C18" s="40"/>
      <c r="D18" s="217" t="s">
        <v>29</v>
      </c>
      <c r="E18" s="218">
        <f>SUM(E13:E16)</f>
        <v>206</v>
      </c>
      <c r="F18" s="219">
        <f>SUM(F13:F17)</f>
        <v>48275348.831732064</v>
      </c>
      <c r="G18" s="219">
        <f>SUM(G13:G17)</f>
        <v>16843791.920637146</v>
      </c>
      <c r="H18" s="220">
        <f>SUM(H13:H17)</f>
        <v>0.99999999999999978</v>
      </c>
      <c r="I18" s="47"/>
      <c r="J18" s="47"/>
      <c r="K18" s="47"/>
      <c r="L18" s="47"/>
      <c r="M18" s="994"/>
      <c r="N18" s="977"/>
      <c r="O18" s="976"/>
      <c r="P18" s="627"/>
      <c r="Q18" s="627"/>
      <c r="R18" s="627"/>
      <c r="S18" s="995"/>
      <c r="T18" s="28"/>
      <c r="U18" s="20"/>
      <c r="V18" s="20"/>
      <c r="W18" s="20"/>
      <c r="X18" s="20"/>
      <c r="Y18" s="20"/>
      <c r="Z18" s="20"/>
      <c r="AA18" s="20"/>
      <c r="AB18" s="20"/>
      <c r="AC18" s="20"/>
      <c r="AD18" s="20"/>
      <c r="AE18" s="20"/>
      <c r="AF18" s="20"/>
      <c r="AG18" s="20"/>
      <c r="AH18" s="20"/>
      <c r="AI18" s="20"/>
    </row>
    <row r="19" spans="3:35" ht="8.1" customHeight="1" x14ac:dyDescent="0.3">
      <c r="C19" s="36"/>
      <c r="D19" s="560"/>
      <c r="E19" s="561"/>
      <c r="F19" s="562"/>
      <c r="G19" s="351"/>
      <c r="H19" s="47"/>
      <c r="I19" s="47"/>
      <c r="J19" s="47"/>
      <c r="K19" s="47"/>
      <c r="L19" s="47"/>
      <c r="M19" s="994"/>
      <c r="N19" s="976"/>
      <c r="O19" s="976"/>
      <c r="P19" s="627"/>
      <c r="Q19" s="627"/>
      <c r="R19" s="627"/>
      <c r="S19" s="995"/>
      <c r="T19" s="27"/>
      <c r="U19" s="20"/>
      <c r="V19" s="20"/>
      <c r="W19" s="20"/>
      <c r="X19" s="20"/>
      <c r="Y19" s="20"/>
      <c r="Z19" s="20"/>
      <c r="AA19" s="20"/>
      <c r="AB19" s="20"/>
      <c r="AC19" s="20"/>
      <c r="AD19" s="20"/>
      <c r="AE19" s="20"/>
      <c r="AF19" s="20"/>
      <c r="AG19" s="20"/>
      <c r="AH19" s="20"/>
      <c r="AI19" s="20"/>
    </row>
    <row r="20" spans="3:35" ht="18" x14ac:dyDescent="0.35">
      <c r="C20" s="165"/>
      <c r="D20" s="47"/>
      <c r="E20" s="47"/>
      <c r="F20" s="240"/>
      <c r="G20" s="47"/>
      <c r="H20" s="47"/>
      <c r="I20" s="47"/>
      <c r="J20" s="47"/>
      <c r="K20" s="47"/>
      <c r="L20" s="47"/>
      <c r="M20" s="1002"/>
      <c r="N20" s="1003"/>
      <c r="O20" s="976"/>
      <c r="P20" s="627"/>
      <c r="Q20" s="627"/>
      <c r="R20" s="627"/>
      <c r="S20" s="995"/>
      <c r="T20" s="28"/>
      <c r="U20" s="20"/>
      <c r="V20" s="20"/>
      <c r="W20" s="20"/>
      <c r="X20" s="20"/>
      <c r="Y20" s="20"/>
      <c r="Z20" s="20"/>
      <c r="AA20" s="20"/>
      <c r="AB20" s="20"/>
      <c r="AC20" s="20"/>
      <c r="AD20" s="20"/>
      <c r="AE20" s="20"/>
      <c r="AF20" s="20"/>
      <c r="AG20" s="20"/>
      <c r="AH20" s="20"/>
      <c r="AI20" s="20"/>
    </row>
    <row r="21" spans="3:35" ht="15.6" customHeight="1" x14ac:dyDescent="0.3">
      <c r="C21" s="41"/>
      <c r="D21" s="126" t="s">
        <v>88</v>
      </c>
      <c r="E21" s="127" t="s">
        <v>21</v>
      </c>
      <c r="F21" s="127" t="s">
        <v>22</v>
      </c>
      <c r="G21" s="127" t="s">
        <v>23</v>
      </c>
      <c r="H21" s="127" t="s">
        <v>24</v>
      </c>
      <c r="I21" s="127" t="s">
        <v>25</v>
      </c>
      <c r="J21" s="127" t="s">
        <v>28</v>
      </c>
      <c r="K21" s="127" t="s">
        <v>26</v>
      </c>
      <c r="L21" s="979" t="s">
        <v>27</v>
      </c>
      <c r="M21" s="1002"/>
      <c r="N21" s="1003"/>
      <c r="O21" s="976"/>
      <c r="P21" s="627"/>
      <c r="Q21" s="627"/>
      <c r="R21" s="627"/>
      <c r="S21" s="995"/>
      <c r="T21" s="27"/>
      <c r="U21" s="20"/>
      <c r="V21" s="20"/>
      <c r="W21" s="20"/>
      <c r="X21" s="20"/>
      <c r="Y21" s="20"/>
      <c r="Z21" s="20"/>
      <c r="AA21" s="20"/>
      <c r="AB21" s="20"/>
      <c r="AC21" s="20"/>
      <c r="AD21" s="20"/>
      <c r="AE21" s="20"/>
      <c r="AF21" s="20"/>
      <c r="AG21" s="20"/>
      <c r="AH21" s="20"/>
      <c r="AI21" s="20"/>
    </row>
    <row r="22" spans="3:35" ht="16.350000000000001" customHeight="1" x14ac:dyDescent="0.35">
      <c r="C22" s="42"/>
      <c r="D22" s="128" t="s">
        <v>89</v>
      </c>
      <c r="E22" s="135">
        <f>Diadema!A5</f>
        <v>6947000</v>
      </c>
      <c r="F22" s="135">
        <f>Ferraz!A5</f>
        <v>13367000</v>
      </c>
      <c r="G22" s="135">
        <f>'São Leopoldo'!A5</f>
        <v>2100000</v>
      </c>
      <c r="H22" s="135">
        <f>Jarinu!A5</f>
        <v>5356000</v>
      </c>
      <c r="I22" s="136">
        <f>Anchieta!A5</f>
        <v>3841000</v>
      </c>
      <c r="J22" s="137">
        <f>Corporativo!A5</f>
        <v>1709000</v>
      </c>
      <c r="K22" s="137">
        <f>'Compras '!A5</f>
        <v>7000000</v>
      </c>
      <c r="L22" s="980">
        <f>Vendas!A5</f>
        <v>10000000</v>
      </c>
      <c r="M22" s="1004" t="s">
        <v>90</v>
      </c>
      <c r="N22" s="1005">
        <f>Diadema!G15+Jarinu!G15+Ferraz!G15+'São Leopoldo'!G15+Anchieta!G15+'Compras '!P17</f>
        <v>8411705.5901371427</v>
      </c>
      <c r="O22" s="976"/>
      <c r="P22" s="627"/>
      <c r="Q22" s="627"/>
      <c r="R22" s="627"/>
      <c r="S22" s="995"/>
      <c r="T22" s="28"/>
      <c r="U22" s="20"/>
      <c r="V22" s="20"/>
      <c r="W22" s="20"/>
      <c r="X22" s="20"/>
      <c r="Y22" s="20"/>
      <c r="Z22" s="20"/>
      <c r="AA22" s="20"/>
      <c r="AB22" s="20"/>
      <c r="AC22" s="20"/>
      <c r="AD22" s="20"/>
      <c r="AE22" s="20"/>
      <c r="AF22" s="20"/>
      <c r="AG22" s="20"/>
      <c r="AH22" s="20"/>
      <c r="AI22" s="20"/>
    </row>
    <row r="23" spans="3:35" ht="16.350000000000001" customHeight="1" x14ac:dyDescent="0.3">
      <c r="C23" s="42"/>
      <c r="D23" s="129" t="s">
        <v>48</v>
      </c>
      <c r="E23" s="138">
        <f>Diadema!C5</f>
        <v>4622086.3209958989</v>
      </c>
      <c r="F23" s="138">
        <f>Ferraz!C5</f>
        <v>7884000.0258561671</v>
      </c>
      <c r="G23" s="138">
        <f>'São Leopoldo'!C5</f>
        <v>1676299.18</v>
      </c>
      <c r="H23" s="138">
        <f>Jarinu!B5</f>
        <v>3919443.0038800002</v>
      </c>
      <c r="I23" s="139">
        <f>Anchieta!C5</f>
        <v>1275000.0001000001</v>
      </c>
      <c r="J23" s="140">
        <f>Corporativo!C5</f>
        <v>0</v>
      </c>
      <c r="K23" s="140">
        <f>'Compras '!C5</f>
        <v>18356957.300900005</v>
      </c>
      <c r="L23" s="981">
        <f>Vendas!C5</f>
        <v>10541563</v>
      </c>
      <c r="M23" s="1004" t="s">
        <v>91</v>
      </c>
      <c r="N23" s="1005">
        <f>Diadema!G16+Jarinu!G16+Ferraz!G16+'São Leopoldo'!G16+Anchieta!G16+'Compras '!P18</f>
        <v>4168697.5409999997</v>
      </c>
      <c r="O23" s="977"/>
      <c r="P23" s="627"/>
      <c r="Q23" s="627"/>
      <c r="R23" s="627"/>
      <c r="S23" s="995"/>
      <c r="T23" s="27"/>
      <c r="U23" s="20"/>
      <c r="V23" s="20"/>
      <c r="W23" s="20"/>
      <c r="X23" s="20"/>
      <c r="Y23" s="20"/>
      <c r="Z23" s="20"/>
      <c r="AA23" s="20"/>
      <c r="AB23" s="20"/>
      <c r="AC23" s="20"/>
      <c r="AD23" s="20"/>
      <c r="AE23" s="20"/>
    </row>
    <row r="24" spans="3:35" ht="24.6" customHeight="1" x14ac:dyDescent="0.3">
      <c r="C24" s="42"/>
      <c r="D24" s="305" t="s">
        <v>92</v>
      </c>
      <c r="E24" s="306">
        <f ca="1">Diadema!J9</f>
        <v>3163136.7830510987</v>
      </c>
      <c r="F24" s="306">
        <f>Ferraz!J9</f>
        <v>681600.00089999998</v>
      </c>
      <c r="G24" s="306">
        <f>'São Leopoldo'!J9</f>
        <v>733701.49999999988</v>
      </c>
      <c r="H24" s="306">
        <f ca="1">Jarinu!J9</f>
        <v>414120.00300000003</v>
      </c>
      <c r="I24" s="307">
        <f ca="1">Anchieta!J9</f>
        <v>0</v>
      </c>
      <c r="J24" s="308">
        <f>Corporativo!I9</f>
        <v>0</v>
      </c>
      <c r="K24" s="308">
        <f>'Compras '!I9</f>
        <v>7924635.9600000018</v>
      </c>
      <c r="L24" s="982">
        <f>Vendas!N11</f>
        <v>0</v>
      </c>
      <c r="M24" s="1004" t="s">
        <v>93</v>
      </c>
      <c r="N24" s="1005">
        <f>Diadema!G17+Jarinu!G17+Ferraz!G17+'São Leopoldo'!G17+Anchieta!G17+'Compras '!P19</f>
        <v>1877825.7895</v>
      </c>
      <c r="O24" s="977"/>
      <c r="P24" s="627"/>
      <c r="Q24" s="627"/>
      <c r="R24" s="627"/>
      <c r="S24" s="995"/>
      <c r="T24" s="27"/>
      <c r="U24" s="20"/>
      <c r="V24" s="20"/>
      <c r="W24" s="20"/>
      <c r="X24" s="20"/>
      <c r="Y24" s="20"/>
      <c r="Z24" s="20"/>
      <c r="AA24" s="20"/>
      <c r="AB24" s="20"/>
      <c r="AC24" s="20"/>
      <c r="AD24" s="20"/>
      <c r="AE24" s="20"/>
    </row>
    <row r="25" spans="3:35" ht="16.350000000000001" customHeight="1" x14ac:dyDescent="0.35">
      <c r="C25" s="42"/>
      <c r="D25" s="538" t="s">
        <v>50</v>
      </c>
      <c r="E25" s="539">
        <f>Diadema!E5</f>
        <v>2465004.7720731716</v>
      </c>
      <c r="F25" s="539">
        <f>Ferraz!E5</f>
        <v>2199075.8000000003</v>
      </c>
      <c r="G25" s="539">
        <f>'São Leopoldo'!E5</f>
        <v>2337750.5480639716</v>
      </c>
      <c r="H25" s="539">
        <f>Jarinu!E5</f>
        <v>2819031.7910000002</v>
      </c>
      <c r="I25" s="539">
        <f>Anchieta!E5</f>
        <v>512316.7095</v>
      </c>
      <c r="J25" s="539">
        <f>Corporativo!E5</f>
        <v>0</v>
      </c>
      <c r="K25" s="539">
        <f>'Compras '!G5</f>
        <v>4565049.3</v>
      </c>
      <c r="L25" s="983">
        <f>Vendas!E5</f>
        <v>1945563.0000000002</v>
      </c>
      <c r="M25" s="1004" t="s">
        <v>94</v>
      </c>
      <c r="N25" s="1005">
        <f>Diadema!G18+Jarinu!G18+Ferraz!G18+'São Leopoldo'!G18+Anchieta!G18+'Compras '!P20</f>
        <v>440000</v>
      </c>
      <c r="O25" s="976"/>
      <c r="P25" s="627"/>
      <c r="Q25" s="627"/>
      <c r="R25" s="627"/>
      <c r="S25" s="995"/>
      <c r="T25" s="28"/>
      <c r="U25" s="20"/>
      <c r="V25" s="20"/>
      <c r="W25" s="20"/>
      <c r="X25" s="20"/>
      <c r="Y25" s="20"/>
      <c r="Z25" s="20"/>
      <c r="AA25" s="20"/>
      <c r="AB25" s="20"/>
      <c r="AC25" s="20"/>
      <c r="AD25" s="20"/>
      <c r="AE25" s="20"/>
      <c r="AF25" s="20"/>
      <c r="AG25" s="20"/>
      <c r="AH25" s="20"/>
      <c r="AI25" s="20"/>
    </row>
    <row r="26" spans="3:35" ht="16.350000000000001" customHeight="1" x14ac:dyDescent="0.3">
      <c r="C26" s="42"/>
      <c r="D26" s="130" t="s">
        <v>51</v>
      </c>
      <c r="E26" s="141">
        <f>Diadema!G5</f>
        <v>415214.83749542851</v>
      </c>
      <c r="F26" s="141">
        <f>Ferraz!G5</f>
        <v>1194100.1099999996</v>
      </c>
      <c r="G26" s="141">
        <f>'São Leopoldo'!G5</f>
        <v>821641.95</v>
      </c>
      <c r="H26" s="141">
        <f>Jarinu!G5</f>
        <v>393297.1713301104</v>
      </c>
      <c r="I26" s="142">
        <f>Anchieta!G5</f>
        <v>141116.67417433049</v>
      </c>
      <c r="J26" s="143">
        <f>Corporativo!G5</f>
        <v>0</v>
      </c>
      <c r="K26" s="143">
        <f>'Compras '!I5</f>
        <v>597103.47075764008</v>
      </c>
      <c r="L26" s="984">
        <f>Vendas!G5</f>
        <v>1945563</v>
      </c>
      <c r="M26" s="994"/>
      <c r="N26" s="978"/>
      <c r="O26" s="976"/>
      <c r="P26" s="627"/>
      <c r="Q26" s="627"/>
      <c r="R26" s="627"/>
      <c r="S26" s="995"/>
      <c r="T26" s="27"/>
      <c r="U26" s="20"/>
      <c r="V26" s="20"/>
      <c r="W26" s="20"/>
      <c r="X26" s="20"/>
      <c r="Y26" s="20"/>
      <c r="Z26" s="20"/>
      <c r="AA26" s="20"/>
      <c r="AB26" s="20"/>
      <c r="AC26" s="20"/>
      <c r="AD26" s="20"/>
      <c r="AE26" s="20"/>
      <c r="AF26" s="20"/>
      <c r="AG26" s="20"/>
      <c r="AH26" s="20"/>
      <c r="AI26" s="20"/>
    </row>
    <row r="27" spans="3:35" ht="16.350000000000001" customHeight="1" x14ac:dyDescent="0.3">
      <c r="C27" s="36"/>
      <c r="D27" s="131" t="s">
        <v>53</v>
      </c>
      <c r="E27" s="666">
        <f>Diadema!J5</f>
        <v>5.9768941628822299E-2</v>
      </c>
      <c r="F27" s="666">
        <f>Ferraz!J5</f>
        <v>8.9331945088651124E-2</v>
      </c>
      <c r="G27" s="823">
        <f>'São Leopoldo'!J5</f>
        <v>0.39125807142857139</v>
      </c>
      <c r="H27" s="666">
        <f>Jarinu!J5</f>
        <v>7.3431137290909332E-2</v>
      </c>
      <c r="I27" s="667">
        <f>Anchieta!J5</f>
        <v>3.6739566304173521E-2</v>
      </c>
      <c r="J27" s="668">
        <f>Corporativo!J5</f>
        <v>0</v>
      </c>
      <c r="K27" s="668">
        <f>'Compras '!L5</f>
        <v>8.5300495822520014E-2</v>
      </c>
      <c r="L27" s="985">
        <f>Vendas!J5</f>
        <v>0</v>
      </c>
      <c r="M27" s="994"/>
      <c r="N27" s="978"/>
      <c r="O27" s="976"/>
      <c r="P27" s="627"/>
      <c r="Q27" s="627"/>
      <c r="R27" s="627"/>
      <c r="S27" s="995"/>
      <c r="T27" s="27"/>
      <c r="U27" s="20"/>
      <c r="V27" s="20"/>
      <c r="W27" s="20"/>
      <c r="X27" s="20"/>
      <c r="Y27" s="20"/>
      <c r="Z27" s="20"/>
      <c r="AA27" s="20"/>
      <c r="AB27" s="20"/>
      <c r="AC27" s="20"/>
      <c r="AD27" s="20"/>
      <c r="AE27" s="20"/>
      <c r="AF27" s="20"/>
      <c r="AG27" s="20"/>
      <c r="AH27" s="20"/>
      <c r="AI27" s="20"/>
    </row>
    <row r="28" spans="3:35" ht="16.350000000000001" customHeight="1" x14ac:dyDescent="0.3">
      <c r="C28" s="36"/>
      <c r="D28" s="132" t="s">
        <v>54</v>
      </c>
      <c r="E28" s="144">
        <f ca="1">Diadema!L5</f>
        <v>56</v>
      </c>
      <c r="F28" s="144">
        <f>Ferraz!L5</f>
        <v>22</v>
      </c>
      <c r="G28" s="144">
        <f>'São Leopoldo'!L5</f>
        <v>26</v>
      </c>
      <c r="H28" s="144">
        <f ca="1">Jarinu!L5</f>
        <v>34</v>
      </c>
      <c r="I28" s="145">
        <f ca="1">Anchieta!L5</f>
        <v>13</v>
      </c>
      <c r="J28" s="146">
        <f>Corporativo!M5</f>
        <v>0</v>
      </c>
      <c r="K28" s="146">
        <f>'Compras '!O5</f>
        <v>51</v>
      </c>
      <c r="L28" s="986">
        <f>Vendas!M5</f>
        <v>0</v>
      </c>
      <c r="M28" s="994"/>
      <c r="N28" s="978"/>
      <c r="O28" s="976"/>
      <c r="P28" s="627"/>
      <c r="Q28" s="627"/>
      <c r="R28" s="627"/>
      <c r="S28" s="995"/>
      <c r="T28" s="27"/>
      <c r="U28" s="20"/>
      <c r="V28" s="20"/>
      <c r="W28" s="20"/>
      <c r="X28" s="20"/>
      <c r="Y28" s="20"/>
      <c r="Z28" s="20"/>
      <c r="AA28" s="20"/>
      <c r="AB28" s="20"/>
      <c r="AC28" s="20"/>
      <c r="AD28" s="20"/>
      <c r="AE28" s="20"/>
      <c r="AF28" s="20"/>
      <c r="AG28" s="20"/>
      <c r="AH28" s="20"/>
      <c r="AI28" s="20"/>
    </row>
    <row r="29" spans="3:35" ht="16.350000000000001" customHeight="1" x14ac:dyDescent="0.3">
      <c r="C29" s="36"/>
      <c r="D29" s="133" t="s">
        <v>95</v>
      </c>
      <c r="E29" s="196">
        <f>Diadema!K10</f>
        <v>0.6428571428571429</v>
      </c>
      <c r="F29" s="196">
        <f>Ferraz!K10</f>
        <v>0.8214285714285714</v>
      </c>
      <c r="G29" s="196">
        <f>'São Leopoldo'!K10</f>
        <v>0.75</v>
      </c>
      <c r="H29" s="196">
        <f>Jarinu!K10</f>
        <v>0.7142857142857143</v>
      </c>
      <c r="I29" s="196">
        <f>Anchieta!K10</f>
        <v>0.6785714285714286</v>
      </c>
      <c r="J29" s="148"/>
      <c r="K29" s="148"/>
      <c r="L29" s="148"/>
      <c r="M29" s="994"/>
      <c r="N29" s="978"/>
      <c r="O29" s="976"/>
      <c r="P29" s="627"/>
      <c r="Q29" s="627"/>
      <c r="R29" s="627"/>
      <c r="S29" s="995"/>
      <c r="T29" s="27"/>
      <c r="U29" s="20"/>
      <c r="V29" s="20"/>
      <c r="W29" s="20"/>
      <c r="X29" s="20"/>
      <c r="Y29" s="20"/>
      <c r="Z29" s="20"/>
      <c r="AA29" s="20"/>
      <c r="AB29" s="20"/>
      <c r="AC29" s="20"/>
      <c r="AD29" s="20"/>
      <c r="AE29" s="20"/>
      <c r="AF29" s="20"/>
      <c r="AG29" s="20"/>
      <c r="AH29" s="20"/>
      <c r="AI29" s="20"/>
    </row>
    <row r="30" spans="3:35" ht="16.350000000000001" customHeight="1" x14ac:dyDescent="0.3">
      <c r="C30" s="36"/>
      <c r="D30" s="133" t="s">
        <v>96</v>
      </c>
      <c r="E30" s="147">
        <f>Diadema!L10</f>
        <v>0.39285714285714285</v>
      </c>
      <c r="F30" s="147">
        <f>Ferraz!L10</f>
        <v>0</v>
      </c>
      <c r="G30" s="147">
        <f>'São Leopoldo'!L10</f>
        <v>0.35714285714285715</v>
      </c>
      <c r="H30" s="147">
        <f>Jarinu!L10</f>
        <v>0.42857142857142855</v>
      </c>
      <c r="I30" s="147">
        <f>Anchieta!L10</f>
        <v>0.42857142857142855</v>
      </c>
      <c r="K30" s="148"/>
      <c r="L30" s="148"/>
      <c r="M30" s="996"/>
      <c r="N30" s="978"/>
      <c r="O30" s="976"/>
      <c r="P30" s="627"/>
      <c r="Q30" s="627"/>
      <c r="R30" s="627"/>
      <c r="S30" s="995"/>
      <c r="T30" s="27"/>
      <c r="U30" s="20"/>
      <c r="V30" s="20"/>
      <c r="W30" s="20"/>
      <c r="X30" s="20"/>
      <c r="Y30" s="20"/>
      <c r="Z30" s="20"/>
      <c r="AA30" s="20"/>
      <c r="AB30" s="20"/>
      <c r="AC30" s="20"/>
      <c r="AD30" s="20"/>
      <c r="AE30" s="20"/>
      <c r="AF30" s="20"/>
      <c r="AG30" s="20"/>
      <c r="AH30" s="20"/>
      <c r="AI30" s="20"/>
    </row>
    <row r="31" spans="3:35" ht="16.350000000000001" customHeight="1" x14ac:dyDescent="0.3">
      <c r="C31" s="36"/>
      <c r="D31" s="134" t="s">
        <v>71</v>
      </c>
      <c r="E31" s="149">
        <f>N14</f>
        <v>0.2580924605115385</v>
      </c>
      <c r="F31" s="149">
        <f>Ferraz!M10</f>
        <v>0.20833333125</v>
      </c>
      <c r="G31" s="149">
        <f>'São Leopoldo'!M10</f>
        <v>0.15384615230769233</v>
      </c>
      <c r="H31" s="149">
        <f>Jarinu!M10</f>
        <v>0.43333332900000004</v>
      </c>
      <c r="I31" s="149">
        <f>Anchieta!M10</f>
        <v>0.33333332999999998</v>
      </c>
      <c r="J31" s="148"/>
      <c r="K31" s="148"/>
      <c r="L31" s="148"/>
      <c r="M31" s="997"/>
      <c r="N31" s="998"/>
      <c r="O31" s="999"/>
      <c r="P31" s="1000"/>
      <c r="Q31" s="1000"/>
      <c r="R31" s="1000"/>
      <c r="S31" s="1001"/>
      <c r="T31" s="27"/>
      <c r="U31" s="20"/>
      <c r="V31" s="20"/>
      <c r="W31" s="20"/>
      <c r="X31" s="20"/>
      <c r="Y31" s="20"/>
      <c r="Z31" s="20"/>
      <c r="AA31" s="20"/>
      <c r="AB31" s="20"/>
      <c r="AC31" s="20"/>
      <c r="AD31" s="20"/>
      <c r="AE31" s="20"/>
      <c r="AF31" s="20"/>
      <c r="AG31" s="20"/>
      <c r="AH31" s="20"/>
      <c r="AI31" s="20"/>
    </row>
    <row r="32" spans="3:35" ht="18.600000000000001" customHeight="1" x14ac:dyDescent="0.3">
      <c r="C32" s="36"/>
      <c r="D32" s="47"/>
      <c r="E32" s="47"/>
      <c r="F32" s="47"/>
      <c r="G32" s="47"/>
      <c r="H32" s="47"/>
      <c r="I32" s="59"/>
      <c r="J32" s="59"/>
      <c r="K32" s="59"/>
      <c r="L32" s="59"/>
      <c r="M32" s="59"/>
      <c r="N32" s="59"/>
      <c r="O32" s="59"/>
      <c r="P32" s="148"/>
      <c r="Q32" s="148"/>
      <c r="R32" s="148"/>
      <c r="S32" s="148"/>
      <c r="T32" s="27"/>
      <c r="U32" s="20"/>
      <c r="V32" s="20"/>
      <c r="W32" s="20"/>
      <c r="X32" s="20"/>
      <c r="Y32" s="20"/>
      <c r="Z32" s="20"/>
      <c r="AA32" s="20"/>
      <c r="AB32" s="20"/>
      <c r="AC32" s="20"/>
      <c r="AD32" s="20"/>
      <c r="AE32" s="20"/>
      <c r="AF32" s="20"/>
      <c r="AG32" s="20"/>
      <c r="AH32" s="20"/>
      <c r="AI32" s="20"/>
    </row>
    <row r="33" spans="3:35" ht="15.6" x14ac:dyDescent="0.3">
      <c r="C33" s="36"/>
      <c r="D33" s="59"/>
      <c r="E33" s="59"/>
      <c r="F33" s="59"/>
      <c r="G33" s="59"/>
      <c r="H33" s="59"/>
      <c r="I33" s="47"/>
      <c r="J33" s="47"/>
      <c r="K33" s="47"/>
      <c r="L33" s="47"/>
      <c r="M33" s="47"/>
      <c r="N33" s="47"/>
      <c r="O33" s="47"/>
      <c r="P33" s="148"/>
      <c r="Q33" s="148"/>
      <c r="R33" s="148"/>
      <c r="S33" s="148"/>
      <c r="T33" s="27"/>
      <c r="U33" s="20"/>
      <c r="V33" s="20"/>
      <c r="W33" s="20"/>
      <c r="X33" s="20"/>
      <c r="Y33" s="20"/>
      <c r="Z33" s="20"/>
      <c r="AA33" s="20"/>
      <c r="AB33" s="20"/>
      <c r="AC33" s="20"/>
      <c r="AD33" s="20"/>
      <c r="AE33" s="20"/>
      <c r="AF33" s="20"/>
      <c r="AG33" s="20"/>
      <c r="AH33" s="20"/>
      <c r="AI33" s="20"/>
    </row>
    <row r="34" spans="3:35" ht="15" customHeight="1" x14ac:dyDescent="0.3">
      <c r="C34" s="36"/>
      <c r="D34" s="47"/>
      <c r="E34" s="47"/>
      <c r="F34" s="47"/>
      <c r="G34" s="47"/>
      <c r="H34" s="47"/>
      <c r="I34" s="47"/>
      <c r="J34" s="47"/>
      <c r="K34" s="47"/>
      <c r="L34" s="47"/>
      <c r="M34" s="47"/>
      <c r="N34" s="47"/>
      <c r="O34" s="47"/>
      <c r="P34" s="148"/>
      <c r="Q34" s="148"/>
      <c r="R34" s="148"/>
      <c r="S34" s="148"/>
      <c r="T34" s="27"/>
      <c r="U34" s="20"/>
      <c r="V34" s="20"/>
      <c r="W34" s="20"/>
      <c r="X34" s="20"/>
      <c r="Y34" s="20"/>
      <c r="Z34" s="20"/>
      <c r="AA34" s="20"/>
      <c r="AB34" s="20"/>
      <c r="AC34" s="20"/>
      <c r="AD34" s="20"/>
      <c r="AE34" s="20"/>
      <c r="AF34" s="20"/>
      <c r="AG34" s="20"/>
      <c r="AH34" s="20"/>
      <c r="AI34" s="20"/>
    </row>
    <row r="35" spans="3:35" ht="14.85" customHeight="1" x14ac:dyDescent="0.3">
      <c r="C35" s="36"/>
      <c r="D35" s="47"/>
      <c r="E35" s="47"/>
      <c r="F35" s="47"/>
      <c r="G35" s="47"/>
      <c r="H35" s="47"/>
      <c r="I35" s="47"/>
      <c r="J35" s="47"/>
      <c r="K35" s="47"/>
      <c r="L35" s="47"/>
      <c r="M35" s="47"/>
      <c r="N35" s="47"/>
      <c r="O35" s="47"/>
      <c r="P35" s="148"/>
      <c r="Q35" s="47"/>
      <c r="R35" s="148"/>
      <c r="S35" s="148"/>
      <c r="T35" s="27"/>
      <c r="U35" s="20"/>
      <c r="V35" s="20"/>
      <c r="W35" s="20"/>
      <c r="X35" s="20"/>
      <c r="Y35" s="20"/>
      <c r="Z35" s="20"/>
      <c r="AA35" s="20"/>
      <c r="AB35" s="20"/>
      <c r="AC35" s="20"/>
      <c r="AD35" s="20"/>
      <c r="AE35" s="20"/>
      <c r="AF35" s="20"/>
      <c r="AG35" s="20"/>
      <c r="AH35" s="20"/>
      <c r="AI35" s="20"/>
    </row>
    <row r="36" spans="3:35" ht="3.6" customHeight="1" x14ac:dyDescent="0.3">
      <c r="C36" s="36"/>
      <c r="D36" s="47"/>
      <c r="E36" s="47"/>
      <c r="F36" s="47"/>
      <c r="G36" s="47"/>
      <c r="H36" s="47"/>
      <c r="I36" s="47"/>
      <c r="J36" s="47"/>
      <c r="K36" s="47"/>
      <c r="L36" s="47"/>
      <c r="M36" s="47"/>
      <c r="N36" s="47"/>
      <c r="O36" s="47"/>
      <c r="P36" s="148"/>
      <c r="Q36" s="148"/>
      <c r="R36" s="148"/>
      <c r="S36" s="148"/>
      <c r="T36" s="27"/>
      <c r="U36" s="20"/>
      <c r="V36" s="20"/>
      <c r="W36" s="20"/>
      <c r="X36" s="20"/>
      <c r="Y36" s="20"/>
      <c r="Z36" s="20"/>
      <c r="AA36" s="20"/>
      <c r="AB36" s="20"/>
      <c r="AC36" s="20"/>
      <c r="AD36" s="20"/>
      <c r="AE36" s="20"/>
      <c r="AF36" s="20"/>
      <c r="AG36" s="20"/>
      <c r="AH36" s="20"/>
      <c r="AI36" s="20"/>
    </row>
    <row r="37" spans="3:35" ht="4.3499999999999996" customHeight="1" x14ac:dyDescent="0.3">
      <c r="C37" s="36"/>
      <c r="D37" s="47"/>
      <c r="E37" s="47"/>
      <c r="F37" s="47"/>
      <c r="G37" s="47"/>
      <c r="H37" s="47"/>
      <c r="I37" s="47"/>
      <c r="J37" s="47"/>
      <c r="K37" s="47"/>
      <c r="L37" s="47"/>
      <c r="M37" s="47"/>
      <c r="N37" s="47"/>
      <c r="O37" s="47"/>
      <c r="P37" s="148"/>
      <c r="Q37" s="148"/>
      <c r="R37" s="148"/>
      <c r="S37" s="148"/>
      <c r="T37" s="27"/>
      <c r="U37" s="32"/>
      <c r="V37" s="20"/>
      <c r="W37" s="20"/>
      <c r="X37" s="20"/>
      <c r="Y37" s="20"/>
      <c r="Z37" s="20"/>
      <c r="AA37" s="20"/>
      <c r="AB37" s="20"/>
      <c r="AC37" s="20"/>
      <c r="AD37" s="20"/>
      <c r="AE37" s="20"/>
      <c r="AF37" s="20"/>
      <c r="AG37" s="20"/>
      <c r="AH37" s="20"/>
      <c r="AI37" s="20"/>
    </row>
    <row r="38" spans="3:35" ht="14.85" hidden="1" customHeight="1" x14ac:dyDescent="0.3">
      <c r="C38" s="36"/>
      <c r="D38" s="47"/>
      <c r="E38" s="47"/>
      <c r="F38" s="47"/>
      <c r="G38" s="47"/>
      <c r="H38" s="47"/>
      <c r="I38" s="47"/>
      <c r="J38" s="47"/>
      <c r="K38" s="47"/>
      <c r="L38" s="47"/>
      <c r="M38" s="47"/>
      <c r="N38" s="47"/>
      <c r="O38" s="47"/>
      <c r="P38" s="148"/>
      <c r="Q38" s="148"/>
      <c r="R38" s="148"/>
      <c r="S38" s="148"/>
      <c r="T38" s="27"/>
      <c r="U38" s="32"/>
      <c r="V38" s="20"/>
      <c r="W38" s="20"/>
      <c r="X38" s="20"/>
      <c r="Y38" s="20"/>
      <c r="Z38" s="20"/>
      <c r="AA38" s="20"/>
      <c r="AB38" s="20"/>
      <c r="AC38" s="20"/>
      <c r="AD38" s="20"/>
      <c r="AE38" s="20"/>
      <c r="AF38" s="20"/>
      <c r="AG38" s="20"/>
      <c r="AH38" s="20"/>
      <c r="AI38" s="20"/>
    </row>
    <row r="39" spans="3:35" ht="14.85" customHeight="1" x14ac:dyDescent="0.3">
      <c r="C39" s="36"/>
      <c r="D39" s="47"/>
      <c r="E39" s="47"/>
      <c r="F39" s="47"/>
      <c r="G39" s="47"/>
      <c r="H39" s="47"/>
      <c r="I39" s="47"/>
      <c r="J39" s="47"/>
      <c r="K39" s="47"/>
      <c r="L39" s="47"/>
      <c r="M39" s="47"/>
      <c r="N39" s="47"/>
      <c r="O39" s="47"/>
      <c r="P39" s="148"/>
      <c r="Q39" s="148"/>
      <c r="R39" s="148"/>
      <c r="S39" s="148"/>
      <c r="T39" s="27"/>
      <c r="U39" s="31"/>
      <c r="V39" s="20"/>
      <c r="W39" s="20"/>
      <c r="X39" s="20"/>
      <c r="Y39" s="20"/>
      <c r="Z39" s="20"/>
      <c r="AA39" s="20"/>
      <c r="AB39" s="20"/>
      <c r="AC39" s="20"/>
      <c r="AD39" s="20"/>
      <c r="AE39" s="20"/>
      <c r="AF39" s="20"/>
      <c r="AG39" s="20"/>
      <c r="AH39" s="20"/>
      <c r="AI39" s="20"/>
    </row>
    <row r="40" spans="3:35" ht="14.85" customHeight="1" x14ac:dyDescent="0.3">
      <c r="C40" s="36"/>
      <c r="D40" s="47"/>
      <c r="E40" s="47"/>
      <c r="F40" s="47"/>
      <c r="G40" s="47"/>
      <c r="H40" s="47"/>
      <c r="I40" s="47"/>
      <c r="J40" s="47"/>
      <c r="K40" s="47"/>
      <c r="L40" s="47"/>
      <c r="M40" s="47"/>
      <c r="N40" s="47"/>
      <c r="O40" s="47"/>
      <c r="P40" s="148"/>
      <c r="Q40" s="148"/>
      <c r="R40" s="148"/>
      <c r="S40" s="148"/>
      <c r="T40" s="27"/>
      <c r="U40" s="20"/>
      <c r="V40" s="20"/>
      <c r="W40" s="20"/>
      <c r="X40" s="20"/>
      <c r="Y40" s="20"/>
      <c r="Z40" s="20"/>
      <c r="AA40" s="20"/>
      <c r="AB40" s="20"/>
      <c r="AC40" s="20"/>
      <c r="AD40" s="20"/>
      <c r="AE40" s="20"/>
      <c r="AF40" s="20"/>
      <c r="AG40" s="20"/>
      <c r="AH40" s="20"/>
      <c r="AI40" s="20"/>
    </row>
    <row r="41" spans="3:35" ht="14.85" customHeight="1" x14ac:dyDescent="0.3">
      <c r="C41" s="36"/>
      <c r="D41" s="47"/>
      <c r="E41" s="47"/>
      <c r="F41" s="47"/>
      <c r="G41" s="47"/>
      <c r="H41" s="47"/>
      <c r="I41" s="47"/>
      <c r="J41" s="47"/>
      <c r="K41" s="47"/>
      <c r="L41" s="47"/>
      <c r="M41" s="47"/>
      <c r="N41" s="47"/>
      <c r="O41" s="47"/>
      <c r="P41" s="148"/>
      <c r="Q41" s="148"/>
      <c r="R41" s="148"/>
      <c r="S41" s="148"/>
      <c r="T41" s="27"/>
      <c r="U41" s="20"/>
      <c r="V41" s="20"/>
      <c r="W41" s="20"/>
      <c r="X41" s="20"/>
      <c r="Y41" s="20"/>
      <c r="Z41" s="20"/>
      <c r="AA41" s="20"/>
      <c r="AB41" s="20"/>
      <c r="AC41" s="20"/>
      <c r="AD41" s="20"/>
      <c r="AE41" s="20"/>
      <c r="AF41" s="20"/>
      <c r="AG41" s="20"/>
      <c r="AH41" s="20"/>
      <c r="AI41" s="20"/>
    </row>
    <row r="42" spans="3:35" ht="14.85" customHeight="1" x14ac:dyDescent="0.3">
      <c r="C42" s="36"/>
      <c r="D42" s="47"/>
      <c r="E42" s="47"/>
      <c r="F42" s="47"/>
      <c r="G42" s="47"/>
      <c r="H42" s="47"/>
      <c r="I42" s="47"/>
      <c r="J42" s="47"/>
      <c r="K42" s="47"/>
      <c r="L42" s="47"/>
      <c r="M42" s="47"/>
      <c r="N42" s="47"/>
      <c r="O42" s="47"/>
      <c r="P42" s="148"/>
      <c r="Q42" s="148"/>
      <c r="R42" s="148"/>
      <c r="S42" s="148"/>
      <c r="T42" s="27"/>
      <c r="U42" s="20"/>
      <c r="V42" s="20"/>
      <c r="W42" s="20"/>
      <c r="X42" s="20"/>
      <c r="Y42" s="20"/>
      <c r="Z42" s="20"/>
      <c r="AA42" s="20"/>
      <c r="AB42" s="20"/>
      <c r="AC42" s="20"/>
      <c r="AD42" s="20"/>
      <c r="AE42" s="20"/>
      <c r="AF42" s="20"/>
      <c r="AG42" s="20"/>
      <c r="AH42" s="20"/>
      <c r="AI42" s="20"/>
    </row>
    <row r="43" spans="3:35" ht="14.85" customHeight="1" x14ac:dyDescent="0.3">
      <c r="C43" s="36"/>
      <c r="D43" s="47"/>
      <c r="E43" s="47"/>
      <c r="F43" s="47"/>
      <c r="G43" s="47"/>
      <c r="H43" s="47"/>
      <c r="I43" s="47"/>
      <c r="J43" s="47"/>
      <c r="K43" s="47"/>
      <c r="L43" s="47"/>
      <c r="M43" s="47"/>
      <c r="N43" s="47"/>
      <c r="O43" s="47"/>
      <c r="P43" s="148"/>
      <c r="Q43" s="148"/>
      <c r="R43" s="148"/>
      <c r="S43" s="148"/>
      <c r="T43" s="27"/>
      <c r="U43" s="20"/>
      <c r="V43" s="20"/>
      <c r="W43" s="20"/>
      <c r="X43" s="20"/>
      <c r="Y43" s="20"/>
      <c r="Z43" s="20"/>
      <c r="AA43" s="20"/>
      <c r="AB43" s="20"/>
      <c r="AC43" s="20"/>
      <c r="AD43" s="20"/>
      <c r="AE43" s="20"/>
      <c r="AF43" s="20"/>
      <c r="AG43" s="20"/>
      <c r="AH43" s="20"/>
      <c r="AI43" s="20"/>
    </row>
    <row r="44" spans="3:35" ht="14.85" customHeight="1" x14ac:dyDescent="0.3">
      <c r="C44" s="36"/>
      <c r="D44" s="47"/>
      <c r="E44" s="47"/>
      <c r="F44" s="47"/>
      <c r="G44" s="47"/>
      <c r="H44" s="47"/>
      <c r="I44" s="47"/>
      <c r="J44" s="47"/>
      <c r="K44" s="47"/>
      <c r="L44" s="47"/>
      <c r="M44" s="47"/>
      <c r="N44" s="47"/>
      <c r="O44" s="47"/>
      <c r="P44" s="148"/>
      <c r="Q44" s="148"/>
      <c r="R44" s="148"/>
      <c r="S44" s="148"/>
      <c r="T44" s="27"/>
      <c r="U44" s="20"/>
      <c r="V44" s="20"/>
      <c r="W44" s="20"/>
      <c r="X44" s="20"/>
      <c r="Y44" s="20"/>
      <c r="Z44" s="20"/>
      <c r="AA44" s="20"/>
      <c r="AB44" s="20"/>
      <c r="AC44" s="20"/>
      <c r="AD44" s="20"/>
      <c r="AE44" s="20"/>
      <c r="AF44" s="20"/>
      <c r="AG44" s="20"/>
      <c r="AH44" s="20"/>
      <c r="AI44" s="20"/>
    </row>
    <row r="45" spans="3:35" ht="14.85" customHeight="1" x14ac:dyDescent="0.3">
      <c r="C45" s="36"/>
      <c r="D45" s="47"/>
      <c r="E45" s="47"/>
      <c r="F45" s="47"/>
      <c r="G45" s="47"/>
      <c r="H45" s="47"/>
      <c r="I45" s="47"/>
      <c r="J45" s="47"/>
      <c r="K45" s="47"/>
      <c r="L45" s="47"/>
      <c r="M45" s="47"/>
      <c r="N45" s="47"/>
      <c r="O45" s="47"/>
      <c r="P45" s="148"/>
      <c r="Q45" s="148"/>
      <c r="R45" s="148"/>
      <c r="S45" s="148"/>
      <c r="T45" s="27"/>
      <c r="U45" s="20"/>
      <c r="V45" s="20"/>
      <c r="W45" s="20"/>
      <c r="X45" s="20"/>
      <c r="Y45" s="20"/>
      <c r="Z45" s="20"/>
      <c r="AA45" s="20"/>
      <c r="AB45" s="20"/>
      <c r="AC45" s="20"/>
      <c r="AD45" s="20"/>
      <c r="AE45" s="20"/>
      <c r="AF45" s="20"/>
      <c r="AG45" s="20"/>
      <c r="AH45" s="20"/>
      <c r="AI45" s="20"/>
    </row>
    <row r="46" spans="3:35" ht="14.85" customHeight="1" x14ac:dyDescent="0.3">
      <c r="C46" s="36"/>
      <c r="D46" s="47"/>
      <c r="E46" s="47"/>
      <c r="F46" s="47"/>
      <c r="G46" s="47"/>
      <c r="H46" s="47"/>
      <c r="I46" s="47"/>
      <c r="J46" s="47"/>
      <c r="K46" s="47"/>
      <c r="L46" s="47"/>
      <c r="M46" s="47"/>
      <c r="N46" s="47"/>
      <c r="O46" s="47"/>
      <c r="P46" s="148"/>
      <c r="Q46" s="148"/>
      <c r="R46" s="148"/>
      <c r="S46" s="148"/>
      <c r="T46" s="27"/>
      <c r="U46" s="20"/>
      <c r="V46" s="20"/>
      <c r="W46" s="20"/>
      <c r="X46" s="20"/>
      <c r="Y46" s="20"/>
      <c r="Z46" s="20"/>
      <c r="AA46" s="20"/>
      <c r="AB46" s="20"/>
      <c r="AC46" s="20"/>
      <c r="AD46" s="20"/>
      <c r="AE46" s="20"/>
      <c r="AF46" s="20"/>
      <c r="AG46" s="20"/>
      <c r="AH46" s="20"/>
      <c r="AI46" s="20"/>
    </row>
    <row r="47" spans="3:35" ht="44.1" customHeight="1" x14ac:dyDescent="0.3">
      <c r="C47" s="36"/>
      <c r="D47" s="47"/>
      <c r="E47" s="47"/>
      <c r="F47" s="47"/>
      <c r="G47" s="47"/>
      <c r="H47" s="47"/>
      <c r="I47" s="47"/>
      <c r="J47" s="47"/>
      <c r="K47" s="47"/>
      <c r="L47" s="47"/>
      <c r="M47" s="47"/>
      <c r="N47" s="47"/>
      <c r="O47" s="47"/>
      <c r="P47" s="148"/>
      <c r="Q47" s="148"/>
      <c r="R47" s="148"/>
      <c r="S47" s="148"/>
      <c r="T47" s="27"/>
      <c r="U47" s="20"/>
      <c r="V47" s="20"/>
      <c r="W47" s="20"/>
      <c r="X47" s="20"/>
      <c r="Y47" s="20"/>
      <c r="Z47" s="20"/>
      <c r="AA47" s="20"/>
      <c r="AB47" s="20"/>
      <c r="AC47" s="20"/>
      <c r="AD47" s="20"/>
      <c r="AE47" s="20"/>
      <c r="AF47" s="20"/>
      <c r="AG47" s="20"/>
      <c r="AH47" s="20"/>
      <c r="AI47" s="20"/>
    </row>
    <row r="48" spans="3:35" ht="14.85" customHeight="1" x14ac:dyDescent="0.3">
      <c r="C48" s="36"/>
      <c r="D48" s="47"/>
      <c r="E48" s="47"/>
      <c r="F48" s="47"/>
      <c r="G48" s="47"/>
      <c r="H48" s="47"/>
      <c r="I48" s="47"/>
      <c r="J48" s="47"/>
      <c r="K48" s="47"/>
      <c r="L48" s="47"/>
      <c r="M48" s="47"/>
      <c r="N48" s="47"/>
      <c r="O48" s="47"/>
      <c r="P48" s="148"/>
      <c r="Q48" s="148"/>
      <c r="R48" s="148"/>
      <c r="S48" s="148"/>
      <c r="T48" s="27"/>
      <c r="U48" s="20"/>
      <c r="V48" s="20"/>
      <c r="W48" s="20"/>
      <c r="X48" s="20"/>
      <c r="Y48" s="20"/>
      <c r="Z48" s="20"/>
      <c r="AA48" s="20"/>
      <c r="AB48" s="20"/>
      <c r="AC48" s="20"/>
      <c r="AD48" s="20"/>
      <c r="AE48" s="20"/>
      <c r="AF48" s="20"/>
      <c r="AG48" s="20"/>
      <c r="AH48" s="20"/>
      <c r="AI48" s="20"/>
    </row>
    <row r="49" spans="3:35" ht="222" customHeight="1" thickBot="1" x14ac:dyDescent="0.35">
      <c r="C49" s="177"/>
      <c r="D49" s="178"/>
      <c r="E49" s="178"/>
      <c r="F49" s="178"/>
      <c r="G49" s="178"/>
      <c r="H49" s="178"/>
      <c r="I49" s="178"/>
      <c r="J49" s="178"/>
      <c r="K49" s="178"/>
      <c r="L49" s="178"/>
      <c r="M49" s="178"/>
      <c r="N49" s="178"/>
      <c r="O49" s="178"/>
      <c r="P49" s="178"/>
      <c r="Q49" s="178"/>
      <c r="R49" s="178"/>
      <c r="S49" s="178"/>
      <c r="T49" s="179"/>
      <c r="U49" s="20"/>
      <c r="V49" s="20"/>
      <c r="W49" s="20"/>
      <c r="X49" s="20"/>
      <c r="Y49" s="20"/>
      <c r="Z49" s="20"/>
      <c r="AA49" s="20"/>
      <c r="AB49" s="20"/>
      <c r="AC49" s="20"/>
      <c r="AD49" s="20"/>
      <c r="AE49" s="20"/>
      <c r="AF49" s="20"/>
      <c r="AG49" s="20"/>
      <c r="AH49" s="20"/>
      <c r="AI49" s="20"/>
    </row>
    <row r="50" spans="3:35" ht="7.35" customHeight="1" thickTop="1" x14ac:dyDescent="0.3">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row>
    <row r="51" spans="3:35" ht="7.35" customHeight="1" x14ac:dyDescent="0.3">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row>
    <row r="52" spans="3:35" ht="14.4" x14ac:dyDescent="0.3">
      <c r="C52" s="20"/>
      <c r="D52" s="20"/>
      <c r="E52" s="20"/>
      <c r="F52" s="20" t="s">
        <v>97</v>
      </c>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row>
    <row r="53" spans="3:35" ht="15.6" x14ac:dyDescent="0.3">
      <c r="C53" s="20"/>
      <c r="D53" s="599" t="s">
        <v>98</v>
      </c>
      <c r="E53" s="599" t="s">
        <v>99</v>
      </c>
      <c r="F53" s="1274" t="s">
        <v>100</v>
      </c>
      <c r="G53" s="1275"/>
      <c r="H53" s="607" t="s">
        <v>67</v>
      </c>
      <c r="I53" s="607" t="s">
        <v>101</v>
      </c>
      <c r="J53" s="599" t="s">
        <v>102</v>
      </c>
      <c r="K53" s="599" t="s">
        <v>103</v>
      </c>
      <c r="L53" s="599" t="s">
        <v>104</v>
      </c>
      <c r="M53" s="599" t="s">
        <v>105</v>
      </c>
      <c r="N53" s="20"/>
      <c r="O53" s="20"/>
      <c r="P53" s="20"/>
      <c r="Q53" s="20"/>
      <c r="R53" s="20"/>
      <c r="S53" s="20"/>
      <c r="T53" s="20"/>
      <c r="U53" s="20"/>
      <c r="V53" s="20"/>
      <c r="W53" s="20"/>
      <c r="X53" s="20"/>
      <c r="Y53" s="20"/>
      <c r="Z53" s="20"/>
      <c r="AA53" s="20"/>
      <c r="AB53" s="20"/>
      <c r="AC53" s="20"/>
      <c r="AD53" s="20"/>
      <c r="AE53" s="20"/>
      <c r="AF53" s="20"/>
      <c r="AG53" s="20"/>
      <c r="AH53" s="20"/>
      <c r="AI53" s="20"/>
    </row>
    <row r="54" spans="3:35" ht="14.4" x14ac:dyDescent="0.3">
      <c r="C54" s="20"/>
      <c r="D54" s="600">
        <v>1</v>
      </c>
      <c r="E54" s="610" t="str">
        <f ca="1">_xlfn.XLOOKUP(F54,Pareto!S:S,Pareto!T:T)</f>
        <v>Compras</v>
      </c>
      <c r="F54" s="1757" t="str">
        <f ca="1">_xlfn.XLOOKUP(K54,Pareto!V:V,Pareto!S:S)</f>
        <v>Negociação de preços materiais carcaça Dana</v>
      </c>
      <c r="G54" s="1758"/>
      <c r="H54" s="608" t="str">
        <f ca="1">_xlfn.XLOOKUP(F54,Pareto!S:S,Pareto!X:X)</f>
        <v>✓ Concluído</v>
      </c>
      <c r="I54" s="608" t="str">
        <f ca="1">_xlfn.XLOOKUP('5 Unidades  +'!F54,Pareto!S:S,Pareto!Z:Z)</f>
        <v>OK</v>
      </c>
      <c r="J54" s="601">
        <f ca="1">_xlfn.XLOOKUP(F54,Pareto!S:S,Pareto!U:U)</f>
        <v>2430268.7933333335</v>
      </c>
      <c r="K54" s="601">
        <f ca="1">IFERROR(LARGE(Pareto!V:V,'5 Unidades  +'!D54),"0")</f>
        <v>1104667.6333333333</v>
      </c>
      <c r="L54" s="601">
        <f ca="1">_xlfn.XLOOKUP(F54,Pareto!S:S,Pareto!W:W)</f>
        <v>570440.18000000005</v>
      </c>
      <c r="M54" s="602">
        <f ca="1">IF(L54="",-K54,L54-K54)</f>
        <v>-534227.45333333325</v>
      </c>
      <c r="N54" s="20"/>
      <c r="O54" s="20"/>
      <c r="P54" s="20"/>
      <c r="Q54" s="20"/>
      <c r="R54" s="20"/>
      <c r="S54" s="20"/>
      <c r="T54" s="20"/>
      <c r="U54" s="20"/>
      <c r="V54" s="20"/>
      <c r="W54" s="20"/>
      <c r="X54" s="20"/>
      <c r="Y54" s="20"/>
      <c r="Z54" s="20"/>
      <c r="AA54" s="20"/>
      <c r="AB54" s="20"/>
      <c r="AC54" s="20"/>
      <c r="AD54" s="20"/>
      <c r="AE54" s="20"/>
      <c r="AF54" s="20"/>
      <c r="AG54" s="20"/>
      <c r="AH54" s="20"/>
      <c r="AI54" s="20"/>
    </row>
    <row r="55" spans="3:35" ht="14.4" customHeight="1" x14ac:dyDescent="0.3">
      <c r="C55" s="20"/>
      <c r="D55" s="603">
        <v>2</v>
      </c>
      <c r="E55" s="609" t="str">
        <f ca="1">_xlfn.XLOOKUP(F55,Pareto!S:S,Pareto!T:T)</f>
        <v>São leopoldo</v>
      </c>
      <c r="F55" s="1759" t="str">
        <f ca="1">_xlfn.XLOOKUP(K55,Pareto!V:V,Pareto!S:S)</f>
        <v>08 - Reestruturação</v>
      </c>
      <c r="G55" s="1760"/>
      <c r="H55" s="609" t="str">
        <f ca="1">_xlfn.XLOOKUP(F55,Pareto!S:S,Pareto!X:X)</f>
        <v>✓ Concluído</v>
      </c>
      <c r="I55" s="609" t="str">
        <f ca="1">_xlfn.XLOOKUP('5 Unidades  +'!F55,Pareto!S:S,Pareto!Z:Z)</f>
        <v>OK</v>
      </c>
      <c r="J55" s="604">
        <f ca="1">_xlfn.XLOOKUP(F55,Pareto!S:S,Pareto!U:U)</f>
        <v>520985.22899999993</v>
      </c>
      <c r="K55" s="604">
        <f ca="1">IFERROR(LARGE(Pareto!V:V,D55)," ")</f>
        <v>520985.22899999993</v>
      </c>
      <c r="L55" s="604">
        <f ca="1">_xlfn.XLOOKUP(F55,Pareto!S:S,Pareto!W:W)</f>
        <v>699813</v>
      </c>
      <c r="M55" s="605">
        <f ca="1">IF(L55="",-K55,L55-K55)</f>
        <v>178827.77100000007</v>
      </c>
      <c r="N55" s="20"/>
      <c r="O55" s="20"/>
      <c r="P55" s="20"/>
      <c r="Q55" s="20"/>
      <c r="R55" s="20"/>
      <c r="S55" s="20"/>
      <c r="T55" s="20"/>
      <c r="U55" s="20"/>
      <c r="V55" s="20"/>
      <c r="W55" s="20"/>
      <c r="X55" s="20"/>
      <c r="Y55" s="20"/>
      <c r="Z55" s="20"/>
      <c r="AA55" s="20"/>
      <c r="AB55" s="20"/>
      <c r="AC55" s="20"/>
      <c r="AD55" s="20"/>
      <c r="AE55" s="20"/>
      <c r="AF55" s="20"/>
      <c r="AG55" s="20"/>
      <c r="AH55" s="20"/>
      <c r="AI55" s="20"/>
    </row>
    <row r="56" spans="3:35" ht="14.4" x14ac:dyDescent="0.3">
      <c r="C56" s="20"/>
      <c r="D56" s="600">
        <v>3</v>
      </c>
      <c r="E56" s="610" t="str">
        <f ca="1">_xlfn.XLOOKUP(F56,Pareto!S:S,Pareto!T:T)</f>
        <v>Jarinu</v>
      </c>
      <c r="F56" s="1757" t="str">
        <f ca="1">_xlfn.XLOOKUP(K56,Pareto!V:V,Pareto!S:S)</f>
        <v>36 - Venda Robos</v>
      </c>
      <c r="G56" s="1758"/>
      <c r="H56" s="608" t="str">
        <f ca="1">_xlfn.XLOOKUP(F56,Pareto!S:S,Pareto!X:X)</f>
        <v>✓ Concluído</v>
      </c>
      <c r="I56" s="608" t="str">
        <f ca="1">_xlfn.XLOOKUP('5 Unidades  +'!F56,Pareto!S:S,Pareto!Z:Z)</f>
        <v>OK</v>
      </c>
      <c r="J56" s="601">
        <f ca="1">_xlfn.XLOOKUP(F56,Pareto!S:S,Pareto!U:U)</f>
        <v>0</v>
      </c>
      <c r="K56" s="601">
        <f ca="1">IFERROR(LARGE(Pareto!V:V,D56)," ")</f>
        <v>390000.00300000003</v>
      </c>
      <c r="L56" s="601">
        <f ca="1">_xlfn.XLOOKUP(F56,Pareto!S:S,Pareto!W:W)</f>
        <v>390000</v>
      </c>
      <c r="M56" s="602">
        <f t="shared" ref="M56:M119" ca="1" si="1">IF(L56="",-K56,L56-K56)</f>
        <v>-3.0000000260770321E-3</v>
      </c>
      <c r="N56" s="20"/>
      <c r="O56" s="20"/>
      <c r="P56" s="20"/>
      <c r="Q56" s="20"/>
      <c r="R56" s="20"/>
      <c r="S56" s="20"/>
      <c r="T56" s="20"/>
      <c r="U56" s="20"/>
      <c r="V56" s="20"/>
      <c r="W56" s="20"/>
      <c r="X56" s="20"/>
      <c r="Y56" s="20"/>
      <c r="Z56" s="20"/>
      <c r="AA56" s="20"/>
      <c r="AB56" s="20"/>
      <c r="AC56" s="20"/>
      <c r="AD56" s="20"/>
      <c r="AE56" s="20"/>
      <c r="AF56" s="20"/>
      <c r="AG56" s="20"/>
      <c r="AH56" s="20"/>
      <c r="AI56" s="20"/>
    </row>
    <row r="57" spans="3:35" ht="14.4" x14ac:dyDescent="0.3">
      <c r="C57" s="20"/>
      <c r="D57" s="603">
        <v>4</v>
      </c>
      <c r="E57" s="609" t="str">
        <f ca="1">_xlfn.XLOOKUP(F57,Pareto!S:S,Pareto!T:T)</f>
        <v>Ferraz</v>
      </c>
      <c r="F57" s="1759" t="str">
        <f ca="1">_xlfn.XLOOKUP(K57,Pareto!V:V,Pareto!S:S)</f>
        <v xml:space="preserve">06 - Reaproveitamento de lixas </v>
      </c>
      <c r="G57" s="1760"/>
      <c r="H57" s="609" t="str">
        <f ca="1">_xlfn.XLOOKUP(F57,Pareto!S:S,Pareto!X:X)</f>
        <v>✓ Concluído</v>
      </c>
      <c r="I57" s="609" t="str">
        <f ca="1">_xlfn.XLOOKUP('5 Unidades  +'!F57,Pareto!S:S,Pareto!Z:Z)</f>
        <v>OK</v>
      </c>
      <c r="J57" s="604">
        <f ca="1">_xlfn.XLOOKUP(F57,Pareto!S:S,Pareto!U:U)</f>
        <v>151815.13</v>
      </c>
      <c r="K57" s="604">
        <f ca="1">IFERROR(LARGE(Pareto!V:V,D57)," ")</f>
        <v>253025.21666666667</v>
      </c>
      <c r="L57" s="604">
        <f ca="1">_xlfn.XLOOKUP(F57,Pareto!S:S,Pareto!W:W)</f>
        <v>276395.48</v>
      </c>
      <c r="M57" s="605">
        <f t="shared" ca="1" si="1"/>
        <v>23370.263333333307</v>
      </c>
      <c r="N57" s="20"/>
      <c r="O57" s="20"/>
      <c r="P57" s="20"/>
      <c r="Q57" s="20"/>
      <c r="R57" s="20"/>
      <c r="S57" s="20"/>
      <c r="T57" s="20"/>
      <c r="U57" s="20"/>
      <c r="V57" s="20"/>
      <c r="W57" s="20"/>
      <c r="X57" s="20"/>
      <c r="Y57" s="20"/>
      <c r="Z57" s="20"/>
      <c r="AA57" s="20"/>
      <c r="AB57" s="20"/>
      <c r="AC57" s="20"/>
      <c r="AD57" s="20"/>
      <c r="AE57" s="20"/>
      <c r="AF57" s="20"/>
      <c r="AG57" s="20"/>
      <c r="AH57" s="20"/>
      <c r="AI57" s="20"/>
    </row>
    <row r="58" spans="3:35" ht="14.4" x14ac:dyDescent="0.3">
      <c r="C58" s="20"/>
      <c r="D58" s="600">
        <v>5</v>
      </c>
      <c r="E58" s="610" t="str">
        <f ca="1">_xlfn.XLOOKUP(F58,Pareto!S:S,Pareto!T:T)</f>
        <v>Ferraz</v>
      </c>
      <c r="F58" s="1757" t="str">
        <f ca="1">_xlfn.XLOOKUP(K58,Pareto!V:V,Pareto!S:S)</f>
        <v xml:space="preserve">03 - Consumo de desmoldante </v>
      </c>
      <c r="G58" s="1758"/>
      <c r="H58" s="608" t="str">
        <f ca="1">_xlfn.XLOOKUP(F58,Pareto!S:S,Pareto!X:X)</f>
        <v>⏳ Em Execução</v>
      </c>
      <c r="I58" s="608" t="str">
        <f ca="1">_xlfn.XLOOKUP('5 Unidades  +'!F58,Pareto!S:S,Pareto!Z:Z)</f>
        <v>OK</v>
      </c>
      <c r="J58" s="601">
        <f ca="1">_xlfn.XLOOKUP(F58,Pareto!S:S,Pareto!U:U)</f>
        <v>126310.64000000001</v>
      </c>
      <c r="K58" s="601">
        <f ca="1">IFERROR(LARGE(Pareto!V:V,D58)," ")</f>
        <v>210517.73333333334</v>
      </c>
      <c r="L58" s="601">
        <f ca="1">_xlfn.XLOOKUP(F58,Pareto!S:S,Pareto!W:W)</f>
        <v>421900.92000000004</v>
      </c>
      <c r="M58" s="602">
        <f t="shared" ca="1" si="1"/>
        <v>211383.1866666667</v>
      </c>
      <c r="N58" s="557"/>
      <c r="O58" s="557"/>
      <c r="P58" s="557"/>
      <c r="Q58" s="557"/>
      <c r="R58" s="20"/>
      <c r="S58" s="20"/>
      <c r="T58" s="20"/>
      <c r="U58" s="20"/>
      <c r="V58" s="20"/>
      <c r="W58" s="20"/>
      <c r="X58" s="20"/>
      <c r="Y58" s="20"/>
      <c r="Z58" s="20"/>
      <c r="AA58" s="20"/>
      <c r="AB58" s="20"/>
      <c r="AC58" s="20"/>
      <c r="AD58" s="20"/>
      <c r="AE58" s="20"/>
      <c r="AF58" s="20"/>
      <c r="AG58" s="20"/>
      <c r="AH58" s="20"/>
      <c r="AI58" s="20"/>
    </row>
    <row r="59" spans="3:35" ht="14.4" x14ac:dyDescent="0.3">
      <c r="C59" s="20"/>
      <c r="D59" s="603">
        <v>6</v>
      </c>
      <c r="E59" s="609" t="str">
        <f ca="1">_xlfn.XLOOKUP(F59,Pareto!S:S,Pareto!T:T)</f>
        <v>Ferraz</v>
      </c>
      <c r="F59" s="1759" t="str">
        <f ca="1">_xlfn.XLOOKUP(K59,Pareto!V:V,Pareto!S:S)</f>
        <v xml:space="preserve">07 - Consumo de gás </v>
      </c>
      <c r="G59" s="1760"/>
      <c r="H59" s="609" t="str">
        <f ca="1">_xlfn.XLOOKUP(F59,Pareto!S:S,Pareto!X:X)</f>
        <v>⏳ Em Execução</v>
      </c>
      <c r="I59" s="609" t="str">
        <f ca="1">_xlfn.XLOOKUP('5 Unidades  +'!F59,Pareto!S:S,Pareto!Z:Z)</f>
        <v>OK</v>
      </c>
      <c r="J59" s="604">
        <f ca="1">_xlfn.XLOOKUP(F59,Pareto!S:S,Pareto!U:U)</f>
        <v>101344.25</v>
      </c>
      <c r="K59" s="604">
        <f ca="1">IFERROR(LARGE(Pareto!V:V,D59)," ")</f>
        <v>168907.08333333331</v>
      </c>
      <c r="L59" s="604">
        <f ca="1">_xlfn.XLOOKUP(F59,Pareto!S:S,Pareto!W:W)</f>
        <v>413825.56999999995</v>
      </c>
      <c r="M59" s="605">
        <f t="shared" ca="1" si="1"/>
        <v>244918.48666666663</v>
      </c>
      <c r="N59" s="557"/>
      <c r="O59" s="557"/>
      <c r="P59" s="557" t="s">
        <v>97</v>
      </c>
      <c r="Q59" s="557"/>
      <c r="R59" s="20"/>
      <c r="S59" s="20"/>
      <c r="T59" s="20"/>
      <c r="U59" s="20"/>
      <c r="V59" s="20"/>
      <c r="W59" s="20"/>
      <c r="X59" s="20"/>
      <c r="Y59" s="20"/>
      <c r="Z59" s="20"/>
      <c r="AA59" s="20"/>
      <c r="AB59" s="20"/>
      <c r="AC59" s="20"/>
      <c r="AD59" s="20"/>
      <c r="AE59" s="20"/>
      <c r="AF59" s="20"/>
      <c r="AG59" s="20"/>
      <c r="AH59" s="20"/>
      <c r="AI59" s="20"/>
    </row>
    <row r="60" spans="3:35" ht="14.4" x14ac:dyDescent="0.3">
      <c r="C60" s="20"/>
      <c r="D60" s="600">
        <v>7</v>
      </c>
      <c r="E60" s="610" t="str">
        <f ca="1">_xlfn.XLOOKUP(F60,Pareto!S:S,Pareto!T:T)</f>
        <v>Diadema</v>
      </c>
      <c r="F60" s="1757" t="str">
        <f ca="1">_xlfn.XLOOKUP(K60,Pareto!V:V,Pareto!S:S)</f>
        <v>29 - DA000489Z_DA000490Z - STC Scania M_</v>
      </c>
      <c r="G60" s="1758"/>
      <c r="H60" s="608" t="str">
        <f ca="1">_xlfn.XLOOKUP(F60,Pareto!S:S,Pareto!X:X)</f>
        <v>✓ Concluído</v>
      </c>
      <c r="I60" s="608" t="str">
        <f ca="1">_xlfn.XLOOKUP('5 Unidades  +'!F60,Pareto!S:S,Pareto!Z:Z)</f>
        <v>OK</v>
      </c>
      <c r="J60" s="601">
        <f ca="1">_xlfn.XLOOKUP(F60,Pareto!S:S,Pareto!U:U)</f>
        <v>446423.79</v>
      </c>
      <c r="K60" s="601">
        <f ca="1">IFERROR(LARGE(Pareto!V:V,D60)," ")</f>
        <v>133927.13699999999</v>
      </c>
      <c r="L60" s="601">
        <f ca="1">_xlfn.XLOOKUP(F60,Pareto!S:S,Pareto!W:W)</f>
        <v>182981.17848009121</v>
      </c>
      <c r="M60" s="602">
        <f t="shared" ca="1" si="1"/>
        <v>49054.041480091226</v>
      </c>
      <c r="N60" s="20"/>
      <c r="O60" s="20"/>
      <c r="P60" s="20"/>
      <c r="Q60" s="20"/>
      <c r="R60" s="20"/>
      <c r="S60" s="20"/>
      <c r="T60" s="20"/>
      <c r="U60" s="20"/>
      <c r="V60" s="20"/>
      <c r="W60" s="20"/>
      <c r="X60" s="20"/>
      <c r="Y60" s="20"/>
      <c r="Z60" s="20"/>
      <c r="AA60" s="20"/>
      <c r="AB60" s="20"/>
      <c r="AC60" s="20"/>
      <c r="AD60" s="20"/>
      <c r="AE60" s="20"/>
      <c r="AF60" s="20"/>
      <c r="AG60" s="20"/>
      <c r="AH60" s="20"/>
      <c r="AI60" s="20"/>
    </row>
    <row r="61" spans="3:35" ht="14.4" x14ac:dyDescent="0.3">
      <c r="C61" s="20"/>
      <c r="D61" s="603">
        <v>8</v>
      </c>
      <c r="E61" s="609" t="str">
        <f ca="1">_xlfn.XLOOKUP(F61,Pareto!S:S,Pareto!T:T)</f>
        <v>Ferraz</v>
      </c>
      <c r="F61" s="1759" t="str">
        <f ca="1">_xlfn.XLOOKUP(K61,Pareto!V:V,Pareto!S:S)</f>
        <v xml:space="preserve">Consumo de água </v>
      </c>
      <c r="G61" s="1760"/>
      <c r="H61" s="609" t="str">
        <f ca="1">_xlfn.XLOOKUP(F61,Pareto!S:S,Pareto!X:X)</f>
        <v>⏳ Em Execução</v>
      </c>
      <c r="I61" s="609" t="str">
        <f ca="1">_xlfn.XLOOKUP('5 Unidades  +'!F61,Pareto!S:S,Pareto!Z:Z)</f>
        <v>OK</v>
      </c>
      <c r="J61" s="604">
        <f ca="1">_xlfn.XLOOKUP(F61,Pareto!S:S,Pareto!U:U)</f>
        <v>76753.75</v>
      </c>
      <c r="K61" s="604">
        <f ca="1">IFERROR(LARGE(Pareto!V:V,D61)," ")</f>
        <v>127922.91666666666</v>
      </c>
      <c r="L61" s="604">
        <f ca="1">_xlfn.XLOOKUP(F61,Pareto!S:S,Pareto!W:W)</f>
        <v>45098</v>
      </c>
      <c r="M61" s="605">
        <f t="shared" ca="1" si="1"/>
        <v>-82824.916666666657</v>
      </c>
      <c r="N61" s="20"/>
      <c r="O61" s="20"/>
      <c r="P61" s="20"/>
      <c r="Q61" s="20"/>
      <c r="R61" s="20"/>
      <c r="S61" s="20"/>
      <c r="T61" s="20"/>
      <c r="U61" s="20"/>
      <c r="V61" s="20"/>
      <c r="W61" s="20"/>
      <c r="X61" s="20"/>
      <c r="Y61" s="20"/>
      <c r="Z61" s="20"/>
      <c r="AA61" s="20"/>
      <c r="AB61" s="20"/>
      <c r="AC61" s="20"/>
      <c r="AD61" s="20"/>
      <c r="AE61" s="20"/>
      <c r="AF61" s="20"/>
      <c r="AG61" s="20"/>
      <c r="AH61" s="20"/>
      <c r="AI61" s="20"/>
    </row>
    <row r="62" spans="3:35" ht="14.4" x14ac:dyDescent="0.3">
      <c r="C62" s="20"/>
      <c r="D62" s="600">
        <v>9</v>
      </c>
      <c r="E62" s="610" t="str">
        <f ca="1">_xlfn.XLOOKUP(F62,Pareto!S:S,Pareto!T:T)</f>
        <v>São leopoldo</v>
      </c>
      <c r="F62" s="1757" t="str">
        <f ca="1">_xlfn.XLOOKUP(K62,Pareto!V:V,Pareto!S:S)</f>
        <v>01 - Redução de Refugo</v>
      </c>
      <c r="G62" s="1758"/>
      <c r="H62" s="608" t="str">
        <f ca="1">_xlfn.XLOOKUP(F62,Pareto!S:S,Pareto!X:X)</f>
        <v>⏳ Em Execução</v>
      </c>
      <c r="I62" s="608" t="str">
        <f ca="1">_xlfn.XLOOKUP('5 Unidades  +'!F62,Pareto!S:S,Pareto!Z:Z)</f>
        <v>OK</v>
      </c>
      <c r="J62" s="601">
        <f ca="1">_xlfn.XLOOKUP(F62,Pareto!S:S,Pareto!U:U)</f>
        <v>59652.758181818179</v>
      </c>
      <c r="K62" s="601">
        <f ca="1">IFERROR(LARGE(Pareto!V:V,D62)," ")</f>
        <v>79537.01090909091</v>
      </c>
      <c r="L62" s="601">
        <f ca="1">_xlfn.XLOOKUP(F62,Pareto!S:S,Pareto!W:W)</f>
        <v>98159.34</v>
      </c>
      <c r="M62" s="602">
        <f t="shared" ca="1" si="1"/>
        <v>18622.329090909087</v>
      </c>
      <c r="N62" s="20"/>
      <c r="O62" s="20"/>
      <c r="P62" s="20"/>
      <c r="Q62" s="20"/>
      <c r="R62" s="20"/>
      <c r="S62" s="20"/>
      <c r="T62" s="20"/>
      <c r="U62" s="20"/>
      <c r="V62" s="20"/>
      <c r="W62" s="20"/>
      <c r="X62" s="20"/>
      <c r="Y62" s="20"/>
      <c r="Z62" s="20"/>
      <c r="AA62" s="20"/>
      <c r="AB62" s="20"/>
      <c r="AC62" s="20"/>
      <c r="AD62" s="20"/>
      <c r="AE62" s="20"/>
      <c r="AF62" s="20"/>
      <c r="AG62" s="20"/>
      <c r="AH62" s="20"/>
      <c r="AI62" s="20"/>
    </row>
    <row r="63" spans="3:35" ht="14.4" x14ac:dyDescent="0.3">
      <c r="C63" s="20"/>
      <c r="D63" s="603">
        <v>10</v>
      </c>
      <c r="E63" s="609" t="str">
        <f ca="1">_xlfn.XLOOKUP(F63,Pareto!S:S,Pareto!T:T)</f>
        <v>Compras</v>
      </c>
      <c r="F63" s="1759" t="str">
        <f ca="1">_xlfn.XLOOKUP(K63,Pareto!V:V,Pareto!S:S)</f>
        <v>Viabilizar itens Usiminas via Gonvarri-Full Service</v>
      </c>
      <c r="G63" s="1760"/>
      <c r="H63" s="609" t="str">
        <f ca="1">_xlfn.XLOOKUP(F63,Pareto!S:S,Pareto!X:X)</f>
        <v>✓ Concluído</v>
      </c>
      <c r="I63" s="609" t="str">
        <f ca="1">_xlfn.XLOOKUP('5 Unidades  +'!F63,Pareto!S:S,Pareto!Z:Z)</f>
        <v/>
      </c>
      <c r="J63" s="604">
        <f ca="1">_xlfn.XLOOKUP(F63,Pareto!S:S,Pareto!U:U)</f>
        <v>264492.5</v>
      </c>
      <c r="K63" s="604">
        <f ca="1">IFERROR(LARGE(Pareto!V:V,D63)," ")</f>
        <v>79347.75</v>
      </c>
      <c r="L63" s="604" t="str">
        <f ca="1">_xlfn.XLOOKUP(F63,Pareto!S:S,Pareto!W:W)</f>
        <v/>
      </c>
      <c r="M63" s="605">
        <f t="shared" ca="1" si="1"/>
        <v>-79347.75</v>
      </c>
      <c r="N63" s="20"/>
      <c r="O63" s="20"/>
      <c r="P63" s="20"/>
      <c r="Q63" s="20"/>
      <c r="R63" s="20"/>
      <c r="S63" s="20"/>
      <c r="T63" s="20"/>
      <c r="U63" s="20"/>
      <c r="V63" s="20"/>
      <c r="W63" s="20"/>
      <c r="X63" s="20"/>
      <c r="Y63" s="20"/>
      <c r="Z63" s="20"/>
      <c r="AA63" s="20"/>
      <c r="AB63" s="20"/>
      <c r="AC63" s="20"/>
      <c r="AD63" s="20"/>
      <c r="AE63" s="20"/>
      <c r="AF63" s="20"/>
      <c r="AG63" s="20"/>
      <c r="AH63" s="20"/>
      <c r="AI63" s="20"/>
    </row>
    <row r="64" spans="3:35" ht="14.4" x14ac:dyDescent="0.3">
      <c r="C64" s="20"/>
      <c r="D64" s="600">
        <v>11</v>
      </c>
      <c r="E64" s="610" t="str">
        <f ca="1">_xlfn.XLOOKUP(F64,Pareto!S:S,Pareto!T:T)</f>
        <v>Ferraz</v>
      </c>
      <c r="F64" s="1757" t="str">
        <f ca="1">_xlfn.XLOOKUP(K64,Pareto!V:V,Pareto!S:S)</f>
        <v xml:space="preserve">10 - Consumo de energia elétrica: vazamentos de ar </v>
      </c>
      <c r="G64" s="1758"/>
      <c r="H64" s="608" t="str">
        <f ca="1">_xlfn.XLOOKUP(F64,Pareto!S:S,Pareto!X:X)</f>
        <v>⏳ Em Execução</v>
      </c>
      <c r="I64" s="608" t="str">
        <f ca="1">_xlfn.XLOOKUP('5 Unidades  +'!F64,Pareto!S:S,Pareto!Z:Z)</f>
        <v>OK</v>
      </c>
      <c r="J64" s="601">
        <f ca="1">_xlfn.XLOOKUP(F64,Pareto!S:S,Pareto!U:U)</f>
        <v>57455.181818181816</v>
      </c>
      <c r="K64" s="601">
        <f ca="1">IFERROR(LARGE(Pareto!V:V,D64)," ")</f>
        <v>76606.909090909088</v>
      </c>
      <c r="L64" s="601" t="str">
        <f ca="1">_xlfn.XLOOKUP(F64,Pareto!S:S,Pareto!W:W)</f>
        <v/>
      </c>
      <c r="M64" s="602">
        <f t="shared" ca="1" si="1"/>
        <v>-76606.909090909088</v>
      </c>
      <c r="N64" s="20"/>
      <c r="O64" s="20"/>
      <c r="P64" s="20"/>
      <c r="Q64" s="20"/>
      <c r="R64" s="20"/>
      <c r="S64" s="20"/>
      <c r="T64" s="20"/>
      <c r="U64" s="20"/>
      <c r="V64" s="20"/>
      <c r="W64" s="20"/>
      <c r="X64" s="20"/>
      <c r="Y64" s="20"/>
      <c r="Z64" s="20"/>
      <c r="AA64" s="20"/>
      <c r="AB64" s="20"/>
      <c r="AC64" s="20"/>
      <c r="AD64" s="20"/>
      <c r="AE64" s="20"/>
      <c r="AF64" s="20"/>
      <c r="AG64" s="20"/>
      <c r="AH64" s="20"/>
      <c r="AI64" s="20"/>
    </row>
    <row r="65" spans="3:35" ht="14.4" x14ac:dyDescent="0.3">
      <c r="C65" s="20"/>
      <c r="D65" s="603">
        <v>12</v>
      </c>
      <c r="E65" s="609" t="str">
        <f ca="1">_xlfn.XLOOKUP(F65,Pareto!S:S,Pareto!T:T)</f>
        <v>Anchieta</v>
      </c>
      <c r="F65" s="1759" t="str">
        <f ca="1">_xlfn.XLOOKUP(K65,Pareto!V:V,Pareto!S:S)</f>
        <v>04 - GÁS</v>
      </c>
      <c r="G65" s="1760"/>
      <c r="H65" s="609" t="str">
        <f ca="1">_xlfn.XLOOKUP(F65,Pareto!S:S,Pareto!X:X)</f>
        <v>⏳ Em Execução</v>
      </c>
      <c r="I65" s="609" t="str">
        <f ca="1">_xlfn.XLOOKUP('5 Unidades  +'!F65,Pareto!S:S,Pareto!Z:Z)</f>
        <v>OK</v>
      </c>
      <c r="J65" s="604">
        <f ca="1">_xlfn.XLOOKUP(F65,Pareto!S:S,Pareto!U:U)</f>
        <v>84366.096666666679</v>
      </c>
      <c r="K65" s="604">
        <f ca="1">IFERROR(LARGE(Pareto!V:V,D65)," ")</f>
        <v>56244.064444444448</v>
      </c>
      <c r="L65" s="604">
        <f ca="1">_xlfn.XLOOKUP(F65,Pareto!S:S,Pareto!W:W)</f>
        <v>-2790.25</v>
      </c>
      <c r="M65" s="605">
        <f t="shared" ca="1" si="1"/>
        <v>-59034.314444444448</v>
      </c>
      <c r="N65" s="20"/>
      <c r="O65" s="20"/>
      <c r="P65" s="20"/>
      <c r="Q65" s="20"/>
      <c r="R65" s="20"/>
      <c r="S65" s="20"/>
      <c r="T65" s="20"/>
      <c r="U65" s="20"/>
      <c r="V65" s="20"/>
      <c r="W65" s="20"/>
      <c r="X65" s="20"/>
      <c r="Y65" s="20"/>
      <c r="Z65" s="20"/>
      <c r="AA65" s="20"/>
      <c r="AB65" s="20"/>
      <c r="AC65" s="20"/>
      <c r="AD65" s="20"/>
      <c r="AE65" s="20"/>
      <c r="AF65" s="20"/>
      <c r="AG65" s="20"/>
      <c r="AH65" s="20"/>
      <c r="AI65" s="20"/>
    </row>
    <row r="66" spans="3:35" ht="14.4" x14ac:dyDescent="0.3">
      <c r="C66" s="20"/>
      <c r="D66" s="600">
        <v>13</v>
      </c>
      <c r="E66" s="610" t="str">
        <f ca="1">_xlfn.XLOOKUP(F66,Pareto!S:S,Pareto!T:T)</f>
        <v>Compras</v>
      </c>
      <c r="F66" s="1757" t="str">
        <f ca="1">_xlfn.XLOOKUP(K66,Pareto!V:V,Pareto!S:S)</f>
        <v>Resourcing Maletas Man (Mercante para Cartec)</v>
      </c>
      <c r="G66" s="1758"/>
      <c r="H66" s="608" t="str">
        <f ca="1">_xlfn.XLOOKUP(F66,Pareto!S:S,Pareto!X:X)</f>
        <v>✓ Concluído</v>
      </c>
      <c r="I66" s="608" t="str">
        <f ca="1">_xlfn.XLOOKUP('5 Unidades  +'!F66,Pareto!S:S,Pareto!Z:Z)</f>
        <v>Não Ok</v>
      </c>
      <c r="J66" s="601">
        <f ca="1">_xlfn.XLOOKUP(F66,Pareto!S:S,Pareto!U:U)</f>
        <v>183134.16666666666</v>
      </c>
      <c r="K66" s="601">
        <f ca="1">IFERROR(LARGE(Pareto!V:V,D66)," ")</f>
        <v>54940.25</v>
      </c>
      <c r="L66" s="601" t="str">
        <f ca="1">_xlfn.XLOOKUP(F66,Pareto!S:S,Pareto!W:W)</f>
        <v/>
      </c>
      <c r="M66" s="602">
        <f t="shared" ca="1" si="1"/>
        <v>-54940.25</v>
      </c>
      <c r="N66" s="20"/>
      <c r="O66" s="20"/>
      <c r="P66" s="20"/>
      <c r="Q66" s="20"/>
      <c r="R66" s="20"/>
      <c r="S66" s="20"/>
      <c r="T66" s="20"/>
      <c r="U66" s="20"/>
      <c r="V66" s="20"/>
      <c r="W66" s="20"/>
      <c r="X66" s="20"/>
      <c r="Y66" s="20"/>
      <c r="Z66" s="20"/>
      <c r="AA66" s="20"/>
      <c r="AB66" s="20"/>
      <c r="AC66" s="20"/>
      <c r="AD66" s="20"/>
      <c r="AE66" s="20"/>
      <c r="AF66" s="20"/>
      <c r="AG66" s="20"/>
      <c r="AH66" s="20"/>
      <c r="AI66" s="20"/>
    </row>
    <row r="67" spans="3:35" ht="14.4" x14ac:dyDescent="0.3">
      <c r="C67" s="20"/>
      <c r="D67" s="603">
        <v>14</v>
      </c>
      <c r="E67" s="609" t="str">
        <f ca="1">_xlfn.XLOOKUP(F67,Pareto!S:S,Pareto!T:T)</f>
        <v>Compras</v>
      </c>
      <c r="F67" s="1759" t="str">
        <f ca="1">_xlfn.XLOOKUP(K67,Pareto!V:V,Pareto!S:S)</f>
        <v>Redução de custo Abrasivos Curva A Ferraz</v>
      </c>
      <c r="G67" s="1760"/>
      <c r="H67" s="609" t="str">
        <f ca="1">_xlfn.XLOOKUP(F67,Pareto!S:S,Pareto!X:X)</f>
        <v>✓ Concluído</v>
      </c>
      <c r="I67" s="609" t="str">
        <f ca="1">_xlfn.XLOOKUP('5 Unidades  +'!F67,Pareto!S:S,Pareto!Z:Z)</f>
        <v>Não Ok</v>
      </c>
      <c r="J67" s="604">
        <f ca="1">_xlfn.XLOOKUP(F67,Pareto!S:S,Pareto!U:U)</f>
        <v>145740.83333333334</v>
      </c>
      <c r="K67" s="604">
        <f ca="1">IFERROR(LARGE(Pareto!V:V,D67)," ")</f>
        <v>52996.666666666664</v>
      </c>
      <c r="L67" s="604" t="str">
        <f ca="1">_xlfn.XLOOKUP(F67,Pareto!S:S,Pareto!W:W)</f>
        <v/>
      </c>
      <c r="M67" s="605">
        <f t="shared" ca="1" si="1"/>
        <v>-52996.666666666664</v>
      </c>
      <c r="N67" s="20"/>
      <c r="O67" s="20"/>
      <c r="P67" s="20"/>
      <c r="Q67" s="20"/>
      <c r="R67" s="20"/>
      <c r="S67" s="20"/>
      <c r="T67" s="20"/>
      <c r="U67" s="20"/>
      <c r="V67" s="20"/>
      <c r="W67" s="20"/>
      <c r="X67" s="20"/>
      <c r="Y67" s="20"/>
      <c r="Z67" s="20"/>
      <c r="AA67" s="20"/>
      <c r="AB67" s="20"/>
      <c r="AC67" s="20"/>
      <c r="AD67" s="20"/>
      <c r="AE67" s="20"/>
      <c r="AF67" s="20"/>
      <c r="AG67" s="20"/>
      <c r="AH67" s="20"/>
      <c r="AI67" s="20"/>
    </row>
    <row r="68" spans="3:35" ht="14.4" x14ac:dyDescent="0.3">
      <c r="C68" s="20"/>
      <c r="D68" s="600">
        <v>15</v>
      </c>
      <c r="E68" s="610" t="str">
        <f ca="1">_xlfn.XLOOKUP(F68,Pareto!S:S,Pareto!T:T)</f>
        <v>Compras</v>
      </c>
      <c r="F68" s="1757" t="str">
        <f ca="1">_xlfn.XLOOKUP(K68,Pareto!V:V,Pareto!S:S)</f>
        <v>Resourcing Hasmman para Metalac</v>
      </c>
      <c r="G68" s="1758"/>
      <c r="H68" s="608" t="str">
        <f ca="1">_xlfn.XLOOKUP(F68,Pareto!S:S,Pareto!X:X)</f>
        <v>✓ Concluído</v>
      </c>
      <c r="I68" s="608" t="str">
        <f ca="1">_xlfn.XLOOKUP('5 Unidades  +'!F68,Pareto!S:S,Pareto!Z:Z)</f>
        <v>OK</v>
      </c>
      <c r="J68" s="601">
        <f ca="1">_xlfn.XLOOKUP(F68,Pareto!S:S,Pareto!U:U)</f>
        <v>142025.58333333334</v>
      </c>
      <c r="K68" s="601">
        <f ca="1">IFERROR(LARGE(Pareto!V:V,D68)," ")</f>
        <v>51645.666666666664</v>
      </c>
      <c r="L68" s="601" t="str">
        <f ca="1">_xlfn.XLOOKUP(F68,Pareto!S:S,Pareto!W:W)</f>
        <v/>
      </c>
      <c r="M68" s="602">
        <f t="shared" ca="1" si="1"/>
        <v>-51645.666666666664</v>
      </c>
      <c r="N68" s="20"/>
      <c r="O68" s="20"/>
      <c r="P68" s="20"/>
      <c r="Q68" s="20"/>
      <c r="R68" s="20"/>
      <c r="S68" s="20"/>
      <c r="T68" s="20"/>
      <c r="U68" s="20"/>
      <c r="V68" s="20"/>
      <c r="W68" s="20"/>
      <c r="X68" s="20"/>
      <c r="Y68" s="20"/>
      <c r="Z68" s="20"/>
      <c r="AA68" s="20"/>
      <c r="AB68" s="20"/>
      <c r="AC68" s="20"/>
      <c r="AD68" s="20"/>
      <c r="AE68" s="20"/>
      <c r="AF68" s="20"/>
      <c r="AG68" s="20"/>
      <c r="AH68" s="20"/>
      <c r="AI68" s="20"/>
    </row>
    <row r="69" spans="3:35" ht="14.4" x14ac:dyDescent="0.3">
      <c r="C69" s="20"/>
      <c r="D69" s="603">
        <v>16</v>
      </c>
      <c r="E69" s="609" t="str">
        <f ca="1">_xlfn.XLOOKUP(F69,Pareto!S:S,Pareto!T:T)</f>
        <v>Ferraz</v>
      </c>
      <c r="F69" s="1759" t="str">
        <f ca="1">_xlfn.XLOOKUP(K69,Pareto!V:V,Pareto!S:S)</f>
        <v>14 - Consumo de EPI's</v>
      </c>
      <c r="G69" s="1760"/>
      <c r="H69" s="609" t="str">
        <f ca="1">_xlfn.XLOOKUP(F69,Pareto!S:S,Pareto!X:X)</f>
        <v>⏳ Em Execução</v>
      </c>
      <c r="I69" s="609" t="str">
        <f ca="1">_xlfn.XLOOKUP('5 Unidades  +'!F69,Pareto!S:S,Pareto!Z:Z)</f>
        <v>OK</v>
      </c>
      <c r="J69" s="604">
        <f ca="1">_xlfn.XLOOKUP(F69,Pareto!S:S,Pareto!U:U)</f>
        <v>30921.5</v>
      </c>
      <c r="K69" s="604">
        <f ca="1">IFERROR(LARGE(Pareto!V:V,D69)," ")</f>
        <v>51535.833333333328</v>
      </c>
      <c r="L69" s="604">
        <f ca="1">_xlfn.XLOOKUP(F69,Pareto!S:S,Pareto!W:W)</f>
        <v>36880.140000000007</v>
      </c>
      <c r="M69" s="605">
        <f t="shared" ca="1" si="1"/>
        <v>-14655.693333333322</v>
      </c>
      <c r="N69" s="20"/>
      <c r="O69" s="20"/>
      <c r="P69" s="20"/>
      <c r="Q69" s="20"/>
      <c r="R69" s="20"/>
      <c r="S69" s="20"/>
      <c r="T69" s="20"/>
      <c r="U69" s="20"/>
      <c r="V69" s="20"/>
      <c r="W69" s="20"/>
      <c r="X69" s="20"/>
      <c r="Y69" s="20"/>
      <c r="Z69" s="20"/>
      <c r="AA69" s="20"/>
      <c r="AB69" s="20"/>
      <c r="AC69" s="20"/>
      <c r="AD69" s="20"/>
      <c r="AE69" s="20"/>
      <c r="AF69" s="20"/>
      <c r="AG69" s="20"/>
      <c r="AH69" s="20"/>
      <c r="AI69" s="20"/>
    </row>
    <row r="70" spans="3:35" ht="14.4" x14ac:dyDescent="0.3">
      <c r="C70" s="20"/>
      <c r="D70" s="600">
        <v>17</v>
      </c>
      <c r="E70" s="610" t="str">
        <f ca="1">_xlfn.XLOOKUP(F70,Pareto!S:S,Pareto!T:T)</f>
        <v>Jarinu</v>
      </c>
      <c r="F70" s="1757" t="str">
        <f ca="1">_xlfn.XLOOKUP(K70,Pareto!V:V,Pareto!S:S)</f>
        <v>30 - Redução de Refugo</v>
      </c>
      <c r="G70" s="1758"/>
      <c r="H70" s="608" t="str">
        <f ca="1">_xlfn.XLOOKUP(F70,Pareto!S:S,Pareto!X:X)</f>
        <v>⏳ Em Execução</v>
      </c>
      <c r="I70" s="608" t="str">
        <f ca="1">_xlfn.XLOOKUP('5 Unidades  +'!F70,Pareto!S:S,Pareto!Z:Z)</f>
        <v>OK</v>
      </c>
      <c r="J70" s="601">
        <f ca="1">_xlfn.XLOOKUP(F70,Pareto!S:S,Pareto!U:U)</f>
        <v>76500</v>
      </c>
      <c r="K70" s="601">
        <f ca="1">IFERROR(LARGE(Pareto!V:V,D70)," ")</f>
        <v>51000</v>
      </c>
      <c r="L70" s="601" t="str">
        <f ca="1">_xlfn.XLOOKUP(F70,Pareto!S:S,Pareto!W:W)</f>
        <v/>
      </c>
      <c r="M70" s="602">
        <f t="shared" ca="1" si="1"/>
        <v>-51000</v>
      </c>
      <c r="N70" s="20"/>
      <c r="O70" s="20"/>
      <c r="P70" s="20"/>
      <c r="Q70" s="20"/>
      <c r="R70" s="20"/>
      <c r="S70" s="20"/>
      <c r="T70" s="20"/>
      <c r="U70" s="20"/>
      <c r="V70" s="20"/>
      <c r="W70" s="20"/>
      <c r="X70" s="20"/>
      <c r="Y70" s="20"/>
      <c r="Z70" s="20"/>
      <c r="AA70" s="20"/>
      <c r="AB70" s="20"/>
      <c r="AC70" s="20"/>
      <c r="AD70" s="20"/>
      <c r="AE70" s="20"/>
      <c r="AF70" s="20"/>
      <c r="AG70" s="20"/>
      <c r="AH70" s="20"/>
      <c r="AI70" s="20"/>
    </row>
    <row r="71" spans="3:35" ht="14.4" x14ac:dyDescent="0.3">
      <c r="C71" s="20"/>
      <c r="D71" s="603">
        <v>18</v>
      </c>
      <c r="E71" s="609" t="str">
        <f ca="1">_xlfn.XLOOKUP(F71,Pareto!S:S,Pareto!T:T)</f>
        <v>Anchieta</v>
      </c>
      <c r="F71" s="1759" t="str">
        <f ca="1">_xlfn.XLOOKUP(K71,Pareto!V:V,Pareto!S:S)</f>
        <v>01 - VENDA DE ATIVOS</v>
      </c>
      <c r="G71" s="1760"/>
      <c r="H71" s="609" t="str">
        <f ca="1">_xlfn.XLOOKUP(F71,Pareto!S:S,Pareto!X:X)</f>
        <v>⏳ Em Execução</v>
      </c>
      <c r="I71" s="609" t="str">
        <f ca="1">_xlfn.XLOOKUP('5 Unidades  +'!F71,Pareto!S:S,Pareto!Z:Z)</f>
        <v>OK</v>
      </c>
      <c r="J71" s="604">
        <f ca="1">_xlfn.XLOOKUP(F71,Pareto!S:S,Pareto!U:U)</f>
        <v>0</v>
      </c>
      <c r="K71" s="604">
        <f ca="1">IFERROR(LARGE(Pareto!V:V,D71)," ")</f>
        <v>50000</v>
      </c>
      <c r="L71" s="604">
        <f ca="1">_xlfn.XLOOKUP(F71,Pareto!S:S,Pareto!W:W)</f>
        <v>50000</v>
      </c>
      <c r="M71" s="605">
        <f t="shared" ca="1" si="1"/>
        <v>0</v>
      </c>
      <c r="N71" s="20"/>
      <c r="O71" s="20"/>
      <c r="P71" s="20"/>
      <c r="Q71" s="20"/>
      <c r="R71" s="20"/>
      <c r="S71" s="20"/>
      <c r="T71" s="20"/>
      <c r="U71" s="20"/>
      <c r="V71" s="20"/>
      <c r="W71" s="20"/>
      <c r="X71" s="20"/>
      <c r="Y71" s="20"/>
      <c r="Z71" s="20"/>
      <c r="AA71" s="20"/>
      <c r="AB71" s="20"/>
      <c r="AC71" s="20"/>
      <c r="AD71" s="20"/>
      <c r="AE71" s="20"/>
      <c r="AF71" s="20"/>
      <c r="AG71" s="20"/>
      <c r="AH71" s="20"/>
      <c r="AI71" s="20"/>
    </row>
    <row r="72" spans="3:35" ht="14.4" x14ac:dyDescent="0.3">
      <c r="C72" s="20"/>
      <c r="D72" s="600">
        <v>19</v>
      </c>
      <c r="E72" s="610" t="str">
        <f ca="1">_xlfn.XLOOKUP(F72,Pareto!S:S,Pareto!T:T)</f>
        <v>Anchieta</v>
      </c>
      <c r="F72" s="1757" t="str">
        <f ca="1">_xlfn.XLOOKUP(K72,Pareto!V:V,Pareto!S:S)</f>
        <v>03 - PRODUTOS QUÍMICOS KTL</v>
      </c>
      <c r="G72" s="1758"/>
      <c r="H72" s="608" t="str">
        <f ca="1">_xlfn.XLOOKUP(F72,Pareto!S:S,Pareto!X:X)</f>
        <v>⏳ Em Execução</v>
      </c>
      <c r="I72" s="608" t="str">
        <f ca="1">_xlfn.XLOOKUP('5 Unidades  +'!F72,Pareto!S:S,Pareto!Z:Z)</f>
        <v>OK</v>
      </c>
      <c r="J72" s="601">
        <f ca="1">_xlfn.XLOOKUP(F72,Pareto!S:S,Pareto!U:U)</f>
        <v>37054.535318181821</v>
      </c>
      <c r="K72" s="601">
        <f ca="1">IFERROR(LARGE(Pareto!V:V,D72)," ")</f>
        <v>49406.047090909095</v>
      </c>
      <c r="L72" s="601">
        <f ca="1">_xlfn.XLOOKUP(F72,Pareto!S:S,Pareto!W:W)</f>
        <v>93186.13900000001</v>
      </c>
      <c r="M72" s="602">
        <f t="shared" ca="1" si="1"/>
        <v>43780.091909090916</v>
      </c>
      <c r="N72" s="20"/>
      <c r="O72" s="20"/>
      <c r="P72" s="20"/>
      <c r="Q72" s="20"/>
      <c r="R72" s="20"/>
      <c r="S72" s="20"/>
      <c r="T72" s="20"/>
      <c r="U72" s="20"/>
      <c r="V72" s="20"/>
      <c r="W72" s="20"/>
      <c r="X72" s="20"/>
      <c r="Y72" s="20"/>
      <c r="Z72" s="20"/>
      <c r="AA72" s="20"/>
      <c r="AB72" s="20"/>
      <c r="AC72" s="20"/>
      <c r="AD72" s="20"/>
      <c r="AE72" s="20"/>
      <c r="AF72" s="20"/>
      <c r="AG72" s="20"/>
      <c r="AH72" s="20"/>
      <c r="AI72" s="20"/>
    </row>
    <row r="73" spans="3:35" ht="14.4" x14ac:dyDescent="0.3">
      <c r="C73" s="20"/>
      <c r="D73" s="603">
        <v>20</v>
      </c>
      <c r="E73" s="609" t="str">
        <f ca="1">_xlfn.XLOOKUP(F73,Pareto!S:S,Pareto!T:T)</f>
        <v>Diadema</v>
      </c>
      <c r="F73" s="1759" t="str">
        <f ca="1">_xlfn.XLOOKUP(K73,Pareto!V:V,Pareto!S:S)</f>
        <v>01 - Redução de peso bruto DA000489A</v>
      </c>
      <c r="G73" s="1760"/>
      <c r="H73" s="609" t="str">
        <f ca="1">_xlfn.XLOOKUP(F73,Pareto!S:S,Pareto!X:X)</f>
        <v>✓ Concluído</v>
      </c>
      <c r="I73" s="609" t="str">
        <f ca="1">_xlfn.XLOOKUP('5 Unidades  +'!F73,Pareto!S:S,Pareto!Z:Z)</f>
        <v>OK</v>
      </c>
      <c r="J73" s="604">
        <f ca="1">_xlfn.XLOOKUP(F73,Pareto!S:S,Pareto!U:U)</f>
        <v>160178.29000000004</v>
      </c>
      <c r="K73" s="604">
        <f ca="1">IFERROR(LARGE(Pareto!V:V,D73)," ")</f>
        <v>48053.487000000008</v>
      </c>
      <c r="L73" s="604">
        <f ca="1">_xlfn.XLOOKUP(F73,Pareto!S:S,Pareto!W:W)</f>
        <v>51688.192766560009</v>
      </c>
      <c r="M73" s="605">
        <f t="shared" ca="1" si="1"/>
        <v>3634.7057665600005</v>
      </c>
      <c r="N73" s="20"/>
      <c r="O73" s="20"/>
      <c r="P73" s="20"/>
      <c r="Q73" s="20"/>
      <c r="R73" s="20"/>
      <c r="S73" s="20"/>
      <c r="T73" s="20"/>
      <c r="U73" s="20"/>
      <c r="V73" s="20"/>
      <c r="W73" s="20"/>
      <c r="X73" s="20"/>
      <c r="Y73" s="20"/>
      <c r="Z73" s="20"/>
      <c r="AA73" s="20"/>
      <c r="AB73" s="20"/>
      <c r="AC73" s="20"/>
      <c r="AD73" s="20"/>
      <c r="AE73" s="20"/>
      <c r="AF73" s="20"/>
      <c r="AG73" s="20"/>
      <c r="AH73" s="20"/>
      <c r="AI73" s="20"/>
    </row>
    <row r="74" spans="3:35" ht="14.85" customHeight="1" x14ac:dyDescent="0.3">
      <c r="C74" s="20"/>
      <c r="D74" s="600">
        <v>21</v>
      </c>
      <c r="E74" s="610" t="str">
        <f ca="1">_xlfn.XLOOKUP(F74,Pareto!S:S,Pareto!T:T)</f>
        <v>Diadema</v>
      </c>
      <c r="F74" s="1757" t="str">
        <f ca="1">_xlfn.XLOOKUP(K74,Pareto!V:V,Pareto!S:S)</f>
        <v>12 - Aproveitamento de peças Obsoletas - A9583176540</v>
      </c>
      <c r="G74" s="1758"/>
      <c r="H74" s="608" t="str">
        <f ca="1">_xlfn.XLOOKUP(F74,Pareto!S:S,Pareto!X:X)</f>
        <v>✓ Concluído</v>
      </c>
      <c r="I74" s="608" t="str">
        <f ca="1">_xlfn.XLOOKUP('5 Unidades  +'!F74,Pareto!S:S,Pareto!Z:Z)</f>
        <v>OK</v>
      </c>
      <c r="J74" s="601">
        <f ca="1">_xlfn.XLOOKUP(F74,Pareto!S:S,Pareto!U:U)</f>
        <v>37746.6</v>
      </c>
      <c r="K74" s="601">
        <f ca="1">IFERROR(LARGE(Pareto!V:V,D74)," ")</f>
        <v>37746.6</v>
      </c>
      <c r="L74" s="601">
        <f ca="1">_xlfn.XLOOKUP(F74,Pareto!S:S,Pareto!W:W)</f>
        <v>37746.6</v>
      </c>
      <c r="M74" s="602">
        <f t="shared" ca="1" si="1"/>
        <v>0</v>
      </c>
      <c r="N74" s="20"/>
      <c r="O74" s="20"/>
      <c r="P74" s="20"/>
      <c r="Q74" s="20"/>
      <c r="R74" s="20"/>
      <c r="S74" s="20"/>
      <c r="T74" s="20"/>
      <c r="U74" s="20"/>
      <c r="V74" s="20"/>
      <c r="W74" s="20"/>
      <c r="X74" s="20"/>
      <c r="Y74" s="20"/>
      <c r="Z74" s="20"/>
      <c r="AA74" s="20"/>
      <c r="AB74" s="20"/>
      <c r="AC74" s="20"/>
      <c r="AD74" s="20"/>
      <c r="AE74" s="20"/>
      <c r="AF74" s="20"/>
      <c r="AG74" s="20"/>
      <c r="AH74" s="20"/>
      <c r="AI74" s="20"/>
    </row>
    <row r="75" spans="3:35" ht="14.85" customHeight="1" x14ac:dyDescent="0.3">
      <c r="C75" s="20"/>
      <c r="D75" s="603">
        <v>22</v>
      </c>
      <c r="E75" s="609" t="str">
        <f ca="1">_xlfn.XLOOKUP(F75,Pareto!S:S,Pareto!T:T)</f>
        <v>Diadema</v>
      </c>
      <c r="F75" s="1759" t="str">
        <f ca="1">_xlfn.XLOOKUP(K75,Pareto!V:V,Pareto!S:S)</f>
        <v>16 - Eficiência de MO na linha de Solda e Montagem</v>
      </c>
      <c r="G75" s="1760"/>
      <c r="H75" s="609" t="str">
        <f ca="1">_xlfn.XLOOKUP(F75,Pareto!S:S,Pareto!X:X)</f>
        <v>✓ Concluído</v>
      </c>
      <c r="I75" s="609" t="str">
        <f ca="1">_xlfn.XLOOKUP('5 Unidades  +'!F75,Pareto!S:S,Pareto!Z:Z)</f>
        <v>OK</v>
      </c>
      <c r="J75" s="604">
        <f ca="1">_xlfn.XLOOKUP(F75,Pareto!S:S,Pareto!U:U)</f>
        <v>124710.19</v>
      </c>
      <c r="K75" s="604">
        <f ca="1">IFERROR(LARGE(Pareto!V:V,D75)," ")</f>
        <v>37413.057000000001</v>
      </c>
      <c r="L75" s="604">
        <f ca="1">_xlfn.XLOOKUP(F75,Pareto!S:S,Pareto!W:W)</f>
        <v>12885.189999999999</v>
      </c>
      <c r="M75" s="605">
        <f t="shared" ca="1" si="1"/>
        <v>-24527.867000000002</v>
      </c>
      <c r="N75" s="20"/>
      <c r="O75" s="20"/>
      <c r="P75" s="20"/>
      <c r="Q75" s="20"/>
      <c r="R75" s="20"/>
      <c r="S75" s="20"/>
      <c r="T75" s="20"/>
      <c r="U75" s="20"/>
      <c r="V75" s="20"/>
      <c r="W75" s="20"/>
      <c r="X75" s="20"/>
      <c r="Y75" s="20"/>
      <c r="Z75" s="20"/>
    </row>
    <row r="76" spans="3:35" ht="14.85" customHeight="1" x14ac:dyDescent="0.3">
      <c r="C76" s="20"/>
      <c r="D76" s="600">
        <v>23</v>
      </c>
      <c r="E76" s="610" t="str">
        <f ca="1">_xlfn.XLOOKUP(F76,Pareto!S:S,Pareto!T:T)</f>
        <v>Compras</v>
      </c>
      <c r="F76" s="1757" t="str">
        <f ca="1">_xlfn.XLOOKUP(K76,Pareto!V:V,Pareto!S:S)</f>
        <v>Redução Itens Mercedes</v>
      </c>
      <c r="G76" s="1758"/>
      <c r="H76" s="608" t="str">
        <f ca="1">_xlfn.XLOOKUP(F76,Pareto!S:S,Pareto!X:X)</f>
        <v>⏳ Em Execução</v>
      </c>
      <c r="I76" s="608" t="str">
        <f ca="1">_xlfn.XLOOKUP('5 Unidades  +'!F76,Pareto!S:S,Pareto!Z:Z)</f>
        <v/>
      </c>
      <c r="J76" s="601">
        <f ca="1">_xlfn.XLOOKUP(F76,Pareto!S:S,Pareto!U:U)</f>
        <v>160746.75</v>
      </c>
      <c r="K76" s="601">
        <f ca="1">IFERROR(LARGE(Pareto!V:V,D76)," ")</f>
        <v>35721.5</v>
      </c>
      <c r="L76" s="601" t="str">
        <f ca="1">_xlfn.XLOOKUP(F76,Pareto!S:S,Pareto!W:W)</f>
        <v/>
      </c>
      <c r="M76" s="602">
        <f t="shared" ca="1" si="1"/>
        <v>-35721.5</v>
      </c>
      <c r="N76" s="20"/>
      <c r="O76" s="20"/>
      <c r="P76" s="20"/>
      <c r="Q76" s="20"/>
      <c r="R76" s="20"/>
      <c r="S76" s="20"/>
      <c r="T76" s="20"/>
      <c r="U76" s="20"/>
      <c r="V76" s="20"/>
      <c r="W76" s="20"/>
      <c r="X76" s="20"/>
      <c r="Y76" s="20"/>
      <c r="Z76" s="20"/>
    </row>
    <row r="77" spans="3:35" ht="14.85" customHeight="1" x14ac:dyDescent="0.3">
      <c r="C77" s="20"/>
      <c r="D77" s="603">
        <v>24</v>
      </c>
      <c r="E77" s="609" t="str">
        <f ca="1">_xlfn.XLOOKUP(F77,Pareto!S:S,Pareto!T:T)</f>
        <v>Compras</v>
      </c>
      <c r="F77" s="1759" t="str">
        <f ca="1">_xlfn.XLOOKUP(K77,Pareto!V:V,Pareto!S:S)</f>
        <v>Troca fornecedor decapagem gancheiras Ferraz</v>
      </c>
      <c r="G77" s="1760"/>
      <c r="H77" s="609" t="str">
        <f ca="1">_xlfn.XLOOKUP(F77,Pareto!S:S,Pareto!X:X)</f>
        <v>✓ Concluído</v>
      </c>
      <c r="I77" s="609" t="str">
        <f ca="1">_xlfn.XLOOKUP('5 Unidades  +'!F77,Pareto!S:S,Pareto!Z:Z)</f>
        <v>OK</v>
      </c>
      <c r="J77" s="604">
        <f ca="1">_xlfn.XLOOKUP(F77,Pareto!S:S,Pareto!U:U)</f>
        <v>90667.316666666695</v>
      </c>
      <c r="K77" s="604">
        <f ca="1">IFERROR(LARGE(Pareto!V:V,D77)," ")</f>
        <v>32969.933333333334</v>
      </c>
      <c r="L77" s="604">
        <f ca="1">_xlfn.XLOOKUP(F77,Pareto!S:S,Pareto!W:W)</f>
        <v>544.5</v>
      </c>
      <c r="M77" s="605">
        <f t="shared" ca="1" si="1"/>
        <v>-32425.433333333334</v>
      </c>
      <c r="N77" s="20"/>
      <c r="O77" s="20"/>
      <c r="P77" s="20"/>
      <c r="Q77" s="20"/>
      <c r="R77" s="20"/>
      <c r="S77" s="20"/>
      <c r="T77" s="20"/>
      <c r="U77" s="20"/>
      <c r="V77" s="20"/>
      <c r="W77" s="20"/>
      <c r="X77" s="20"/>
      <c r="Y77" s="20"/>
      <c r="Z77" s="20"/>
    </row>
    <row r="78" spans="3:35" ht="14.85" customHeight="1" x14ac:dyDescent="0.3">
      <c r="C78" s="20"/>
      <c r="D78" s="600">
        <v>25</v>
      </c>
      <c r="E78" s="610" t="str">
        <f ca="1">_xlfn.XLOOKUP(F78,Pareto!S:S,Pareto!T:T)</f>
        <v>Compras</v>
      </c>
      <c r="F78" s="1757" t="str">
        <f ca="1">_xlfn.XLOOKUP(K78,Pareto!V:V,Pareto!S:S)</f>
        <v>Redução MP Viga Banana</v>
      </c>
      <c r="G78" s="1758"/>
      <c r="H78" s="608" t="str">
        <f ca="1">_xlfn.XLOOKUP(F78,Pareto!S:S,Pareto!X:X)</f>
        <v>✓ Concluído</v>
      </c>
      <c r="I78" s="608" t="str">
        <f ca="1">_xlfn.XLOOKUP('5 Unidades  +'!F78,Pareto!S:S,Pareto!Z:Z)</f>
        <v>OK</v>
      </c>
      <c r="J78" s="601">
        <f ca="1">_xlfn.XLOOKUP(F78,Pareto!S:S,Pareto!U:U)</f>
        <v>79688.583333333328</v>
      </c>
      <c r="K78" s="601">
        <f ca="1">IFERROR(LARGE(Pareto!V:V,D78)," ")</f>
        <v>28977.666666666668</v>
      </c>
      <c r="L78" s="601">
        <f ca="1">_xlfn.XLOOKUP(F78,Pareto!S:S,Pareto!W:W)</f>
        <v>10777.72075764</v>
      </c>
      <c r="M78" s="602">
        <f t="shared" ca="1" si="1"/>
        <v>-18199.945909026668</v>
      </c>
      <c r="N78" s="20"/>
      <c r="O78" s="20"/>
      <c r="P78" s="20"/>
      <c r="Q78" s="20"/>
      <c r="R78" s="20"/>
      <c r="S78" s="20"/>
      <c r="T78" s="20"/>
      <c r="U78" s="20"/>
      <c r="V78" s="20"/>
      <c r="W78" s="20"/>
      <c r="X78" s="20"/>
      <c r="Y78" s="20"/>
      <c r="Z78" s="20"/>
    </row>
    <row r="79" spans="3:35" ht="14.85" customHeight="1" x14ac:dyDescent="0.3">
      <c r="C79" s="20"/>
      <c r="D79" s="603">
        <v>26</v>
      </c>
      <c r="E79" s="609" t="str">
        <f ca="1">_xlfn.XLOOKUP(F79,Pareto!S:S,Pareto!T:T)</f>
        <v>Compras</v>
      </c>
      <c r="F79" s="1759" t="str">
        <f ca="1">_xlfn.XLOOKUP(K79,Pareto!V:V,Pareto!S:S)</f>
        <v>Troca de fonte fita zebrada e etiqueta litografada</v>
      </c>
      <c r="G79" s="1760"/>
      <c r="H79" s="609" t="str">
        <f ca="1">_xlfn.XLOOKUP(F79,Pareto!S:S,Pareto!X:X)</f>
        <v>✓ Concluído</v>
      </c>
      <c r="I79" s="609" t="str">
        <f ca="1">_xlfn.XLOOKUP('5 Unidades  +'!F79,Pareto!S:S,Pareto!Z:Z)</f>
        <v/>
      </c>
      <c r="J79" s="604">
        <f ca="1">_xlfn.XLOOKUP(F79,Pareto!S:S,Pareto!U:U)</f>
        <v>128251.50000000001</v>
      </c>
      <c r="K79" s="604">
        <f ca="1">IFERROR(LARGE(Pareto!V:V,D79)," ")</f>
        <v>28500.333333333332</v>
      </c>
      <c r="L79" s="604" t="str">
        <f ca="1">_xlfn.XLOOKUP(F79,Pareto!S:S,Pareto!W:W)</f>
        <v/>
      </c>
      <c r="M79" s="605">
        <f t="shared" ca="1" si="1"/>
        <v>-28500.333333333332</v>
      </c>
      <c r="N79" s="20"/>
      <c r="O79" s="20"/>
      <c r="P79" s="20"/>
      <c r="Q79" s="20"/>
      <c r="R79" s="20"/>
      <c r="S79" s="20"/>
      <c r="T79" s="20"/>
      <c r="U79" s="20"/>
      <c r="V79" s="20"/>
      <c r="W79" s="20"/>
      <c r="X79" s="20"/>
      <c r="Y79" s="20"/>
      <c r="Z79" s="20"/>
    </row>
    <row r="80" spans="3:35" ht="14.85" customHeight="1" x14ac:dyDescent="0.3">
      <c r="C80" s="20"/>
      <c r="D80" s="600">
        <v>27</v>
      </c>
      <c r="E80" s="610" t="str">
        <f ca="1">_xlfn.XLOOKUP(F80,Pareto!S:S,Pareto!T:T)</f>
        <v>Diadema</v>
      </c>
      <c r="F80" s="1757" t="str">
        <f ca="1">_xlfn.XLOOKUP(K80,Pareto!V:V,Pareto!S:S)</f>
        <v>45 - Redução de MP GM000409Z</v>
      </c>
      <c r="G80" s="1758"/>
      <c r="H80" s="608" t="str">
        <f ca="1">_xlfn.XLOOKUP(F80,Pareto!S:S,Pareto!X:X)</f>
        <v>✓ Concluído</v>
      </c>
      <c r="I80" s="608" t="str">
        <f ca="1">_xlfn.XLOOKUP('5 Unidades  +'!F80,Pareto!S:S,Pareto!Z:Z)</f>
        <v>OK</v>
      </c>
      <c r="J80" s="601">
        <f ca="1">_xlfn.XLOOKUP(F80,Pareto!S:S,Pareto!U:U)</f>
        <v>99381.260000000009</v>
      </c>
      <c r="K80" s="601">
        <f ca="1">IFERROR(LARGE(Pareto!V:V,D80)," ")</f>
        <v>22084.724444444444</v>
      </c>
      <c r="L80" s="601">
        <f ca="1">_xlfn.XLOOKUP(F80,Pareto!S:S,Pareto!W:W)</f>
        <v>34660.771754999863</v>
      </c>
      <c r="M80" s="602">
        <f t="shared" ca="1" si="1"/>
        <v>12576.047310555419</v>
      </c>
      <c r="N80" s="20"/>
      <c r="O80" s="20"/>
      <c r="P80" s="20"/>
      <c r="Q80" s="20"/>
      <c r="R80" s="20"/>
      <c r="S80" s="20"/>
      <c r="T80" s="20"/>
      <c r="U80" s="20"/>
      <c r="V80" s="20"/>
      <c r="W80" s="20"/>
      <c r="X80" s="20"/>
      <c r="Y80" s="20"/>
      <c r="Z80" s="20"/>
    </row>
    <row r="81" spans="3:26" ht="14.85" customHeight="1" x14ac:dyDescent="0.3">
      <c r="C81" s="20"/>
      <c r="D81" s="603">
        <v>28</v>
      </c>
      <c r="E81" s="609" t="str">
        <f ca="1">_xlfn.XLOOKUP(F81,Pareto!S:S,Pareto!T:T)</f>
        <v>Diadema</v>
      </c>
      <c r="F81" s="1759" t="str">
        <f ca="1">_xlfn.XLOOKUP(K81,Pareto!V:V,Pareto!S:S)</f>
        <v>26 - Redução_de_MP - DJ000059Z_DJ000060Z</v>
      </c>
      <c r="G81" s="1760"/>
      <c r="H81" s="609" t="str">
        <f ca="1">_xlfn.XLOOKUP(F81,Pareto!S:S,Pareto!X:X)</f>
        <v>✓ Concluído</v>
      </c>
      <c r="I81" s="609" t="str">
        <f ca="1">_xlfn.XLOOKUP('5 Unidades  +'!F81,Pareto!S:S,Pareto!Z:Z)</f>
        <v>OK</v>
      </c>
      <c r="J81" s="604">
        <f ca="1">_xlfn.XLOOKUP(F81,Pareto!S:S,Pareto!U:U)</f>
        <v>175018.01999999996</v>
      </c>
      <c r="K81" s="604">
        <f ca="1">IFERROR(LARGE(Pareto!V:V,D81)," ")</f>
        <v>21877.252499999999</v>
      </c>
      <c r="L81" s="604">
        <f ca="1">_xlfn.XLOOKUP(F81,Pareto!S:S,Pareto!W:W)</f>
        <v>15968.797579189981</v>
      </c>
      <c r="M81" s="605">
        <f t="shared" ca="1" si="1"/>
        <v>-5908.4549208100179</v>
      </c>
      <c r="N81" s="20"/>
      <c r="O81" s="20"/>
      <c r="P81" s="20"/>
      <c r="Q81" s="20"/>
      <c r="R81" s="20"/>
      <c r="S81" s="20"/>
      <c r="T81" s="20"/>
      <c r="U81" s="20"/>
      <c r="V81" s="20"/>
      <c r="W81" s="20"/>
      <c r="X81" s="20"/>
      <c r="Y81" s="20"/>
      <c r="Z81" s="20"/>
    </row>
    <row r="82" spans="3:26" ht="14.85" customHeight="1" x14ac:dyDescent="0.3">
      <c r="C82" s="20"/>
      <c r="D82" s="600">
        <v>29</v>
      </c>
      <c r="E82" s="610" t="str">
        <f ca="1">_xlfn.XLOOKUP(F82,Pareto!S:S,Pareto!T:T)</f>
        <v>São leopoldo</v>
      </c>
      <c r="F82" s="1757" t="str">
        <f ca="1">_xlfn.XLOOKUP(K82,Pareto!V:V,Pareto!S:S)</f>
        <v>05 -  REDUÇÃO DE PESO BRUTO DD000502/503Z</v>
      </c>
      <c r="G82" s="1758"/>
      <c r="H82" s="608" t="str">
        <f ca="1">_xlfn.XLOOKUP(F82,Pareto!S:S,Pareto!X:X)</f>
        <v>⏳ Em Execução</v>
      </c>
      <c r="I82" s="608" t="str">
        <f ca="1">_xlfn.XLOOKUP('5 Unidades  +'!F82,Pareto!S:S,Pareto!Z:Z)</f>
        <v>OK</v>
      </c>
      <c r="J82" s="601">
        <f ca="1">_xlfn.XLOOKUP(F82,Pareto!S:S,Pareto!U:U)</f>
        <v>56389.636039373865</v>
      </c>
      <c r="K82" s="601">
        <f ca="1">IFERROR(LARGE(Pareto!V:V,D82)," ")</f>
        <v>18796.545346457955</v>
      </c>
      <c r="L82" s="601" t="str">
        <f ca="1">_xlfn.XLOOKUP(F82,Pareto!S:S,Pareto!W:W)</f>
        <v/>
      </c>
      <c r="M82" s="602">
        <f t="shared" ca="1" si="1"/>
        <v>-18796.545346457955</v>
      </c>
      <c r="N82" s="20"/>
      <c r="O82" s="20"/>
      <c r="P82" s="20"/>
      <c r="Q82" s="20"/>
      <c r="R82" s="20"/>
      <c r="S82" s="20"/>
      <c r="T82" s="20"/>
      <c r="U82" s="20"/>
      <c r="V82" s="20"/>
      <c r="W82" s="20"/>
      <c r="X82" s="20"/>
      <c r="Y82" s="20"/>
      <c r="Z82" s="20"/>
    </row>
    <row r="83" spans="3:26" ht="14.85" customHeight="1" x14ac:dyDescent="0.3">
      <c r="C83" s="20"/>
      <c r="D83" s="603">
        <v>30</v>
      </c>
      <c r="E83" s="609" t="str">
        <f ca="1">_xlfn.XLOOKUP(F83,Pareto!S:S,Pareto!T:T)</f>
        <v>Compras</v>
      </c>
      <c r="F83" s="1759" t="str">
        <f ca="1">_xlfn.XLOOKUP(K83,Pareto!V:V,Pareto!S:S)</f>
        <v>Modalidade Tarifária</v>
      </c>
      <c r="G83" s="1760"/>
      <c r="H83" s="609" t="str">
        <f ca="1">_xlfn.XLOOKUP(F83,Pareto!S:S,Pareto!X:X)</f>
        <v>✓ Concluído</v>
      </c>
      <c r="I83" s="609" t="str">
        <f ca="1">_xlfn.XLOOKUP('5 Unidades  +'!F83,Pareto!S:S,Pareto!Z:Z)</f>
        <v/>
      </c>
      <c r="J83" s="604">
        <f ca="1">_xlfn.XLOOKUP(F83,Pareto!S:S,Pareto!U:U)</f>
        <v>60340</v>
      </c>
      <c r="K83" s="604">
        <f ca="1">IFERROR(LARGE(Pareto!V:V,D83)," ")</f>
        <v>18102</v>
      </c>
      <c r="L83" s="604" t="str">
        <f ca="1">_xlfn.XLOOKUP(F83,Pareto!S:S,Pareto!W:W)</f>
        <v/>
      </c>
      <c r="M83" s="605">
        <f t="shared" ca="1" si="1"/>
        <v>-18102</v>
      </c>
      <c r="N83" s="20"/>
      <c r="O83" s="20"/>
      <c r="P83" s="20"/>
      <c r="Q83" s="20"/>
      <c r="R83" s="20"/>
      <c r="S83" s="20"/>
      <c r="T83" s="20"/>
      <c r="U83" s="20"/>
      <c r="V83" s="20"/>
      <c r="W83" s="20"/>
      <c r="X83" s="20"/>
      <c r="Y83" s="20"/>
      <c r="Z83" s="20"/>
    </row>
    <row r="84" spans="3:26" ht="14.85" customHeight="1" x14ac:dyDescent="0.3">
      <c r="C84" s="20"/>
      <c r="D84" s="600">
        <v>31</v>
      </c>
      <c r="E84" s="610" t="str">
        <f ca="1">_xlfn.XLOOKUP(F84,Pareto!S:S,Pareto!T:T)</f>
        <v>Anchieta</v>
      </c>
      <c r="F84" s="1757" t="str">
        <f ca="1">_xlfn.XLOOKUP(K84,Pareto!V:V,Pareto!S:S)</f>
        <v>07 - CONSUMO DE EPI e SERVIÇOS</v>
      </c>
      <c r="G84" s="1758"/>
      <c r="H84" s="608" t="str">
        <f ca="1">_xlfn.XLOOKUP(F84,Pareto!S:S,Pareto!X:X)</f>
        <v>⏳ Em Execução</v>
      </c>
      <c r="I84" s="608" t="str">
        <f ca="1">_xlfn.XLOOKUP('5 Unidades  +'!F84,Pareto!S:S,Pareto!Z:Z)</f>
        <v>OK</v>
      </c>
      <c r="J84" s="601">
        <f ca="1">_xlfn.XLOOKUP(F84,Pareto!S:S,Pareto!U:U)</f>
        <v>17505.537</v>
      </c>
      <c r="K84" s="601">
        <f ca="1">IFERROR(LARGE(Pareto!V:V,D84)," ")</f>
        <v>17505.537</v>
      </c>
      <c r="L84" s="601">
        <f ca="1">_xlfn.XLOOKUP(F84,Pareto!S:S,Pareto!W:W)</f>
        <v>3607.4251743304703</v>
      </c>
      <c r="M84" s="602">
        <f t="shared" ca="1" si="1"/>
        <v>-13898.11182566953</v>
      </c>
      <c r="N84" s="20"/>
      <c r="O84" s="20"/>
      <c r="P84" s="20"/>
      <c r="Q84" s="20"/>
      <c r="R84" s="20"/>
      <c r="S84" s="20"/>
      <c r="T84" s="20"/>
      <c r="U84" s="20"/>
      <c r="V84" s="20"/>
      <c r="W84" s="20"/>
      <c r="X84" s="20"/>
      <c r="Y84" s="20"/>
      <c r="Z84" s="20"/>
    </row>
    <row r="85" spans="3:26" ht="14.85" customHeight="1" x14ac:dyDescent="0.3">
      <c r="C85" s="20"/>
      <c r="D85" s="603">
        <v>32</v>
      </c>
      <c r="E85" s="609" t="str">
        <f ca="1">_xlfn.XLOOKUP(F85,Pareto!S:S,Pareto!T:T)</f>
        <v>Compras</v>
      </c>
      <c r="F85" s="1759" t="str">
        <f ca="1">_xlfn.XLOOKUP(K85,Pareto!V:V,Pareto!S:S)</f>
        <v>Estudo de viabilidade lixadeiras</v>
      </c>
      <c r="G85" s="1760"/>
      <c r="H85" s="609" t="str">
        <f ca="1">_xlfn.XLOOKUP(F85,Pareto!S:S,Pareto!X:X)</f>
        <v>⏳ Em Execução</v>
      </c>
      <c r="I85" s="609" t="str">
        <f ca="1">_xlfn.XLOOKUP('5 Unidades  +'!F85,Pareto!S:S,Pareto!Z:Z)</f>
        <v/>
      </c>
      <c r="J85" s="604">
        <f ca="1">_xlfn.XLOOKUP(F85,Pareto!S:S,Pareto!U:U)</f>
        <v>77062.5</v>
      </c>
      <c r="K85" s="604">
        <f ca="1">IFERROR(LARGE(Pareto!V:V,D85)," ")</f>
        <v>17125</v>
      </c>
      <c r="L85" s="604" t="str">
        <f ca="1">_xlfn.XLOOKUP(F85,Pareto!S:S,Pareto!W:W)</f>
        <v/>
      </c>
      <c r="M85" s="605">
        <f t="shared" ca="1" si="1"/>
        <v>-17125</v>
      </c>
      <c r="N85" s="20"/>
      <c r="O85" s="20"/>
      <c r="P85" s="20"/>
      <c r="Q85" s="20"/>
      <c r="R85" s="20"/>
      <c r="S85" s="20"/>
      <c r="T85" s="20"/>
      <c r="U85" s="20"/>
      <c r="V85" s="20"/>
      <c r="W85" s="20"/>
      <c r="X85" s="20"/>
      <c r="Y85" s="20"/>
      <c r="Z85" s="20"/>
    </row>
    <row r="86" spans="3:26" ht="14.85" customHeight="1" x14ac:dyDescent="0.3">
      <c r="C86" s="20"/>
      <c r="D86" s="600">
        <v>33</v>
      </c>
      <c r="E86" s="610" t="str">
        <f ca="1">_xlfn.XLOOKUP(F86,Pareto!S:S,Pareto!T:T)</f>
        <v>Diadema</v>
      </c>
      <c r="F86" s="1757" t="str">
        <f ca="1">_xlfn.XLOOKUP(K86,Pareto!V:V,Pareto!S:S)</f>
        <v>14 - REDUÇÃO DE MP DA000518Z (Anchieta) Código DD - VB000324Z</v>
      </c>
      <c r="G86" s="1758"/>
      <c r="H86" s="608" t="str">
        <f ca="1">_xlfn.XLOOKUP(F86,Pareto!S:S,Pareto!X:X)</f>
        <v>✓ Concluído</v>
      </c>
      <c r="I86" s="608" t="str">
        <f ca="1">_xlfn.XLOOKUP('5 Unidades  +'!F86,Pareto!S:S,Pareto!Z:Z)</f>
        <v>OK</v>
      </c>
      <c r="J86" s="601">
        <f ca="1">_xlfn.XLOOKUP(F86,Pareto!S:S,Pareto!U:U)</f>
        <v>46996.932073171294</v>
      </c>
      <c r="K86" s="601">
        <f ca="1">IFERROR(LARGE(Pareto!V:V,D86)," ")</f>
        <v>17089.7934811532</v>
      </c>
      <c r="L86" s="601">
        <f ca="1">_xlfn.XLOOKUP(F86,Pareto!S:S,Pareto!W:W)</f>
        <v>19997.378357600865</v>
      </c>
      <c r="M86" s="602">
        <f t="shared" ca="1" si="1"/>
        <v>2907.584876447665</v>
      </c>
      <c r="N86" s="20"/>
      <c r="O86" s="20"/>
      <c r="P86" s="20"/>
      <c r="Q86" s="20"/>
      <c r="R86" s="20"/>
      <c r="S86" s="20"/>
      <c r="T86" s="20"/>
      <c r="U86" s="20"/>
      <c r="V86" s="20"/>
      <c r="W86" s="20"/>
      <c r="X86" s="20"/>
      <c r="Y86" s="20"/>
      <c r="Z86" s="20"/>
    </row>
    <row r="87" spans="3:26" ht="14.85" customHeight="1" x14ac:dyDescent="0.3">
      <c r="C87" s="20"/>
      <c r="D87" s="603">
        <v>34</v>
      </c>
      <c r="E87" s="609" t="str">
        <f ca="1">_xlfn.XLOOKUP(F87,Pareto!S:S,Pareto!T:T)</f>
        <v>Diadema</v>
      </c>
      <c r="F87" s="1759" t="str">
        <f ca="1">_xlfn.XLOOKUP(K87,Pareto!V:V,Pareto!S:S)</f>
        <v>05 - Empilhadeira - Diadema</v>
      </c>
      <c r="G87" s="1760"/>
      <c r="H87" s="609" t="str">
        <f ca="1">_xlfn.XLOOKUP(F87,Pareto!S:S,Pareto!X:X)</f>
        <v>✓ Concluído</v>
      </c>
      <c r="I87" s="609" t="str">
        <f ca="1">_xlfn.XLOOKUP('5 Unidades  +'!F87,Pareto!S:S,Pareto!Z:Z)</f>
        <v>OK</v>
      </c>
      <c r="J87" s="604">
        <f ca="1">_xlfn.XLOOKUP(F87,Pareto!S:S,Pareto!U:U)</f>
        <v>56610.759999999995</v>
      </c>
      <c r="K87" s="604">
        <f ca="1">IFERROR(LARGE(Pareto!V:V,D87)," ")</f>
        <v>16983.227999999999</v>
      </c>
      <c r="L87" s="604">
        <f ca="1">_xlfn.XLOOKUP(F87,Pareto!S:S,Pareto!W:W)</f>
        <v>15439.297500000008</v>
      </c>
      <c r="M87" s="605">
        <f t="shared" ca="1" si="1"/>
        <v>-1543.9304999999913</v>
      </c>
      <c r="N87" s="20"/>
      <c r="O87" s="20"/>
      <c r="P87" s="20"/>
      <c r="Q87" s="20"/>
      <c r="R87" s="20"/>
      <c r="S87" s="20"/>
      <c r="T87" s="20"/>
      <c r="U87" s="20"/>
      <c r="V87" s="20"/>
      <c r="W87" s="20"/>
      <c r="X87" s="20"/>
      <c r="Y87" s="20"/>
      <c r="Z87" s="20"/>
    </row>
    <row r="88" spans="3:26" ht="14.85" customHeight="1" x14ac:dyDescent="0.3">
      <c r="C88" s="20"/>
      <c r="D88" s="600">
        <v>35</v>
      </c>
      <c r="E88" s="610" t="str">
        <f ca="1">_xlfn.XLOOKUP(F88,Pareto!S:S,Pareto!T:T)</f>
        <v>Compras</v>
      </c>
      <c r="F88" s="1757" t="str">
        <f ca="1">_xlfn.XLOOKUP(K88,Pareto!V:V,Pareto!S:S)</f>
        <v>Mudança de Modalidade Gerador Anchieta</v>
      </c>
      <c r="G88" s="1758"/>
      <c r="H88" s="608" t="str">
        <f ca="1">_xlfn.XLOOKUP(F88,Pareto!S:S,Pareto!X:X)</f>
        <v>✓ Concluído</v>
      </c>
      <c r="I88" s="608" t="str">
        <f ca="1">_xlfn.XLOOKUP('5 Unidades  +'!F88,Pareto!S:S,Pareto!Z:Z)</f>
        <v>OK</v>
      </c>
      <c r="J88" s="601">
        <f ca="1">_xlfn.XLOOKUP(F88,Pareto!S:S,Pareto!U:U)</f>
        <v>39476.28</v>
      </c>
      <c r="K88" s="601">
        <f ca="1">IFERROR(LARGE(Pareto!V:V,D88)," ")</f>
        <v>16448.45</v>
      </c>
      <c r="L88" s="601">
        <f ca="1">_xlfn.XLOOKUP(F88,Pareto!S:S,Pareto!W:W)</f>
        <v>9869.07</v>
      </c>
      <c r="M88" s="602">
        <f t="shared" ca="1" si="1"/>
        <v>-6579.380000000001</v>
      </c>
      <c r="N88" s="20"/>
      <c r="O88" s="20"/>
      <c r="P88" s="20"/>
      <c r="Q88" s="20"/>
      <c r="R88" s="20"/>
      <c r="S88" s="20"/>
      <c r="T88" s="20"/>
      <c r="U88" s="20"/>
      <c r="V88" s="20"/>
      <c r="W88" s="20"/>
      <c r="X88" s="20"/>
      <c r="Y88" s="20"/>
      <c r="Z88" s="20"/>
    </row>
    <row r="89" spans="3:26" ht="14.85" customHeight="1" x14ac:dyDescent="0.3">
      <c r="C89" s="20"/>
      <c r="D89" s="603">
        <v>36</v>
      </c>
      <c r="E89" s="609" t="str">
        <f ca="1">_xlfn.XLOOKUP(F89,Pareto!S:S,Pareto!T:T)</f>
        <v>Diadema</v>
      </c>
      <c r="F89" s="1759" t="str">
        <f ca="1">_xlfn.XLOOKUP(K89,Pareto!V:V,Pareto!S:S)</f>
        <v>19 - Kaizen Facão. DA000481Z - PRODUTIVIDADE</v>
      </c>
      <c r="G89" s="1760"/>
      <c r="H89" s="609" t="str">
        <f ca="1">_xlfn.XLOOKUP(F89,Pareto!S:S,Pareto!X:X)</f>
        <v>✓ Concluído</v>
      </c>
      <c r="I89" s="609" t="str">
        <f ca="1">_xlfn.XLOOKUP('5 Unidades  +'!F89,Pareto!S:S,Pareto!Z:Z)</f>
        <v/>
      </c>
      <c r="J89" s="604">
        <f ca="1">_xlfn.XLOOKUP(F89,Pareto!S:S,Pareto!U:U)</f>
        <v>54000</v>
      </c>
      <c r="K89" s="604">
        <f ca="1">IFERROR(LARGE(Pareto!V:V,D89)," ")</f>
        <v>16200</v>
      </c>
      <c r="L89" s="604" t="str">
        <f ca="1">_xlfn.XLOOKUP(F89,Pareto!S:S,Pareto!W:W)</f>
        <v/>
      </c>
      <c r="M89" s="605">
        <f t="shared" ca="1" si="1"/>
        <v>-16200</v>
      </c>
      <c r="N89" s="20"/>
      <c r="O89" s="20"/>
      <c r="P89" s="20"/>
      <c r="Q89" s="20"/>
      <c r="R89" s="20"/>
      <c r="S89" s="20"/>
      <c r="T89" s="20"/>
      <c r="U89" s="20"/>
      <c r="V89" s="20"/>
      <c r="W89" s="20"/>
      <c r="X89" s="20"/>
      <c r="Y89" s="20"/>
      <c r="Z89" s="20"/>
    </row>
    <row r="90" spans="3:26" ht="14.85" customHeight="1" x14ac:dyDescent="0.3">
      <c r="C90" s="20"/>
      <c r="D90" s="600">
        <v>37</v>
      </c>
      <c r="E90" s="610" t="str">
        <f ca="1">_xlfn.XLOOKUP(F90,Pareto!S:S,Pareto!T:T)</f>
        <v>Diadema</v>
      </c>
      <c r="F90" s="1757" t="str">
        <f ca="1">_xlfn.XLOOKUP(K90,Pareto!V:V,Pareto!S:S)</f>
        <v>31 - Comunização da chapa CHQ0475ED12502650</v>
      </c>
      <c r="G90" s="1758"/>
      <c r="H90" s="608" t="str">
        <f ca="1">_xlfn.XLOOKUP(F90,Pareto!S:S,Pareto!X:X)</f>
        <v>✓ Concluído</v>
      </c>
      <c r="I90" s="608" t="str">
        <f ca="1">_xlfn.XLOOKUP('5 Unidades  +'!F90,Pareto!S:S,Pareto!Z:Z)</f>
        <v>OK</v>
      </c>
      <c r="J90" s="601">
        <f ca="1">_xlfn.XLOOKUP(F90,Pareto!S:S,Pareto!U:U)</f>
        <v>114604.43</v>
      </c>
      <c r="K90" s="601">
        <f ca="1">IFERROR(LARGE(Pareto!V:V,D90)," ")</f>
        <v>14325.553749999999</v>
      </c>
      <c r="L90" s="601">
        <f ca="1">_xlfn.XLOOKUP(F90,Pareto!S:S,Pareto!W:W)</f>
        <v>12941.975333084476</v>
      </c>
      <c r="M90" s="602">
        <f t="shared" ca="1" si="1"/>
        <v>-1383.5784169155231</v>
      </c>
      <c r="N90" s="20"/>
      <c r="O90" s="20"/>
      <c r="P90" s="20"/>
      <c r="Q90" s="20"/>
      <c r="R90" s="20"/>
      <c r="S90" s="20"/>
      <c r="T90" s="20"/>
      <c r="U90" s="20"/>
      <c r="V90" s="20"/>
      <c r="W90" s="20"/>
      <c r="X90" s="20"/>
      <c r="Y90" s="20"/>
      <c r="Z90" s="20"/>
    </row>
    <row r="91" spans="3:26" ht="14.85" customHeight="1" x14ac:dyDescent="0.3">
      <c r="C91" s="20"/>
      <c r="D91" s="603">
        <v>38</v>
      </c>
      <c r="E91" s="609" t="str">
        <f ca="1">_xlfn.XLOOKUP(F91,Pareto!S:S,Pareto!T:T)</f>
        <v>São leopoldo</v>
      </c>
      <c r="F91" s="1759" t="str">
        <f ca="1">_xlfn.XLOOKUP(K91,Pareto!V:V,Pareto!S:S)</f>
        <v>06 - Acabamento capo CN13</v>
      </c>
      <c r="G91" s="1760"/>
      <c r="H91" s="609" t="str">
        <f ca="1">_xlfn.XLOOKUP(F91,Pareto!S:S,Pareto!X:X)</f>
        <v>⏳ Em Execução</v>
      </c>
      <c r="I91" s="609" t="str">
        <f ca="1">_xlfn.XLOOKUP('5 Unidades  +'!F91,Pareto!S:S,Pareto!Z:Z)</f>
        <v>OK</v>
      </c>
      <c r="J91" s="604">
        <f ca="1">_xlfn.XLOOKUP(F91,Pareto!S:S,Pareto!U:U)</f>
        <v>20341.199999999997</v>
      </c>
      <c r="K91" s="604">
        <f ca="1">IFERROR(LARGE(Pareto!V:V,D91)," ")</f>
        <v>13560.8</v>
      </c>
      <c r="L91" s="604">
        <f ca="1">_xlfn.XLOOKUP(F91,Pareto!S:S,Pareto!W:W)</f>
        <v>13560.8</v>
      </c>
      <c r="M91" s="605">
        <f t="shared" ca="1" si="1"/>
        <v>0</v>
      </c>
      <c r="N91" s="20"/>
      <c r="O91" s="20"/>
      <c r="P91" s="20"/>
      <c r="Q91" s="20"/>
      <c r="R91" s="20"/>
      <c r="S91" s="20"/>
      <c r="T91" s="20"/>
      <c r="U91" s="20"/>
      <c r="V91" s="20"/>
      <c r="W91" s="20"/>
      <c r="X91" s="20"/>
      <c r="Y91" s="20"/>
      <c r="Z91" s="20"/>
    </row>
    <row r="92" spans="3:26" ht="14.85" customHeight="1" x14ac:dyDescent="0.3">
      <c r="C92" s="20"/>
      <c r="D92" s="600">
        <v>39</v>
      </c>
      <c r="E92" s="610" t="str">
        <f ca="1">_xlfn.XLOOKUP(F92,Pareto!S:S,Pareto!T:T)</f>
        <v>Diadema</v>
      </c>
      <c r="F92" s="1757" t="str">
        <f ca="1">_xlfn.XLOOKUP(K92,Pareto!V:V,Pareto!S:S)</f>
        <v>04 - Otimização de processo - Pulmão</v>
      </c>
      <c r="G92" s="1758"/>
      <c r="H92" s="608" t="str">
        <f ca="1">_xlfn.XLOOKUP(F92,Pareto!S:S,Pareto!X:X)</f>
        <v>✓ Concluído</v>
      </c>
      <c r="I92" s="608" t="str">
        <f ca="1">_xlfn.XLOOKUP('5 Unidades  +'!F92,Pareto!S:S,Pareto!Z:Z)</f>
        <v/>
      </c>
      <c r="J92" s="601">
        <f ca="1">_xlfn.XLOOKUP(F92,Pareto!S:S,Pareto!U:U)</f>
        <v>42000</v>
      </c>
      <c r="K92" s="601">
        <f ca="1">IFERROR(LARGE(Pareto!V:V,D92)," ")</f>
        <v>12600</v>
      </c>
      <c r="L92" s="601" t="str">
        <f ca="1">_xlfn.XLOOKUP(F92,Pareto!S:S,Pareto!W:W)</f>
        <v/>
      </c>
      <c r="M92" s="602">
        <f t="shared" ca="1" si="1"/>
        <v>-12600</v>
      </c>
      <c r="N92" s="20"/>
      <c r="O92" s="20"/>
      <c r="P92" s="20"/>
      <c r="Q92" s="20"/>
      <c r="R92" s="20"/>
      <c r="S92" s="20"/>
      <c r="T92" s="20"/>
      <c r="U92" s="20"/>
      <c r="V92" s="20"/>
      <c r="W92" s="20"/>
      <c r="X92" s="20"/>
      <c r="Y92" s="20"/>
      <c r="Z92" s="20"/>
    </row>
    <row r="93" spans="3:26" ht="14.85" customHeight="1" x14ac:dyDescent="0.3">
      <c r="C93" s="20"/>
      <c r="D93" s="603">
        <v>40</v>
      </c>
      <c r="E93" s="609" t="str">
        <f ca="1">_xlfn.XLOOKUP(F93,Pareto!S:S,Pareto!T:T)</f>
        <v>Diadema</v>
      </c>
      <c r="F93" s="1759" t="str">
        <f ca="1">_xlfn.XLOOKUP(K93,Pareto!V:V,Pareto!S:S)</f>
        <v>41 - Redução de Peso Bruto do item SV001141LA</v>
      </c>
      <c r="G93" s="1760"/>
      <c r="H93" s="609" t="str">
        <f ca="1">_xlfn.XLOOKUP(F93,Pareto!S:S,Pareto!X:X)</f>
        <v>✓ Concluído</v>
      </c>
      <c r="I93" s="609" t="str">
        <f ca="1">_xlfn.XLOOKUP('5 Unidades  +'!F93,Pareto!S:S,Pareto!Z:Z)</f>
        <v>OK</v>
      </c>
      <c r="J93" s="604">
        <f ca="1">_xlfn.XLOOKUP(F93,Pareto!S:S,Pareto!U:U)</f>
        <v>41104.57</v>
      </c>
      <c r="K93" s="604">
        <f ca="1">IFERROR(LARGE(Pareto!V:V,D93)," ")</f>
        <v>12331.371000000001</v>
      </c>
      <c r="L93" s="604">
        <f ca="1">_xlfn.XLOOKUP(F93,Pareto!S:S,Pareto!W:W)</f>
        <v>11709.248652000004</v>
      </c>
      <c r="M93" s="605">
        <f t="shared" ca="1" si="1"/>
        <v>-622.12234799999715</v>
      </c>
      <c r="N93" s="20"/>
      <c r="O93" s="20"/>
      <c r="P93" s="20"/>
      <c r="Q93" s="20"/>
      <c r="R93" s="20"/>
      <c r="S93" s="20"/>
      <c r="T93" s="20"/>
      <c r="U93" s="20"/>
      <c r="V93" s="20"/>
      <c r="W93" s="20"/>
      <c r="X93" s="20"/>
      <c r="Y93" s="20"/>
      <c r="Z93" s="20"/>
    </row>
    <row r="94" spans="3:26" ht="14.85" customHeight="1" x14ac:dyDescent="0.3">
      <c r="C94" s="20"/>
      <c r="D94" s="600">
        <v>41</v>
      </c>
      <c r="E94" s="610" t="str">
        <f ca="1">_xlfn.XLOOKUP(F94,Pareto!S:S,Pareto!T:T)</f>
        <v>Diadema</v>
      </c>
      <c r="F94" s="1757" t="str">
        <f ca="1">_xlfn.XLOOKUP(K94,Pareto!V:V,Pareto!S:S)</f>
        <v>21 - Kaizen_Redução de peso bruto MB003537LA_MB003538LA</v>
      </c>
      <c r="G94" s="1758"/>
      <c r="H94" s="608" t="str">
        <f ca="1">_xlfn.XLOOKUP(F94,Pareto!S:S,Pareto!X:X)</f>
        <v>✓ Concluído</v>
      </c>
      <c r="I94" s="608" t="str">
        <f ca="1">_xlfn.XLOOKUP('5 Unidades  +'!F94,Pareto!S:S,Pareto!Z:Z)</f>
        <v>OK</v>
      </c>
      <c r="J94" s="601">
        <f ca="1">_xlfn.XLOOKUP(F94,Pareto!S:S,Pareto!U:U)</f>
        <v>37365.58</v>
      </c>
      <c r="K94" s="601">
        <f ca="1">IFERROR(LARGE(Pareto!V:V,D94)," ")</f>
        <v>11209.673999999999</v>
      </c>
      <c r="L94" s="601">
        <f ca="1">_xlfn.XLOOKUP(F94,Pareto!S:S,Pareto!W:W)</f>
        <v>11657.127242149531</v>
      </c>
      <c r="M94" s="602">
        <f t="shared" ca="1" si="1"/>
        <v>447.45324214953143</v>
      </c>
      <c r="N94" s="20"/>
      <c r="O94" s="20"/>
      <c r="P94" s="20"/>
      <c r="Q94" s="20"/>
      <c r="R94" s="20"/>
      <c r="S94" s="20"/>
      <c r="T94" s="20"/>
      <c r="U94" s="20"/>
      <c r="V94" s="20"/>
      <c r="W94" s="20"/>
      <c r="X94" s="20"/>
      <c r="Y94" s="20"/>
      <c r="Z94" s="20"/>
    </row>
    <row r="95" spans="3:26" ht="14.85" customHeight="1" x14ac:dyDescent="0.3">
      <c r="C95" s="20"/>
      <c r="D95" s="603">
        <v>42</v>
      </c>
      <c r="E95" s="609" t="str">
        <f ca="1">_xlfn.XLOOKUP(F95,Pareto!S:S,Pareto!T:T)</f>
        <v>Diadema</v>
      </c>
      <c r="F95" s="1759" t="str">
        <f ca="1">_xlfn.XLOOKUP(K95,Pareto!V:V,Pareto!S:S)</f>
        <v>17 - MB003537LB_MB003538LB</v>
      </c>
      <c r="G95" s="1760"/>
      <c r="H95" s="609" t="str">
        <f ca="1">_xlfn.XLOOKUP(F95,Pareto!S:S,Pareto!X:X)</f>
        <v>✓ Concluído</v>
      </c>
      <c r="I95" s="609" t="str">
        <f ca="1">_xlfn.XLOOKUP('5 Unidades  +'!F95,Pareto!S:S,Pareto!Z:Z)</f>
        <v>OK</v>
      </c>
      <c r="J95" s="604">
        <f ca="1">_xlfn.XLOOKUP(F95,Pareto!S:S,Pareto!U:U)</f>
        <v>33838.06</v>
      </c>
      <c r="K95" s="604">
        <f ca="1">IFERROR(LARGE(Pareto!V:V,D95)," ")</f>
        <v>10151.417999999998</v>
      </c>
      <c r="L95" s="604">
        <f ca="1">_xlfn.XLOOKUP(F95,Pareto!S:S,Pareto!W:W)</f>
        <v>10556.62921579276</v>
      </c>
      <c r="M95" s="605">
        <f t="shared" ca="1" si="1"/>
        <v>405.21121579276223</v>
      </c>
      <c r="N95" s="20"/>
      <c r="O95" s="20"/>
      <c r="P95" s="20"/>
      <c r="Q95" s="20"/>
      <c r="R95" s="20"/>
      <c r="S95" s="20"/>
      <c r="T95" s="20"/>
      <c r="U95" s="20"/>
      <c r="V95" s="20"/>
      <c r="W95" s="20"/>
      <c r="X95" s="20"/>
      <c r="Y95" s="20"/>
      <c r="Z95" s="20"/>
    </row>
    <row r="96" spans="3:26" ht="14.85" customHeight="1" x14ac:dyDescent="0.3">
      <c r="C96" s="20"/>
      <c r="D96" s="600">
        <v>43</v>
      </c>
      <c r="E96" s="610" t="str">
        <f ca="1">_xlfn.XLOOKUP(F96,Pareto!S:S,Pareto!T:T)</f>
        <v>Diadema</v>
      </c>
      <c r="F96" s="1757" t="str">
        <f ca="1">_xlfn.XLOOKUP(K96,Pareto!V:V,Pareto!S:S)</f>
        <v>06 - Produtividade</v>
      </c>
      <c r="G96" s="1758"/>
      <c r="H96" s="608" t="str">
        <f ca="1">_xlfn.XLOOKUP(F96,Pareto!S:S,Pareto!X:X)</f>
        <v>✓ Concluído</v>
      </c>
      <c r="I96" s="608" t="str">
        <f ca="1">_xlfn.XLOOKUP('5 Unidades  +'!F96,Pareto!S:S,Pareto!Z:Z)</f>
        <v>OK</v>
      </c>
      <c r="J96" s="601">
        <f ca="1">_xlfn.XLOOKUP(F96,Pareto!S:S,Pareto!U:U)</f>
        <v>79673.51999999999</v>
      </c>
      <c r="K96" s="601">
        <f ca="1">IFERROR(LARGE(Pareto!V:V,D96)," ")</f>
        <v>9959.19</v>
      </c>
      <c r="L96" s="601">
        <f ca="1">_xlfn.XLOOKUP(F96,Pareto!S:S,Pareto!W:W)</f>
        <v>-31423.7</v>
      </c>
      <c r="M96" s="602">
        <f t="shared" ca="1" si="1"/>
        <v>-41382.89</v>
      </c>
      <c r="N96" s="20"/>
      <c r="O96" s="20"/>
      <c r="P96" s="20"/>
      <c r="Q96" s="20"/>
      <c r="R96" s="20"/>
      <c r="S96" s="20"/>
      <c r="T96" s="20"/>
      <c r="U96" s="20"/>
      <c r="V96" s="20"/>
      <c r="W96" s="20"/>
      <c r="X96" s="20"/>
      <c r="Y96" s="20"/>
      <c r="Z96" s="20"/>
    </row>
    <row r="97" spans="3:26" ht="14.85" customHeight="1" x14ac:dyDescent="0.3">
      <c r="C97" s="20"/>
      <c r="D97" s="603">
        <v>44</v>
      </c>
      <c r="E97" s="609" t="str">
        <f ca="1">_xlfn.XLOOKUP(F97,Pareto!S:S,Pareto!T:T)</f>
        <v>São leopoldo</v>
      </c>
      <c r="F97" s="1759" t="str">
        <f ca="1">_xlfn.XLOOKUP(K97,Pareto!V:V,Pareto!S:S)</f>
        <v xml:space="preserve">12 -  REDUÇÃO DE PESO BRUTO DD000504/505Z
</v>
      </c>
      <c r="G97" s="1760"/>
      <c r="H97" s="609" t="str">
        <f ca="1">_xlfn.XLOOKUP(F97,Pareto!S:S,Pareto!X:X)</f>
        <v>⏳ Em Execução</v>
      </c>
      <c r="I97" s="609" t="str">
        <f ca="1">_xlfn.XLOOKUP('5 Unidades  +'!F97,Pareto!S:S,Pareto!Z:Z)</f>
        <v>OK</v>
      </c>
      <c r="J97" s="604">
        <f ca="1">_xlfn.XLOOKUP(F97,Pareto!S:S,Pareto!U:U)</f>
        <v>29648.304776520017</v>
      </c>
      <c r="K97" s="604">
        <f ca="1">IFERROR(LARGE(Pareto!V:V,D97)," ")</f>
        <v>9882.7682588400057</v>
      </c>
      <c r="L97" s="604" t="str">
        <f ca="1">_xlfn.XLOOKUP(F97,Pareto!S:S,Pareto!W:W)</f>
        <v/>
      </c>
      <c r="M97" s="605">
        <f t="shared" ca="1" si="1"/>
        <v>-9882.7682588400057</v>
      </c>
      <c r="N97" s="20"/>
      <c r="O97" s="20"/>
      <c r="P97" s="20"/>
      <c r="Q97" s="20"/>
      <c r="R97" s="20"/>
      <c r="S97" s="20"/>
      <c r="T97" s="20"/>
      <c r="U97" s="20"/>
      <c r="V97" s="20"/>
      <c r="W97" s="20"/>
      <c r="X97" s="20"/>
      <c r="Y97" s="20"/>
      <c r="Z97" s="20"/>
    </row>
    <row r="98" spans="3:26" ht="14.85" customHeight="1" x14ac:dyDescent="0.3">
      <c r="C98" s="20"/>
      <c r="D98" s="600">
        <v>45</v>
      </c>
      <c r="E98" s="610" t="str">
        <f ca="1">_xlfn.XLOOKUP(F98,Pareto!S:S,Pareto!T:T)</f>
        <v>Compras</v>
      </c>
      <c r="F98" s="1757" t="str">
        <f ca="1">_xlfn.XLOOKUP(K98,Pareto!V:V,Pareto!S:S)</f>
        <v>Negociação Porca Bollhoff 15341 Saga</v>
      </c>
      <c r="G98" s="1758"/>
      <c r="H98" s="608" t="str">
        <f ca="1">_xlfn.XLOOKUP(F98,Pareto!S:S,Pareto!X:X)</f>
        <v>✓ Concluído</v>
      </c>
      <c r="I98" s="608" t="str">
        <f ca="1">_xlfn.XLOOKUP('5 Unidades  +'!F98,Pareto!S:S,Pareto!Z:Z)</f>
        <v>OK</v>
      </c>
      <c r="J98" s="601">
        <f ca="1">_xlfn.XLOOKUP(F98,Pareto!S:S,Pareto!U:U)</f>
        <v>32819.166666666672</v>
      </c>
      <c r="K98" s="601">
        <f ca="1">IFERROR(LARGE(Pareto!V:V,D98)," ")</f>
        <v>9845.75</v>
      </c>
      <c r="L98" s="601" t="str">
        <f ca="1">_xlfn.XLOOKUP(F98,Pareto!S:S,Pareto!W:W)</f>
        <v/>
      </c>
      <c r="M98" s="602">
        <f t="shared" ca="1" si="1"/>
        <v>-9845.75</v>
      </c>
      <c r="N98" s="20"/>
      <c r="O98" s="20"/>
      <c r="P98" s="20"/>
      <c r="Q98" s="20"/>
      <c r="R98" s="20"/>
      <c r="S98" s="20"/>
      <c r="T98" s="20"/>
      <c r="U98" s="20"/>
      <c r="V98" s="20"/>
      <c r="W98" s="20"/>
      <c r="X98" s="20"/>
      <c r="Y98" s="20"/>
      <c r="Z98" s="20"/>
    </row>
    <row r="99" spans="3:26" ht="14.85" customHeight="1" x14ac:dyDescent="0.3">
      <c r="C99" s="20"/>
      <c r="D99" s="603">
        <v>46</v>
      </c>
      <c r="E99" s="609" t="str">
        <f ca="1">_xlfn.XLOOKUP(F99,Pareto!S:S,Pareto!T:T)</f>
        <v>Compras</v>
      </c>
      <c r="F99" s="1759" t="str">
        <f ca="1">_xlfn.XLOOKUP(K99,Pareto!V:V,Pareto!S:S)</f>
        <v>BID Fita Alta Temp 3M + Anti-Slip 3M</v>
      </c>
      <c r="G99" s="1760"/>
      <c r="H99" s="609" t="str">
        <f ca="1">_xlfn.XLOOKUP(F99,Pareto!S:S,Pareto!X:X)</f>
        <v>✓ Concluído</v>
      </c>
      <c r="I99" s="609" t="str">
        <f ca="1">_xlfn.XLOOKUP('5 Unidades  +'!F99,Pareto!S:S,Pareto!Z:Z)</f>
        <v/>
      </c>
      <c r="J99" s="604">
        <f ca="1">_xlfn.XLOOKUP(F99,Pareto!S:S,Pareto!U:U)</f>
        <v>31739.166666666672</v>
      </c>
      <c r="K99" s="604">
        <f ca="1">IFERROR(LARGE(Pareto!V:V,D99)," ")</f>
        <v>9521.75</v>
      </c>
      <c r="L99" s="604" t="str">
        <f ca="1">_xlfn.XLOOKUP(F99,Pareto!S:S,Pareto!W:W)</f>
        <v/>
      </c>
      <c r="M99" s="605">
        <f t="shared" ca="1" si="1"/>
        <v>-9521.75</v>
      </c>
      <c r="N99" s="20"/>
      <c r="O99" s="20"/>
      <c r="P99" s="20"/>
      <c r="Q99" s="20"/>
      <c r="R99" s="20"/>
      <c r="S99" s="20"/>
      <c r="T99" s="20"/>
      <c r="U99" s="20"/>
      <c r="V99" s="20"/>
      <c r="W99" s="20"/>
      <c r="X99" s="20"/>
      <c r="Y99" s="20"/>
      <c r="Z99" s="20"/>
    </row>
    <row r="100" spans="3:26" ht="14.85" customHeight="1" x14ac:dyDescent="0.3">
      <c r="C100" s="20"/>
      <c r="D100" s="600">
        <v>47</v>
      </c>
      <c r="E100" s="610" t="str">
        <f ca="1">_xlfn.XLOOKUP(F100,Pareto!S:S,Pareto!T:T)</f>
        <v>São leopoldo</v>
      </c>
      <c r="F100" s="1757" t="str">
        <f ca="1">_xlfn.XLOOKUP(K100,Pareto!V:V,Pareto!S:S)</f>
        <v>15- Redução do custo mensal de empilhadeira locada (LOCAPEX).</v>
      </c>
      <c r="G100" s="1758"/>
      <c r="H100" s="608" t="str">
        <f ca="1">_xlfn.XLOOKUP(F100,Pareto!S:S,Pareto!X:X)</f>
        <v>⏳ Em Execução</v>
      </c>
      <c r="I100" s="608" t="str">
        <f ca="1">_xlfn.XLOOKUP('5 Unidades  +'!F100,Pareto!S:S,Pareto!Z:Z)</f>
        <v>OK</v>
      </c>
      <c r="J100" s="601">
        <f ca="1">_xlfn.XLOOKUP(F100,Pareto!S:S,Pareto!U:U)</f>
        <v>13303.344999999998</v>
      </c>
      <c r="K100" s="601">
        <f ca="1">IFERROR(LARGE(Pareto!V:V,D100)," ")</f>
        <v>8868.8966666666656</v>
      </c>
      <c r="L100" s="601">
        <f ca="1">_xlfn.XLOOKUP(F100,Pareto!S:S,Pareto!W:W)</f>
        <v>9965.119999999999</v>
      </c>
      <c r="M100" s="602">
        <f t="shared" ca="1" si="1"/>
        <v>1096.2233333333334</v>
      </c>
      <c r="N100" s="20"/>
      <c r="O100" s="20"/>
      <c r="P100" s="20"/>
      <c r="Q100" s="20"/>
      <c r="R100" s="20"/>
      <c r="S100" s="20"/>
      <c r="T100" s="20"/>
      <c r="U100" s="20"/>
      <c r="V100" s="20"/>
      <c r="W100" s="20"/>
      <c r="X100" s="20"/>
      <c r="Y100" s="20"/>
      <c r="Z100" s="20"/>
    </row>
    <row r="101" spans="3:26" ht="14.85" customHeight="1" x14ac:dyDescent="0.3">
      <c r="C101" s="20"/>
      <c r="D101" s="603">
        <v>48</v>
      </c>
      <c r="E101" s="609" t="str">
        <f ca="1">_xlfn.XLOOKUP(F101,Pareto!S:S,Pareto!T:T)</f>
        <v>Compras</v>
      </c>
      <c r="F101" s="1759" t="str">
        <f ca="1">_xlfn.XLOOKUP(K101,Pareto!V:V,Pareto!S:S)</f>
        <v>BID tampões pintura Anchieta</v>
      </c>
      <c r="G101" s="1760"/>
      <c r="H101" s="609" t="str">
        <f ca="1">_xlfn.XLOOKUP(F101,Pareto!S:S,Pareto!X:X)</f>
        <v>✓ Concluído</v>
      </c>
      <c r="I101" s="609" t="str">
        <f ca="1">_xlfn.XLOOKUP('5 Unidades  +'!F101,Pareto!S:S,Pareto!Z:Z)</f>
        <v>OK</v>
      </c>
      <c r="J101" s="604">
        <f ca="1">_xlfn.XLOOKUP(F101,Pareto!S:S,Pareto!U:U)</f>
        <v>21098.91</v>
      </c>
      <c r="K101" s="604">
        <f ca="1">IFERROR(LARGE(Pareto!V:V,D101)," ")</f>
        <v>8791.2124999999996</v>
      </c>
      <c r="L101" s="604">
        <f ca="1">_xlfn.XLOOKUP(F101,Pareto!S:S,Pareto!W:W)</f>
        <v>5472</v>
      </c>
      <c r="M101" s="605">
        <f t="shared" ca="1" si="1"/>
        <v>-3319.2124999999996</v>
      </c>
      <c r="N101" s="20"/>
      <c r="O101" s="20"/>
      <c r="P101" s="20"/>
      <c r="Q101" s="20"/>
      <c r="R101" s="20"/>
      <c r="S101" s="20"/>
      <c r="T101" s="20"/>
      <c r="U101" s="20"/>
      <c r="V101" s="20"/>
      <c r="W101" s="20"/>
      <c r="X101" s="20"/>
      <c r="Y101" s="20"/>
      <c r="Z101" s="20"/>
    </row>
    <row r="102" spans="3:26" ht="14.85" customHeight="1" x14ac:dyDescent="0.3">
      <c r="C102" s="20"/>
      <c r="D102" s="600">
        <v>49</v>
      </c>
      <c r="E102" s="610" t="str">
        <f ca="1">_xlfn.XLOOKUP(F102,Pareto!S:S,Pareto!T:T)</f>
        <v>Diadema</v>
      </c>
      <c r="F102" s="1757" t="str">
        <f ca="1">_xlfn.XLOOKUP(K102,Pareto!V:V,Pareto!S:S)</f>
        <v>22 - Aproveitamento de Retalho do corte laser - MB002316LA_MB003533LA_MB003673LC</v>
      </c>
      <c r="G102" s="1758"/>
      <c r="H102" s="608" t="str">
        <f ca="1">_xlfn.XLOOKUP(F102,Pareto!S:S,Pareto!X:X)</f>
        <v>✓ Concluído</v>
      </c>
      <c r="I102" s="608" t="str">
        <f ca="1">_xlfn.XLOOKUP('5 Unidades  +'!F102,Pareto!S:S,Pareto!Z:Z)</f>
        <v>Não Ok</v>
      </c>
      <c r="J102" s="601">
        <f ca="1">_xlfn.XLOOKUP(F102,Pareto!S:S,Pareto!U:U)</f>
        <v>36000</v>
      </c>
      <c r="K102" s="601">
        <f ca="1">IFERROR(LARGE(Pareto!V:V,D102)," ")</f>
        <v>8000</v>
      </c>
      <c r="L102" s="601" t="str">
        <f ca="1">_xlfn.XLOOKUP(F102,Pareto!S:S,Pareto!W:W)</f>
        <v/>
      </c>
      <c r="M102" s="602">
        <f t="shared" ca="1" si="1"/>
        <v>-8000</v>
      </c>
      <c r="N102" s="20"/>
      <c r="O102" s="20"/>
      <c r="P102" s="20"/>
      <c r="Q102" s="20"/>
      <c r="R102" s="20"/>
      <c r="S102" s="20"/>
      <c r="T102" s="20"/>
      <c r="U102" s="20"/>
      <c r="V102" s="20"/>
      <c r="W102" s="20"/>
      <c r="X102" s="20"/>
      <c r="Y102" s="20"/>
      <c r="Z102" s="20"/>
    </row>
    <row r="103" spans="3:26" ht="14.85" customHeight="1" x14ac:dyDescent="0.3">
      <c r="C103" s="20"/>
      <c r="D103" s="603">
        <v>50</v>
      </c>
      <c r="E103" s="609" t="str">
        <f ca="1">_xlfn.XLOOKUP(F103,Pareto!S:S,Pareto!T:T)</f>
        <v>Diadema</v>
      </c>
      <c r="F103" s="1759" t="str">
        <f ca="1">_xlfn.XLOOKUP(K103,Pareto!V:V,Pareto!S:S)</f>
        <v>03 - Otimização de processo - Cavalo Marinho</v>
      </c>
      <c r="G103" s="1760"/>
      <c r="H103" s="609" t="str">
        <f ca="1">_xlfn.XLOOKUP(F103,Pareto!S:S,Pareto!X:X)</f>
        <v>✓ Concluído</v>
      </c>
      <c r="I103" s="609" t="str">
        <f ca="1">_xlfn.XLOOKUP('5 Unidades  +'!F103,Pareto!S:S,Pareto!Z:Z)</f>
        <v/>
      </c>
      <c r="J103" s="604">
        <f ca="1">_xlfn.XLOOKUP(F103,Pareto!S:S,Pareto!U:U)</f>
        <v>24000.000900000003</v>
      </c>
      <c r="K103" s="604">
        <f ca="1">IFERROR(LARGE(Pareto!V:V,D103)," ")</f>
        <v>7200.0002700000005</v>
      </c>
      <c r="L103" s="604" t="str">
        <f ca="1">_xlfn.XLOOKUP(F103,Pareto!S:S,Pareto!W:W)</f>
        <v/>
      </c>
      <c r="M103" s="605">
        <f t="shared" ca="1" si="1"/>
        <v>-7200.0002700000005</v>
      </c>
      <c r="N103" s="20"/>
      <c r="O103" s="20"/>
      <c r="P103" s="20"/>
      <c r="Q103" s="20"/>
      <c r="R103" s="20"/>
      <c r="S103" s="20"/>
      <c r="T103" s="20"/>
      <c r="U103" s="20"/>
      <c r="V103" s="20"/>
      <c r="W103" s="20"/>
      <c r="X103" s="20"/>
      <c r="Y103" s="20"/>
      <c r="Z103" s="20"/>
    </row>
    <row r="104" spans="3:26" ht="15" customHeight="1" x14ac:dyDescent="0.3">
      <c r="C104" s="20"/>
      <c r="D104" s="600">
        <v>51</v>
      </c>
      <c r="E104" s="610" t="str">
        <f ca="1">_xlfn.XLOOKUP(F104,Pareto!S:S,Pareto!T:T)</f>
        <v>Compras</v>
      </c>
      <c r="F104" s="1757" t="str">
        <f ca="1">_xlfn.XLOOKUP(K104,Pareto!V:V,Pareto!S:S)</f>
        <v>BID complementar punções Jarinu</v>
      </c>
      <c r="G104" s="1758"/>
      <c r="H104" s="608" t="str">
        <f ca="1">_xlfn.XLOOKUP(F104,Pareto!S:S,Pareto!X:X)</f>
        <v>✓ Concluído</v>
      </c>
      <c r="I104" s="608" t="str">
        <f ca="1">_xlfn.XLOOKUP('5 Unidades  +'!F104,Pareto!S:S,Pareto!Z:Z)</f>
        <v>OK</v>
      </c>
      <c r="J104" s="601">
        <f ca="1">_xlfn.XLOOKUP(F104,Pareto!S:S,Pareto!U:U)</f>
        <v>21316.941666666669</v>
      </c>
      <c r="K104" s="601">
        <f ca="1">IFERROR(LARGE(Pareto!V:V,D104)," ")</f>
        <v>6395.0825000000004</v>
      </c>
      <c r="L104" s="601" t="str">
        <f ca="1">_xlfn.XLOOKUP(F104,Pareto!S:S,Pareto!W:W)</f>
        <v/>
      </c>
      <c r="M104" s="602">
        <f t="shared" ca="1" si="1"/>
        <v>-6395.0825000000004</v>
      </c>
      <c r="N104" s="20"/>
      <c r="O104" s="20"/>
      <c r="P104" s="20"/>
      <c r="Q104" s="20"/>
      <c r="R104" s="20"/>
      <c r="S104" s="20"/>
      <c r="T104" s="20"/>
      <c r="U104" s="20"/>
      <c r="V104" s="20"/>
      <c r="W104" s="20"/>
      <c r="X104" s="20"/>
      <c r="Y104" s="20"/>
      <c r="Z104" s="20"/>
    </row>
    <row r="105" spans="3:26" ht="15" customHeight="1" x14ac:dyDescent="0.3">
      <c r="C105" s="20"/>
      <c r="D105" s="603">
        <v>52</v>
      </c>
      <c r="E105" s="609" t="str">
        <f ca="1">_xlfn.XLOOKUP(F105,Pareto!S:S,Pareto!T:T)</f>
        <v>Compras</v>
      </c>
      <c r="F105" s="1759" t="str">
        <f ca="1">_xlfn.XLOOKUP(K105,Pareto!V:V,Pareto!S:S)</f>
        <v>Destinação Borra Plasma Ferraz</v>
      </c>
      <c r="G105" s="1760"/>
      <c r="H105" s="609" t="str">
        <f ca="1">_xlfn.XLOOKUP(F105,Pareto!S:S,Pareto!X:X)</f>
        <v>✓ Concluído</v>
      </c>
      <c r="I105" s="609" t="str">
        <f ca="1">_xlfn.XLOOKUP('5 Unidades  +'!F105,Pareto!S:S,Pareto!Z:Z)</f>
        <v/>
      </c>
      <c r="J105" s="604">
        <f ca="1">_xlfn.XLOOKUP(F105,Pareto!S:S,Pareto!U:U)</f>
        <v>42030.32</v>
      </c>
      <c r="K105" s="604">
        <f ca="1">IFERROR(LARGE(Pareto!V:V,D105)," ")</f>
        <v>5253.79</v>
      </c>
      <c r="L105" s="604" t="str">
        <f ca="1">_xlfn.XLOOKUP(F105,Pareto!S:S,Pareto!W:W)</f>
        <v/>
      </c>
      <c r="M105" s="605">
        <f t="shared" ca="1" si="1"/>
        <v>-5253.79</v>
      </c>
      <c r="N105" s="20"/>
      <c r="O105" s="20"/>
      <c r="P105" s="20"/>
      <c r="Q105" s="20"/>
      <c r="R105" s="20"/>
      <c r="S105" s="20"/>
      <c r="T105" s="20"/>
      <c r="U105" s="20"/>
      <c r="V105" s="20"/>
      <c r="W105" s="20"/>
      <c r="X105" s="20"/>
      <c r="Y105" s="20"/>
      <c r="Z105" s="20"/>
    </row>
    <row r="106" spans="3:26" ht="15" customHeight="1" x14ac:dyDescent="0.3">
      <c r="C106" s="20"/>
      <c r="D106" s="600">
        <v>53</v>
      </c>
      <c r="E106" s="610" t="str">
        <f ca="1">_xlfn.XLOOKUP(F106,Pareto!S:S,Pareto!T:T)</f>
        <v>São leopoldo</v>
      </c>
      <c r="F106" s="1757" t="str">
        <f ca="1">_xlfn.XLOOKUP(K106,Pareto!V:V,Pareto!S:S)</f>
        <v>03- Comunização de Materiais</v>
      </c>
      <c r="G106" s="1758"/>
      <c r="H106" s="608" t="str">
        <f ca="1">_xlfn.XLOOKUP(F106,Pareto!S:S,Pareto!X:X)</f>
        <v>⏳ Em Execução</v>
      </c>
      <c r="I106" s="608" t="str">
        <f ca="1">_xlfn.XLOOKUP('5 Unidades  +'!F106,Pareto!S:S,Pareto!Z:Z)</f>
        <v/>
      </c>
      <c r="J106" s="601">
        <f ca="1">_xlfn.XLOOKUP(F106,Pareto!S:S,Pareto!U:U)</f>
        <v>15000</v>
      </c>
      <c r="K106" s="601">
        <f ca="1">IFERROR(LARGE(Pareto!V:V,D106)," ")</f>
        <v>5000</v>
      </c>
      <c r="L106" s="601" t="str">
        <f ca="1">_xlfn.XLOOKUP(F106,Pareto!S:S,Pareto!W:W)</f>
        <v/>
      </c>
      <c r="M106" s="602">
        <f t="shared" ca="1" si="1"/>
        <v>-5000</v>
      </c>
      <c r="N106" s="20"/>
      <c r="O106" s="20"/>
      <c r="P106" s="20"/>
      <c r="Q106" s="20"/>
      <c r="R106" s="20"/>
      <c r="S106" s="20"/>
      <c r="T106" s="20"/>
      <c r="U106" s="20"/>
      <c r="V106" s="20"/>
      <c r="W106" s="20"/>
      <c r="X106" s="20"/>
      <c r="Y106" s="20"/>
      <c r="Z106" s="20"/>
    </row>
    <row r="107" spans="3:26" ht="15" customHeight="1" x14ac:dyDescent="0.3">
      <c r="C107" s="20"/>
      <c r="D107" s="603">
        <v>54</v>
      </c>
      <c r="E107" s="609" t="str">
        <f ca="1">_xlfn.XLOOKUP(F107,Pareto!S:S,Pareto!T:T)</f>
        <v>Diadema</v>
      </c>
      <c r="F107" s="1759" t="str">
        <f ca="1">_xlfn.XLOOKUP(K107,Pareto!V:V,Pareto!S:S)</f>
        <v>51 - Redução de MP - GM000402Z_403Z_Passo</v>
      </c>
      <c r="G107" s="1760"/>
      <c r="H107" s="609" t="str">
        <f ca="1">_xlfn.XLOOKUP(F107,Pareto!S:S,Pareto!X:X)</f>
        <v>⏳ Em Execução</v>
      </c>
      <c r="I107" s="609" t="str">
        <f ca="1">_xlfn.XLOOKUP('5 Unidades  +'!F107,Pareto!S:S,Pareto!Z:Z)</f>
        <v>OK</v>
      </c>
      <c r="J107" s="604">
        <f ca="1">_xlfn.XLOOKUP(F107,Pareto!S:S,Pareto!U:U)</f>
        <v>38893.96</v>
      </c>
      <c r="K107" s="604">
        <f ca="1">IFERROR(LARGE(Pareto!V:V,D107)," ")</f>
        <v>4861.7449999999999</v>
      </c>
      <c r="L107" s="604">
        <f ca="1">_xlfn.XLOOKUP(F107,Pareto!S:S,Pareto!W:W)</f>
        <v>3800.3005510934777</v>
      </c>
      <c r="M107" s="605">
        <f t="shared" ca="1" si="1"/>
        <v>-1061.4444489065222</v>
      </c>
      <c r="N107" s="20"/>
      <c r="O107" s="20"/>
      <c r="P107" s="20"/>
      <c r="Q107" s="20"/>
      <c r="R107" s="20"/>
      <c r="S107" s="20"/>
      <c r="T107" s="20"/>
      <c r="U107" s="20"/>
      <c r="V107" s="20"/>
      <c r="W107" s="20"/>
      <c r="X107" s="20"/>
      <c r="Y107" s="20"/>
      <c r="Z107" s="20"/>
    </row>
    <row r="108" spans="3:26" ht="15" customHeight="1" x14ac:dyDescent="0.3">
      <c r="C108" s="20"/>
      <c r="D108" s="600">
        <v>55</v>
      </c>
      <c r="E108" s="610" t="str">
        <f ca="1">_xlfn.XLOOKUP(F108,Pareto!S:S,Pareto!T:T)</f>
        <v>Diadema</v>
      </c>
      <c r="F108" s="1757" t="str">
        <f ca="1">_xlfn.XLOOKUP(K108,Pareto!V:V,Pareto!S:S)</f>
        <v>35 - Redução de Peso Bruto do item MB003597LA</v>
      </c>
      <c r="G108" s="1758"/>
      <c r="H108" s="608" t="str">
        <f ca="1">_xlfn.XLOOKUP(F108,Pareto!S:S,Pareto!X:X)</f>
        <v>✓ Concluído</v>
      </c>
      <c r="I108" s="608" t="str">
        <f ca="1">_xlfn.XLOOKUP('5 Unidades  +'!F108,Pareto!S:S,Pareto!Z:Z)</f>
        <v>OK</v>
      </c>
      <c r="J108" s="601">
        <f ca="1">_xlfn.XLOOKUP(F108,Pareto!S:S,Pareto!U:U)</f>
        <v>14341.050000000001</v>
      </c>
      <c r="K108" s="601">
        <f ca="1">IFERROR(LARGE(Pareto!V:V,D108)," ")</f>
        <v>4302.3150000000005</v>
      </c>
      <c r="L108" s="601">
        <f ca="1">_xlfn.XLOOKUP(F108,Pareto!S:S,Pareto!W:W)</f>
        <v>3320.9172029923193</v>
      </c>
      <c r="M108" s="602">
        <f t="shared" ca="1" si="1"/>
        <v>-981.39779700768122</v>
      </c>
      <c r="N108" s="20"/>
      <c r="O108" s="20"/>
      <c r="P108" s="20"/>
      <c r="Q108" s="20"/>
      <c r="R108" s="20"/>
      <c r="S108" s="20"/>
      <c r="T108" s="20"/>
      <c r="U108" s="20"/>
      <c r="V108" s="20"/>
      <c r="W108" s="20"/>
      <c r="X108" s="20"/>
      <c r="Y108" s="20"/>
      <c r="Z108" s="20"/>
    </row>
    <row r="109" spans="3:26" ht="15" customHeight="1" x14ac:dyDescent="0.3">
      <c r="C109" s="20"/>
      <c r="D109" s="603">
        <v>56</v>
      </c>
      <c r="E109" s="609" t="str">
        <f ca="1">_xlfn.XLOOKUP(F109,Pareto!S:S,Pareto!T:T)</f>
        <v>Compras</v>
      </c>
      <c r="F109" s="1759" t="str">
        <f ca="1">_xlfn.XLOOKUP(K109,Pareto!V:V,Pareto!S:S)</f>
        <v>Negociação TCC00690/691</v>
      </c>
      <c r="G109" s="1760"/>
      <c r="H109" s="609" t="str">
        <f ca="1">_xlfn.XLOOKUP(F109,Pareto!S:S,Pareto!X:X)</f>
        <v>✓ Concluído</v>
      </c>
      <c r="I109" s="609" t="str">
        <f ca="1">_xlfn.XLOOKUP('5 Unidades  +'!F109,Pareto!S:S,Pareto!Z:Z)</f>
        <v/>
      </c>
      <c r="J109" s="604">
        <f ca="1">_xlfn.XLOOKUP(F109,Pareto!S:S,Pareto!U:U)</f>
        <v>32702</v>
      </c>
      <c r="K109" s="604">
        <f ca="1">IFERROR(LARGE(Pareto!V:V,D109)," ")</f>
        <v>4087.75</v>
      </c>
      <c r="L109" s="604" t="str">
        <f ca="1">_xlfn.XLOOKUP(F109,Pareto!S:S,Pareto!W:W)</f>
        <v/>
      </c>
      <c r="M109" s="605">
        <f t="shared" ca="1" si="1"/>
        <v>-4087.75</v>
      </c>
      <c r="N109" s="20"/>
      <c r="O109" s="20"/>
      <c r="P109" s="20"/>
      <c r="Q109" s="20"/>
      <c r="R109" s="20"/>
      <c r="S109" s="20"/>
      <c r="T109" s="20"/>
      <c r="U109" s="20"/>
      <c r="V109" s="20"/>
      <c r="W109" s="20"/>
      <c r="X109" s="20"/>
      <c r="Y109" s="20"/>
      <c r="Z109" s="20"/>
    </row>
    <row r="110" spans="3:26" ht="15" customHeight="1" x14ac:dyDescent="0.3">
      <c r="C110" s="20"/>
      <c r="D110" s="600">
        <v>57</v>
      </c>
      <c r="E110" s="610" t="str">
        <f ca="1">_xlfn.XLOOKUP(F110,Pareto!S:S,Pareto!T:T)</f>
        <v>São leopoldo</v>
      </c>
      <c r="F110" s="1757" t="str">
        <f ca="1">_xlfn.XLOOKUP(K110,Pareto!V:V,Pareto!S:S)</f>
        <v xml:space="preserve">02 -  REDUÇÃO DE PESO BRUTO DD000506Z
</v>
      </c>
      <c r="G110" s="1758"/>
      <c r="H110" s="608" t="str">
        <f ca="1">_xlfn.XLOOKUP(F110,Pareto!S:S,Pareto!X:X)</f>
        <v>⏳ Em Execução</v>
      </c>
      <c r="I110" s="608" t="str">
        <f ca="1">_xlfn.XLOOKUP('5 Unidades  +'!F110,Pareto!S:S,Pareto!Z:Z)</f>
        <v>OK</v>
      </c>
      <c r="J110" s="601">
        <f ca="1">_xlfn.XLOOKUP(F110,Pareto!S:S,Pareto!U:U)</f>
        <v>12173.294708095502</v>
      </c>
      <c r="K110" s="601">
        <f ca="1">IFERROR(LARGE(Pareto!V:V,D110)," ")</f>
        <v>4057.7649026985005</v>
      </c>
      <c r="L110" s="601" t="str">
        <f ca="1">_xlfn.XLOOKUP(F110,Pareto!S:S,Pareto!W:W)</f>
        <v/>
      </c>
      <c r="M110" s="602">
        <f t="shared" ca="1" si="1"/>
        <v>-4057.7649026985005</v>
      </c>
      <c r="N110" s="20"/>
      <c r="O110" s="20"/>
      <c r="P110" s="20"/>
      <c r="Q110" s="20"/>
      <c r="R110" s="20"/>
      <c r="S110" s="20"/>
      <c r="T110" s="20"/>
      <c r="U110" s="20"/>
      <c r="V110" s="20"/>
      <c r="W110" s="20"/>
      <c r="X110" s="20"/>
      <c r="Y110" s="20"/>
      <c r="Z110" s="20"/>
    </row>
    <row r="111" spans="3:26" ht="15" customHeight="1" x14ac:dyDescent="0.3">
      <c r="C111" s="20"/>
      <c r="D111" s="603">
        <v>58</v>
      </c>
      <c r="E111" s="609" t="str">
        <f ca="1">_xlfn.XLOOKUP(F111,Pareto!S:S,Pareto!T:T)</f>
        <v>Jarinu</v>
      </c>
      <c r="F111" s="1759" t="str">
        <f ca="1">_xlfn.XLOOKUP(K111,Pareto!V:V,Pareto!S:S)</f>
        <v>29 - Redução do consumo MTP no passo do Blank VW000942AB / 943AB -5MM</v>
      </c>
      <c r="G111" s="1760"/>
      <c r="H111" s="609" t="str">
        <f ca="1">_xlfn.XLOOKUP(F111,Pareto!S:S,Pareto!X:X)</f>
        <v>⏳ Em Execução</v>
      </c>
      <c r="I111" s="609" t="str">
        <f ca="1">_xlfn.XLOOKUP('5 Unidades  +'!F111,Pareto!S:S,Pareto!Z:Z)</f>
        <v>OK</v>
      </c>
      <c r="J111" s="604">
        <f ca="1">_xlfn.XLOOKUP(F111,Pareto!S:S,Pareto!U:U)</f>
        <v>5651.1774999999998</v>
      </c>
      <c r="K111" s="604">
        <f ca="1">IFERROR(LARGE(Pareto!V:V,D111)," ")</f>
        <v>3767.4516666666664</v>
      </c>
      <c r="L111" s="604" t="str">
        <f ca="1">_xlfn.XLOOKUP(F111,Pareto!S:S,Pareto!W:W)</f>
        <v/>
      </c>
      <c r="M111" s="605">
        <f t="shared" ca="1" si="1"/>
        <v>-3767.4516666666664</v>
      </c>
      <c r="N111" s="20"/>
      <c r="O111" s="20"/>
      <c r="P111" s="20"/>
      <c r="Q111" s="20"/>
      <c r="R111" s="20"/>
      <c r="S111" s="20"/>
      <c r="T111" s="20"/>
      <c r="U111" s="20"/>
      <c r="V111" s="20"/>
      <c r="W111" s="20"/>
      <c r="X111" s="20"/>
      <c r="Y111" s="20"/>
      <c r="Z111" s="20"/>
    </row>
    <row r="112" spans="3:26" ht="15" customHeight="1" x14ac:dyDescent="0.3">
      <c r="C112" s="20"/>
      <c r="D112" s="600">
        <v>59</v>
      </c>
      <c r="E112" s="610" t="str">
        <f ca="1">_xlfn.XLOOKUP(F112,Pareto!S:S,Pareto!T:T)</f>
        <v>Diadema</v>
      </c>
      <c r="F112" s="1757" t="str">
        <f ca="1">_xlfn.XLOOKUP(K112,Pareto!V:V,Pareto!S:S)</f>
        <v>24 - KAIZEN - Redução de peso bruto_MB002289LA_MB002290LA_Rev00_Bruno Manachini</v>
      </c>
      <c r="G112" s="1758"/>
      <c r="H112" s="608" t="str">
        <f ca="1">_xlfn.XLOOKUP(F112,Pareto!S:S,Pareto!X:X)</f>
        <v>✓ Concluído</v>
      </c>
      <c r="I112" s="608" t="str">
        <f ca="1">_xlfn.XLOOKUP('5 Unidades  +'!F112,Pareto!S:S,Pareto!Z:Z)</f>
        <v>OK</v>
      </c>
      <c r="J112" s="601">
        <f ca="1">_xlfn.XLOOKUP(F112,Pareto!S:S,Pareto!U:U)</f>
        <v>29532.29</v>
      </c>
      <c r="K112" s="601">
        <f ca="1">IFERROR(LARGE(Pareto!V:V,D112)," ")</f>
        <v>3691.5362500000001</v>
      </c>
      <c r="L112" s="601">
        <f ca="1">_xlfn.XLOOKUP(F112,Pareto!S:S,Pareto!W:W)</f>
        <v>3320.2090956719312</v>
      </c>
      <c r="M112" s="602">
        <f t="shared" ca="1" si="1"/>
        <v>-371.3271543280689</v>
      </c>
      <c r="N112" s="20"/>
      <c r="O112" s="20"/>
      <c r="P112" s="20"/>
      <c r="Q112" s="20"/>
      <c r="R112" s="20"/>
      <c r="S112" s="20"/>
      <c r="T112" s="20"/>
      <c r="U112" s="20"/>
      <c r="V112" s="20"/>
      <c r="W112" s="20"/>
      <c r="X112" s="20"/>
      <c r="Y112" s="20"/>
      <c r="Z112" s="20"/>
    </row>
    <row r="113" spans="3:26" ht="15" customHeight="1" x14ac:dyDescent="0.3">
      <c r="C113" s="20"/>
      <c r="D113" s="603">
        <v>60</v>
      </c>
      <c r="E113" s="609" t="str">
        <f ca="1">_xlfn.XLOOKUP(F113,Pareto!S:S,Pareto!T:T)</f>
        <v>Diadema</v>
      </c>
      <c r="F113" s="1759" t="str">
        <f ca="1">_xlfn.XLOOKUP(K113,Pareto!V:V,Pareto!S:S)</f>
        <v>15 - Kaizem - Botões BI - MANUAL</v>
      </c>
      <c r="G113" s="1760"/>
      <c r="H113" s="609" t="str">
        <f ca="1">_xlfn.XLOOKUP(F113,Pareto!S:S,Pareto!X:X)</f>
        <v>✓ Concluído</v>
      </c>
      <c r="I113" s="609" t="str">
        <f ca="1">_xlfn.XLOOKUP('5 Unidades  +'!F113,Pareto!S:S,Pareto!Z:Z)</f>
        <v>OK</v>
      </c>
      <c r="J113" s="604">
        <f ca="1">_xlfn.XLOOKUP(F113,Pareto!S:S,Pareto!U:U)</f>
        <v>3656.94</v>
      </c>
      <c r="K113" s="604">
        <f ca="1">IFERROR(LARGE(Pareto!V:V,D113)," ")</f>
        <v>3656.94</v>
      </c>
      <c r="L113" s="604">
        <f ca="1">_xlfn.XLOOKUP(F113,Pareto!S:S,Pareto!W:W)</f>
        <v>0</v>
      </c>
      <c r="M113" s="605">
        <f t="shared" ca="1" si="1"/>
        <v>-3656.94</v>
      </c>
      <c r="N113" s="20"/>
      <c r="O113" s="20"/>
      <c r="P113" s="20"/>
      <c r="Q113" s="20"/>
      <c r="R113" s="20"/>
      <c r="S113" s="20"/>
      <c r="T113" s="20"/>
      <c r="U113" s="20"/>
      <c r="V113" s="20"/>
      <c r="W113" s="20"/>
      <c r="X113" s="20"/>
      <c r="Y113" s="20"/>
      <c r="Z113" s="20"/>
    </row>
    <row r="114" spans="3:26" ht="15" customHeight="1" x14ac:dyDescent="0.3">
      <c r="C114" s="20"/>
      <c r="D114" s="600">
        <v>61</v>
      </c>
      <c r="E114" s="610" t="str">
        <f ca="1">_xlfn.XLOOKUP(F114,Pareto!S:S,Pareto!T:T)</f>
        <v>Diadema</v>
      </c>
      <c r="F114" s="1757" t="str">
        <f ca="1">_xlfn.XLOOKUP(K114,Pareto!V:V,Pareto!S:S)</f>
        <v>33 - Redução de Peso Bruto do item MB003610LA</v>
      </c>
      <c r="G114" s="1758"/>
      <c r="H114" s="608" t="str">
        <f ca="1">_xlfn.XLOOKUP(F114,Pareto!S:S,Pareto!X:X)</f>
        <v>✓ Concluído</v>
      </c>
      <c r="I114" s="608" t="str">
        <f ca="1">_xlfn.XLOOKUP('5 Unidades  +'!F114,Pareto!S:S,Pareto!Z:Z)</f>
        <v>OK</v>
      </c>
      <c r="J114" s="601">
        <f ca="1">_xlfn.XLOOKUP(F114,Pareto!S:S,Pareto!U:U)</f>
        <v>11223.44</v>
      </c>
      <c r="K114" s="601">
        <f ca="1">IFERROR(LARGE(Pareto!V:V,D114)," ")</f>
        <v>3367.0320000000002</v>
      </c>
      <c r="L114" s="601">
        <f ca="1">_xlfn.XLOOKUP(F114,Pareto!S:S,Pareto!W:W)</f>
        <v>2773.3036297872013</v>
      </c>
      <c r="M114" s="602">
        <f t="shared" ca="1" si="1"/>
        <v>-593.72837021279884</v>
      </c>
      <c r="N114" s="20"/>
      <c r="O114" s="20"/>
      <c r="P114" s="20"/>
      <c r="Q114" s="20"/>
      <c r="R114" s="20"/>
      <c r="S114" s="20"/>
      <c r="T114" s="20"/>
      <c r="U114" s="20"/>
      <c r="V114" s="20"/>
      <c r="W114" s="20"/>
      <c r="X114" s="20"/>
      <c r="Y114" s="20"/>
      <c r="Z114" s="20"/>
    </row>
    <row r="115" spans="3:26" ht="15" customHeight="1" x14ac:dyDescent="0.3">
      <c r="C115" s="20"/>
      <c r="D115" s="603">
        <v>62</v>
      </c>
      <c r="E115" s="609" t="str">
        <f ca="1">_xlfn.XLOOKUP(F115,Pareto!S:S,Pareto!T:T)</f>
        <v>Anchieta</v>
      </c>
      <c r="F115" s="1759" t="str">
        <f ca="1">_xlfn.XLOOKUP(K115,Pareto!V:V,Pareto!S:S)</f>
        <v>10 - CONSUMO PERNA DE MOÇA</v>
      </c>
      <c r="G115" s="1760"/>
      <c r="H115" s="609" t="str">
        <f ca="1">_xlfn.XLOOKUP(F115,Pareto!S:S,Pareto!X:X)</f>
        <v>⏳ Em Execução</v>
      </c>
      <c r="I115" s="609" t="str">
        <f ca="1">_xlfn.XLOOKUP('5 Unidades  +'!F115,Pareto!S:S,Pareto!Z:Z)</f>
        <v>OK</v>
      </c>
      <c r="J115" s="604">
        <f ca="1">_xlfn.XLOOKUP(F115,Pareto!S:S,Pareto!U:U)</f>
        <v>5000</v>
      </c>
      <c r="K115" s="604">
        <f ca="1">IFERROR(LARGE(Pareto!V:V,D115)," ")</f>
        <v>3333.3333333333335</v>
      </c>
      <c r="L115" s="604">
        <f ca="1">_xlfn.XLOOKUP(F115,Pareto!S:S,Pareto!W:W)</f>
        <v>-2886.64</v>
      </c>
      <c r="M115" s="605">
        <f t="shared" ca="1" si="1"/>
        <v>-6219.9733333333334</v>
      </c>
      <c r="N115" s="20"/>
      <c r="O115" s="20"/>
      <c r="P115" s="20"/>
      <c r="Q115" s="20"/>
      <c r="R115" s="20"/>
      <c r="S115" s="20"/>
      <c r="T115" s="20"/>
      <c r="U115" s="20"/>
      <c r="V115" s="20"/>
      <c r="W115" s="20"/>
      <c r="X115" s="20"/>
      <c r="Y115" s="20"/>
      <c r="Z115" s="20"/>
    </row>
    <row r="116" spans="3:26" ht="15" customHeight="1" x14ac:dyDescent="0.3">
      <c r="C116" s="20"/>
      <c r="D116" s="600">
        <v>63</v>
      </c>
      <c r="E116" s="610" t="str">
        <f ca="1">_xlfn.XLOOKUP(F116,Pareto!S:S,Pareto!T:T)</f>
        <v>São leopoldo</v>
      </c>
      <c r="F116" s="1757" t="str">
        <f ca="1">_xlfn.XLOOKUP(K116,Pareto!V:V,Pareto!S:S)</f>
        <v>13- REDUZIR A QUANTIDADE DE MÁQUINAS DE SOLDA MIG/MAG LOCADAS</v>
      </c>
      <c r="G116" s="1758"/>
      <c r="H116" s="608" t="str">
        <f ca="1">_xlfn.XLOOKUP(F116,Pareto!S:S,Pareto!X:X)</f>
        <v>⏳ Em Execução</v>
      </c>
      <c r="I116" s="608" t="str">
        <f ca="1">_xlfn.XLOOKUP('5 Unidades  +'!F116,Pareto!S:S,Pareto!Z:Z)</f>
        <v/>
      </c>
      <c r="J116" s="601">
        <f ca="1">_xlfn.XLOOKUP(F116,Pareto!S:S,Pareto!U:U)</f>
        <v>9900</v>
      </c>
      <c r="K116" s="601">
        <f ca="1">IFERROR(LARGE(Pareto!V:V,D116)," ")</f>
        <v>3300</v>
      </c>
      <c r="L116" s="601" t="str">
        <f ca="1">_xlfn.XLOOKUP(F116,Pareto!S:S,Pareto!W:W)</f>
        <v/>
      </c>
      <c r="M116" s="602">
        <f t="shared" ca="1" si="1"/>
        <v>-3300</v>
      </c>
      <c r="N116" s="20"/>
      <c r="O116" s="20"/>
      <c r="P116" s="20"/>
      <c r="Q116" s="20"/>
      <c r="R116" s="20"/>
      <c r="S116" s="20"/>
      <c r="T116" s="20"/>
      <c r="U116" s="20"/>
      <c r="V116" s="20"/>
      <c r="W116" s="20"/>
      <c r="X116" s="20"/>
      <c r="Y116" s="20"/>
      <c r="Z116" s="20"/>
    </row>
    <row r="117" spans="3:26" ht="15" customHeight="1" x14ac:dyDescent="0.3">
      <c r="C117" s="20"/>
      <c r="D117" s="603">
        <v>64</v>
      </c>
      <c r="E117" s="609" t="str">
        <f ca="1">_xlfn.XLOOKUP(F117,Pareto!S:S,Pareto!T:T)</f>
        <v>São leopoldo</v>
      </c>
      <c r="F117" s="1759" t="str">
        <f ca="1">_xlfn.XLOOKUP(K117,Pareto!V:V,Pareto!S:S)</f>
        <v>22- Eliminar custo com usinagem externa CN 00016/17</v>
      </c>
      <c r="G117" s="1760"/>
      <c r="H117" s="609" t="str">
        <f ca="1">_xlfn.XLOOKUP(F117,Pareto!S:S,Pareto!X:X)</f>
        <v>⏳ Em Execução</v>
      </c>
      <c r="I117" s="609" t="str">
        <f ca="1">_xlfn.XLOOKUP('5 Unidades  +'!F117,Pareto!S:S,Pareto!Z:Z)</f>
        <v/>
      </c>
      <c r="J117" s="604">
        <f ca="1">_xlfn.XLOOKUP(F117,Pareto!S:S,Pareto!U:U)</f>
        <v>8303.6375000000007</v>
      </c>
      <c r="K117" s="604">
        <f ca="1">IFERROR(LARGE(Pareto!V:V,D117)," ")</f>
        <v>2767.8791666666671</v>
      </c>
      <c r="L117" s="604" t="str">
        <f ca="1">_xlfn.XLOOKUP(F117,Pareto!S:S,Pareto!W:W)</f>
        <v/>
      </c>
      <c r="M117" s="605">
        <f t="shared" ca="1" si="1"/>
        <v>-2767.8791666666671</v>
      </c>
      <c r="N117" s="20"/>
      <c r="O117" s="20"/>
      <c r="P117" s="20"/>
      <c r="Q117" s="20"/>
      <c r="R117" s="20"/>
      <c r="S117" s="20"/>
      <c r="T117" s="20"/>
      <c r="U117" s="20"/>
      <c r="V117" s="20"/>
      <c r="W117" s="20"/>
      <c r="X117" s="20"/>
      <c r="Y117" s="20"/>
      <c r="Z117" s="20"/>
    </row>
    <row r="118" spans="3:26" ht="15" customHeight="1" x14ac:dyDescent="0.3">
      <c r="C118" s="20"/>
      <c r="D118" s="600">
        <v>65</v>
      </c>
      <c r="E118" s="610" t="str">
        <f ca="1">_xlfn.XLOOKUP(F118,Pareto!S:S,Pareto!T:T)</f>
        <v>Jarinu</v>
      </c>
      <c r="F118" s="1757" t="str">
        <f ca="1">_xlfn.XLOOKUP(K118,Pareto!V:V,Pareto!S:S)</f>
        <v>23 - Redução do consumo de MTP VW000938AB (- 3 mm no passo)</v>
      </c>
      <c r="G118" s="1758"/>
      <c r="H118" s="608" t="str">
        <f ca="1">_xlfn.XLOOKUP(F118,Pareto!S:S,Pareto!X:X)</f>
        <v>⏳ Em Execução</v>
      </c>
      <c r="I118" s="608" t="str">
        <f ca="1">_xlfn.XLOOKUP('5 Unidades  +'!F118,Pareto!S:S,Pareto!Z:Z)</f>
        <v>OK</v>
      </c>
      <c r="J118" s="601">
        <f ca="1">_xlfn.XLOOKUP(F118,Pareto!S:S,Pareto!U:U)</f>
        <v>3972.3877499999999</v>
      </c>
      <c r="K118" s="601">
        <f ca="1">IFERROR(LARGE(Pareto!V:V,D118)," ")</f>
        <v>2648.2584999999999</v>
      </c>
      <c r="L118" s="601">
        <f ca="1">_xlfn.XLOOKUP(F118,Pareto!S:S,Pareto!W:W)</f>
        <v>3093.1713301104164</v>
      </c>
      <c r="M118" s="602">
        <f t="shared" ca="1" si="1"/>
        <v>444.91283011041651</v>
      </c>
      <c r="N118" s="20"/>
      <c r="O118" s="20"/>
      <c r="P118" s="20"/>
      <c r="Q118" s="20"/>
      <c r="R118" s="20"/>
      <c r="S118" s="20"/>
      <c r="T118" s="20"/>
      <c r="U118" s="20"/>
      <c r="V118" s="20"/>
      <c r="W118" s="20"/>
      <c r="X118" s="20"/>
      <c r="Y118" s="20"/>
      <c r="Z118" s="20"/>
    </row>
    <row r="119" spans="3:26" ht="15" customHeight="1" x14ac:dyDescent="0.3">
      <c r="C119" s="20"/>
      <c r="D119" s="603">
        <v>66</v>
      </c>
      <c r="E119" s="609" t="str">
        <f ca="1">_xlfn.XLOOKUP(F119,Pareto!S:S,Pareto!T:T)</f>
        <v>São leopoldo</v>
      </c>
      <c r="F119" s="1759" t="str">
        <f ca="1">_xlfn.XLOOKUP(K119,Pareto!V:V,Pareto!S:S)</f>
        <v>04 - Aluguel de corte plasma</v>
      </c>
      <c r="G119" s="1760"/>
      <c r="H119" s="609" t="str">
        <f ca="1">_xlfn.XLOOKUP(F119,Pareto!S:S,Pareto!X:X)</f>
        <v>⏳ Em Execução</v>
      </c>
      <c r="I119" s="609" t="str">
        <f ca="1">_xlfn.XLOOKUP('5 Unidades  +'!F119,Pareto!S:S,Pareto!Z:Z)</f>
        <v/>
      </c>
      <c r="J119" s="604">
        <f ca="1">_xlfn.XLOOKUP(F119,Pareto!S:S,Pareto!U:U)</f>
        <v>7500</v>
      </c>
      <c r="K119" s="604">
        <f ca="1">IFERROR(LARGE(Pareto!V:V,D119)," ")</f>
        <v>2500</v>
      </c>
      <c r="L119" s="604" t="str">
        <f ca="1">_xlfn.XLOOKUP(F119,Pareto!S:S,Pareto!W:W)</f>
        <v/>
      </c>
      <c r="M119" s="605">
        <f t="shared" ca="1" si="1"/>
        <v>-2500</v>
      </c>
      <c r="N119" s="20"/>
      <c r="O119" s="20"/>
      <c r="P119" s="20"/>
      <c r="Q119" s="20"/>
      <c r="R119" s="20"/>
      <c r="S119" s="20"/>
      <c r="T119" s="20"/>
      <c r="U119" s="20"/>
      <c r="V119" s="20"/>
      <c r="W119" s="20"/>
      <c r="X119" s="20"/>
      <c r="Y119" s="20"/>
      <c r="Z119" s="20"/>
    </row>
    <row r="120" spans="3:26" ht="15" customHeight="1" x14ac:dyDescent="0.3">
      <c r="C120" s="20"/>
      <c r="D120" s="600">
        <v>67</v>
      </c>
      <c r="E120" s="610" t="str">
        <f ca="1">_xlfn.XLOOKUP(F120,Pareto!S:S,Pareto!T:T)</f>
        <v>Diadema</v>
      </c>
      <c r="F120" s="1757" t="str">
        <f ca="1">_xlfn.XLOOKUP(K120,Pareto!V:V,Pareto!S:S)</f>
        <v>25 - KAIZEN - Redução de peso bruto_MB003601LA_Rev00_Bruno Manachini</v>
      </c>
      <c r="G120" s="1758"/>
      <c r="H120" s="608" t="str">
        <f ca="1">_xlfn.XLOOKUP(F120,Pareto!S:S,Pareto!X:X)</f>
        <v>✓ Concluído</v>
      </c>
      <c r="I120" s="608" t="str">
        <f ca="1">_xlfn.XLOOKUP('5 Unidades  +'!F120,Pareto!S:S,Pareto!Z:Z)</f>
        <v>OK</v>
      </c>
      <c r="J120" s="601">
        <f ca="1">_xlfn.XLOOKUP(F120,Pareto!S:S,Pareto!U:U)</f>
        <v>17427.61</v>
      </c>
      <c r="K120" s="601">
        <f ca="1">IFERROR(LARGE(Pareto!V:V,D120)," ")</f>
        <v>2178.4512500000001</v>
      </c>
      <c r="L120" s="601">
        <f ca="1">_xlfn.XLOOKUP(F120,Pareto!S:S,Pareto!W:W)</f>
        <v>1877.693999999994</v>
      </c>
      <c r="M120" s="602">
        <f t="shared" ref="M120:M183" ca="1" si="2">IF(L120="",-K120,L120-K120)</f>
        <v>-300.75725000000602</v>
      </c>
      <c r="N120" s="20"/>
      <c r="O120" s="20"/>
      <c r="P120" s="20"/>
      <c r="Q120" s="20"/>
      <c r="R120" s="20"/>
      <c r="S120" s="20"/>
      <c r="T120" s="20"/>
      <c r="U120" s="20"/>
      <c r="V120" s="20"/>
      <c r="W120" s="20"/>
      <c r="X120" s="20"/>
      <c r="Y120" s="20"/>
      <c r="Z120" s="20"/>
    </row>
    <row r="121" spans="3:26" ht="15" customHeight="1" x14ac:dyDescent="0.3">
      <c r="C121" s="20"/>
      <c r="D121" s="603">
        <v>68</v>
      </c>
      <c r="E121" s="609" t="str">
        <f ca="1">_xlfn.XLOOKUP(F121,Pareto!S:S,Pareto!T:T)</f>
        <v>Diadema</v>
      </c>
      <c r="F121" s="1759" t="str">
        <f ca="1">_xlfn.XLOOKUP(K121,Pareto!V:V,Pareto!S:S)</f>
        <v>08 - Redução de peso bruto MB002446LA / MB003670LA / MB003671LA</v>
      </c>
      <c r="G121" s="1760"/>
      <c r="H121" s="609" t="str">
        <f ca="1">_xlfn.XLOOKUP(F121,Pareto!S:S,Pareto!X:X)</f>
        <v>⏳ Em Execução</v>
      </c>
      <c r="I121" s="609" t="str">
        <f ca="1">_xlfn.XLOOKUP('5 Unidades  +'!F121,Pareto!S:S,Pareto!Z:Z)</f>
        <v>OK</v>
      </c>
      <c r="J121" s="604">
        <f ca="1">_xlfn.XLOOKUP(F121,Pareto!S:S,Pareto!U:U)</f>
        <v>13137.64</v>
      </c>
      <c r="K121" s="604">
        <f ca="1">IFERROR(LARGE(Pareto!V:V,D121)," ")</f>
        <v>1642.2049999999999</v>
      </c>
      <c r="L121" s="604">
        <f ca="1">_xlfn.XLOOKUP(F121,Pareto!S:S,Pareto!W:W)</f>
        <v>3901.66</v>
      </c>
      <c r="M121" s="605">
        <f t="shared" ca="1" si="2"/>
        <v>2259.4549999999999</v>
      </c>
      <c r="N121" s="20"/>
      <c r="O121" s="20"/>
      <c r="P121" s="20"/>
      <c r="Q121" s="20"/>
      <c r="R121" s="20"/>
      <c r="S121" s="20"/>
      <c r="T121" s="20"/>
      <c r="U121" s="20"/>
      <c r="V121" s="20"/>
      <c r="W121" s="20"/>
      <c r="X121" s="20"/>
      <c r="Y121" s="20"/>
      <c r="Z121" s="20"/>
    </row>
    <row r="122" spans="3:26" ht="15" customHeight="1" x14ac:dyDescent="0.3">
      <c r="C122" s="20"/>
      <c r="D122" s="600">
        <v>69</v>
      </c>
      <c r="E122" s="610" t="str">
        <f ca="1">_xlfn.XLOOKUP(F122,Pareto!S:S,Pareto!T:T)</f>
        <v>Ferraz</v>
      </c>
      <c r="F122" s="1757" t="str">
        <f ca="1">_xlfn.XLOOKUP(K122,Pareto!V:V,Pareto!S:S)</f>
        <v xml:space="preserve">02 - Eficiência dos planos de corte </v>
      </c>
      <c r="G122" s="1758"/>
      <c r="H122" s="608" t="str">
        <f ca="1">_xlfn.XLOOKUP(F122,Pareto!S:S,Pareto!X:X)</f>
        <v>⏳ Em Execução</v>
      </c>
      <c r="I122" s="608" t="str">
        <f ca="1">_xlfn.XLOOKUP('5 Unidades  +'!F122,Pareto!S:S,Pareto!Z:Z)</f>
        <v>OK</v>
      </c>
      <c r="J122" s="601">
        <f ca="1">_xlfn.XLOOKUP(F122,Pareto!S:S,Pareto!U:U)</f>
        <v>2266.6666666666665</v>
      </c>
      <c r="K122" s="601">
        <f ca="1">IFERROR(LARGE(Pareto!V:V,D122)," ")</f>
        <v>1511.1111111111111</v>
      </c>
      <c r="L122" s="601" t="str">
        <f ca="1">_xlfn.XLOOKUP(F122,Pareto!S:S,Pareto!W:W)</f>
        <v/>
      </c>
      <c r="M122" s="602">
        <f t="shared" ca="1" si="2"/>
        <v>-1511.1111111111111</v>
      </c>
      <c r="N122" s="20"/>
      <c r="O122" s="20"/>
      <c r="P122" s="20"/>
      <c r="Q122" s="20"/>
      <c r="R122" s="20"/>
      <c r="S122" s="20"/>
      <c r="T122" s="20"/>
      <c r="U122" s="20"/>
      <c r="V122" s="20"/>
      <c r="W122" s="20"/>
      <c r="X122" s="20"/>
      <c r="Y122" s="20"/>
      <c r="Z122" s="20"/>
    </row>
    <row r="123" spans="3:26" ht="15" customHeight="1" x14ac:dyDescent="0.3">
      <c r="C123" s="20"/>
      <c r="D123" s="603">
        <v>70</v>
      </c>
      <c r="E123" s="609" t="str">
        <f ca="1">_xlfn.XLOOKUP(F123,Pareto!S:S,Pareto!T:T)</f>
        <v>São leopoldo</v>
      </c>
      <c r="F123" s="1759" t="str">
        <f ca="1">_xlfn.XLOOKUP(K123,Pareto!V:V,Pareto!S:S)</f>
        <v>14-Adicionar serviços de portaria e limpeza em um único prestador terceirizado com serviços gerais.</v>
      </c>
      <c r="G123" s="1760"/>
      <c r="H123" s="609" t="str">
        <f ca="1">_xlfn.XLOOKUP(F123,Pareto!S:S,Pareto!X:X)</f>
        <v>⏳ Em Execução</v>
      </c>
      <c r="I123" s="609" t="str">
        <f ca="1">_xlfn.XLOOKUP('5 Unidades  +'!F123,Pareto!S:S,Pareto!Z:Z)</f>
        <v/>
      </c>
      <c r="J123" s="604">
        <f ca="1">_xlfn.XLOOKUP(F123,Pareto!S:S,Pareto!U:U)</f>
        <v>4500</v>
      </c>
      <c r="K123" s="604">
        <f ca="1">IFERROR(LARGE(Pareto!V:V,D123)," ")</f>
        <v>1500</v>
      </c>
      <c r="L123" s="604" t="str">
        <f ca="1">_xlfn.XLOOKUP(F123,Pareto!S:S,Pareto!W:W)</f>
        <v/>
      </c>
      <c r="M123" s="605">
        <f t="shared" ca="1" si="2"/>
        <v>-1500</v>
      </c>
      <c r="N123" s="20"/>
      <c r="O123" s="20"/>
      <c r="P123" s="20"/>
      <c r="Q123" s="20"/>
      <c r="R123" s="20"/>
      <c r="S123" s="20"/>
      <c r="T123" s="20"/>
      <c r="U123" s="20"/>
      <c r="V123" s="20"/>
      <c r="W123" s="20"/>
      <c r="X123" s="20"/>
      <c r="Y123" s="20"/>
      <c r="Z123" s="20"/>
    </row>
    <row r="124" spans="3:26" ht="15" customHeight="1" x14ac:dyDescent="0.3">
      <c r="C124" s="20"/>
      <c r="D124" s="600">
        <v>71</v>
      </c>
      <c r="E124" s="610" t="str">
        <f ca="1">_xlfn.XLOOKUP(F124,Pareto!S:S,Pareto!T:T)</f>
        <v>Diadema</v>
      </c>
      <c r="F124" s="1757" t="str">
        <f ca="1">_xlfn.XLOOKUP(K124,Pareto!V:V,Pareto!S:S)</f>
        <v>46 - AGUA DESMINERALIZADA</v>
      </c>
      <c r="G124" s="1758"/>
      <c r="H124" s="608" t="str">
        <f ca="1">_xlfn.XLOOKUP(F124,Pareto!S:S,Pareto!X:X)</f>
        <v>✓ Concluído</v>
      </c>
      <c r="I124" s="608" t="str">
        <f ca="1">_xlfn.XLOOKUP('5 Unidades  +'!F124,Pareto!S:S,Pareto!Z:Z)</f>
        <v/>
      </c>
      <c r="J124" s="601">
        <f ca="1">_xlfn.XLOOKUP(F124,Pareto!S:S,Pareto!U:U)</f>
        <v>4840</v>
      </c>
      <c r="K124" s="601">
        <f ca="1">IFERROR(LARGE(Pareto!V:V,D124)," ")</f>
        <v>1075.5555555555557</v>
      </c>
      <c r="L124" s="601" t="str">
        <f ca="1">_xlfn.XLOOKUP(F124,Pareto!S:S,Pareto!W:W)</f>
        <v/>
      </c>
      <c r="M124" s="602">
        <f t="shared" ca="1" si="2"/>
        <v>-1075.5555555555557</v>
      </c>
      <c r="N124" s="20"/>
      <c r="O124" s="20"/>
      <c r="P124" s="20"/>
      <c r="Q124" s="20"/>
      <c r="R124" s="20"/>
      <c r="S124" s="20"/>
      <c r="T124" s="20"/>
      <c r="U124" s="20"/>
      <c r="V124" s="20"/>
      <c r="W124" s="20"/>
      <c r="X124" s="20"/>
      <c r="Y124" s="20"/>
      <c r="Z124" s="20"/>
    </row>
    <row r="125" spans="3:26" ht="15" customHeight="1" x14ac:dyDescent="0.3">
      <c r="C125" s="20"/>
      <c r="D125" s="603">
        <v>72</v>
      </c>
      <c r="E125" s="609" t="str">
        <f ca="1">_xlfn.XLOOKUP(F125,Pareto!S:S,Pareto!T:T)</f>
        <v>Diadema</v>
      </c>
      <c r="F125" s="1759" t="str">
        <f ca="1">_xlfn.XLOOKUP(K125,Pareto!V:V,Pareto!S:S)</f>
        <v>38 - Redução de Peso Bruto do item SV000205LB</v>
      </c>
      <c r="G125" s="1760"/>
      <c r="H125" s="609" t="str">
        <f ca="1">_xlfn.XLOOKUP(F125,Pareto!S:S,Pareto!X:X)</f>
        <v>✓ Concluído</v>
      </c>
      <c r="I125" s="609" t="str">
        <f ca="1">_xlfn.XLOOKUP('5 Unidades  +'!F125,Pareto!S:S,Pareto!Z:Z)</f>
        <v>OK</v>
      </c>
      <c r="J125" s="604">
        <f ca="1">_xlfn.XLOOKUP(F125,Pareto!S:S,Pareto!U:U)</f>
        <v>3546.8400000000006</v>
      </c>
      <c r="K125" s="604">
        <f ca="1">IFERROR(LARGE(Pareto!V:V,D125)," ")</f>
        <v>1064.0520000000001</v>
      </c>
      <c r="L125" s="604">
        <f ca="1">_xlfn.XLOOKUP(F125,Pareto!S:S,Pareto!W:W)</f>
        <v>1630.73404622</v>
      </c>
      <c r="M125" s="605">
        <f t="shared" ca="1" si="2"/>
        <v>566.68204621999985</v>
      </c>
      <c r="N125" s="20"/>
      <c r="O125" s="20"/>
      <c r="P125" s="20"/>
      <c r="Q125" s="20"/>
      <c r="R125" s="20"/>
      <c r="S125" s="20"/>
      <c r="T125" s="20"/>
      <c r="U125" s="20"/>
      <c r="V125" s="20"/>
      <c r="W125" s="20"/>
      <c r="X125" s="20"/>
      <c r="Y125" s="20"/>
      <c r="Z125" s="20"/>
    </row>
    <row r="126" spans="3:26" ht="15" customHeight="1" x14ac:dyDescent="0.3">
      <c r="C126" s="20"/>
      <c r="D126" s="600">
        <v>73</v>
      </c>
      <c r="E126" s="610" t="str">
        <f ca="1">_xlfn.XLOOKUP(F126,Pareto!S:S,Pareto!T:T)</f>
        <v>Jarinu</v>
      </c>
      <c r="F126" s="1757" t="str">
        <f ca="1">_xlfn.XLOOKUP(K126,Pareto!V:V,Pareto!S:S)</f>
        <v>14 - Redução de consumo no passo do blank dos itens VW000950AA/951AA</v>
      </c>
      <c r="G126" s="1758"/>
      <c r="H126" s="608" t="str">
        <f ca="1">_xlfn.XLOOKUP(F126,Pareto!S:S,Pareto!X:X)</f>
        <v>✓ Concluído</v>
      </c>
      <c r="I126" s="608" t="str">
        <f ca="1">_xlfn.XLOOKUP('5 Unidades  +'!F126,Pareto!S:S,Pareto!Z:Z)</f>
        <v>OK</v>
      </c>
      <c r="J126" s="601">
        <f ca="1">_xlfn.XLOOKUP(F126,Pareto!S:S,Pareto!U:U)</f>
        <v>2807.0650000000001</v>
      </c>
      <c r="K126" s="601">
        <f ca="1">IFERROR(LARGE(Pareto!V:V,D126)," ")</f>
        <v>935.68833333333339</v>
      </c>
      <c r="L126" s="601" t="str">
        <f ca="1">_xlfn.XLOOKUP(F126,Pareto!S:S,Pareto!W:W)</f>
        <v/>
      </c>
      <c r="M126" s="602">
        <f t="shared" ca="1" si="2"/>
        <v>-935.68833333333339</v>
      </c>
      <c r="N126" s="20"/>
      <c r="O126" s="20"/>
      <c r="P126" s="20"/>
      <c r="Q126" s="20"/>
      <c r="R126" s="20"/>
      <c r="S126" s="20"/>
      <c r="T126" s="20"/>
      <c r="U126" s="20"/>
      <c r="V126" s="20"/>
      <c r="W126" s="20"/>
      <c r="X126" s="20"/>
      <c r="Y126" s="20"/>
      <c r="Z126" s="20"/>
    </row>
    <row r="127" spans="3:26" ht="15" customHeight="1" x14ac:dyDescent="0.3">
      <c r="C127" s="20"/>
      <c r="D127" s="603">
        <v>74</v>
      </c>
      <c r="E127" s="609" t="str">
        <f ca="1">_xlfn.XLOOKUP(F127,Pareto!S:S,Pareto!T:T)</f>
        <v>Compras</v>
      </c>
      <c r="F127" s="1759" t="str">
        <f ca="1">_xlfn.XLOOKUP(K127,Pareto!V:V,Pareto!S:S)</f>
        <v>BID carimbos industriais</v>
      </c>
      <c r="G127" s="1760"/>
      <c r="H127" s="609" t="str">
        <f ca="1">_xlfn.XLOOKUP(F127,Pareto!S:S,Pareto!X:X)</f>
        <v>✓ Concluído</v>
      </c>
      <c r="I127" s="609" t="str">
        <f ca="1">_xlfn.XLOOKUP('5 Unidades  +'!F127,Pareto!S:S,Pareto!Z:Z)</f>
        <v>OK</v>
      </c>
      <c r="J127" s="604">
        <f ca="1">_xlfn.XLOOKUP(F127,Pareto!S:S,Pareto!U:U)</f>
        <v>2541.6083333333331</v>
      </c>
      <c r="K127" s="604">
        <f ca="1">IFERROR(LARGE(Pareto!V:V,D127)," ")</f>
        <v>762.48249999999996</v>
      </c>
      <c r="L127" s="604" t="str">
        <f ca="1">_xlfn.XLOOKUP(F127,Pareto!S:S,Pareto!W:W)</f>
        <v/>
      </c>
      <c r="M127" s="605">
        <f t="shared" ca="1" si="2"/>
        <v>-762.48249999999996</v>
      </c>
      <c r="N127" s="20"/>
      <c r="O127" s="20"/>
      <c r="P127" s="20"/>
      <c r="Q127" s="20"/>
      <c r="R127" s="20"/>
      <c r="S127" s="20"/>
      <c r="T127" s="20"/>
      <c r="U127" s="20"/>
      <c r="V127" s="20"/>
      <c r="W127" s="20"/>
      <c r="X127" s="20"/>
      <c r="Y127" s="20"/>
      <c r="Z127" s="20"/>
    </row>
    <row r="128" spans="3:26" ht="15" customHeight="1" x14ac:dyDescent="0.3">
      <c r="C128" s="20"/>
      <c r="D128" s="600">
        <v>75</v>
      </c>
      <c r="E128" s="610" t="str">
        <f ca="1">_xlfn.XLOOKUP(F128,Pareto!S:S,Pareto!T:T)</f>
        <v>Diadema</v>
      </c>
      <c r="F128" s="1757" t="str">
        <f ca="1">_xlfn.XLOOKUP(K128,Pareto!V:V,Pareto!S:S)</f>
        <v>34 - Redução de Peso Bruto do item MB003554LA</v>
      </c>
      <c r="G128" s="1758"/>
      <c r="H128" s="608" t="str">
        <f ca="1">_xlfn.XLOOKUP(F128,Pareto!S:S,Pareto!X:X)</f>
        <v>✓ Concluído</v>
      </c>
      <c r="I128" s="608" t="str">
        <f ca="1">_xlfn.XLOOKUP('5 Unidades  +'!F128,Pareto!S:S,Pareto!Z:Z)</f>
        <v>OK</v>
      </c>
      <c r="J128" s="601">
        <f ca="1">_xlfn.XLOOKUP(F128,Pareto!S:S,Pareto!U:U)</f>
        <v>2387.0700000000002</v>
      </c>
      <c r="K128" s="601">
        <f ca="1">IFERROR(LARGE(Pareto!V:V,D128)," ")</f>
        <v>716.12100000000009</v>
      </c>
      <c r="L128" s="601">
        <f ca="1">_xlfn.XLOOKUP(F128,Pareto!S:S,Pareto!W:W)</f>
        <v>0</v>
      </c>
      <c r="M128" s="602">
        <f t="shared" ca="1" si="2"/>
        <v>-716.12100000000009</v>
      </c>
      <c r="N128" s="20"/>
      <c r="O128" s="20"/>
      <c r="P128" s="20"/>
      <c r="Q128" s="20"/>
      <c r="R128" s="20"/>
      <c r="S128" s="20"/>
      <c r="T128" s="20"/>
      <c r="U128" s="20"/>
      <c r="V128" s="20"/>
      <c r="W128" s="20"/>
      <c r="X128" s="20"/>
      <c r="Y128" s="20"/>
      <c r="Z128" s="20"/>
    </row>
    <row r="129" spans="3:26" ht="15" customHeight="1" x14ac:dyDescent="0.3">
      <c r="C129" s="20"/>
      <c r="D129" s="603">
        <v>76</v>
      </c>
      <c r="E129" s="609" t="str">
        <f ca="1">_xlfn.XLOOKUP(F129,Pareto!S:S,Pareto!T:T)</f>
        <v>Diadema</v>
      </c>
      <c r="F129" s="1759" t="str">
        <f ca="1">_xlfn.XLOOKUP(K129,Pareto!V:V,Pareto!S:S)</f>
        <v>37 - Redução de Peso Bruto do item MB003673LD</v>
      </c>
      <c r="G129" s="1760"/>
      <c r="H129" s="609" t="str">
        <f ca="1">_xlfn.XLOOKUP(F129,Pareto!S:S,Pareto!X:X)</f>
        <v>✓ Concluído</v>
      </c>
      <c r="I129" s="609" t="str">
        <f ca="1">_xlfn.XLOOKUP('5 Unidades  +'!F129,Pareto!S:S,Pareto!Z:Z)</f>
        <v>OK</v>
      </c>
      <c r="J129" s="604">
        <f ca="1">_xlfn.XLOOKUP(F129,Pareto!S:S,Pareto!U:U)</f>
        <v>2241.91</v>
      </c>
      <c r="K129" s="604">
        <f ca="1">IFERROR(LARGE(Pareto!V:V,D129)," ")</f>
        <v>672.57299999999987</v>
      </c>
      <c r="L129" s="604">
        <f ca="1">_xlfn.XLOOKUP(F129,Pareto!S:S,Pareto!W:W)</f>
        <v>0</v>
      </c>
      <c r="M129" s="605">
        <f t="shared" ca="1" si="2"/>
        <v>-672.57299999999987</v>
      </c>
      <c r="N129" s="20"/>
      <c r="O129" s="20"/>
      <c r="P129" s="20"/>
      <c r="Q129" s="20"/>
      <c r="R129" s="20"/>
      <c r="S129" s="20"/>
      <c r="T129" s="20"/>
      <c r="U129" s="20"/>
      <c r="V129" s="20"/>
      <c r="W129" s="20"/>
      <c r="X129" s="20"/>
      <c r="Y129" s="20"/>
      <c r="Z129" s="20"/>
    </row>
    <row r="130" spans="3:26" ht="15" customHeight="1" x14ac:dyDescent="0.3">
      <c r="C130" s="20"/>
      <c r="D130" s="600">
        <v>77</v>
      </c>
      <c r="E130" s="610" t="str">
        <f ca="1">_xlfn.XLOOKUP(F130,Pareto!S:S,Pareto!T:T)</f>
        <v>Anchieta</v>
      </c>
      <c r="F130" s="1757" t="str">
        <f ca="1">_xlfn.XLOOKUP(K130,Pareto!V:V,Pareto!S:S)</f>
        <v>13 - Consumo de materiais da ETE</v>
      </c>
      <c r="G130" s="1758"/>
      <c r="H130" s="608" t="str">
        <f ca="1">_xlfn.XLOOKUP(F130,Pareto!S:S,Pareto!X:X)</f>
        <v>⏳ Em Execução</v>
      </c>
      <c r="I130" s="608" t="str">
        <f ca="1">_xlfn.XLOOKUP('5 Unidades  +'!F130,Pareto!S:S,Pareto!Z:Z)</f>
        <v/>
      </c>
      <c r="J130" s="601">
        <f ca="1">_xlfn.XLOOKUP(F130,Pareto!S:S,Pareto!U:U)</f>
        <v>1875</v>
      </c>
      <c r="K130" s="601">
        <f ca="1">IFERROR(LARGE(Pareto!V:V,D130)," ")</f>
        <v>625</v>
      </c>
      <c r="L130" s="601" t="str">
        <f ca="1">_xlfn.XLOOKUP(F130,Pareto!S:S,Pareto!W:W)</f>
        <v/>
      </c>
      <c r="M130" s="602">
        <f t="shared" ca="1" si="2"/>
        <v>-625</v>
      </c>
      <c r="N130" s="20"/>
      <c r="O130" s="20"/>
      <c r="P130" s="20"/>
      <c r="Q130" s="20"/>
      <c r="R130" s="20"/>
      <c r="S130" s="20"/>
      <c r="T130" s="20"/>
      <c r="U130" s="20"/>
      <c r="V130" s="20"/>
      <c r="W130" s="20"/>
      <c r="X130" s="20"/>
      <c r="Y130" s="20"/>
      <c r="Z130" s="20"/>
    </row>
    <row r="131" spans="3:26" ht="15" customHeight="1" x14ac:dyDescent="0.3">
      <c r="C131" s="20"/>
      <c r="D131" s="603">
        <v>78</v>
      </c>
      <c r="E131" s="609" t="str">
        <f ca="1">_xlfn.XLOOKUP(F131,Pareto!S:S,Pareto!T:T)</f>
        <v>Diadema</v>
      </c>
      <c r="F131" s="1759" t="str">
        <f ca="1">_xlfn.XLOOKUP(K131,Pareto!V:V,Pareto!S:S)</f>
        <v>40 - Redução de Peso Bruto do item VW001138LA</v>
      </c>
      <c r="G131" s="1760"/>
      <c r="H131" s="609" t="str">
        <f ca="1">_xlfn.XLOOKUP(F131,Pareto!S:S,Pareto!X:X)</f>
        <v>✓ Concluído</v>
      </c>
      <c r="I131" s="609" t="str">
        <f ca="1">_xlfn.XLOOKUP('5 Unidades  +'!F131,Pareto!S:S,Pareto!Z:Z)</f>
        <v>OK</v>
      </c>
      <c r="J131" s="604">
        <f ca="1">_xlfn.XLOOKUP(F131,Pareto!S:S,Pareto!U:U)</f>
        <v>1896.5199999999998</v>
      </c>
      <c r="K131" s="604">
        <f ca="1">IFERROR(LARGE(Pareto!V:V,D131)," ")</f>
        <v>568.9559999999999</v>
      </c>
      <c r="L131" s="604">
        <f ca="1">_xlfn.XLOOKUP(F131,Pareto!S:S,Pareto!W:W)</f>
        <v>0</v>
      </c>
      <c r="M131" s="605">
        <f t="shared" ca="1" si="2"/>
        <v>-568.9559999999999</v>
      </c>
      <c r="N131" s="20"/>
      <c r="O131" s="20"/>
      <c r="P131" s="20"/>
      <c r="Q131" s="20"/>
      <c r="R131" s="20"/>
      <c r="S131" s="20"/>
      <c r="T131" s="20"/>
      <c r="U131" s="20"/>
      <c r="V131" s="20"/>
      <c r="W131" s="20"/>
      <c r="X131" s="20"/>
      <c r="Y131" s="20"/>
      <c r="Z131" s="20"/>
    </row>
    <row r="132" spans="3:26" ht="15" customHeight="1" x14ac:dyDescent="0.3">
      <c r="C132" s="20"/>
      <c r="D132" s="600">
        <v>79</v>
      </c>
      <c r="E132" s="610" t="str">
        <f ca="1">_xlfn.XLOOKUP(F132,Pareto!S:S,Pareto!T:T)</f>
        <v>Diadema</v>
      </c>
      <c r="F132" s="1757" t="str">
        <f ca="1">_xlfn.XLOOKUP(K132,Pareto!V:V,Pareto!S:S)</f>
        <v>39 - Redução de Peso Bruto do item VB000323LA</v>
      </c>
      <c r="G132" s="1758"/>
      <c r="H132" s="608" t="str">
        <f ca="1">_xlfn.XLOOKUP(F132,Pareto!S:S,Pareto!X:X)</f>
        <v>✓ Concluído</v>
      </c>
      <c r="I132" s="608" t="str">
        <f ca="1">_xlfn.XLOOKUP('5 Unidades  +'!F132,Pareto!S:S,Pareto!Z:Z)</f>
        <v>OK</v>
      </c>
      <c r="J132" s="601">
        <f ca="1">_xlfn.XLOOKUP(F132,Pareto!S:S,Pareto!U:U)</f>
        <v>1584.8700000000001</v>
      </c>
      <c r="K132" s="601">
        <f ca="1">IFERROR(LARGE(Pareto!V:V,D132)," ")</f>
        <v>475.46100000000001</v>
      </c>
      <c r="L132" s="601">
        <f ca="1">_xlfn.XLOOKUP(F132,Pareto!S:S,Pareto!W:W)</f>
        <v>0</v>
      </c>
      <c r="M132" s="602">
        <f t="shared" ca="1" si="2"/>
        <v>-475.46100000000001</v>
      </c>
      <c r="N132" s="20"/>
      <c r="O132" s="20"/>
      <c r="P132" s="20"/>
      <c r="Q132" s="20"/>
      <c r="R132" s="20"/>
      <c r="S132" s="20"/>
      <c r="T132" s="20"/>
      <c r="U132" s="20"/>
      <c r="V132" s="20"/>
      <c r="W132" s="20"/>
      <c r="X132" s="20"/>
      <c r="Y132" s="20"/>
      <c r="Z132" s="20"/>
    </row>
    <row r="133" spans="3:26" ht="15" customHeight="1" x14ac:dyDescent="0.3">
      <c r="C133" s="20"/>
      <c r="D133" s="603">
        <v>80</v>
      </c>
      <c r="E133" s="609" t="str">
        <f ca="1">_xlfn.XLOOKUP(F133,Pareto!S:S,Pareto!T:T)</f>
        <v>Diadema</v>
      </c>
      <c r="F133" s="1759" t="str">
        <f ca="1">_xlfn.XLOOKUP(K133,Pareto!V:V,Pareto!S:S)</f>
        <v>13 - Redução de Componente - 4065 de 6 para 4</v>
      </c>
      <c r="G133" s="1760"/>
      <c r="H133" s="609" t="str">
        <f ca="1">_xlfn.XLOOKUP(F133,Pareto!S:S,Pareto!X:X)</f>
        <v>⏳ Em Execução</v>
      </c>
      <c r="I133" s="609" t="str">
        <f ca="1">_xlfn.XLOOKUP('5 Unidades  +'!F133,Pareto!S:S,Pareto!Z:Z)</f>
        <v>OK</v>
      </c>
      <c r="J133" s="604">
        <f ca="1">_xlfn.XLOOKUP(F133,Pareto!S:S,Pareto!U:U)</f>
        <v>1962.46</v>
      </c>
      <c r="K133" s="604">
        <f ca="1">IFERROR(LARGE(Pareto!V:V,D133)," ")</f>
        <v>436.10222222222222</v>
      </c>
      <c r="L133" s="604">
        <f ca="1">_xlfn.XLOOKUP(F133,Pareto!S:S,Pareto!W:W)</f>
        <v>0</v>
      </c>
      <c r="M133" s="605">
        <f t="shared" ca="1" si="2"/>
        <v>-436.10222222222222</v>
      </c>
      <c r="N133" s="20"/>
      <c r="O133" s="20"/>
      <c r="P133" s="20"/>
      <c r="Q133" s="20"/>
      <c r="R133" s="20"/>
      <c r="S133" s="20"/>
      <c r="T133" s="20"/>
      <c r="U133" s="20"/>
      <c r="V133" s="20"/>
      <c r="W133" s="20"/>
      <c r="X133" s="20"/>
      <c r="Y133" s="20"/>
      <c r="Z133" s="20"/>
    </row>
    <row r="134" spans="3:26" ht="15" customHeight="1" x14ac:dyDescent="0.3">
      <c r="C134" s="20"/>
      <c r="D134" s="600">
        <v>81</v>
      </c>
      <c r="E134" s="610" t="str">
        <f ca="1">_xlfn.XLOOKUP(F134,Pareto!S:S,Pareto!T:T)</f>
        <v>Diadema</v>
      </c>
      <c r="F134" s="1757" t="str">
        <f ca="1">_xlfn.XLOOKUP(K134,Pareto!V:V,Pareto!S:S)</f>
        <v>10 - Padronização de arame de solda</v>
      </c>
      <c r="G134" s="1758"/>
      <c r="H134" s="608" t="str">
        <f ca="1">_xlfn.XLOOKUP(F134,Pareto!S:S,Pareto!X:X)</f>
        <v>⏳ Em Execução</v>
      </c>
      <c r="I134" s="608" t="str">
        <f ca="1">_xlfn.XLOOKUP('5 Unidades  +'!F134,Pareto!S:S,Pareto!Z:Z)</f>
        <v/>
      </c>
      <c r="J134" s="601">
        <f ca="1">_xlfn.XLOOKUP(F134,Pareto!S:S,Pareto!U:U)</f>
        <v>2928</v>
      </c>
      <c r="K134" s="601">
        <f ca="1">IFERROR(LARGE(Pareto!V:V,D134)," ")</f>
        <v>366</v>
      </c>
      <c r="L134" s="601">
        <f ca="1">_xlfn.XLOOKUP(F134,Pareto!S:S,Pareto!W:W)</f>
        <v>0</v>
      </c>
      <c r="M134" s="602">
        <f t="shared" ca="1" si="2"/>
        <v>-366</v>
      </c>
      <c r="N134" s="20"/>
      <c r="O134" s="20"/>
      <c r="P134" s="20"/>
      <c r="Q134" s="20"/>
      <c r="R134" s="20"/>
      <c r="S134" s="20"/>
      <c r="T134" s="20"/>
      <c r="U134" s="20"/>
      <c r="V134" s="20"/>
      <c r="W134" s="20"/>
      <c r="X134" s="20"/>
      <c r="Y134" s="20"/>
      <c r="Z134" s="20"/>
    </row>
    <row r="135" spans="3:26" ht="15" customHeight="1" x14ac:dyDescent="0.3">
      <c r="C135" s="20"/>
      <c r="D135" s="603">
        <v>82</v>
      </c>
      <c r="E135" s="609" t="str">
        <f ca="1">_xlfn.XLOOKUP(F135,Pareto!S:S,Pareto!T:T)</f>
        <v>Jarinu</v>
      </c>
      <c r="F135" s="1759" t="str">
        <f ca="1">_xlfn.XLOOKUP(K135,Pareto!V:V,Pareto!S:S)</f>
        <v>31 - Redução impressora Backup</v>
      </c>
      <c r="G135" s="1760"/>
      <c r="H135" s="609" t="str">
        <f ca="1">_xlfn.XLOOKUP(F135,Pareto!S:S,Pareto!X:X)</f>
        <v>⏳ Em Execução</v>
      </c>
      <c r="I135" s="609" t="str">
        <f ca="1">_xlfn.XLOOKUP('5 Unidades  +'!F135,Pareto!S:S,Pareto!Z:Z)</f>
        <v>OK</v>
      </c>
      <c r="J135" s="604">
        <f ca="1">_xlfn.XLOOKUP(F135,Pareto!S:S,Pareto!U:U)</f>
        <v>306</v>
      </c>
      <c r="K135" s="604">
        <f ca="1">IFERROR(LARGE(Pareto!V:V,D135)," ")</f>
        <v>204</v>
      </c>
      <c r="L135" s="604">
        <f ca="1">_xlfn.XLOOKUP(F135,Pareto!S:S,Pareto!W:W)</f>
        <v>204</v>
      </c>
      <c r="M135" s="605">
        <f t="shared" ca="1" si="2"/>
        <v>0</v>
      </c>
      <c r="N135" s="20"/>
      <c r="O135" s="20"/>
      <c r="P135" s="20"/>
      <c r="Q135" s="20"/>
      <c r="R135" s="20"/>
      <c r="S135" s="20"/>
      <c r="T135" s="20"/>
      <c r="U135" s="20"/>
      <c r="V135" s="20"/>
      <c r="W135" s="20"/>
      <c r="X135" s="20"/>
      <c r="Y135" s="20"/>
      <c r="Z135" s="20"/>
    </row>
    <row r="136" spans="3:26" ht="15" customHeight="1" x14ac:dyDescent="0.3">
      <c r="C136" s="20"/>
      <c r="D136" s="600">
        <v>83</v>
      </c>
      <c r="E136" s="610" t="str">
        <f ca="1">_xlfn.XLOOKUP(F136,Pareto!S:S,Pareto!T:T)</f>
        <v>Diadema</v>
      </c>
      <c r="F136" s="1757" t="str">
        <f ca="1">_xlfn.XLOOKUP(K136,Pareto!V:V,Pareto!S:S)</f>
        <v>36 - Redução de Peso Bruto do item MB003673LA</v>
      </c>
      <c r="G136" s="1758"/>
      <c r="H136" s="608" t="str">
        <f ca="1">_xlfn.XLOOKUP(F136,Pareto!S:S,Pareto!X:X)</f>
        <v>✓ Concluído</v>
      </c>
      <c r="I136" s="608" t="str">
        <f ca="1">_xlfn.XLOOKUP('5 Unidades  +'!F136,Pareto!S:S,Pareto!Z:Z)</f>
        <v>OK</v>
      </c>
      <c r="J136" s="601">
        <f ca="1">_xlfn.XLOOKUP(F136,Pareto!S:S,Pareto!U:U)</f>
        <v>635.70000000000005</v>
      </c>
      <c r="K136" s="601">
        <f ca="1">IFERROR(LARGE(Pareto!V:V,D136)," ")</f>
        <v>190.71000000000004</v>
      </c>
      <c r="L136" s="601">
        <f ca="1">_xlfn.XLOOKUP(F136,Pareto!S:S,Pareto!W:W)</f>
        <v>0</v>
      </c>
      <c r="M136" s="602">
        <f t="shared" ca="1" si="2"/>
        <v>-190.71000000000004</v>
      </c>
      <c r="N136" s="20"/>
      <c r="O136" s="20"/>
      <c r="P136" s="20"/>
      <c r="Q136" s="20"/>
      <c r="R136" s="20"/>
      <c r="S136" s="20"/>
      <c r="T136" s="20"/>
      <c r="U136" s="20"/>
      <c r="V136" s="20"/>
      <c r="W136" s="20"/>
      <c r="X136" s="20"/>
      <c r="Y136" s="20"/>
      <c r="Z136" s="20"/>
    </row>
    <row r="137" spans="3:26" ht="15" customHeight="1" x14ac:dyDescent="0.3">
      <c r="C137" s="20"/>
      <c r="D137" s="603">
        <v>84</v>
      </c>
      <c r="E137" s="609" t="str">
        <f ca="1">_xlfn.XLOOKUP(F137,Pareto!S:S,Pareto!T:T)</f>
        <v>Diadema</v>
      </c>
      <c r="F137" s="1759" t="str">
        <f ca="1">_xlfn.XLOOKUP(K137,Pareto!V:V,Pareto!S:S)</f>
        <v>32 - Redução de Peso Bruto do item MB003594LA</v>
      </c>
      <c r="G137" s="1760"/>
      <c r="H137" s="609" t="str">
        <f ca="1">_xlfn.XLOOKUP(F137,Pareto!S:S,Pareto!X:X)</f>
        <v>✓ Concluído</v>
      </c>
      <c r="I137" s="609" t="str">
        <f ca="1">_xlfn.XLOOKUP('5 Unidades  +'!F137,Pareto!S:S,Pareto!Z:Z)</f>
        <v>OK</v>
      </c>
      <c r="J137" s="604">
        <f ca="1">_xlfn.XLOOKUP(F137,Pareto!S:S,Pareto!U:U)</f>
        <v>525.25</v>
      </c>
      <c r="K137" s="604">
        <f ca="1">IFERROR(LARGE(Pareto!V:V,D137)," ")</f>
        <v>157.57499999999999</v>
      </c>
      <c r="L137" s="604">
        <f ca="1">_xlfn.XLOOKUP(F137,Pareto!S:S,Pareto!W:W)</f>
        <v>0</v>
      </c>
      <c r="M137" s="605">
        <f t="shared" ca="1" si="2"/>
        <v>-157.57499999999999</v>
      </c>
      <c r="N137" s="20"/>
      <c r="O137" s="20"/>
      <c r="P137" s="20"/>
      <c r="Q137" s="20"/>
      <c r="R137" s="20"/>
      <c r="S137" s="20"/>
      <c r="T137" s="20"/>
      <c r="U137" s="20"/>
      <c r="V137" s="20"/>
      <c r="W137" s="20"/>
      <c r="X137" s="20"/>
      <c r="Y137" s="20"/>
      <c r="Z137" s="20"/>
    </row>
    <row r="138" spans="3:26" ht="15" hidden="1" customHeight="1" x14ac:dyDescent="0.3">
      <c r="C138" s="20"/>
      <c r="D138" s="600">
        <v>85</v>
      </c>
      <c r="E138" s="610" t="e">
        <f ca="1">_xlfn.XLOOKUP(F138,Pareto!S:S,Pareto!T:T)</f>
        <v>#N/A</v>
      </c>
      <c r="F138" s="1757" t="e">
        <f ca="1">_xlfn.XLOOKUP(K138,Pareto!V:V,Pareto!S:S)</f>
        <v>#N/A</v>
      </c>
      <c r="G138" s="1758"/>
      <c r="H138" s="608" t="e">
        <f ca="1">_xlfn.XLOOKUP(F138,Pareto!S:S,Pareto!X:X)</f>
        <v>#N/A</v>
      </c>
      <c r="I138" s="608" t="e">
        <f ca="1">_xlfn.XLOOKUP('5 Unidades  +'!F138,Pareto!S:S,Pareto!Z:Z)</f>
        <v>#N/A</v>
      </c>
      <c r="J138" s="601" t="e">
        <f ca="1">_xlfn.XLOOKUP(F138,Pareto!S:S,Pareto!U:U)</f>
        <v>#N/A</v>
      </c>
      <c r="K138" s="601" t="str">
        <f ca="1">IFERROR(LARGE(Pareto!V:V,D138)," ")</f>
        <v xml:space="preserve"> </v>
      </c>
      <c r="L138" s="601" t="e">
        <f ca="1">_xlfn.XLOOKUP(F138,Pareto!S:S,Pareto!W:W)</f>
        <v>#N/A</v>
      </c>
      <c r="M138" s="602" t="e">
        <f t="shared" ca="1" si="2"/>
        <v>#N/A</v>
      </c>
      <c r="N138" s="20"/>
      <c r="O138" s="20"/>
      <c r="P138" s="20"/>
      <c r="Q138" s="20"/>
      <c r="R138" s="20"/>
      <c r="S138" s="20"/>
      <c r="T138" s="20"/>
      <c r="U138" s="20"/>
      <c r="V138" s="20"/>
      <c r="W138" s="20"/>
      <c r="X138" s="20"/>
      <c r="Y138" s="20"/>
      <c r="Z138" s="20"/>
    </row>
    <row r="139" spans="3:26" ht="15" hidden="1" customHeight="1" x14ac:dyDescent="0.3">
      <c r="C139" s="20"/>
      <c r="D139" s="603">
        <v>86</v>
      </c>
      <c r="E139" s="609" t="e">
        <f ca="1">_xlfn.XLOOKUP(F139,Pareto!S:S,Pareto!T:T)</f>
        <v>#N/A</v>
      </c>
      <c r="F139" s="1759" t="e">
        <f ca="1">_xlfn.XLOOKUP(K139,Pareto!V:V,Pareto!S:S)</f>
        <v>#N/A</v>
      </c>
      <c r="G139" s="1760"/>
      <c r="H139" s="609" t="e">
        <f ca="1">_xlfn.XLOOKUP(F139,Pareto!S:S,Pareto!X:X)</f>
        <v>#N/A</v>
      </c>
      <c r="I139" s="609" t="e">
        <f ca="1">_xlfn.XLOOKUP('5 Unidades  +'!F139,Pareto!S:S,Pareto!Z:Z)</f>
        <v>#N/A</v>
      </c>
      <c r="J139" s="604" t="e">
        <f ca="1">_xlfn.XLOOKUP(F139,Pareto!S:S,Pareto!U:U)</f>
        <v>#N/A</v>
      </c>
      <c r="K139" s="604" t="str">
        <f ca="1">IFERROR(LARGE(Pareto!V:V,D139)," ")</f>
        <v xml:space="preserve"> </v>
      </c>
      <c r="L139" s="604" t="e">
        <f ca="1">_xlfn.XLOOKUP(F139,Pareto!S:S,Pareto!W:W)</f>
        <v>#N/A</v>
      </c>
      <c r="M139" s="605" t="e">
        <f t="shared" ca="1" si="2"/>
        <v>#N/A</v>
      </c>
      <c r="N139" s="20"/>
      <c r="O139" s="20"/>
      <c r="P139" s="20"/>
      <c r="Q139" s="20"/>
      <c r="R139" s="20"/>
      <c r="S139" s="20"/>
      <c r="T139" s="20"/>
      <c r="U139" s="20"/>
      <c r="V139" s="20"/>
      <c r="W139" s="20"/>
      <c r="X139" s="20"/>
      <c r="Y139" s="20"/>
      <c r="Z139" s="20"/>
    </row>
    <row r="140" spans="3:26" ht="15" hidden="1" customHeight="1" x14ac:dyDescent="0.3">
      <c r="C140" s="20"/>
      <c r="D140" s="600">
        <v>87</v>
      </c>
      <c r="E140" s="610" t="e">
        <f ca="1">_xlfn.XLOOKUP(F140,Pareto!S:S,Pareto!T:T)</f>
        <v>#N/A</v>
      </c>
      <c r="F140" s="1757" t="e">
        <f ca="1">_xlfn.XLOOKUP(K140,Pareto!V:V,Pareto!S:S)</f>
        <v>#N/A</v>
      </c>
      <c r="G140" s="1758"/>
      <c r="H140" s="608" t="e">
        <f ca="1">_xlfn.XLOOKUP(F140,Pareto!S:S,Pareto!X:X)</f>
        <v>#N/A</v>
      </c>
      <c r="I140" s="608" t="e">
        <f ca="1">_xlfn.XLOOKUP('5 Unidades  +'!F140,Pareto!S:S,Pareto!Z:Z)</f>
        <v>#N/A</v>
      </c>
      <c r="J140" s="601" t="e">
        <f ca="1">_xlfn.XLOOKUP(F140,Pareto!S:S,Pareto!U:U)</f>
        <v>#N/A</v>
      </c>
      <c r="K140" s="601" t="str">
        <f ca="1">IFERROR(LARGE(Pareto!V:V,D140)," ")</f>
        <v xml:space="preserve"> </v>
      </c>
      <c r="L140" s="601" t="e">
        <f ca="1">_xlfn.XLOOKUP(F140,Pareto!S:S,Pareto!W:W)</f>
        <v>#N/A</v>
      </c>
      <c r="M140" s="602" t="e">
        <f t="shared" ca="1" si="2"/>
        <v>#N/A</v>
      </c>
      <c r="N140" s="20"/>
      <c r="O140" s="20"/>
      <c r="P140" s="20"/>
      <c r="Q140" s="20"/>
      <c r="R140" s="20"/>
      <c r="S140" s="20"/>
      <c r="T140" s="20"/>
      <c r="U140" s="20"/>
      <c r="V140" s="20"/>
      <c r="W140" s="20"/>
      <c r="X140" s="20"/>
      <c r="Y140" s="20"/>
      <c r="Z140" s="20"/>
    </row>
    <row r="141" spans="3:26" ht="15" hidden="1" customHeight="1" x14ac:dyDescent="0.3">
      <c r="C141" s="20"/>
      <c r="D141" s="603">
        <v>88</v>
      </c>
      <c r="E141" s="609" t="e">
        <f ca="1">_xlfn.XLOOKUP(F141,Pareto!S:S,Pareto!T:T)</f>
        <v>#N/A</v>
      </c>
      <c r="F141" s="1759" t="e">
        <f ca="1">_xlfn.XLOOKUP(K141,Pareto!V:V,Pareto!S:S)</f>
        <v>#N/A</v>
      </c>
      <c r="G141" s="1760"/>
      <c r="H141" s="609" t="e">
        <f ca="1">_xlfn.XLOOKUP(F141,Pareto!S:S,Pareto!X:X)</f>
        <v>#N/A</v>
      </c>
      <c r="I141" s="609" t="e">
        <f ca="1">_xlfn.XLOOKUP('5 Unidades  +'!F141,Pareto!S:S,Pareto!Z:Z)</f>
        <v>#N/A</v>
      </c>
      <c r="J141" s="604" t="e">
        <f ca="1">_xlfn.XLOOKUP(F141,Pareto!S:S,Pareto!U:U)</f>
        <v>#N/A</v>
      </c>
      <c r="K141" s="604" t="str">
        <f ca="1">IFERROR(LARGE(Pareto!V:V,D141)," ")</f>
        <v xml:space="preserve"> </v>
      </c>
      <c r="L141" s="604" t="e">
        <f ca="1">_xlfn.XLOOKUP(F141,Pareto!S:S,Pareto!W:W)</f>
        <v>#N/A</v>
      </c>
      <c r="M141" s="605" t="e">
        <f t="shared" ca="1" si="2"/>
        <v>#N/A</v>
      </c>
      <c r="N141" s="20"/>
      <c r="O141" s="20"/>
      <c r="P141" s="20"/>
      <c r="Q141" s="20"/>
      <c r="R141" s="20"/>
      <c r="S141" s="20"/>
      <c r="T141" s="20"/>
      <c r="U141" s="20"/>
      <c r="V141" s="20"/>
      <c r="W141" s="20"/>
      <c r="X141" s="20"/>
      <c r="Y141" s="20"/>
      <c r="Z141" s="20"/>
    </row>
    <row r="142" spans="3:26" ht="15" hidden="1" customHeight="1" x14ac:dyDescent="0.3">
      <c r="C142" s="20"/>
      <c r="D142" s="600">
        <v>89</v>
      </c>
      <c r="E142" s="610" t="e">
        <f ca="1">_xlfn.XLOOKUP(F142,Pareto!S:S,Pareto!T:T)</f>
        <v>#N/A</v>
      </c>
      <c r="F142" s="1757" t="e">
        <f ca="1">_xlfn.XLOOKUP(K142,Pareto!V:V,Pareto!S:S)</f>
        <v>#N/A</v>
      </c>
      <c r="G142" s="1758"/>
      <c r="H142" s="608" t="e">
        <f ca="1">_xlfn.XLOOKUP(F142,Pareto!S:S,Pareto!X:X)</f>
        <v>#N/A</v>
      </c>
      <c r="I142" s="608" t="e">
        <f ca="1">_xlfn.XLOOKUP('5 Unidades  +'!F142,Pareto!S:S,Pareto!Z:Z)</f>
        <v>#N/A</v>
      </c>
      <c r="J142" s="601" t="e">
        <f ca="1">_xlfn.XLOOKUP(F142,Pareto!S:S,Pareto!U:U)</f>
        <v>#N/A</v>
      </c>
      <c r="K142" s="601" t="str">
        <f ca="1">IFERROR(LARGE(Pareto!V:V,D142)," ")</f>
        <v xml:space="preserve"> </v>
      </c>
      <c r="L142" s="601" t="e">
        <f ca="1">_xlfn.XLOOKUP(F142,Pareto!S:S,Pareto!W:W)</f>
        <v>#N/A</v>
      </c>
      <c r="M142" s="602" t="e">
        <f t="shared" ca="1" si="2"/>
        <v>#N/A</v>
      </c>
      <c r="N142" s="20"/>
      <c r="O142" s="20"/>
      <c r="P142" s="20"/>
      <c r="Q142" s="20"/>
      <c r="R142" s="20"/>
      <c r="S142" s="20"/>
      <c r="T142" s="20"/>
      <c r="U142" s="20"/>
      <c r="V142" s="20"/>
      <c r="W142" s="20"/>
      <c r="X142" s="20"/>
      <c r="Y142" s="20"/>
      <c r="Z142" s="20"/>
    </row>
    <row r="143" spans="3:26" ht="15" hidden="1" customHeight="1" x14ac:dyDescent="0.3">
      <c r="C143" s="20"/>
      <c r="D143" s="603">
        <v>90</v>
      </c>
      <c r="E143" s="609" t="e">
        <f ca="1">_xlfn.XLOOKUP(F143,Pareto!S:S,Pareto!T:T)</f>
        <v>#N/A</v>
      </c>
      <c r="F143" s="1759" t="e">
        <f ca="1">_xlfn.XLOOKUP(K143,Pareto!V:V,Pareto!S:S)</f>
        <v>#N/A</v>
      </c>
      <c r="G143" s="1760"/>
      <c r="H143" s="609" t="e">
        <f ca="1">_xlfn.XLOOKUP(F143,Pareto!S:S,Pareto!X:X)</f>
        <v>#N/A</v>
      </c>
      <c r="I143" s="609" t="e">
        <f ca="1">_xlfn.XLOOKUP('5 Unidades  +'!F143,Pareto!S:S,Pareto!Z:Z)</f>
        <v>#N/A</v>
      </c>
      <c r="J143" s="604" t="e">
        <f ca="1">_xlfn.XLOOKUP(F143,Pareto!S:S,Pareto!U:U)</f>
        <v>#N/A</v>
      </c>
      <c r="K143" s="604" t="str">
        <f ca="1">IFERROR(LARGE(Pareto!V:V,D143)," ")</f>
        <v xml:space="preserve"> </v>
      </c>
      <c r="L143" s="604" t="e">
        <f ca="1">_xlfn.XLOOKUP(F143,Pareto!S:S,Pareto!W:W)</f>
        <v>#N/A</v>
      </c>
      <c r="M143" s="605" t="e">
        <f t="shared" ca="1" si="2"/>
        <v>#N/A</v>
      </c>
      <c r="N143" s="20"/>
      <c r="O143" s="20"/>
      <c r="P143" s="20"/>
      <c r="Q143" s="20"/>
      <c r="R143" s="20"/>
      <c r="S143" s="20"/>
      <c r="T143" s="20"/>
      <c r="U143" s="20"/>
      <c r="V143" s="20"/>
      <c r="W143" s="20"/>
      <c r="X143" s="20"/>
      <c r="Y143" s="20"/>
      <c r="Z143" s="20"/>
    </row>
    <row r="144" spans="3:26" ht="15" hidden="1" customHeight="1" x14ac:dyDescent="0.3">
      <c r="C144" s="20"/>
      <c r="D144" s="600">
        <v>91</v>
      </c>
      <c r="E144" s="610" t="e">
        <f ca="1">_xlfn.XLOOKUP(F144,Pareto!S:S,Pareto!T:T)</f>
        <v>#N/A</v>
      </c>
      <c r="F144" s="1757" t="e">
        <f ca="1">_xlfn.XLOOKUP(K144,Pareto!V:V,Pareto!S:S)</f>
        <v>#N/A</v>
      </c>
      <c r="G144" s="1758"/>
      <c r="H144" s="608" t="e">
        <f ca="1">_xlfn.XLOOKUP(F144,Pareto!S:S,Pareto!X:X)</f>
        <v>#N/A</v>
      </c>
      <c r="I144" s="608" t="e">
        <f ca="1">_xlfn.XLOOKUP('5 Unidades  +'!F144,Pareto!S:S,Pareto!Z:Z)</f>
        <v>#N/A</v>
      </c>
      <c r="J144" s="601" t="e">
        <f ca="1">_xlfn.XLOOKUP(F144,Pareto!S:S,Pareto!U:U)</f>
        <v>#N/A</v>
      </c>
      <c r="K144" s="601" t="str">
        <f ca="1">IFERROR(LARGE(Pareto!V:V,D144)," ")</f>
        <v xml:space="preserve"> </v>
      </c>
      <c r="L144" s="601" t="e">
        <f ca="1">_xlfn.XLOOKUP(F144,Pareto!S:S,Pareto!W:W)</f>
        <v>#N/A</v>
      </c>
      <c r="M144" s="602" t="e">
        <f t="shared" ca="1" si="2"/>
        <v>#N/A</v>
      </c>
      <c r="N144" s="20"/>
      <c r="O144" s="20"/>
      <c r="P144" s="20"/>
      <c r="Q144" s="20"/>
      <c r="R144" s="20"/>
      <c r="S144" s="20"/>
      <c r="T144" s="20"/>
      <c r="U144" s="20"/>
      <c r="V144" s="20"/>
      <c r="W144" s="20"/>
      <c r="X144" s="20"/>
      <c r="Y144" s="20"/>
      <c r="Z144" s="20"/>
    </row>
    <row r="145" spans="3:26" ht="15" hidden="1" customHeight="1" x14ac:dyDescent="0.3">
      <c r="C145" s="20"/>
      <c r="D145" s="603">
        <v>92</v>
      </c>
      <c r="E145" s="609" t="e">
        <f ca="1">_xlfn.XLOOKUP(F145,Pareto!S:S,Pareto!T:T)</f>
        <v>#N/A</v>
      </c>
      <c r="F145" s="1759" t="e">
        <f ca="1">_xlfn.XLOOKUP(K145,Pareto!V:V,Pareto!S:S)</f>
        <v>#N/A</v>
      </c>
      <c r="G145" s="1760"/>
      <c r="H145" s="609" t="e">
        <f ca="1">_xlfn.XLOOKUP(F145,Pareto!S:S,Pareto!X:X)</f>
        <v>#N/A</v>
      </c>
      <c r="I145" s="609" t="e">
        <f ca="1">_xlfn.XLOOKUP('5 Unidades  +'!F145,Pareto!S:S,Pareto!Z:Z)</f>
        <v>#N/A</v>
      </c>
      <c r="J145" s="604" t="e">
        <f ca="1">_xlfn.XLOOKUP(F145,Pareto!S:S,Pareto!U:U)</f>
        <v>#N/A</v>
      </c>
      <c r="K145" s="604" t="str">
        <f ca="1">IFERROR(LARGE(Pareto!V:V,D145)," ")</f>
        <v xml:space="preserve"> </v>
      </c>
      <c r="L145" s="604" t="e">
        <f ca="1">_xlfn.XLOOKUP(F145,Pareto!S:S,Pareto!W:W)</f>
        <v>#N/A</v>
      </c>
      <c r="M145" s="605" t="e">
        <f t="shared" ca="1" si="2"/>
        <v>#N/A</v>
      </c>
      <c r="N145" s="20"/>
      <c r="O145" s="20"/>
      <c r="P145" s="20"/>
      <c r="Q145" s="20"/>
      <c r="R145" s="20"/>
      <c r="S145" s="20"/>
      <c r="T145" s="20"/>
      <c r="U145" s="20"/>
      <c r="V145" s="20"/>
      <c r="W145" s="20"/>
      <c r="X145" s="20"/>
      <c r="Y145" s="20"/>
      <c r="Z145" s="20"/>
    </row>
    <row r="146" spans="3:26" ht="15" hidden="1" customHeight="1" x14ac:dyDescent="0.3">
      <c r="C146" s="20"/>
      <c r="D146" s="600">
        <v>93</v>
      </c>
      <c r="E146" s="610" t="e">
        <f ca="1">_xlfn.XLOOKUP(F146,Pareto!S:S,Pareto!T:T)</f>
        <v>#N/A</v>
      </c>
      <c r="F146" s="1757" t="e">
        <f ca="1">_xlfn.XLOOKUP(K146,Pareto!V:V,Pareto!S:S)</f>
        <v>#N/A</v>
      </c>
      <c r="G146" s="1758"/>
      <c r="H146" s="608" t="e">
        <f ca="1">_xlfn.XLOOKUP(F146,Pareto!S:S,Pareto!X:X)</f>
        <v>#N/A</v>
      </c>
      <c r="I146" s="608" t="e">
        <f ca="1">_xlfn.XLOOKUP('5 Unidades  +'!F146,Pareto!S:S,Pareto!Z:Z)</f>
        <v>#N/A</v>
      </c>
      <c r="J146" s="601" t="e">
        <f ca="1">_xlfn.XLOOKUP(F146,Pareto!S:S,Pareto!U:U)</f>
        <v>#N/A</v>
      </c>
      <c r="K146" s="601" t="str">
        <f ca="1">IFERROR(LARGE(Pareto!V:V,D146)," ")</f>
        <v xml:space="preserve"> </v>
      </c>
      <c r="L146" s="601" t="e">
        <f ca="1">_xlfn.XLOOKUP(F146,Pareto!S:S,Pareto!W:W)</f>
        <v>#N/A</v>
      </c>
      <c r="M146" s="602" t="e">
        <f t="shared" ca="1" si="2"/>
        <v>#N/A</v>
      </c>
      <c r="N146" s="20"/>
      <c r="O146" s="20"/>
      <c r="P146" s="20"/>
      <c r="Q146" s="20"/>
      <c r="R146" s="20"/>
      <c r="S146" s="20"/>
      <c r="T146" s="20"/>
      <c r="U146" s="20"/>
      <c r="V146" s="20"/>
      <c r="W146" s="20"/>
      <c r="X146" s="20"/>
      <c r="Y146" s="20"/>
      <c r="Z146" s="20"/>
    </row>
    <row r="147" spans="3:26" ht="15" hidden="1" customHeight="1" x14ac:dyDescent="0.3">
      <c r="C147" s="20"/>
      <c r="D147" s="603">
        <v>94</v>
      </c>
      <c r="E147" s="609" t="e">
        <f ca="1">_xlfn.XLOOKUP(F147,Pareto!S:S,Pareto!T:T)</f>
        <v>#N/A</v>
      </c>
      <c r="F147" s="1759" t="e">
        <f ca="1">_xlfn.XLOOKUP(K147,Pareto!V:V,Pareto!S:S)</f>
        <v>#N/A</v>
      </c>
      <c r="G147" s="1760"/>
      <c r="H147" s="609" t="e">
        <f ca="1">_xlfn.XLOOKUP(F147,Pareto!S:S,Pareto!X:X)</f>
        <v>#N/A</v>
      </c>
      <c r="I147" s="609" t="e">
        <f ca="1">_xlfn.XLOOKUP('5 Unidades  +'!F147,Pareto!S:S,Pareto!Z:Z)</f>
        <v>#N/A</v>
      </c>
      <c r="J147" s="604" t="e">
        <f ca="1">_xlfn.XLOOKUP(F147,Pareto!S:S,Pareto!U:U)</f>
        <v>#N/A</v>
      </c>
      <c r="K147" s="604" t="str">
        <f ca="1">IFERROR(LARGE(Pareto!V:V,D147)," ")</f>
        <v xml:space="preserve"> </v>
      </c>
      <c r="L147" s="604" t="e">
        <f ca="1">_xlfn.XLOOKUP(F147,Pareto!S:S,Pareto!W:W)</f>
        <v>#N/A</v>
      </c>
      <c r="M147" s="605" t="e">
        <f t="shared" ca="1" si="2"/>
        <v>#N/A</v>
      </c>
      <c r="N147" s="20"/>
      <c r="O147" s="20"/>
      <c r="P147" s="20"/>
      <c r="Q147" s="20"/>
      <c r="R147" s="20"/>
      <c r="S147" s="20"/>
      <c r="T147" s="20"/>
      <c r="U147" s="20"/>
      <c r="V147" s="20"/>
      <c r="W147" s="20"/>
      <c r="X147" s="20"/>
      <c r="Y147" s="20"/>
      <c r="Z147" s="20"/>
    </row>
    <row r="148" spans="3:26" ht="15" hidden="1" customHeight="1" x14ac:dyDescent="0.3">
      <c r="C148" s="20"/>
      <c r="D148" s="600">
        <v>95</v>
      </c>
      <c r="E148" s="610" t="e">
        <f ca="1">_xlfn.XLOOKUP(F148,Pareto!S:S,Pareto!T:T)</f>
        <v>#N/A</v>
      </c>
      <c r="F148" s="1757" t="e">
        <f ca="1">_xlfn.XLOOKUP(K148,Pareto!V:V,Pareto!S:S)</f>
        <v>#N/A</v>
      </c>
      <c r="G148" s="1758"/>
      <c r="H148" s="608" t="e">
        <f ca="1">_xlfn.XLOOKUP(F148,Pareto!S:S,Pareto!X:X)</f>
        <v>#N/A</v>
      </c>
      <c r="I148" s="608" t="e">
        <f ca="1">_xlfn.XLOOKUP('5 Unidades  +'!F148,Pareto!S:S,Pareto!Z:Z)</f>
        <v>#N/A</v>
      </c>
      <c r="J148" s="601" t="e">
        <f ca="1">_xlfn.XLOOKUP(F148,Pareto!S:S,Pareto!U:U)</f>
        <v>#N/A</v>
      </c>
      <c r="K148" s="601" t="str">
        <f ca="1">IFERROR(LARGE(Pareto!V:V,D148)," ")</f>
        <v xml:space="preserve"> </v>
      </c>
      <c r="L148" s="601" t="e">
        <f ca="1">_xlfn.XLOOKUP(F148,Pareto!S:S,Pareto!W:W)</f>
        <v>#N/A</v>
      </c>
      <c r="M148" s="602" t="e">
        <f t="shared" ca="1" si="2"/>
        <v>#N/A</v>
      </c>
      <c r="N148" s="20"/>
      <c r="O148" s="20"/>
      <c r="P148" s="20"/>
      <c r="Q148" s="20"/>
      <c r="R148" s="20"/>
      <c r="S148" s="20"/>
      <c r="T148" s="20"/>
      <c r="U148" s="20"/>
      <c r="V148" s="20"/>
      <c r="W148" s="20"/>
      <c r="X148" s="20"/>
      <c r="Y148" s="20"/>
      <c r="Z148" s="20"/>
    </row>
    <row r="149" spans="3:26" ht="15" hidden="1" customHeight="1" x14ac:dyDescent="0.3">
      <c r="C149" s="20"/>
      <c r="D149" s="603">
        <v>96</v>
      </c>
      <c r="E149" s="609" t="e">
        <f ca="1">_xlfn.XLOOKUP(F149,Pareto!S:S,Pareto!T:T)</f>
        <v>#N/A</v>
      </c>
      <c r="F149" s="1759" t="e">
        <f ca="1">_xlfn.XLOOKUP(K149,Pareto!V:V,Pareto!S:S)</f>
        <v>#N/A</v>
      </c>
      <c r="G149" s="1760"/>
      <c r="H149" s="609" t="e">
        <f ca="1">_xlfn.XLOOKUP(F149,Pareto!S:S,Pareto!X:X)</f>
        <v>#N/A</v>
      </c>
      <c r="I149" s="609" t="e">
        <f ca="1">_xlfn.XLOOKUP('5 Unidades  +'!F149,Pareto!S:S,Pareto!Z:Z)</f>
        <v>#N/A</v>
      </c>
      <c r="J149" s="604" t="e">
        <f ca="1">_xlfn.XLOOKUP(F149,Pareto!S:S,Pareto!U:U)</f>
        <v>#N/A</v>
      </c>
      <c r="K149" s="604" t="str">
        <f ca="1">IFERROR(LARGE(Pareto!V:V,D149)," ")</f>
        <v xml:space="preserve"> </v>
      </c>
      <c r="L149" s="604" t="e">
        <f ca="1">_xlfn.XLOOKUP(F149,Pareto!S:S,Pareto!W:W)</f>
        <v>#N/A</v>
      </c>
      <c r="M149" s="605" t="e">
        <f t="shared" ca="1" si="2"/>
        <v>#N/A</v>
      </c>
      <c r="N149" s="20"/>
      <c r="O149" s="20"/>
      <c r="P149" s="20"/>
      <c r="Q149" s="20"/>
      <c r="R149" s="20"/>
      <c r="S149" s="20"/>
      <c r="T149" s="20"/>
      <c r="U149" s="20"/>
      <c r="V149" s="20"/>
      <c r="W149" s="20"/>
      <c r="X149" s="20"/>
      <c r="Y149" s="20"/>
      <c r="Z149" s="20"/>
    </row>
    <row r="150" spans="3:26" ht="15" hidden="1" customHeight="1" x14ac:dyDescent="0.3">
      <c r="C150" s="20"/>
      <c r="D150" s="600">
        <v>97</v>
      </c>
      <c r="E150" s="610" t="e">
        <f ca="1">_xlfn.XLOOKUP(F150,Pareto!S:S,Pareto!T:T)</f>
        <v>#N/A</v>
      </c>
      <c r="F150" s="1757" t="e">
        <f ca="1">_xlfn.XLOOKUP(K150,Pareto!V:V,Pareto!S:S)</f>
        <v>#N/A</v>
      </c>
      <c r="G150" s="1758"/>
      <c r="H150" s="608" t="e">
        <f ca="1">_xlfn.XLOOKUP(F150,Pareto!S:S,Pareto!X:X)</f>
        <v>#N/A</v>
      </c>
      <c r="I150" s="608" t="e">
        <f ca="1">_xlfn.XLOOKUP('5 Unidades  +'!F150,Pareto!S:S,Pareto!Z:Z)</f>
        <v>#N/A</v>
      </c>
      <c r="J150" s="601" t="e">
        <f ca="1">_xlfn.XLOOKUP(F150,Pareto!S:S,Pareto!U:U)</f>
        <v>#N/A</v>
      </c>
      <c r="K150" s="601" t="str">
        <f ca="1">IFERROR(LARGE(Pareto!V:V,D150)," ")</f>
        <v xml:space="preserve"> </v>
      </c>
      <c r="L150" s="601" t="e">
        <f ca="1">_xlfn.XLOOKUP(F150,Pareto!S:S,Pareto!W:W)</f>
        <v>#N/A</v>
      </c>
      <c r="M150" s="602" t="e">
        <f t="shared" ca="1" si="2"/>
        <v>#N/A</v>
      </c>
      <c r="N150" s="20"/>
      <c r="O150" s="20"/>
      <c r="P150" s="20"/>
      <c r="Q150" s="20"/>
      <c r="R150" s="20"/>
      <c r="S150" s="20"/>
      <c r="T150" s="20"/>
      <c r="U150" s="20"/>
      <c r="V150" s="20"/>
      <c r="W150" s="20"/>
      <c r="X150" s="20"/>
      <c r="Y150" s="20"/>
      <c r="Z150" s="20"/>
    </row>
    <row r="151" spans="3:26" ht="15" hidden="1" customHeight="1" x14ac:dyDescent="0.3">
      <c r="C151" s="20"/>
      <c r="D151" s="603">
        <v>98</v>
      </c>
      <c r="E151" s="609" t="e">
        <f ca="1">_xlfn.XLOOKUP(F151,Pareto!S:S,Pareto!T:T)</f>
        <v>#N/A</v>
      </c>
      <c r="F151" s="1759" t="e">
        <f ca="1">_xlfn.XLOOKUP(K151,Pareto!V:V,Pareto!S:S)</f>
        <v>#N/A</v>
      </c>
      <c r="G151" s="1760"/>
      <c r="H151" s="609" t="e">
        <f ca="1">_xlfn.XLOOKUP(F151,Pareto!S:S,Pareto!X:X)</f>
        <v>#N/A</v>
      </c>
      <c r="I151" s="609" t="e">
        <f ca="1">_xlfn.XLOOKUP('5 Unidades  +'!F151,Pareto!S:S,Pareto!Z:Z)</f>
        <v>#N/A</v>
      </c>
      <c r="J151" s="604" t="e">
        <f ca="1">_xlfn.XLOOKUP(F151,Pareto!S:S,Pareto!U:U)</f>
        <v>#N/A</v>
      </c>
      <c r="K151" s="604" t="str">
        <f ca="1">IFERROR(LARGE(Pareto!V:V,D151)," ")</f>
        <v xml:space="preserve"> </v>
      </c>
      <c r="L151" s="604" t="e">
        <f ca="1">_xlfn.XLOOKUP(F151,Pareto!S:S,Pareto!W:W)</f>
        <v>#N/A</v>
      </c>
      <c r="M151" s="605" t="e">
        <f t="shared" ca="1" si="2"/>
        <v>#N/A</v>
      </c>
      <c r="N151" s="20"/>
      <c r="O151" s="20"/>
      <c r="P151" s="20"/>
      <c r="Q151" s="20"/>
      <c r="R151" s="20"/>
      <c r="S151" s="20"/>
      <c r="T151" s="20"/>
      <c r="U151" s="20"/>
      <c r="V151" s="20"/>
      <c r="W151" s="20"/>
      <c r="X151" s="20"/>
      <c r="Y151" s="20"/>
      <c r="Z151" s="20"/>
    </row>
    <row r="152" spans="3:26" ht="15" hidden="1" customHeight="1" x14ac:dyDescent="0.3">
      <c r="C152" s="20"/>
      <c r="D152" s="600">
        <v>99</v>
      </c>
      <c r="E152" s="610" t="e">
        <f ca="1">_xlfn.XLOOKUP(F152,Pareto!S:S,Pareto!T:T)</f>
        <v>#N/A</v>
      </c>
      <c r="F152" s="1757" t="e">
        <f ca="1">_xlfn.XLOOKUP(K152,Pareto!V:V,Pareto!S:S)</f>
        <v>#N/A</v>
      </c>
      <c r="G152" s="1758"/>
      <c r="H152" s="608" t="e">
        <f ca="1">_xlfn.XLOOKUP(F152,Pareto!S:S,Pareto!X:X)</f>
        <v>#N/A</v>
      </c>
      <c r="I152" s="608" t="e">
        <f ca="1">_xlfn.XLOOKUP('5 Unidades  +'!F152,Pareto!S:S,Pareto!Z:Z)</f>
        <v>#N/A</v>
      </c>
      <c r="J152" s="601" t="e">
        <f ca="1">_xlfn.XLOOKUP(F152,Pareto!S:S,Pareto!U:U)</f>
        <v>#N/A</v>
      </c>
      <c r="K152" s="601" t="str">
        <f ca="1">IFERROR(LARGE(Pareto!V:V,D152)," ")</f>
        <v xml:space="preserve"> </v>
      </c>
      <c r="L152" s="601" t="e">
        <f ca="1">_xlfn.XLOOKUP(F152,Pareto!S:S,Pareto!W:W)</f>
        <v>#N/A</v>
      </c>
      <c r="M152" s="602" t="e">
        <f t="shared" ca="1" si="2"/>
        <v>#N/A</v>
      </c>
      <c r="N152" s="20"/>
      <c r="O152" s="20"/>
      <c r="P152" s="20"/>
      <c r="Q152" s="20"/>
      <c r="R152" s="20"/>
      <c r="S152" s="20"/>
      <c r="T152" s="20"/>
      <c r="U152" s="20"/>
      <c r="V152" s="20"/>
      <c r="W152" s="20"/>
      <c r="X152" s="20"/>
      <c r="Y152" s="20"/>
      <c r="Z152" s="20"/>
    </row>
    <row r="153" spans="3:26" ht="15" hidden="1" customHeight="1" x14ac:dyDescent="0.3">
      <c r="C153" s="20"/>
      <c r="D153" s="603">
        <v>100</v>
      </c>
      <c r="E153" s="609" t="e">
        <f ca="1">_xlfn.XLOOKUP(F153,Pareto!S:S,Pareto!T:T)</f>
        <v>#N/A</v>
      </c>
      <c r="F153" s="1759" t="e">
        <f ca="1">_xlfn.XLOOKUP(K153,Pareto!V:V,Pareto!S:S)</f>
        <v>#N/A</v>
      </c>
      <c r="G153" s="1760"/>
      <c r="H153" s="609" t="e">
        <f ca="1">_xlfn.XLOOKUP(F153,Pareto!S:S,Pareto!X:X)</f>
        <v>#N/A</v>
      </c>
      <c r="I153" s="609" t="e">
        <f ca="1">_xlfn.XLOOKUP('5 Unidades  +'!F153,Pareto!S:S,Pareto!Z:Z)</f>
        <v>#N/A</v>
      </c>
      <c r="J153" s="604" t="e">
        <f ca="1">_xlfn.XLOOKUP(F153,Pareto!S:S,Pareto!U:U)</f>
        <v>#N/A</v>
      </c>
      <c r="K153" s="604" t="str">
        <f ca="1">IFERROR(LARGE(Pareto!V:V,D153)," ")</f>
        <v xml:space="preserve"> </v>
      </c>
      <c r="L153" s="604" t="e">
        <f ca="1">_xlfn.XLOOKUP(F153,Pareto!S:S,Pareto!W:W)</f>
        <v>#N/A</v>
      </c>
      <c r="M153" s="605" t="e">
        <f t="shared" ca="1" si="2"/>
        <v>#N/A</v>
      </c>
      <c r="N153" s="20"/>
      <c r="O153" s="20"/>
      <c r="P153" s="20"/>
      <c r="Q153" s="20"/>
      <c r="R153" s="20"/>
      <c r="S153" s="20"/>
      <c r="T153" s="20"/>
      <c r="U153" s="20"/>
      <c r="V153" s="20"/>
      <c r="W153" s="20"/>
      <c r="X153" s="20"/>
      <c r="Y153" s="20"/>
      <c r="Z153" s="20"/>
    </row>
    <row r="154" spans="3:26" ht="15" hidden="1" customHeight="1" x14ac:dyDescent="0.3">
      <c r="C154" s="20"/>
      <c r="D154" s="600">
        <v>101</v>
      </c>
      <c r="E154" s="610" t="e">
        <f ca="1">_xlfn.XLOOKUP(F154,Pareto!S:S,Pareto!T:T)</f>
        <v>#N/A</v>
      </c>
      <c r="F154" s="1757" t="e">
        <f ca="1">_xlfn.XLOOKUP(K154,Pareto!V:V,Pareto!S:S)</f>
        <v>#N/A</v>
      </c>
      <c r="G154" s="1758"/>
      <c r="H154" s="608" t="e">
        <f ca="1">_xlfn.XLOOKUP(F154,Pareto!S:S,Pareto!X:X)</f>
        <v>#N/A</v>
      </c>
      <c r="I154" s="608" t="e">
        <f ca="1">_xlfn.XLOOKUP('5 Unidades  +'!F154,Pareto!S:S,Pareto!Z:Z)</f>
        <v>#N/A</v>
      </c>
      <c r="J154" s="601" t="e">
        <f ca="1">_xlfn.XLOOKUP(F154,Pareto!S:S,Pareto!U:U)</f>
        <v>#N/A</v>
      </c>
      <c r="K154" s="601" t="str">
        <f ca="1">IFERROR(LARGE(Pareto!V:V,D154)," ")</f>
        <v xml:space="preserve"> </v>
      </c>
      <c r="L154" s="601" t="e">
        <f ca="1">_xlfn.XLOOKUP(F154,Pareto!S:S,Pareto!W:W)</f>
        <v>#N/A</v>
      </c>
      <c r="M154" s="602" t="e">
        <f t="shared" ca="1" si="2"/>
        <v>#N/A</v>
      </c>
      <c r="N154" s="20"/>
      <c r="O154" s="20"/>
      <c r="P154" s="20"/>
      <c r="Q154" s="20"/>
      <c r="R154" s="20"/>
      <c r="S154" s="20"/>
      <c r="T154" s="20"/>
      <c r="U154" s="20"/>
      <c r="V154" s="20"/>
      <c r="W154" s="20"/>
      <c r="X154" s="20"/>
      <c r="Y154" s="20"/>
      <c r="Z154" s="20"/>
    </row>
    <row r="155" spans="3:26" ht="15" hidden="1" customHeight="1" x14ac:dyDescent="0.3">
      <c r="C155" s="20"/>
      <c r="D155" s="603">
        <v>102</v>
      </c>
      <c r="E155" s="609" t="e">
        <f ca="1">_xlfn.XLOOKUP(F155,Pareto!S:S,Pareto!T:T)</f>
        <v>#N/A</v>
      </c>
      <c r="F155" s="1759" t="e">
        <f ca="1">_xlfn.XLOOKUP(K155,Pareto!V:V,Pareto!S:S)</f>
        <v>#N/A</v>
      </c>
      <c r="G155" s="1760"/>
      <c r="H155" s="609" t="e">
        <f ca="1">_xlfn.XLOOKUP(F155,Pareto!S:S,Pareto!X:X)</f>
        <v>#N/A</v>
      </c>
      <c r="I155" s="609" t="e">
        <f ca="1">_xlfn.XLOOKUP('5 Unidades  +'!F155,Pareto!S:S,Pareto!Z:Z)</f>
        <v>#N/A</v>
      </c>
      <c r="J155" s="604" t="e">
        <f ca="1">_xlfn.XLOOKUP(F155,Pareto!S:S,Pareto!U:U)</f>
        <v>#N/A</v>
      </c>
      <c r="K155" s="604" t="str">
        <f ca="1">IFERROR(LARGE(Pareto!V:V,D155)," ")</f>
        <v xml:space="preserve"> </v>
      </c>
      <c r="L155" s="604" t="e">
        <f ca="1">_xlfn.XLOOKUP(F155,Pareto!S:S,Pareto!W:W)</f>
        <v>#N/A</v>
      </c>
      <c r="M155" s="605" t="e">
        <f t="shared" ca="1" si="2"/>
        <v>#N/A</v>
      </c>
      <c r="N155" s="20"/>
      <c r="O155" s="20"/>
      <c r="P155" s="20"/>
      <c r="Q155" s="20"/>
      <c r="R155" s="20"/>
      <c r="S155" s="20"/>
      <c r="T155" s="20"/>
      <c r="U155" s="20"/>
      <c r="V155" s="20"/>
      <c r="W155" s="20"/>
      <c r="X155" s="20"/>
      <c r="Y155" s="20"/>
      <c r="Z155" s="20"/>
    </row>
    <row r="156" spans="3:26" ht="15" hidden="1" customHeight="1" x14ac:dyDescent="0.3">
      <c r="C156" s="20"/>
      <c r="D156" s="600">
        <v>103</v>
      </c>
      <c r="E156" s="610" t="e">
        <f ca="1">_xlfn.XLOOKUP(F156,Pareto!S:S,Pareto!T:T)</f>
        <v>#N/A</v>
      </c>
      <c r="F156" s="1757" t="e">
        <f ca="1">_xlfn.XLOOKUP(K156,Pareto!V:V,Pareto!S:S)</f>
        <v>#N/A</v>
      </c>
      <c r="G156" s="1758"/>
      <c r="H156" s="608" t="e">
        <f ca="1">_xlfn.XLOOKUP(F156,Pareto!S:S,Pareto!X:X)</f>
        <v>#N/A</v>
      </c>
      <c r="I156" s="608" t="e">
        <f ca="1">_xlfn.XLOOKUP('5 Unidades  +'!F156,Pareto!S:S,Pareto!Z:Z)</f>
        <v>#N/A</v>
      </c>
      <c r="J156" s="601" t="e">
        <f ca="1">_xlfn.XLOOKUP(F156,Pareto!S:S,Pareto!U:U)</f>
        <v>#N/A</v>
      </c>
      <c r="K156" s="601" t="str">
        <f ca="1">IFERROR(LARGE(Pareto!V:V,D156)," ")</f>
        <v xml:space="preserve"> </v>
      </c>
      <c r="L156" s="601" t="e">
        <f ca="1">_xlfn.XLOOKUP(F156,Pareto!S:S,Pareto!W:W)</f>
        <v>#N/A</v>
      </c>
      <c r="M156" s="602" t="e">
        <f t="shared" ca="1" si="2"/>
        <v>#N/A</v>
      </c>
      <c r="N156" s="20"/>
      <c r="O156" s="20"/>
      <c r="P156" s="20"/>
      <c r="Q156" s="20"/>
      <c r="R156" s="20"/>
      <c r="S156" s="20"/>
      <c r="T156" s="20"/>
      <c r="U156" s="20"/>
      <c r="V156" s="20"/>
      <c r="W156" s="20"/>
      <c r="X156" s="20"/>
      <c r="Y156" s="20"/>
      <c r="Z156" s="20"/>
    </row>
    <row r="157" spans="3:26" ht="15" hidden="1" customHeight="1" x14ac:dyDescent="0.3">
      <c r="C157" s="20"/>
      <c r="D157" s="603">
        <v>104</v>
      </c>
      <c r="E157" s="609" t="e">
        <f ca="1">_xlfn.XLOOKUP(F157,Pareto!S:S,Pareto!T:T)</f>
        <v>#N/A</v>
      </c>
      <c r="F157" s="1759" t="e">
        <f ca="1">_xlfn.XLOOKUP(K157,Pareto!V:V,Pareto!S:S)</f>
        <v>#N/A</v>
      </c>
      <c r="G157" s="1760"/>
      <c r="H157" s="609" t="e">
        <f ca="1">_xlfn.XLOOKUP(F157,Pareto!S:S,Pareto!X:X)</f>
        <v>#N/A</v>
      </c>
      <c r="I157" s="609" t="e">
        <f ca="1">_xlfn.XLOOKUP('5 Unidades  +'!F157,Pareto!S:S,Pareto!Z:Z)</f>
        <v>#N/A</v>
      </c>
      <c r="J157" s="604" t="e">
        <f ca="1">_xlfn.XLOOKUP(F157,Pareto!S:S,Pareto!U:U)</f>
        <v>#N/A</v>
      </c>
      <c r="K157" s="604" t="str">
        <f ca="1">IFERROR(LARGE(Pareto!V:V,D157)," ")</f>
        <v xml:space="preserve"> </v>
      </c>
      <c r="L157" s="604" t="e">
        <f ca="1">_xlfn.XLOOKUP(F157,Pareto!S:S,Pareto!W:W)</f>
        <v>#N/A</v>
      </c>
      <c r="M157" s="605" t="e">
        <f t="shared" ca="1" si="2"/>
        <v>#N/A</v>
      </c>
      <c r="N157" s="20"/>
      <c r="O157" s="20"/>
      <c r="P157" s="20"/>
      <c r="Q157" s="20"/>
      <c r="R157" s="20"/>
      <c r="S157" s="20"/>
      <c r="T157" s="20"/>
      <c r="U157" s="20"/>
      <c r="V157" s="20"/>
      <c r="W157" s="20"/>
      <c r="X157" s="20"/>
      <c r="Y157" s="20"/>
      <c r="Z157" s="20"/>
    </row>
    <row r="158" spans="3:26" ht="15" hidden="1" customHeight="1" x14ac:dyDescent="0.3">
      <c r="C158" s="20"/>
      <c r="D158" s="600">
        <v>105</v>
      </c>
      <c r="E158" s="610" t="e">
        <f ca="1">_xlfn.XLOOKUP(F158,Pareto!S:S,Pareto!T:T)</f>
        <v>#N/A</v>
      </c>
      <c r="F158" s="1757" t="e">
        <f ca="1">_xlfn.XLOOKUP(K158,Pareto!V:V,Pareto!S:S)</f>
        <v>#N/A</v>
      </c>
      <c r="G158" s="1758"/>
      <c r="H158" s="608" t="e">
        <f ca="1">_xlfn.XLOOKUP(F158,Pareto!S:S,Pareto!X:X)</f>
        <v>#N/A</v>
      </c>
      <c r="I158" s="608" t="e">
        <f ca="1">_xlfn.XLOOKUP('5 Unidades  +'!F158,Pareto!S:S,Pareto!Z:Z)</f>
        <v>#N/A</v>
      </c>
      <c r="J158" s="601" t="e">
        <f ca="1">_xlfn.XLOOKUP(F158,Pareto!S:S,Pareto!U:U)</f>
        <v>#N/A</v>
      </c>
      <c r="K158" s="601" t="str">
        <f ca="1">IFERROR(LARGE(Pareto!V:V,D158)," ")</f>
        <v xml:space="preserve"> </v>
      </c>
      <c r="L158" s="601" t="e">
        <f ca="1">_xlfn.XLOOKUP(F158,Pareto!S:S,Pareto!W:W)</f>
        <v>#N/A</v>
      </c>
      <c r="M158" s="602" t="e">
        <f t="shared" ca="1" si="2"/>
        <v>#N/A</v>
      </c>
      <c r="N158" s="20"/>
      <c r="O158" s="20"/>
      <c r="P158" s="20"/>
      <c r="Q158" s="20"/>
      <c r="R158" s="20"/>
      <c r="S158" s="20"/>
      <c r="T158" s="20"/>
      <c r="U158" s="20"/>
      <c r="V158" s="20"/>
      <c r="W158" s="20"/>
      <c r="X158" s="20"/>
      <c r="Y158" s="20"/>
      <c r="Z158" s="20"/>
    </row>
    <row r="159" spans="3:26" ht="15" hidden="1" customHeight="1" x14ac:dyDescent="0.3">
      <c r="C159" s="20"/>
      <c r="D159" s="603">
        <v>106</v>
      </c>
      <c r="E159" s="609" t="e">
        <f ca="1">_xlfn.XLOOKUP(F159,Pareto!S:S,Pareto!T:T)</f>
        <v>#N/A</v>
      </c>
      <c r="F159" s="1759" t="e">
        <f ca="1">_xlfn.XLOOKUP(K159,Pareto!V:V,Pareto!S:S)</f>
        <v>#N/A</v>
      </c>
      <c r="G159" s="1760"/>
      <c r="H159" s="609" t="e">
        <f ca="1">_xlfn.XLOOKUP(F159,Pareto!S:S,Pareto!X:X)</f>
        <v>#N/A</v>
      </c>
      <c r="I159" s="609" t="e">
        <f ca="1">_xlfn.XLOOKUP('5 Unidades  +'!F159,Pareto!S:S,Pareto!Z:Z)</f>
        <v>#N/A</v>
      </c>
      <c r="J159" s="604" t="e">
        <f ca="1">_xlfn.XLOOKUP(F159,Pareto!S:S,Pareto!U:U)</f>
        <v>#N/A</v>
      </c>
      <c r="K159" s="604" t="str">
        <f ca="1">IFERROR(LARGE(Pareto!V:V,D159)," ")</f>
        <v xml:space="preserve"> </v>
      </c>
      <c r="L159" s="604" t="e">
        <f ca="1">_xlfn.XLOOKUP(F159,Pareto!S:S,Pareto!W:W)</f>
        <v>#N/A</v>
      </c>
      <c r="M159" s="605" t="e">
        <f t="shared" ca="1" si="2"/>
        <v>#N/A</v>
      </c>
      <c r="N159" s="20"/>
      <c r="O159" s="20"/>
      <c r="P159" s="20"/>
      <c r="Q159" s="20"/>
      <c r="R159" s="20"/>
      <c r="S159" s="20"/>
      <c r="T159" s="20"/>
      <c r="U159" s="20"/>
      <c r="V159" s="20"/>
      <c r="W159" s="20"/>
      <c r="X159" s="20"/>
      <c r="Y159" s="20"/>
      <c r="Z159" s="20"/>
    </row>
    <row r="160" spans="3:26" ht="15" hidden="1" customHeight="1" x14ac:dyDescent="0.3">
      <c r="C160" s="20"/>
      <c r="D160" s="600">
        <v>107</v>
      </c>
      <c r="E160" s="610" t="e">
        <f ca="1">_xlfn.XLOOKUP(F160,Pareto!S:S,Pareto!T:T)</f>
        <v>#N/A</v>
      </c>
      <c r="F160" s="1757" t="e">
        <f ca="1">_xlfn.XLOOKUP(K160,Pareto!V:V,Pareto!S:S)</f>
        <v>#N/A</v>
      </c>
      <c r="G160" s="1758"/>
      <c r="H160" s="608" t="e">
        <f ca="1">_xlfn.XLOOKUP(F160,Pareto!S:S,Pareto!X:X)</f>
        <v>#N/A</v>
      </c>
      <c r="I160" s="608" t="e">
        <f ca="1">_xlfn.XLOOKUP('5 Unidades  +'!F160,Pareto!S:S,Pareto!Z:Z)</f>
        <v>#N/A</v>
      </c>
      <c r="J160" s="601" t="e">
        <f ca="1">_xlfn.XLOOKUP(F160,Pareto!S:S,Pareto!U:U)</f>
        <v>#N/A</v>
      </c>
      <c r="K160" s="601" t="str">
        <f ca="1">IFERROR(LARGE(Pareto!V:V,D160)," ")</f>
        <v xml:space="preserve"> </v>
      </c>
      <c r="L160" s="601" t="e">
        <f ca="1">_xlfn.XLOOKUP(F160,Pareto!S:S,Pareto!W:W)</f>
        <v>#N/A</v>
      </c>
      <c r="M160" s="602" t="e">
        <f t="shared" ca="1" si="2"/>
        <v>#N/A</v>
      </c>
      <c r="N160" s="20"/>
      <c r="O160" s="20"/>
      <c r="P160" s="20"/>
      <c r="Q160" s="20"/>
      <c r="R160" s="20"/>
      <c r="S160" s="20"/>
      <c r="T160" s="20"/>
      <c r="U160" s="20"/>
      <c r="V160" s="20"/>
      <c r="W160" s="20"/>
      <c r="X160" s="20"/>
      <c r="Y160" s="20"/>
      <c r="Z160" s="20"/>
    </row>
    <row r="161" spans="3:26" ht="15" hidden="1" customHeight="1" x14ac:dyDescent="0.3">
      <c r="C161" s="20"/>
      <c r="D161" s="603">
        <v>108</v>
      </c>
      <c r="E161" s="609" t="e">
        <f ca="1">_xlfn.XLOOKUP(F161,Pareto!S:S,Pareto!T:T)</f>
        <v>#N/A</v>
      </c>
      <c r="F161" s="1759" t="e">
        <f ca="1">_xlfn.XLOOKUP(K161,Pareto!V:V,Pareto!S:S)</f>
        <v>#N/A</v>
      </c>
      <c r="G161" s="1760"/>
      <c r="H161" s="609" t="e">
        <f ca="1">_xlfn.XLOOKUP(F161,Pareto!S:S,Pareto!X:X)</f>
        <v>#N/A</v>
      </c>
      <c r="I161" s="609" t="e">
        <f ca="1">_xlfn.XLOOKUP('5 Unidades  +'!F161,Pareto!S:S,Pareto!Z:Z)</f>
        <v>#N/A</v>
      </c>
      <c r="J161" s="604" t="e">
        <f ca="1">_xlfn.XLOOKUP(F161,Pareto!S:S,Pareto!U:U)</f>
        <v>#N/A</v>
      </c>
      <c r="K161" s="604" t="str">
        <f ca="1">IFERROR(LARGE(Pareto!V:V,D161)," ")</f>
        <v xml:space="preserve"> </v>
      </c>
      <c r="L161" s="604" t="e">
        <f ca="1">_xlfn.XLOOKUP(F161,Pareto!S:S,Pareto!W:W)</f>
        <v>#N/A</v>
      </c>
      <c r="M161" s="605" t="e">
        <f t="shared" ca="1" si="2"/>
        <v>#N/A</v>
      </c>
      <c r="N161" s="20"/>
      <c r="O161" s="20"/>
      <c r="P161" s="20"/>
      <c r="Q161" s="20"/>
      <c r="R161" s="20"/>
      <c r="S161" s="20"/>
      <c r="T161" s="20"/>
      <c r="U161" s="20"/>
      <c r="V161" s="20"/>
      <c r="W161" s="20"/>
      <c r="X161" s="20"/>
      <c r="Y161" s="20"/>
      <c r="Z161" s="20"/>
    </row>
    <row r="162" spans="3:26" ht="15" hidden="1" customHeight="1" x14ac:dyDescent="0.3">
      <c r="C162" s="20"/>
      <c r="D162" s="600">
        <v>109</v>
      </c>
      <c r="E162" s="610" t="e">
        <f ca="1">_xlfn.XLOOKUP(F162,Pareto!S:S,Pareto!T:T)</f>
        <v>#N/A</v>
      </c>
      <c r="F162" s="1757" t="e">
        <f ca="1">_xlfn.XLOOKUP(K162,Pareto!V:V,Pareto!S:S)</f>
        <v>#N/A</v>
      </c>
      <c r="G162" s="1758"/>
      <c r="H162" s="608" t="e">
        <f ca="1">_xlfn.XLOOKUP(F162,Pareto!S:S,Pareto!X:X)</f>
        <v>#N/A</v>
      </c>
      <c r="I162" s="608" t="e">
        <f ca="1">_xlfn.XLOOKUP('5 Unidades  +'!F162,Pareto!S:S,Pareto!Z:Z)</f>
        <v>#N/A</v>
      </c>
      <c r="J162" s="601" t="e">
        <f ca="1">_xlfn.XLOOKUP(F162,Pareto!S:S,Pareto!U:U)</f>
        <v>#N/A</v>
      </c>
      <c r="K162" s="601" t="str">
        <f ca="1">IFERROR(LARGE(Pareto!V:V,D162)," ")</f>
        <v xml:space="preserve"> </v>
      </c>
      <c r="L162" s="601" t="e">
        <f ca="1">_xlfn.XLOOKUP(F162,Pareto!S:S,Pareto!W:W)</f>
        <v>#N/A</v>
      </c>
      <c r="M162" s="602" t="e">
        <f t="shared" ca="1" si="2"/>
        <v>#N/A</v>
      </c>
      <c r="N162" s="20"/>
      <c r="O162" s="20"/>
      <c r="P162" s="20"/>
      <c r="Q162" s="20"/>
      <c r="R162" s="20"/>
      <c r="S162" s="20"/>
      <c r="T162" s="20"/>
      <c r="U162" s="20"/>
      <c r="V162" s="20"/>
      <c r="W162" s="20"/>
      <c r="X162" s="20"/>
      <c r="Y162" s="20"/>
      <c r="Z162" s="20"/>
    </row>
    <row r="163" spans="3:26" ht="15" hidden="1" customHeight="1" x14ac:dyDescent="0.3">
      <c r="C163" s="20"/>
      <c r="D163" s="603">
        <v>110</v>
      </c>
      <c r="E163" s="609" t="e">
        <f ca="1">_xlfn.XLOOKUP(F163,Pareto!S:S,Pareto!T:T)</f>
        <v>#N/A</v>
      </c>
      <c r="F163" s="1759" t="e">
        <f ca="1">_xlfn.XLOOKUP(K163,Pareto!V:V,Pareto!S:S)</f>
        <v>#N/A</v>
      </c>
      <c r="G163" s="1760"/>
      <c r="H163" s="609" t="e">
        <f ca="1">_xlfn.XLOOKUP(F163,Pareto!S:S,Pareto!X:X)</f>
        <v>#N/A</v>
      </c>
      <c r="I163" s="609" t="e">
        <f ca="1">_xlfn.XLOOKUP('5 Unidades  +'!F163,Pareto!S:S,Pareto!Z:Z)</f>
        <v>#N/A</v>
      </c>
      <c r="J163" s="604" t="e">
        <f ca="1">_xlfn.XLOOKUP(F163,Pareto!S:S,Pareto!U:U)</f>
        <v>#N/A</v>
      </c>
      <c r="K163" s="604" t="str">
        <f ca="1">IFERROR(LARGE(Pareto!V:V,D163)," ")</f>
        <v xml:space="preserve"> </v>
      </c>
      <c r="L163" s="604" t="e">
        <f ca="1">_xlfn.XLOOKUP(F163,Pareto!S:S,Pareto!W:W)</f>
        <v>#N/A</v>
      </c>
      <c r="M163" s="605" t="e">
        <f t="shared" ca="1" si="2"/>
        <v>#N/A</v>
      </c>
      <c r="N163" s="20"/>
      <c r="O163" s="20"/>
      <c r="P163" s="20"/>
      <c r="Q163" s="20"/>
      <c r="R163" s="20"/>
      <c r="S163" s="20"/>
      <c r="T163" s="20"/>
      <c r="U163" s="20"/>
      <c r="V163" s="20"/>
      <c r="W163" s="20"/>
      <c r="X163" s="20"/>
      <c r="Y163" s="20"/>
      <c r="Z163" s="20"/>
    </row>
    <row r="164" spans="3:26" ht="15" hidden="1" customHeight="1" x14ac:dyDescent="0.3">
      <c r="C164" s="20"/>
      <c r="D164" s="600">
        <v>111</v>
      </c>
      <c r="E164" s="610" t="e">
        <f ca="1">_xlfn.XLOOKUP(F164,Pareto!S:S,Pareto!T:T)</f>
        <v>#N/A</v>
      </c>
      <c r="F164" s="1757" t="e">
        <f ca="1">_xlfn.XLOOKUP(K164,Pareto!V:V,Pareto!S:S)</f>
        <v>#N/A</v>
      </c>
      <c r="G164" s="1758"/>
      <c r="H164" s="608" t="e">
        <f ca="1">_xlfn.XLOOKUP(F164,Pareto!S:S,Pareto!X:X)</f>
        <v>#N/A</v>
      </c>
      <c r="I164" s="608" t="e">
        <f ca="1">_xlfn.XLOOKUP('5 Unidades  +'!F164,Pareto!S:S,Pareto!Z:Z)</f>
        <v>#N/A</v>
      </c>
      <c r="J164" s="601" t="e">
        <f ca="1">_xlfn.XLOOKUP(F164,Pareto!S:S,Pareto!U:U)</f>
        <v>#N/A</v>
      </c>
      <c r="K164" s="601" t="str">
        <f ca="1">IFERROR(LARGE(Pareto!V:V,D164)," ")</f>
        <v xml:space="preserve"> </v>
      </c>
      <c r="L164" s="601" t="e">
        <f ca="1">_xlfn.XLOOKUP(F164,Pareto!S:S,Pareto!W:W)</f>
        <v>#N/A</v>
      </c>
      <c r="M164" s="602" t="e">
        <f t="shared" ca="1" si="2"/>
        <v>#N/A</v>
      </c>
      <c r="N164" s="20"/>
      <c r="O164" s="20"/>
      <c r="P164" s="20"/>
      <c r="Q164" s="20"/>
      <c r="R164" s="20"/>
      <c r="S164" s="20"/>
      <c r="T164" s="20"/>
      <c r="U164" s="20"/>
      <c r="V164" s="20"/>
      <c r="W164" s="20"/>
      <c r="X164" s="20"/>
      <c r="Y164" s="20"/>
      <c r="Z164" s="20"/>
    </row>
    <row r="165" spans="3:26" ht="15" hidden="1" customHeight="1" x14ac:dyDescent="0.3">
      <c r="C165" s="20"/>
      <c r="D165" s="603">
        <v>112</v>
      </c>
      <c r="E165" s="609" t="e">
        <f ca="1">_xlfn.XLOOKUP(F165,Pareto!S:S,Pareto!T:T)</f>
        <v>#N/A</v>
      </c>
      <c r="F165" s="1759" t="e">
        <f ca="1">_xlfn.XLOOKUP(K165,Pareto!V:V,Pareto!S:S)</f>
        <v>#N/A</v>
      </c>
      <c r="G165" s="1760"/>
      <c r="H165" s="609" t="e">
        <f ca="1">_xlfn.XLOOKUP(F165,Pareto!S:S,Pareto!X:X)</f>
        <v>#N/A</v>
      </c>
      <c r="I165" s="609" t="e">
        <f ca="1">_xlfn.XLOOKUP('5 Unidades  +'!F165,Pareto!S:S,Pareto!Z:Z)</f>
        <v>#N/A</v>
      </c>
      <c r="J165" s="604" t="e">
        <f ca="1">_xlfn.XLOOKUP(F165,Pareto!S:S,Pareto!U:U)</f>
        <v>#N/A</v>
      </c>
      <c r="K165" s="604" t="str">
        <f ca="1">IFERROR(LARGE(Pareto!V:V,D165)," ")</f>
        <v xml:space="preserve"> </v>
      </c>
      <c r="L165" s="604" t="e">
        <f ca="1">_xlfn.XLOOKUP(F165,Pareto!S:S,Pareto!W:W)</f>
        <v>#N/A</v>
      </c>
      <c r="M165" s="605" t="e">
        <f t="shared" ca="1" si="2"/>
        <v>#N/A</v>
      </c>
      <c r="N165" s="20"/>
      <c r="O165" s="20"/>
      <c r="P165" s="20"/>
      <c r="Q165" s="20"/>
      <c r="R165" s="20"/>
      <c r="S165" s="20"/>
      <c r="T165" s="20"/>
      <c r="U165" s="20"/>
      <c r="V165" s="20"/>
      <c r="W165" s="20"/>
      <c r="X165" s="20"/>
      <c r="Y165" s="20"/>
      <c r="Z165" s="20"/>
    </row>
    <row r="166" spans="3:26" ht="15" hidden="1" customHeight="1" x14ac:dyDescent="0.3">
      <c r="C166" s="20"/>
      <c r="D166" s="600">
        <v>113</v>
      </c>
      <c r="E166" s="610" t="e">
        <f ca="1">_xlfn.XLOOKUP(F166,Pareto!S:S,Pareto!T:T)</f>
        <v>#N/A</v>
      </c>
      <c r="F166" s="1757" t="e">
        <f ca="1">_xlfn.XLOOKUP(K166,Pareto!V:V,Pareto!S:S)</f>
        <v>#N/A</v>
      </c>
      <c r="G166" s="1758"/>
      <c r="H166" s="608" t="e">
        <f ca="1">_xlfn.XLOOKUP(F166,Pareto!S:S,Pareto!X:X)</f>
        <v>#N/A</v>
      </c>
      <c r="I166" s="608" t="e">
        <f ca="1">_xlfn.XLOOKUP('5 Unidades  +'!F166,Pareto!S:S,Pareto!Z:Z)</f>
        <v>#N/A</v>
      </c>
      <c r="J166" s="601" t="e">
        <f ca="1">_xlfn.XLOOKUP(F166,Pareto!S:S,Pareto!U:U)</f>
        <v>#N/A</v>
      </c>
      <c r="K166" s="601" t="str">
        <f ca="1">IFERROR(LARGE(Pareto!V:V,D166)," ")</f>
        <v xml:space="preserve"> </v>
      </c>
      <c r="L166" s="601" t="e">
        <f ca="1">_xlfn.XLOOKUP(F166,Pareto!S:S,Pareto!W:W)</f>
        <v>#N/A</v>
      </c>
      <c r="M166" s="602" t="e">
        <f t="shared" ca="1" si="2"/>
        <v>#N/A</v>
      </c>
      <c r="N166" s="20"/>
      <c r="O166" s="20"/>
      <c r="P166" s="20"/>
      <c r="Q166" s="20"/>
      <c r="R166" s="20"/>
      <c r="S166" s="20"/>
      <c r="T166" s="20"/>
      <c r="U166" s="20"/>
      <c r="V166" s="20"/>
      <c r="W166" s="20"/>
      <c r="X166" s="20"/>
      <c r="Y166" s="20"/>
      <c r="Z166" s="20"/>
    </row>
    <row r="167" spans="3:26" ht="15" hidden="1" customHeight="1" x14ac:dyDescent="0.3">
      <c r="C167" s="20"/>
      <c r="D167" s="603">
        <v>114</v>
      </c>
      <c r="E167" s="609" t="e">
        <f ca="1">_xlfn.XLOOKUP(F167,Pareto!S:S,Pareto!T:T)</f>
        <v>#N/A</v>
      </c>
      <c r="F167" s="1759" t="e">
        <f ca="1">_xlfn.XLOOKUP(K167,Pareto!V:V,Pareto!S:S)</f>
        <v>#N/A</v>
      </c>
      <c r="G167" s="1760"/>
      <c r="H167" s="609" t="e">
        <f ca="1">_xlfn.XLOOKUP(F167,Pareto!S:S,Pareto!X:X)</f>
        <v>#N/A</v>
      </c>
      <c r="I167" s="609" t="e">
        <f ca="1">_xlfn.XLOOKUP('5 Unidades  +'!F167,Pareto!S:S,Pareto!Z:Z)</f>
        <v>#N/A</v>
      </c>
      <c r="J167" s="604" t="e">
        <f ca="1">_xlfn.XLOOKUP(F167,Pareto!S:S,Pareto!U:U)</f>
        <v>#N/A</v>
      </c>
      <c r="K167" s="604" t="str">
        <f ca="1">IFERROR(LARGE(Pareto!V:V,D167)," ")</f>
        <v xml:space="preserve"> </v>
      </c>
      <c r="L167" s="604" t="e">
        <f ca="1">_xlfn.XLOOKUP(F167,Pareto!S:S,Pareto!W:W)</f>
        <v>#N/A</v>
      </c>
      <c r="M167" s="605" t="e">
        <f t="shared" ca="1" si="2"/>
        <v>#N/A</v>
      </c>
      <c r="N167" s="20"/>
      <c r="O167" s="20"/>
      <c r="P167" s="20"/>
      <c r="Q167" s="20"/>
      <c r="R167" s="20"/>
      <c r="S167" s="20"/>
      <c r="T167" s="20"/>
      <c r="U167" s="20"/>
      <c r="V167" s="20"/>
      <c r="W167" s="20"/>
      <c r="X167" s="20"/>
      <c r="Y167" s="20"/>
      <c r="Z167" s="20"/>
    </row>
    <row r="168" spans="3:26" ht="15" hidden="1" customHeight="1" x14ac:dyDescent="0.3">
      <c r="C168" s="20"/>
      <c r="D168" s="600">
        <v>115</v>
      </c>
      <c r="E168" s="610" t="e">
        <f ca="1">_xlfn.XLOOKUP(F168,Pareto!S:S,Pareto!T:T)</f>
        <v>#N/A</v>
      </c>
      <c r="F168" s="1757" t="e">
        <f ca="1">_xlfn.XLOOKUP(K168,Pareto!V:V,Pareto!S:S)</f>
        <v>#N/A</v>
      </c>
      <c r="G168" s="1758"/>
      <c r="H168" s="608" t="e">
        <f ca="1">_xlfn.XLOOKUP(F168,Pareto!S:S,Pareto!X:X)</f>
        <v>#N/A</v>
      </c>
      <c r="I168" s="608" t="e">
        <f ca="1">_xlfn.XLOOKUP('5 Unidades  +'!F168,Pareto!S:S,Pareto!Z:Z)</f>
        <v>#N/A</v>
      </c>
      <c r="J168" s="601" t="e">
        <f ca="1">_xlfn.XLOOKUP(F168,Pareto!S:S,Pareto!U:U)</f>
        <v>#N/A</v>
      </c>
      <c r="K168" s="601" t="str">
        <f ca="1">IFERROR(LARGE(Pareto!V:V,D168)," ")</f>
        <v xml:space="preserve"> </v>
      </c>
      <c r="L168" s="601" t="e">
        <f ca="1">_xlfn.XLOOKUP(F168,Pareto!S:S,Pareto!W:W)</f>
        <v>#N/A</v>
      </c>
      <c r="M168" s="602" t="e">
        <f t="shared" ca="1" si="2"/>
        <v>#N/A</v>
      </c>
      <c r="N168" s="20"/>
      <c r="O168" s="20"/>
      <c r="P168" s="20"/>
      <c r="Q168" s="20"/>
      <c r="R168" s="20"/>
      <c r="S168" s="20"/>
      <c r="T168" s="20"/>
      <c r="U168" s="20"/>
      <c r="V168" s="20"/>
      <c r="W168" s="20"/>
      <c r="X168" s="20"/>
      <c r="Y168" s="20"/>
      <c r="Z168" s="20"/>
    </row>
    <row r="169" spans="3:26" ht="15" hidden="1" customHeight="1" x14ac:dyDescent="0.3">
      <c r="C169" s="20"/>
      <c r="D169" s="603">
        <v>116</v>
      </c>
      <c r="E169" s="609" t="e">
        <f ca="1">_xlfn.XLOOKUP(F169,Pareto!S:S,Pareto!T:T)</f>
        <v>#N/A</v>
      </c>
      <c r="F169" s="1759" t="e">
        <f ca="1">_xlfn.XLOOKUP(K169,Pareto!V:V,Pareto!S:S)</f>
        <v>#N/A</v>
      </c>
      <c r="G169" s="1760"/>
      <c r="H169" s="609" t="e">
        <f ca="1">_xlfn.XLOOKUP(F169,Pareto!S:S,Pareto!X:X)</f>
        <v>#N/A</v>
      </c>
      <c r="I169" s="609" t="e">
        <f ca="1">_xlfn.XLOOKUP('5 Unidades  +'!F169,Pareto!S:S,Pareto!Z:Z)</f>
        <v>#N/A</v>
      </c>
      <c r="J169" s="604" t="e">
        <f ca="1">_xlfn.XLOOKUP(F169,Pareto!S:S,Pareto!U:U)</f>
        <v>#N/A</v>
      </c>
      <c r="K169" s="604" t="str">
        <f ca="1">IFERROR(LARGE(Pareto!V:V,D169)," ")</f>
        <v xml:space="preserve"> </v>
      </c>
      <c r="L169" s="604" t="e">
        <f ca="1">_xlfn.XLOOKUP(F169,Pareto!S:S,Pareto!W:W)</f>
        <v>#N/A</v>
      </c>
      <c r="M169" s="605" t="e">
        <f t="shared" ca="1" si="2"/>
        <v>#N/A</v>
      </c>
      <c r="N169" s="20"/>
      <c r="O169" s="20"/>
      <c r="P169" s="20"/>
      <c r="Q169" s="20"/>
      <c r="R169" s="20"/>
      <c r="S169" s="20"/>
      <c r="T169" s="20"/>
      <c r="U169" s="20"/>
      <c r="V169" s="20"/>
      <c r="W169" s="20"/>
      <c r="X169" s="20"/>
      <c r="Y169" s="20"/>
      <c r="Z169" s="20"/>
    </row>
    <row r="170" spans="3:26" ht="15" hidden="1" customHeight="1" x14ac:dyDescent="0.3">
      <c r="C170" s="20"/>
      <c r="D170" s="600">
        <v>117</v>
      </c>
      <c r="E170" s="610" t="e">
        <f ca="1">_xlfn.XLOOKUP(F170,Pareto!S:S,Pareto!T:T)</f>
        <v>#N/A</v>
      </c>
      <c r="F170" s="1757" t="e">
        <f ca="1">_xlfn.XLOOKUP(K170,Pareto!V:V,Pareto!S:S)</f>
        <v>#N/A</v>
      </c>
      <c r="G170" s="1758"/>
      <c r="H170" s="608" t="e">
        <f ca="1">_xlfn.XLOOKUP(F170,Pareto!S:S,Pareto!X:X)</f>
        <v>#N/A</v>
      </c>
      <c r="I170" s="608" t="e">
        <f ca="1">_xlfn.XLOOKUP('5 Unidades  +'!F170,Pareto!S:S,Pareto!Z:Z)</f>
        <v>#N/A</v>
      </c>
      <c r="J170" s="601" t="e">
        <f ca="1">_xlfn.XLOOKUP(F170,Pareto!S:S,Pareto!U:U)</f>
        <v>#N/A</v>
      </c>
      <c r="K170" s="601" t="str">
        <f ca="1">IFERROR(LARGE(Pareto!V:V,D170)," ")</f>
        <v xml:space="preserve"> </v>
      </c>
      <c r="L170" s="601" t="e">
        <f ca="1">_xlfn.XLOOKUP(F170,Pareto!S:S,Pareto!W:W)</f>
        <v>#N/A</v>
      </c>
      <c r="M170" s="602" t="e">
        <f t="shared" ca="1" si="2"/>
        <v>#N/A</v>
      </c>
      <c r="N170" s="20"/>
      <c r="O170" s="20"/>
      <c r="P170" s="20"/>
      <c r="Q170" s="20"/>
      <c r="R170" s="20"/>
      <c r="S170" s="20"/>
      <c r="T170" s="20"/>
      <c r="U170" s="20"/>
      <c r="V170" s="20"/>
      <c r="W170" s="20"/>
      <c r="X170" s="20"/>
      <c r="Y170" s="20"/>
      <c r="Z170" s="20"/>
    </row>
    <row r="171" spans="3:26" ht="15" hidden="1" customHeight="1" x14ac:dyDescent="0.3">
      <c r="C171" s="20"/>
      <c r="D171" s="603">
        <v>118</v>
      </c>
      <c r="E171" s="609" t="e">
        <f ca="1">_xlfn.XLOOKUP(F171,Pareto!S:S,Pareto!T:T)</f>
        <v>#N/A</v>
      </c>
      <c r="F171" s="1759" t="e">
        <f ca="1">_xlfn.XLOOKUP(K171,Pareto!V:V,Pareto!S:S)</f>
        <v>#N/A</v>
      </c>
      <c r="G171" s="1760"/>
      <c r="H171" s="609" t="e">
        <f ca="1">_xlfn.XLOOKUP(F171,Pareto!S:S,Pareto!X:X)</f>
        <v>#N/A</v>
      </c>
      <c r="I171" s="609" t="e">
        <f ca="1">_xlfn.XLOOKUP('5 Unidades  +'!F171,Pareto!S:S,Pareto!Z:Z)</f>
        <v>#N/A</v>
      </c>
      <c r="J171" s="604" t="e">
        <f ca="1">_xlfn.XLOOKUP(F171,Pareto!S:S,Pareto!U:U)</f>
        <v>#N/A</v>
      </c>
      <c r="K171" s="604" t="str">
        <f ca="1">IFERROR(LARGE(Pareto!V:V,D171)," ")</f>
        <v xml:space="preserve"> </v>
      </c>
      <c r="L171" s="604" t="e">
        <f ca="1">_xlfn.XLOOKUP(F171,Pareto!S:S,Pareto!W:W)</f>
        <v>#N/A</v>
      </c>
      <c r="M171" s="605" t="e">
        <f t="shared" ca="1" si="2"/>
        <v>#N/A</v>
      </c>
      <c r="N171" s="20"/>
      <c r="O171" s="20"/>
      <c r="P171" s="20"/>
      <c r="Q171" s="20"/>
      <c r="R171" s="20"/>
      <c r="S171" s="20"/>
      <c r="T171" s="20"/>
      <c r="U171" s="20"/>
      <c r="V171" s="20"/>
      <c r="W171" s="20"/>
      <c r="X171" s="20"/>
      <c r="Y171" s="20"/>
      <c r="Z171" s="20"/>
    </row>
    <row r="172" spans="3:26" ht="15" hidden="1" customHeight="1" x14ac:dyDescent="0.3">
      <c r="C172" s="20"/>
      <c r="D172" s="600">
        <v>119</v>
      </c>
      <c r="E172" s="610" t="e">
        <f ca="1">_xlfn.XLOOKUP(F172,Pareto!S:S,Pareto!T:T)</f>
        <v>#N/A</v>
      </c>
      <c r="F172" s="1757" t="e">
        <f ca="1">_xlfn.XLOOKUP(K172,Pareto!V:V,Pareto!S:S)</f>
        <v>#N/A</v>
      </c>
      <c r="G172" s="1758"/>
      <c r="H172" s="608" t="e">
        <f ca="1">_xlfn.XLOOKUP(F172,Pareto!S:S,Pareto!X:X)</f>
        <v>#N/A</v>
      </c>
      <c r="I172" s="608" t="e">
        <f ca="1">_xlfn.XLOOKUP('5 Unidades  +'!F172,Pareto!S:S,Pareto!Z:Z)</f>
        <v>#N/A</v>
      </c>
      <c r="J172" s="601" t="e">
        <f ca="1">_xlfn.XLOOKUP(F172,Pareto!S:S,Pareto!U:U)</f>
        <v>#N/A</v>
      </c>
      <c r="K172" s="601" t="str">
        <f ca="1">IFERROR(LARGE(Pareto!V:V,D172)," ")</f>
        <v xml:space="preserve"> </v>
      </c>
      <c r="L172" s="601" t="e">
        <f ca="1">_xlfn.XLOOKUP(F172,Pareto!S:S,Pareto!W:W)</f>
        <v>#N/A</v>
      </c>
      <c r="M172" s="602" t="e">
        <f t="shared" ca="1" si="2"/>
        <v>#N/A</v>
      </c>
      <c r="N172" s="20"/>
      <c r="O172" s="20"/>
      <c r="P172" s="20"/>
      <c r="Q172" s="20"/>
      <c r="R172" s="20"/>
      <c r="S172" s="20"/>
      <c r="T172" s="20"/>
      <c r="U172" s="20"/>
      <c r="V172" s="20"/>
      <c r="W172" s="20"/>
      <c r="X172" s="20"/>
      <c r="Y172" s="20"/>
      <c r="Z172" s="20"/>
    </row>
    <row r="173" spans="3:26" ht="15" hidden="1" customHeight="1" x14ac:dyDescent="0.3">
      <c r="C173" s="20"/>
      <c r="D173" s="603">
        <v>120</v>
      </c>
      <c r="E173" s="609" t="e">
        <f ca="1">_xlfn.XLOOKUP(F173,Pareto!S:S,Pareto!T:T)</f>
        <v>#N/A</v>
      </c>
      <c r="F173" s="1759" t="e">
        <f ca="1">_xlfn.XLOOKUP(K173,Pareto!V:V,Pareto!S:S)</f>
        <v>#N/A</v>
      </c>
      <c r="G173" s="1760"/>
      <c r="H173" s="609" t="e">
        <f ca="1">_xlfn.XLOOKUP(F173,Pareto!S:S,Pareto!X:X)</f>
        <v>#N/A</v>
      </c>
      <c r="I173" s="609" t="e">
        <f ca="1">_xlfn.XLOOKUP('5 Unidades  +'!F173,Pareto!S:S,Pareto!Z:Z)</f>
        <v>#N/A</v>
      </c>
      <c r="J173" s="604" t="e">
        <f ca="1">_xlfn.XLOOKUP(F173,Pareto!S:S,Pareto!U:U)</f>
        <v>#N/A</v>
      </c>
      <c r="K173" s="604" t="str">
        <f ca="1">IFERROR(LARGE(Pareto!V:V,D173)," ")</f>
        <v xml:space="preserve"> </v>
      </c>
      <c r="L173" s="604" t="e">
        <f ca="1">_xlfn.XLOOKUP(F173,Pareto!S:S,Pareto!W:W)</f>
        <v>#N/A</v>
      </c>
      <c r="M173" s="605" t="e">
        <f t="shared" ca="1" si="2"/>
        <v>#N/A</v>
      </c>
      <c r="N173" s="20"/>
      <c r="O173" s="20"/>
      <c r="P173" s="20"/>
      <c r="Q173" s="20"/>
      <c r="R173" s="20"/>
      <c r="S173" s="20"/>
      <c r="T173" s="20"/>
      <c r="U173" s="20"/>
      <c r="V173" s="20"/>
      <c r="W173" s="20"/>
      <c r="X173" s="20"/>
      <c r="Y173" s="20"/>
      <c r="Z173" s="20"/>
    </row>
    <row r="174" spans="3:26" ht="15" hidden="1" customHeight="1" x14ac:dyDescent="0.3">
      <c r="C174" s="20"/>
      <c r="D174" s="600">
        <v>121</v>
      </c>
      <c r="E174" s="610" t="e">
        <f ca="1">_xlfn.XLOOKUP(F174,Pareto!S:S,Pareto!T:T)</f>
        <v>#N/A</v>
      </c>
      <c r="F174" s="1757" t="e">
        <f ca="1">_xlfn.XLOOKUP(K174,Pareto!V:V,Pareto!S:S)</f>
        <v>#N/A</v>
      </c>
      <c r="G174" s="1758"/>
      <c r="H174" s="608" t="e">
        <f ca="1">_xlfn.XLOOKUP(F174,Pareto!S:S,Pareto!X:X)</f>
        <v>#N/A</v>
      </c>
      <c r="I174" s="608" t="e">
        <f ca="1">_xlfn.XLOOKUP('5 Unidades  +'!F174,Pareto!S:S,Pareto!Z:Z)</f>
        <v>#N/A</v>
      </c>
      <c r="J174" s="601" t="e">
        <f ca="1">_xlfn.XLOOKUP(F174,Pareto!S:S,Pareto!U:U)</f>
        <v>#N/A</v>
      </c>
      <c r="K174" s="601" t="str">
        <f ca="1">IFERROR(LARGE(Pareto!V:V,D174)," ")</f>
        <v xml:space="preserve"> </v>
      </c>
      <c r="L174" s="601" t="e">
        <f ca="1">_xlfn.XLOOKUP(F174,Pareto!S:S,Pareto!W:W)</f>
        <v>#N/A</v>
      </c>
      <c r="M174" s="602" t="e">
        <f t="shared" ca="1" si="2"/>
        <v>#N/A</v>
      </c>
      <c r="N174" s="20"/>
      <c r="O174" s="20"/>
      <c r="P174" s="20"/>
      <c r="Q174" s="20"/>
      <c r="R174" s="20"/>
      <c r="S174" s="20"/>
      <c r="T174" s="20"/>
      <c r="U174" s="20"/>
      <c r="V174" s="20"/>
      <c r="W174" s="20"/>
      <c r="X174" s="20"/>
      <c r="Y174" s="20"/>
      <c r="Z174" s="20"/>
    </row>
    <row r="175" spans="3:26" ht="15" hidden="1" customHeight="1" x14ac:dyDescent="0.3">
      <c r="C175" s="20"/>
      <c r="D175" s="603">
        <v>122</v>
      </c>
      <c r="E175" s="609" t="e">
        <f ca="1">_xlfn.XLOOKUP(F175,Pareto!S:S,Pareto!T:T)</f>
        <v>#N/A</v>
      </c>
      <c r="F175" s="1759" t="e">
        <f ca="1">_xlfn.XLOOKUP(K175,Pareto!V:V,Pareto!S:S)</f>
        <v>#N/A</v>
      </c>
      <c r="G175" s="1760"/>
      <c r="H175" s="609" t="e">
        <f ca="1">_xlfn.XLOOKUP(F175,Pareto!S:S,Pareto!X:X)</f>
        <v>#N/A</v>
      </c>
      <c r="I175" s="609" t="e">
        <f ca="1">_xlfn.XLOOKUP('5 Unidades  +'!F175,Pareto!S:S,Pareto!Z:Z)</f>
        <v>#N/A</v>
      </c>
      <c r="J175" s="604" t="e">
        <f ca="1">_xlfn.XLOOKUP(F175,Pareto!S:S,Pareto!U:U)</f>
        <v>#N/A</v>
      </c>
      <c r="K175" s="604" t="str">
        <f ca="1">IFERROR(LARGE(Pareto!V:V,D175)," ")</f>
        <v xml:space="preserve"> </v>
      </c>
      <c r="L175" s="604" t="e">
        <f ca="1">_xlfn.XLOOKUP(F175,Pareto!S:S,Pareto!W:W)</f>
        <v>#N/A</v>
      </c>
      <c r="M175" s="605" t="e">
        <f t="shared" ca="1" si="2"/>
        <v>#N/A</v>
      </c>
      <c r="N175" s="20"/>
      <c r="O175" s="20"/>
      <c r="P175" s="20"/>
      <c r="Q175" s="20"/>
      <c r="R175" s="20"/>
      <c r="S175" s="20"/>
      <c r="T175" s="20"/>
      <c r="U175" s="20"/>
      <c r="V175" s="20"/>
      <c r="W175" s="20"/>
      <c r="X175" s="20"/>
      <c r="Y175" s="20"/>
      <c r="Z175" s="20"/>
    </row>
    <row r="176" spans="3:26" ht="15" hidden="1" customHeight="1" x14ac:dyDescent="0.3">
      <c r="C176" s="20"/>
      <c r="D176" s="600">
        <v>123</v>
      </c>
      <c r="E176" s="610" t="e">
        <f ca="1">_xlfn.XLOOKUP(F176,Pareto!S:S,Pareto!T:T)</f>
        <v>#N/A</v>
      </c>
      <c r="F176" s="1757" t="e">
        <f ca="1">_xlfn.XLOOKUP(K176,Pareto!V:V,Pareto!S:S)</f>
        <v>#N/A</v>
      </c>
      <c r="G176" s="1758"/>
      <c r="H176" s="608" t="e">
        <f ca="1">_xlfn.XLOOKUP(F176,Pareto!S:S,Pareto!X:X)</f>
        <v>#N/A</v>
      </c>
      <c r="I176" s="608" t="e">
        <f ca="1">_xlfn.XLOOKUP('5 Unidades  +'!F176,Pareto!S:S,Pareto!Z:Z)</f>
        <v>#N/A</v>
      </c>
      <c r="J176" s="601" t="e">
        <f ca="1">_xlfn.XLOOKUP(F176,Pareto!S:S,Pareto!U:U)</f>
        <v>#N/A</v>
      </c>
      <c r="K176" s="601" t="str">
        <f ca="1">IFERROR(LARGE(Pareto!V:V,D176)," ")</f>
        <v xml:space="preserve"> </v>
      </c>
      <c r="L176" s="601" t="e">
        <f ca="1">_xlfn.XLOOKUP(F176,Pareto!S:S,Pareto!W:W)</f>
        <v>#N/A</v>
      </c>
      <c r="M176" s="602" t="e">
        <f t="shared" ca="1" si="2"/>
        <v>#N/A</v>
      </c>
      <c r="N176" s="20"/>
      <c r="O176" s="20"/>
      <c r="P176" s="20"/>
      <c r="Q176" s="20"/>
      <c r="R176" s="20"/>
      <c r="S176" s="20"/>
      <c r="T176" s="20"/>
      <c r="U176" s="20"/>
      <c r="V176" s="20"/>
      <c r="W176" s="20"/>
      <c r="X176" s="20"/>
      <c r="Y176" s="20"/>
      <c r="Z176" s="20"/>
    </row>
    <row r="177" spans="3:26" ht="15" hidden="1" customHeight="1" x14ac:dyDescent="0.3">
      <c r="C177" s="20"/>
      <c r="D177" s="603">
        <v>124</v>
      </c>
      <c r="E177" s="609" t="e">
        <f ca="1">_xlfn.XLOOKUP(F177,Pareto!S:S,Pareto!T:T)</f>
        <v>#N/A</v>
      </c>
      <c r="F177" s="1759" t="e">
        <f ca="1">_xlfn.XLOOKUP(K177,Pareto!V:V,Pareto!S:S)</f>
        <v>#N/A</v>
      </c>
      <c r="G177" s="1760"/>
      <c r="H177" s="609" t="e">
        <f ca="1">_xlfn.XLOOKUP(F177,Pareto!S:S,Pareto!X:X)</f>
        <v>#N/A</v>
      </c>
      <c r="I177" s="609" t="e">
        <f ca="1">_xlfn.XLOOKUP('5 Unidades  +'!F177,Pareto!S:S,Pareto!Z:Z)</f>
        <v>#N/A</v>
      </c>
      <c r="J177" s="604" t="e">
        <f ca="1">_xlfn.XLOOKUP(F177,Pareto!S:S,Pareto!U:U)</f>
        <v>#N/A</v>
      </c>
      <c r="K177" s="604" t="str">
        <f ca="1">IFERROR(LARGE(Pareto!V:V,D177)," ")</f>
        <v xml:space="preserve"> </v>
      </c>
      <c r="L177" s="604" t="e">
        <f ca="1">_xlfn.XLOOKUP(F177,Pareto!S:S,Pareto!W:W)</f>
        <v>#N/A</v>
      </c>
      <c r="M177" s="605" t="e">
        <f t="shared" ca="1" si="2"/>
        <v>#N/A</v>
      </c>
      <c r="N177" s="20"/>
      <c r="O177" s="20"/>
      <c r="P177" s="20"/>
      <c r="Q177" s="20"/>
      <c r="R177" s="20"/>
      <c r="S177" s="20"/>
      <c r="T177" s="20"/>
      <c r="U177" s="20"/>
      <c r="V177" s="20"/>
      <c r="W177" s="20"/>
      <c r="X177" s="20"/>
      <c r="Y177" s="20"/>
      <c r="Z177" s="20"/>
    </row>
    <row r="178" spans="3:26" ht="15" hidden="1" customHeight="1" x14ac:dyDescent="0.3">
      <c r="C178" s="20"/>
      <c r="D178" s="600">
        <v>125</v>
      </c>
      <c r="E178" s="610" t="e">
        <f ca="1">_xlfn.XLOOKUP(F178,Pareto!S:S,Pareto!T:T)</f>
        <v>#N/A</v>
      </c>
      <c r="F178" s="1757" t="e">
        <f ca="1">_xlfn.XLOOKUP(K178,Pareto!V:V,Pareto!S:S)</f>
        <v>#N/A</v>
      </c>
      <c r="G178" s="1758"/>
      <c r="H178" s="608" t="e">
        <f ca="1">_xlfn.XLOOKUP(F178,Pareto!S:S,Pareto!X:X)</f>
        <v>#N/A</v>
      </c>
      <c r="I178" s="608" t="e">
        <f ca="1">_xlfn.XLOOKUP('5 Unidades  +'!F178,Pareto!S:S,Pareto!Z:Z)</f>
        <v>#N/A</v>
      </c>
      <c r="J178" s="601" t="e">
        <f ca="1">_xlfn.XLOOKUP(F178,Pareto!S:S,Pareto!U:U)</f>
        <v>#N/A</v>
      </c>
      <c r="K178" s="601" t="str">
        <f ca="1">IFERROR(LARGE(Pareto!V:V,D178)," ")</f>
        <v xml:space="preserve"> </v>
      </c>
      <c r="L178" s="601" t="e">
        <f ca="1">_xlfn.XLOOKUP(F178,Pareto!S:S,Pareto!W:W)</f>
        <v>#N/A</v>
      </c>
      <c r="M178" s="602" t="e">
        <f t="shared" ca="1" si="2"/>
        <v>#N/A</v>
      </c>
      <c r="N178" s="20"/>
      <c r="O178" s="20"/>
      <c r="P178" s="20"/>
      <c r="Q178" s="20"/>
      <c r="R178" s="20"/>
      <c r="S178" s="20"/>
      <c r="T178" s="20"/>
      <c r="U178" s="20"/>
      <c r="V178" s="20"/>
      <c r="W178" s="20"/>
      <c r="X178" s="20"/>
      <c r="Y178" s="20"/>
      <c r="Z178" s="20"/>
    </row>
    <row r="179" spans="3:26" ht="15" hidden="1" customHeight="1" x14ac:dyDescent="0.3">
      <c r="C179" s="20"/>
      <c r="D179" s="603">
        <v>126</v>
      </c>
      <c r="E179" s="609" t="e">
        <f ca="1">_xlfn.XLOOKUP(F179,Pareto!S:S,Pareto!T:T)</f>
        <v>#N/A</v>
      </c>
      <c r="F179" s="1759" t="e">
        <f ca="1">_xlfn.XLOOKUP(K179,Pareto!V:V,Pareto!S:S)</f>
        <v>#N/A</v>
      </c>
      <c r="G179" s="1760"/>
      <c r="H179" s="609" t="e">
        <f ca="1">_xlfn.XLOOKUP(F179,Pareto!S:S,Pareto!X:X)</f>
        <v>#N/A</v>
      </c>
      <c r="I179" s="609" t="e">
        <f ca="1">_xlfn.XLOOKUP('5 Unidades  +'!F179,Pareto!S:S,Pareto!Z:Z)</f>
        <v>#N/A</v>
      </c>
      <c r="J179" s="604" t="e">
        <f ca="1">_xlfn.XLOOKUP(F179,Pareto!S:S,Pareto!U:U)</f>
        <v>#N/A</v>
      </c>
      <c r="K179" s="604" t="str">
        <f ca="1">IFERROR(LARGE(Pareto!V:V,D179)," ")</f>
        <v xml:space="preserve"> </v>
      </c>
      <c r="L179" s="604" t="e">
        <f ca="1">_xlfn.XLOOKUP(F179,Pareto!S:S,Pareto!W:W)</f>
        <v>#N/A</v>
      </c>
      <c r="M179" s="605" t="e">
        <f t="shared" ca="1" si="2"/>
        <v>#N/A</v>
      </c>
      <c r="N179" s="20"/>
      <c r="O179" s="20"/>
      <c r="P179" s="20"/>
      <c r="Q179" s="20"/>
      <c r="R179" s="20"/>
      <c r="S179" s="20"/>
      <c r="T179" s="20"/>
      <c r="U179" s="20"/>
      <c r="V179" s="20"/>
      <c r="W179" s="20"/>
      <c r="X179" s="20"/>
      <c r="Y179" s="20"/>
      <c r="Z179" s="20"/>
    </row>
    <row r="180" spans="3:26" ht="15" hidden="1" customHeight="1" x14ac:dyDescent="0.3">
      <c r="C180" s="20"/>
      <c r="D180" s="600">
        <v>127</v>
      </c>
      <c r="E180" s="610" t="e">
        <f ca="1">_xlfn.XLOOKUP(F180,Pareto!S:S,Pareto!T:T)</f>
        <v>#N/A</v>
      </c>
      <c r="F180" s="1757" t="e">
        <f ca="1">_xlfn.XLOOKUP(K180,Pareto!V:V,Pareto!S:S)</f>
        <v>#N/A</v>
      </c>
      <c r="G180" s="1758"/>
      <c r="H180" s="608" t="e">
        <f ca="1">_xlfn.XLOOKUP(F180,Pareto!S:S,Pareto!X:X)</f>
        <v>#N/A</v>
      </c>
      <c r="I180" s="608" t="e">
        <f ca="1">_xlfn.XLOOKUP('5 Unidades  +'!F180,Pareto!S:S,Pareto!Z:Z)</f>
        <v>#N/A</v>
      </c>
      <c r="J180" s="601" t="e">
        <f ca="1">_xlfn.XLOOKUP(F180,Pareto!S:S,Pareto!U:U)</f>
        <v>#N/A</v>
      </c>
      <c r="K180" s="601" t="str">
        <f ca="1">IFERROR(LARGE(Pareto!V:V,D180)," ")</f>
        <v xml:space="preserve"> </v>
      </c>
      <c r="L180" s="601" t="e">
        <f ca="1">_xlfn.XLOOKUP(F180,Pareto!S:S,Pareto!W:W)</f>
        <v>#N/A</v>
      </c>
      <c r="M180" s="602" t="e">
        <f t="shared" ca="1" si="2"/>
        <v>#N/A</v>
      </c>
      <c r="N180" s="20"/>
      <c r="O180" s="20"/>
      <c r="P180" s="20"/>
      <c r="Q180" s="20"/>
      <c r="R180" s="20"/>
      <c r="S180" s="20"/>
      <c r="T180" s="20"/>
      <c r="U180" s="20"/>
      <c r="V180" s="20"/>
      <c r="W180" s="20"/>
      <c r="X180" s="20"/>
      <c r="Y180" s="20"/>
      <c r="Z180" s="20"/>
    </row>
    <row r="181" spans="3:26" ht="15" hidden="1" customHeight="1" x14ac:dyDescent="0.3">
      <c r="C181" s="20"/>
      <c r="D181" s="603">
        <v>128</v>
      </c>
      <c r="E181" s="609" t="e">
        <f ca="1">_xlfn.XLOOKUP(F181,Pareto!S:S,Pareto!T:T)</f>
        <v>#N/A</v>
      </c>
      <c r="F181" s="1759" t="e">
        <f ca="1">_xlfn.XLOOKUP(K181,Pareto!V:V,Pareto!S:S)</f>
        <v>#N/A</v>
      </c>
      <c r="G181" s="1760"/>
      <c r="H181" s="609" t="e">
        <f ca="1">_xlfn.XLOOKUP(F181,Pareto!S:S,Pareto!X:X)</f>
        <v>#N/A</v>
      </c>
      <c r="I181" s="609" t="e">
        <f ca="1">_xlfn.XLOOKUP('5 Unidades  +'!F181,Pareto!S:S,Pareto!Z:Z)</f>
        <v>#N/A</v>
      </c>
      <c r="J181" s="604" t="e">
        <f ca="1">_xlfn.XLOOKUP(F181,Pareto!S:S,Pareto!U:U)</f>
        <v>#N/A</v>
      </c>
      <c r="K181" s="604" t="str">
        <f ca="1">IFERROR(LARGE(Pareto!V:V,D181)," ")</f>
        <v xml:space="preserve"> </v>
      </c>
      <c r="L181" s="604" t="e">
        <f ca="1">_xlfn.XLOOKUP(F181,Pareto!S:S,Pareto!W:W)</f>
        <v>#N/A</v>
      </c>
      <c r="M181" s="605" t="e">
        <f t="shared" ca="1" si="2"/>
        <v>#N/A</v>
      </c>
      <c r="N181" s="20"/>
      <c r="O181" s="20"/>
      <c r="P181" s="20"/>
      <c r="Q181" s="20"/>
      <c r="R181" s="20"/>
      <c r="S181" s="20"/>
      <c r="T181" s="20"/>
      <c r="U181" s="20"/>
      <c r="V181" s="20"/>
      <c r="W181" s="20"/>
      <c r="X181" s="20"/>
      <c r="Y181" s="20"/>
      <c r="Z181" s="20"/>
    </row>
    <row r="182" spans="3:26" ht="15" hidden="1" customHeight="1" x14ac:dyDescent="0.3">
      <c r="C182" s="20"/>
      <c r="D182" s="600">
        <v>129</v>
      </c>
      <c r="E182" s="610" t="e">
        <f ca="1">_xlfn.XLOOKUP(F182,Pareto!S:S,Pareto!T:T)</f>
        <v>#N/A</v>
      </c>
      <c r="F182" s="1757" t="e">
        <f ca="1">_xlfn.XLOOKUP(K182,Pareto!V:V,Pareto!S:S)</f>
        <v>#N/A</v>
      </c>
      <c r="G182" s="1758"/>
      <c r="H182" s="608" t="e">
        <f ca="1">_xlfn.XLOOKUP(F182,Pareto!S:S,Pareto!X:X)</f>
        <v>#N/A</v>
      </c>
      <c r="I182" s="608" t="e">
        <f ca="1">_xlfn.XLOOKUP('5 Unidades  +'!F182,Pareto!S:S,Pareto!Z:Z)</f>
        <v>#N/A</v>
      </c>
      <c r="J182" s="601" t="e">
        <f ca="1">_xlfn.XLOOKUP(F182,Pareto!S:S,Pareto!U:U)</f>
        <v>#N/A</v>
      </c>
      <c r="K182" s="601" t="str">
        <f ca="1">IFERROR(LARGE(Pareto!V:V,D182)," ")</f>
        <v xml:space="preserve"> </v>
      </c>
      <c r="L182" s="601" t="e">
        <f ca="1">_xlfn.XLOOKUP(F182,Pareto!S:S,Pareto!W:W)</f>
        <v>#N/A</v>
      </c>
      <c r="M182" s="602" t="e">
        <f t="shared" ca="1" si="2"/>
        <v>#N/A</v>
      </c>
      <c r="N182" s="20"/>
      <c r="O182" s="20"/>
      <c r="P182" s="20"/>
      <c r="Q182" s="20"/>
      <c r="R182" s="20"/>
      <c r="S182" s="20"/>
      <c r="T182" s="20"/>
      <c r="U182" s="20"/>
      <c r="V182" s="20"/>
      <c r="W182" s="20"/>
      <c r="X182" s="20"/>
      <c r="Y182" s="20"/>
      <c r="Z182" s="20"/>
    </row>
    <row r="183" spans="3:26" ht="15" hidden="1" customHeight="1" x14ac:dyDescent="0.3">
      <c r="C183" s="20"/>
      <c r="D183" s="603">
        <v>130</v>
      </c>
      <c r="E183" s="609" t="e">
        <f ca="1">_xlfn.XLOOKUP(F183,Pareto!S:S,Pareto!T:T)</f>
        <v>#N/A</v>
      </c>
      <c r="F183" s="1759" t="e">
        <f ca="1">_xlfn.XLOOKUP(K183,Pareto!V:V,Pareto!S:S)</f>
        <v>#N/A</v>
      </c>
      <c r="G183" s="1760"/>
      <c r="H183" s="609" t="e">
        <f ca="1">_xlfn.XLOOKUP(F183,Pareto!S:S,Pareto!X:X)</f>
        <v>#N/A</v>
      </c>
      <c r="I183" s="609" t="e">
        <f ca="1">_xlfn.XLOOKUP('5 Unidades  +'!F183,Pareto!S:S,Pareto!Z:Z)</f>
        <v>#N/A</v>
      </c>
      <c r="J183" s="604" t="e">
        <f ca="1">_xlfn.XLOOKUP(F183,Pareto!S:S,Pareto!U:U)</f>
        <v>#N/A</v>
      </c>
      <c r="K183" s="604" t="str">
        <f ca="1">IFERROR(LARGE(Pareto!V:V,D183)," ")</f>
        <v xml:space="preserve"> </v>
      </c>
      <c r="L183" s="604" t="e">
        <f ca="1">_xlfn.XLOOKUP(F183,Pareto!S:S,Pareto!W:W)</f>
        <v>#N/A</v>
      </c>
      <c r="M183" s="605" t="e">
        <f t="shared" ca="1" si="2"/>
        <v>#N/A</v>
      </c>
      <c r="N183" s="20"/>
      <c r="O183" s="20"/>
      <c r="P183" s="20"/>
      <c r="Q183" s="20"/>
      <c r="R183" s="20"/>
      <c r="S183" s="20"/>
      <c r="T183" s="20"/>
      <c r="U183" s="20"/>
      <c r="V183" s="20"/>
      <c r="W183" s="20"/>
      <c r="X183" s="20"/>
      <c r="Y183" s="20"/>
      <c r="Z183" s="20"/>
    </row>
    <row r="184" spans="3:26" ht="15" hidden="1" customHeight="1" x14ac:dyDescent="0.3">
      <c r="C184" s="20"/>
      <c r="D184" s="600">
        <v>131</v>
      </c>
      <c r="E184" s="610" t="e">
        <f ca="1">_xlfn.XLOOKUP(F184,Pareto!S:S,Pareto!T:T)</f>
        <v>#N/A</v>
      </c>
      <c r="F184" s="1757" t="e">
        <f ca="1">_xlfn.XLOOKUP(K184,Pareto!V:V,Pareto!S:S)</f>
        <v>#N/A</v>
      </c>
      <c r="G184" s="1758"/>
      <c r="H184" s="608" t="e">
        <f ca="1">_xlfn.XLOOKUP(F184,Pareto!S:S,Pareto!X:X)</f>
        <v>#N/A</v>
      </c>
      <c r="I184" s="608" t="e">
        <f ca="1">_xlfn.XLOOKUP('5 Unidades  +'!F184,Pareto!S:S,Pareto!Z:Z)</f>
        <v>#N/A</v>
      </c>
      <c r="J184" s="601" t="e">
        <f ca="1">_xlfn.XLOOKUP(F184,Pareto!S:S,Pareto!U:U)</f>
        <v>#N/A</v>
      </c>
      <c r="K184" s="601" t="str">
        <f ca="1">IFERROR(LARGE(Pareto!V:V,D184)," ")</f>
        <v xml:space="preserve"> </v>
      </c>
      <c r="L184" s="601" t="e">
        <f ca="1">_xlfn.XLOOKUP(F184,Pareto!S:S,Pareto!W:W)</f>
        <v>#N/A</v>
      </c>
      <c r="M184" s="602" t="e">
        <f t="shared" ref="M184:M247" ca="1" si="3">IF(L184="",-K184,L184-K184)</f>
        <v>#N/A</v>
      </c>
      <c r="N184" s="20"/>
      <c r="O184" s="20"/>
      <c r="P184" s="20"/>
      <c r="Q184" s="20"/>
      <c r="R184" s="20"/>
      <c r="S184" s="20"/>
      <c r="T184" s="20"/>
      <c r="U184" s="20"/>
      <c r="V184" s="20"/>
      <c r="W184" s="20"/>
      <c r="X184" s="20"/>
      <c r="Y184" s="20"/>
      <c r="Z184" s="20"/>
    </row>
    <row r="185" spans="3:26" ht="15" hidden="1" customHeight="1" x14ac:dyDescent="0.3">
      <c r="C185" s="20"/>
      <c r="D185" s="603">
        <v>132</v>
      </c>
      <c r="E185" s="609" t="e">
        <f ca="1">_xlfn.XLOOKUP(F185,Pareto!S:S,Pareto!T:T)</f>
        <v>#N/A</v>
      </c>
      <c r="F185" s="1759" t="e">
        <f ca="1">_xlfn.XLOOKUP(K185,Pareto!V:V,Pareto!S:S)</f>
        <v>#N/A</v>
      </c>
      <c r="G185" s="1760"/>
      <c r="H185" s="609" t="e">
        <f ca="1">_xlfn.XLOOKUP(F185,Pareto!S:S,Pareto!X:X)</f>
        <v>#N/A</v>
      </c>
      <c r="I185" s="609" t="e">
        <f ca="1">_xlfn.XLOOKUP('5 Unidades  +'!F185,Pareto!S:S,Pareto!Z:Z)</f>
        <v>#N/A</v>
      </c>
      <c r="J185" s="604" t="e">
        <f ca="1">_xlfn.XLOOKUP(F185,Pareto!S:S,Pareto!U:U)</f>
        <v>#N/A</v>
      </c>
      <c r="K185" s="604" t="str">
        <f ca="1">IFERROR(LARGE(Pareto!V:V,D185)," ")</f>
        <v xml:space="preserve"> </v>
      </c>
      <c r="L185" s="604" t="e">
        <f ca="1">_xlfn.XLOOKUP(F185,Pareto!S:S,Pareto!W:W)</f>
        <v>#N/A</v>
      </c>
      <c r="M185" s="605" t="e">
        <f t="shared" ca="1" si="3"/>
        <v>#N/A</v>
      </c>
      <c r="N185" s="20"/>
      <c r="O185" s="20"/>
      <c r="P185" s="20"/>
      <c r="Q185" s="20"/>
      <c r="R185" s="20"/>
      <c r="S185" s="20"/>
      <c r="T185" s="20"/>
      <c r="U185" s="20"/>
      <c r="V185" s="20"/>
      <c r="W185" s="20"/>
      <c r="X185" s="20"/>
      <c r="Y185" s="20"/>
      <c r="Z185" s="20"/>
    </row>
    <row r="186" spans="3:26" ht="15" hidden="1" customHeight="1" x14ac:dyDescent="0.3">
      <c r="C186" s="20"/>
      <c r="D186" s="600">
        <v>133</v>
      </c>
      <c r="E186" s="610" t="e">
        <f ca="1">_xlfn.XLOOKUP(F186,Pareto!S:S,Pareto!T:T)</f>
        <v>#N/A</v>
      </c>
      <c r="F186" s="1757" t="e">
        <f ca="1">_xlfn.XLOOKUP(K186,Pareto!V:V,Pareto!S:S)</f>
        <v>#N/A</v>
      </c>
      <c r="G186" s="1758"/>
      <c r="H186" s="608" t="e">
        <f ca="1">_xlfn.XLOOKUP(F186,Pareto!S:S,Pareto!X:X)</f>
        <v>#N/A</v>
      </c>
      <c r="I186" s="608" t="e">
        <f ca="1">_xlfn.XLOOKUP('5 Unidades  +'!F186,Pareto!S:S,Pareto!Z:Z)</f>
        <v>#N/A</v>
      </c>
      <c r="J186" s="601" t="e">
        <f ca="1">_xlfn.XLOOKUP(F186,Pareto!S:S,Pareto!U:U)</f>
        <v>#N/A</v>
      </c>
      <c r="K186" s="601" t="str">
        <f ca="1">IFERROR(LARGE(Pareto!V:V,D186)," ")</f>
        <v xml:space="preserve"> </v>
      </c>
      <c r="L186" s="601" t="e">
        <f ca="1">_xlfn.XLOOKUP(F186,Pareto!S:S,Pareto!W:W)</f>
        <v>#N/A</v>
      </c>
      <c r="M186" s="602" t="e">
        <f t="shared" ca="1" si="3"/>
        <v>#N/A</v>
      </c>
      <c r="N186" s="20"/>
      <c r="O186" s="20"/>
      <c r="P186" s="20"/>
      <c r="Q186" s="20"/>
      <c r="R186" s="20"/>
      <c r="S186" s="20"/>
      <c r="T186" s="20"/>
      <c r="U186" s="20"/>
      <c r="V186" s="20"/>
      <c r="W186" s="20"/>
      <c r="X186" s="20"/>
      <c r="Y186" s="20"/>
      <c r="Z186" s="20"/>
    </row>
    <row r="187" spans="3:26" ht="15" hidden="1" customHeight="1" x14ac:dyDescent="0.3">
      <c r="C187" s="20"/>
      <c r="D187" s="603">
        <v>134</v>
      </c>
      <c r="E187" s="609" t="e">
        <f ca="1">_xlfn.XLOOKUP(F187,Pareto!S:S,Pareto!T:T)</f>
        <v>#N/A</v>
      </c>
      <c r="F187" s="1759" t="e">
        <f ca="1">_xlfn.XLOOKUP(K187,Pareto!V:V,Pareto!S:S)</f>
        <v>#N/A</v>
      </c>
      <c r="G187" s="1760"/>
      <c r="H187" s="609" t="e">
        <f ca="1">_xlfn.XLOOKUP(F187,Pareto!S:S,Pareto!X:X)</f>
        <v>#N/A</v>
      </c>
      <c r="I187" s="609" t="e">
        <f ca="1">_xlfn.XLOOKUP('5 Unidades  +'!F187,Pareto!S:S,Pareto!Z:Z)</f>
        <v>#N/A</v>
      </c>
      <c r="J187" s="604" t="e">
        <f ca="1">_xlfn.XLOOKUP(F187,Pareto!S:S,Pareto!U:U)</f>
        <v>#N/A</v>
      </c>
      <c r="K187" s="604" t="str">
        <f ca="1">IFERROR(LARGE(Pareto!V:V,D187)," ")</f>
        <v xml:space="preserve"> </v>
      </c>
      <c r="L187" s="604" t="e">
        <f ca="1">_xlfn.XLOOKUP(F187,Pareto!S:S,Pareto!W:W)</f>
        <v>#N/A</v>
      </c>
      <c r="M187" s="605" t="e">
        <f t="shared" ca="1" si="3"/>
        <v>#N/A</v>
      </c>
      <c r="N187" s="20"/>
      <c r="O187" s="20"/>
      <c r="P187" s="20"/>
      <c r="Q187" s="20"/>
      <c r="R187" s="20"/>
      <c r="S187" s="20"/>
      <c r="T187" s="20"/>
      <c r="U187" s="20"/>
      <c r="V187" s="20"/>
      <c r="W187" s="20"/>
      <c r="X187" s="20"/>
      <c r="Y187" s="20"/>
      <c r="Z187" s="20"/>
    </row>
    <row r="188" spans="3:26" ht="15" hidden="1" customHeight="1" x14ac:dyDescent="0.3">
      <c r="C188" s="20"/>
      <c r="D188" s="600">
        <v>135</v>
      </c>
      <c r="E188" s="610" t="e">
        <f ca="1">_xlfn.XLOOKUP(F188,Pareto!S:S,Pareto!T:T)</f>
        <v>#N/A</v>
      </c>
      <c r="F188" s="1757" t="e">
        <f ca="1">_xlfn.XLOOKUP(K188,Pareto!V:V,Pareto!S:S)</f>
        <v>#N/A</v>
      </c>
      <c r="G188" s="1758"/>
      <c r="H188" s="608" t="e">
        <f ca="1">_xlfn.XLOOKUP(F188,Pareto!S:S,Pareto!X:X)</f>
        <v>#N/A</v>
      </c>
      <c r="I188" s="608" t="e">
        <f ca="1">_xlfn.XLOOKUP('5 Unidades  +'!F188,Pareto!S:S,Pareto!Z:Z)</f>
        <v>#N/A</v>
      </c>
      <c r="J188" s="601" t="e">
        <f ca="1">_xlfn.XLOOKUP(F188,Pareto!S:S,Pareto!U:U)</f>
        <v>#N/A</v>
      </c>
      <c r="K188" s="601" t="str">
        <f ca="1">IFERROR(LARGE(Pareto!V:V,D188)," ")</f>
        <v xml:space="preserve"> </v>
      </c>
      <c r="L188" s="601" t="e">
        <f ca="1">_xlfn.XLOOKUP(F188,Pareto!S:S,Pareto!W:W)</f>
        <v>#N/A</v>
      </c>
      <c r="M188" s="602" t="e">
        <f t="shared" ca="1" si="3"/>
        <v>#N/A</v>
      </c>
      <c r="N188" s="20"/>
      <c r="O188" s="20"/>
      <c r="P188" s="20"/>
      <c r="Q188" s="20"/>
      <c r="R188" s="20"/>
      <c r="S188" s="20"/>
      <c r="T188" s="20"/>
      <c r="U188" s="20"/>
      <c r="V188" s="20"/>
      <c r="W188" s="20"/>
      <c r="X188" s="20"/>
      <c r="Y188" s="20"/>
      <c r="Z188" s="20"/>
    </row>
    <row r="189" spans="3:26" ht="15" hidden="1" customHeight="1" x14ac:dyDescent="0.3">
      <c r="C189" s="20"/>
      <c r="D189" s="603">
        <v>136</v>
      </c>
      <c r="E189" s="609" t="e">
        <f ca="1">_xlfn.XLOOKUP(F189,Pareto!S:S,Pareto!T:T)</f>
        <v>#N/A</v>
      </c>
      <c r="F189" s="1759" t="e">
        <f ca="1">_xlfn.XLOOKUP(K189,Pareto!V:V,Pareto!S:S)</f>
        <v>#N/A</v>
      </c>
      <c r="G189" s="1760"/>
      <c r="H189" s="609" t="e">
        <f ca="1">_xlfn.XLOOKUP(F189,Pareto!S:S,Pareto!X:X)</f>
        <v>#N/A</v>
      </c>
      <c r="I189" s="609" t="e">
        <f ca="1">_xlfn.XLOOKUP('5 Unidades  +'!F189,Pareto!S:S,Pareto!Z:Z)</f>
        <v>#N/A</v>
      </c>
      <c r="J189" s="604" t="e">
        <f ca="1">_xlfn.XLOOKUP(F189,Pareto!S:S,Pareto!U:U)</f>
        <v>#N/A</v>
      </c>
      <c r="K189" s="604" t="str">
        <f ca="1">IFERROR(LARGE(Pareto!V:V,D189)," ")</f>
        <v xml:space="preserve"> </v>
      </c>
      <c r="L189" s="604" t="e">
        <f ca="1">_xlfn.XLOOKUP(F189,Pareto!S:S,Pareto!W:W)</f>
        <v>#N/A</v>
      </c>
      <c r="M189" s="605" t="e">
        <f t="shared" ca="1" si="3"/>
        <v>#N/A</v>
      </c>
      <c r="N189" s="20"/>
      <c r="O189" s="20"/>
      <c r="P189" s="20"/>
      <c r="Q189" s="20"/>
      <c r="R189" s="20"/>
      <c r="S189" s="20"/>
      <c r="T189" s="20"/>
      <c r="U189" s="20"/>
      <c r="V189" s="20"/>
      <c r="W189" s="20"/>
      <c r="X189" s="20"/>
      <c r="Y189" s="20"/>
      <c r="Z189" s="20"/>
    </row>
    <row r="190" spans="3:26" ht="15" hidden="1" customHeight="1" x14ac:dyDescent="0.3">
      <c r="C190" s="20"/>
      <c r="D190" s="600">
        <v>137</v>
      </c>
      <c r="E190" s="610" t="e">
        <f ca="1">_xlfn.XLOOKUP(F190,Pareto!S:S,Pareto!T:T)</f>
        <v>#N/A</v>
      </c>
      <c r="F190" s="1757" t="e">
        <f ca="1">_xlfn.XLOOKUP(K190,Pareto!V:V,Pareto!S:S)</f>
        <v>#N/A</v>
      </c>
      <c r="G190" s="1758"/>
      <c r="H190" s="608" t="e">
        <f ca="1">_xlfn.XLOOKUP(F190,Pareto!S:S,Pareto!X:X)</f>
        <v>#N/A</v>
      </c>
      <c r="I190" s="608" t="e">
        <f ca="1">_xlfn.XLOOKUP('5 Unidades  +'!F190,Pareto!S:S,Pareto!Z:Z)</f>
        <v>#N/A</v>
      </c>
      <c r="J190" s="601" t="e">
        <f ca="1">_xlfn.XLOOKUP(F190,Pareto!S:S,Pareto!U:U)</f>
        <v>#N/A</v>
      </c>
      <c r="K190" s="601" t="str">
        <f ca="1">IFERROR(LARGE(Pareto!V:V,D190)," ")</f>
        <v xml:space="preserve"> </v>
      </c>
      <c r="L190" s="601" t="e">
        <f ca="1">_xlfn.XLOOKUP(F190,Pareto!S:S,Pareto!W:W)</f>
        <v>#N/A</v>
      </c>
      <c r="M190" s="602" t="e">
        <f t="shared" ca="1" si="3"/>
        <v>#N/A</v>
      </c>
      <c r="N190" s="20"/>
      <c r="O190" s="20"/>
      <c r="P190" s="20"/>
      <c r="Q190" s="20"/>
      <c r="R190" s="20"/>
      <c r="S190" s="20"/>
      <c r="T190" s="20"/>
      <c r="U190" s="20"/>
      <c r="V190" s="20"/>
      <c r="W190" s="20"/>
      <c r="X190" s="20"/>
      <c r="Y190" s="20"/>
      <c r="Z190" s="20"/>
    </row>
    <row r="191" spans="3:26" ht="15" hidden="1" customHeight="1" x14ac:dyDescent="0.3">
      <c r="C191" s="20"/>
      <c r="D191" s="603">
        <v>138</v>
      </c>
      <c r="E191" s="609" t="e">
        <f ca="1">_xlfn.XLOOKUP(F191,Pareto!S:S,Pareto!T:T)</f>
        <v>#N/A</v>
      </c>
      <c r="F191" s="1759" t="e">
        <f ca="1">_xlfn.XLOOKUP(K191,Pareto!V:V,Pareto!S:S)</f>
        <v>#N/A</v>
      </c>
      <c r="G191" s="1760"/>
      <c r="H191" s="609" t="e">
        <f ca="1">_xlfn.XLOOKUP(F191,Pareto!S:S,Pareto!X:X)</f>
        <v>#N/A</v>
      </c>
      <c r="I191" s="609" t="e">
        <f ca="1">_xlfn.XLOOKUP('5 Unidades  +'!F191,Pareto!S:S,Pareto!Z:Z)</f>
        <v>#N/A</v>
      </c>
      <c r="J191" s="604" t="e">
        <f ca="1">_xlfn.XLOOKUP(F191,Pareto!S:S,Pareto!U:U)</f>
        <v>#N/A</v>
      </c>
      <c r="K191" s="604" t="str">
        <f ca="1">IFERROR(LARGE(Pareto!V:V,D191)," ")</f>
        <v xml:space="preserve"> </v>
      </c>
      <c r="L191" s="604" t="e">
        <f ca="1">_xlfn.XLOOKUP(F191,Pareto!S:S,Pareto!W:W)</f>
        <v>#N/A</v>
      </c>
      <c r="M191" s="605" t="e">
        <f t="shared" ca="1" si="3"/>
        <v>#N/A</v>
      </c>
      <c r="N191" s="20"/>
      <c r="O191" s="20"/>
      <c r="P191" s="20"/>
      <c r="Q191" s="20"/>
      <c r="R191" s="20"/>
      <c r="S191" s="20"/>
      <c r="T191" s="20"/>
      <c r="U191" s="20"/>
      <c r="V191" s="20"/>
      <c r="W191" s="20"/>
      <c r="X191" s="20"/>
      <c r="Y191" s="20"/>
      <c r="Z191" s="20"/>
    </row>
    <row r="192" spans="3:26" ht="15" hidden="1" customHeight="1" x14ac:dyDescent="0.3">
      <c r="C192" s="20"/>
      <c r="D192" s="600">
        <v>139</v>
      </c>
      <c r="E192" s="610" t="e">
        <f ca="1">_xlfn.XLOOKUP(F192,Pareto!S:S,Pareto!T:T)</f>
        <v>#N/A</v>
      </c>
      <c r="F192" s="1757" t="e">
        <f ca="1">_xlfn.XLOOKUP(K192,Pareto!V:V,Pareto!S:S)</f>
        <v>#N/A</v>
      </c>
      <c r="G192" s="1758"/>
      <c r="H192" s="608" t="e">
        <f ca="1">_xlfn.XLOOKUP(F192,Pareto!S:S,Pareto!X:X)</f>
        <v>#N/A</v>
      </c>
      <c r="I192" s="608" t="e">
        <f ca="1">_xlfn.XLOOKUP('5 Unidades  +'!F192,Pareto!S:S,Pareto!Z:Z)</f>
        <v>#N/A</v>
      </c>
      <c r="J192" s="601" t="e">
        <f ca="1">_xlfn.XLOOKUP(F192,Pareto!S:S,Pareto!U:U)</f>
        <v>#N/A</v>
      </c>
      <c r="K192" s="601" t="str">
        <f ca="1">IFERROR(LARGE(Pareto!V:V,D192)," ")</f>
        <v xml:space="preserve"> </v>
      </c>
      <c r="L192" s="601" t="e">
        <f ca="1">_xlfn.XLOOKUP(F192,Pareto!S:S,Pareto!W:W)</f>
        <v>#N/A</v>
      </c>
      <c r="M192" s="602" t="e">
        <f t="shared" ca="1" si="3"/>
        <v>#N/A</v>
      </c>
      <c r="N192" s="20"/>
      <c r="O192" s="20"/>
      <c r="P192" s="20"/>
      <c r="Q192" s="20"/>
      <c r="R192" s="20"/>
      <c r="S192" s="20"/>
      <c r="T192" s="20"/>
      <c r="U192" s="20"/>
      <c r="V192" s="20"/>
      <c r="W192" s="20"/>
      <c r="X192" s="20"/>
      <c r="Y192" s="20"/>
      <c r="Z192" s="20"/>
    </row>
    <row r="193" spans="3:26" ht="15" hidden="1" customHeight="1" x14ac:dyDescent="0.3">
      <c r="C193" s="20"/>
      <c r="D193" s="603">
        <v>140</v>
      </c>
      <c r="E193" s="609" t="e">
        <f ca="1">_xlfn.XLOOKUP(F193,Pareto!S:S,Pareto!T:T)</f>
        <v>#N/A</v>
      </c>
      <c r="F193" s="1759" t="e">
        <f ca="1">_xlfn.XLOOKUP(K193,Pareto!V:V,Pareto!S:S)</f>
        <v>#N/A</v>
      </c>
      <c r="G193" s="1760"/>
      <c r="H193" s="609" t="e">
        <f ca="1">_xlfn.XLOOKUP(F193,Pareto!S:S,Pareto!X:X)</f>
        <v>#N/A</v>
      </c>
      <c r="I193" s="609" t="e">
        <f ca="1">_xlfn.XLOOKUP('5 Unidades  +'!F193,Pareto!S:S,Pareto!Z:Z)</f>
        <v>#N/A</v>
      </c>
      <c r="J193" s="604" t="e">
        <f ca="1">_xlfn.XLOOKUP(F193,Pareto!S:S,Pareto!U:U)</f>
        <v>#N/A</v>
      </c>
      <c r="K193" s="604" t="str">
        <f ca="1">IFERROR(LARGE(Pareto!V:V,D193)," ")</f>
        <v xml:space="preserve"> </v>
      </c>
      <c r="L193" s="604" t="e">
        <f ca="1">_xlfn.XLOOKUP(F193,Pareto!S:S,Pareto!W:W)</f>
        <v>#N/A</v>
      </c>
      <c r="M193" s="605" t="e">
        <f t="shared" ca="1" si="3"/>
        <v>#N/A</v>
      </c>
      <c r="N193" s="20"/>
      <c r="O193" s="20"/>
      <c r="P193" s="20"/>
      <c r="Q193" s="20"/>
      <c r="R193" s="20"/>
      <c r="S193" s="20"/>
      <c r="T193" s="20"/>
      <c r="U193" s="20"/>
      <c r="V193" s="20"/>
      <c r="W193" s="20"/>
      <c r="X193" s="20"/>
      <c r="Y193" s="20"/>
      <c r="Z193" s="20"/>
    </row>
    <row r="194" spans="3:26" ht="15" hidden="1" customHeight="1" x14ac:dyDescent="0.3">
      <c r="C194" s="20"/>
      <c r="D194" s="600">
        <v>141</v>
      </c>
      <c r="E194" s="610" t="e">
        <f ca="1">_xlfn.XLOOKUP(F194,Pareto!S:S,Pareto!T:T)</f>
        <v>#N/A</v>
      </c>
      <c r="F194" s="1757" t="e">
        <f ca="1">_xlfn.XLOOKUP(K194,Pareto!V:V,Pareto!S:S)</f>
        <v>#N/A</v>
      </c>
      <c r="G194" s="1758"/>
      <c r="H194" s="608" t="e">
        <f ca="1">_xlfn.XLOOKUP(F194,Pareto!S:S,Pareto!X:X)</f>
        <v>#N/A</v>
      </c>
      <c r="I194" s="608" t="e">
        <f ca="1">_xlfn.XLOOKUP('5 Unidades  +'!F194,Pareto!S:S,Pareto!Z:Z)</f>
        <v>#N/A</v>
      </c>
      <c r="J194" s="601" t="e">
        <f ca="1">_xlfn.XLOOKUP(F194,Pareto!S:S,Pareto!U:U)</f>
        <v>#N/A</v>
      </c>
      <c r="K194" s="601" t="str">
        <f ca="1">IFERROR(LARGE(Pareto!V:V,D194)," ")</f>
        <v xml:space="preserve"> </v>
      </c>
      <c r="L194" s="601" t="e">
        <f ca="1">_xlfn.XLOOKUP(F194,Pareto!S:S,Pareto!W:W)</f>
        <v>#N/A</v>
      </c>
      <c r="M194" s="602" t="e">
        <f t="shared" ca="1" si="3"/>
        <v>#N/A</v>
      </c>
      <c r="N194" s="20"/>
      <c r="O194" s="20"/>
      <c r="P194" s="20"/>
      <c r="Q194" s="20"/>
      <c r="R194" s="20"/>
      <c r="S194" s="20"/>
      <c r="T194" s="20"/>
      <c r="U194" s="20"/>
      <c r="V194" s="20"/>
      <c r="W194" s="20"/>
      <c r="X194" s="20"/>
      <c r="Y194" s="20"/>
      <c r="Z194" s="20"/>
    </row>
    <row r="195" spans="3:26" ht="15" hidden="1" customHeight="1" x14ac:dyDescent="0.3">
      <c r="C195" s="20"/>
      <c r="D195" s="603">
        <v>142</v>
      </c>
      <c r="E195" s="609" t="e">
        <f ca="1">_xlfn.XLOOKUP(F195,Pareto!S:S,Pareto!T:T)</f>
        <v>#N/A</v>
      </c>
      <c r="F195" s="1759" t="e">
        <f ca="1">_xlfn.XLOOKUP(K195,Pareto!V:V,Pareto!S:S)</f>
        <v>#N/A</v>
      </c>
      <c r="G195" s="1760"/>
      <c r="H195" s="609" t="e">
        <f ca="1">_xlfn.XLOOKUP(F195,Pareto!S:S,Pareto!X:X)</f>
        <v>#N/A</v>
      </c>
      <c r="I195" s="609" t="e">
        <f ca="1">_xlfn.XLOOKUP('5 Unidades  +'!F195,Pareto!S:S,Pareto!Z:Z)</f>
        <v>#N/A</v>
      </c>
      <c r="J195" s="604" t="e">
        <f ca="1">_xlfn.XLOOKUP(F195,Pareto!S:S,Pareto!U:U)</f>
        <v>#N/A</v>
      </c>
      <c r="K195" s="604" t="str">
        <f ca="1">IFERROR(LARGE(Pareto!V:V,D195)," ")</f>
        <v xml:space="preserve"> </v>
      </c>
      <c r="L195" s="604" t="e">
        <f ca="1">_xlfn.XLOOKUP(F195,Pareto!S:S,Pareto!W:W)</f>
        <v>#N/A</v>
      </c>
      <c r="M195" s="605" t="e">
        <f t="shared" ca="1" si="3"/>
        <v>#N/A</v>
      </c>
      <c r="N195" s="20"/>
      <c r="O195" s="20"/>
      <c r="P195" s="20"/>
      <c r="Q195" s="20"/>
      <c r="R195" s="20"/>
      <c r="S195" s="20"/>
      <c r="T195" s="20"/>
      <c r="U195" s="20"/>
      <c r="V195" s="20"/>
      <c r="W195" s="20"/>
      <c r="X195" s="20"/>
      <c r="Y195" s="20"/>
      <c r="Z195" s="20"/>
    </row>
    <row r="196" spans="3:26" ht="15" hidden="1" customHeight="1" x14ac:dyDescent="0.3">
      <c r="C196" s="20"/>
      <c r="D196" s="600">
        <v>143</v>
      </c>
      <c r="E196" s="610" t="e">
        <f ca="1">_xlfn.XLOOKUP(F196,Pareto!S:S,Pareto!T:T)</f>
        <v>#N/A</v>
      </c>
      <c r="F196" s="1757" t="e">
        <f ca="1">_xlfn.XLOOKUP(K196,Pareto!V:V,Pareto!S:S)</f>
        <v>#N/A</v>
      </c>
      <c r="G196" s="1758"/>
      <c r="H196" s="608" t="e">
        <f ca="1">_xlfn.XLOOKUP(F196,Pareto!S:S,Pareto!X:X)</f>
        <v>#N/A</v>
      </c>
      <c r="I196" s="608" t="e">
        <f ca="1">_xlfn.XLOOKUP('5 Unidades  +'!F196,Pareto!S:S,Pareto!Z:Z)</f>
        <v>#N/A</v>
      </c>
      <c r="J196" s="601" t="e">
        <f ca="1">_xlfn.XLOOKUP(F196,Pareto!S:S,Pareto!U:U)</f>
        <v>#N/A</v>
      </c>
      <c r="K196" s="601" t="str">
        <f ca="1">IFERROR(LARGE(Pareto!V:V,D196)," ")</f>
        <v xml:space="preserve"> </v>
      </c>
      <c r="L196" s="601" t="e">
        <f ca="1">_xlfn.XLOOKUP(F196,Pareto!S:S,Pareto!W:W)</f>
        <v>#N/A</v>
      </c>
      <c r="M196" s="602" t="e">
        <f t="shared" ca="1" si="3"/>
        <v>#N/A</v>
      </c>
      <c r="N196" s="20"/>
      <c r="O196" s="20"/>
      <c r="P196" s="20"/>
      <c r="Q196" s="20"/>
      <c r="R196" s="20"/>
      <c r="S196" s="20"/>
      <c r="T196" s="20"/>
      <c r="U196" s="20"/>
      <c r="V196" s="20"/>
      <c r="W196" s="20"/>
      <c r="X196" s="20"/>
      <c r="Y196" s="20"/>
      <c r="Z196" s="20"/>
    </row>
    <row r="197" spans="3:26" ht="15" hidden="1" customHeight="1" x14ac:dyDescent="0.3">
      <c r="C197" s="20"/>
      <c r="D197" s="603">
        <v>144</v>
      </c>
      <c r="E197" s="609" t="e">
        <f ca="1">_xlfn.XLOOKUP(F197,Pareto!S:S,Pareto!T:T)</f>
        <v>#N/A</v>
      </c>
      <c r="F197" s="1759" t="e">
        <f ca="1">_xlfn.XLOOKUP(K197,Pareto!V:V,Pareto!S:S)</f>
        <v>#N/A</v>
      </c>
      <c r="G197" s="1760"/>
      <c r="H197" s="609" t="e">
        <f ca="1">_xlfn.XLOOKUP(F197,Pareto!S:S,Pareto!X:X)</f>
        <v>#N/A</v>
      </c>
      <c r="I197" s="609" t="e">
        <f ca="1">_xlfn.XLOOKUP('5 Unidades  +'!F197,Pareto!S:S,Pareto!Z:Z)</f>
        <v>#N/A</v>
      </c>
      <c r="J197" s="604" t="e">
        <f ca="1">_xlfn.XLOOKUP(F197,Pareto!S:S,Pareto!U:U)</f>
        <v>#N/A</v>
      </c>
      <c r="K197" s="604" t="str">
        <f ca="1">IFERROR(LARGE(Pareto!V:V,D197)," ")</f>
        <v xml:space="preserve"> </v>
      </c>
      <c r="L197" s="604" t="e">
        <f ca="1">_xlfn.XLOOKUP(F197,Pareto!S:S,Pareto!W:W)</f>
        <v>#N/A</v>
      </c>
      <c r="M197" s="605" t="e">
        <f t="shared" ca="1" si="3"/>
        <v>#N/A</v>
      </c>
      <c r="N197" s="20"/>
      <c r="O197" s="20"/>
      <c r="P197" s="20"/>
      <c r="Q197" s="20"/>
      <c r="R197" s="20"/>
      <c r="S197" s="20"/>
      <c r="T197" s="20"/>
      <c r="U197" s="20"/>
      <c r="V197" s="20"/>
      <c r="W197" s="20"/>
      <c r="X197" s="20"/>
      <c r="Y197" s="20"/>
      <c r="Z197" s="20"/>
    </row>
    <row r="198" spans="3:26" ht="15" hidden="1" customHeight="1" x14ac:dyDescent="0.3">
      <c r="C198" s="20"/>
      <c r="D198" s="600">
        <v>145</v>
      </c>
      <c r="E198" s="610" t="e">
        <f ca="1">_xlfn.XLOOKUP(F198,Pareto!S:S,Pareto!T:T)</f>
        <v>#N/A</v>
      </c>
      <c r="F198" s="1757" t="e">
        <f ca="1">_xlfn.XLOOKUP(K198,Pareto!V:V,Pareto!S:S)</f>
        <v>#N/A</v>
      </c>
      <c r="G198" s="1758"/>
      <c r="H198" s="608" t="e">
        <f ca="1">_xlfn.XLOOKUP(F198,Pareto!S:S,Pareto!X:X)</f>
        <v>#N/A</v>
      </c>
      <c r="I198" s="608" t="e">
        <f ca="1">_xlfn.XLOOKUP('5 Unidades  +'!F198,Pareto!S:S,Pareto!Z:Z)</f>
        <v>#N/A</v>
      </c>
      <c r="J198" s="601" t="e">
        <f ca="1">_xlfn.XLOOKUP(F198,Pareto!S:S,Pareto!U:U)</f>
        <v>#N/A</v>
      </c>
      <c r="K198" s="601" t="str">
        <f ca="1">IFERROR(LARGE(Pareto!V:V,D198)," ")</f>
        <v xml:space="preserve"> </v>
      </c>
      <c r="L198" s="601" t="e">
        <f ca="1">_xlfn.XLOOKUP(F198,Pareto!S:S,Pareto!W:W)</f>
        <v>#N/A</v>
      </c>
      <c r="M198" s="602" t="e">
        <f t="shared" ca="1" si="3"/>
        <v>#N/A</v>
      </c>
      <c r="N198" s="20"/>
      <c r="O198" s="20"/>
      <c r="P198" s="20"/>
      <c r="Q198" s="20"/>
      <c r="R198" s="20"/>
      <c r="S198" s="20"/>
      <c r="T198" s="20"/>
      <c r="U198" s="20"/>
      <c r="V198" s="20"/>
      <c r="W198" s="20"/>
      <c r="X198" s="20"/>
      <c r="Y198" s="20"/>
      <c r="Z198" s="20"/>
    </row>
    <row r="199" spans="3:26" ht="15" hidden="1" customHeight="1" x14ac:dyDescent="0.3">
      <c r="C199" s="20"/>
      <c r="D199" s="603">
        <v>146</v>
      </c>
      <c r="E199" s="609" t="e">
        <f ca="1">_xlfn.XLOOKUP(F199,Pareto!S:S,Pareto!T:T)</f>
        <v>#N/A</v>
      </c>
      <c r="F199" s="1759" t="e">
        <f ca="1">_xlfn.XLOOKUP(K199,Pareto!V:V,Pareto!S:S)</f>
        <v>#N/A</v>
      </c>
      <c r="G199" s="1760"/>
      <c r="H199" s="609" t="e">
        <f ca="1">_xlfn.XLOOKUP(F199,Pareto!S:S,Pareto!X:X)</f>
        <v>#N/A</v>
      </c>
      <c r="I199" s="609" t="e">
        <f ca="1">_xlfn.XLOOKUP('5 Unidades  +'!F199,Pareto!S:S,Pareto!Z:Z)</f>
        <v>#N/A</v>
      </c>
      <c r="J199" s="604" t="e">
        <f ca="1">_xlfn.XLOOKUP(F199,Pareto!S:S,Pareto!U:U)</f>
        <v>#N/A</v>
      </c>
      <c r="K199" s="604" t="str">
        <f ca="1">IFERROR(LARGE(Pareto!V:V,D199)," ")</f>
        <v xml:space="preserve"> </v>
      </c>
      <c r="L199" s="604" t="e">
        <f ca="1">_xlfn.XLOOKUP(F199,Pareto!S:S,Pareto!W:W)</f>
        <v>#N/A</v>
      </c>
      <c r="M199" s="605" t="e">
        <f t="shared" ca="1" si="3"/>
        <v>#N/A</v>
      </c>
      <c r="N199" s="20"/>
      <c r="O199" s="20"/>
      <c r="P199" s="20"/>
      <c r="Q199" s="20"/>
      <c r="R199" s="20"/>
      <c r="S199" s="20"/>
      <c r="T199" s="20"/>
      <c r="U199" s="20"/>
      <c r="V199" s="20"/>
      <c r="W199" s="20"/>
      <c r="X199" s="20"/>
      <c r="Y199" s="20"/>
      <c r="Z199" s="20"/>
    </row>
    <row r="200" spans="3:26" ht="15" hidden="1" customHeight="1" x14ac:dyDescent="0.3">
      <c r="C200" s="20"/>
      <c r="D200" s="600">
        <v>147</v>
      </c>
      <c r="E200" s="610" t="e">
        <f ca="1">_xlfn.XLOOKUP(F200,Pareto!S:S,Pareto!T:T)</f>
        <v>#N/A</v>
      </c>
      <c r="F200" s="1757" t="e">
        <f ca="1">_xlfn.XLOOKUP(K200,Pareto!V:V,Pareto!S:S)</f>
        <v>#N/A</v>
      </c>
      <c r="G200" s="1758"/>
      <c r="H200" s="608" t="e">
        <f ca="1">_xlfn.XLOOKUP(F200,Pareto!S:S,Pareto!X:X)</f>
        <v>#N/A</v>
      </c>
      <c r="I200" s="608" t="e">
        <f ca="1">_xlfn.XLOOKUP('5 Unidades  +'!F200,Pareto!S:S,Pareto!Z:Z)</f>
        <v>#N/A</v>
      </c>
      <c r="J200" s="601" t="e">
        <f ca="1">_xlfn.XLOOKUP(F200,Pareto!S:S,Pareto!U:U)</f>
        <v>#N/A</v>
      </c>
      <c r="K200" s="601" t="str">
        <f ca="1">IFERROR(LARGE(Pareto!V:V,D200)," ")</f>
        <v xml:space="preserve"> </v>
      </c>
      <c r="L200" s="601" t="e">
        <f ca="1">_xlfn.XLOOKUP(F200,Pareto!S:S,Pareto!W:W)</f>
        <v>#N/A</v>
      </c>
      <c r="M200" s="602" t="e">
        <f t="shared" ca="1" si="3"/>
        <v>#N/A</v>
      </c>
      <c r="N200" s="20"/>
      <c r="O200" s="20"/>
      <c r="P200" s="20"/>
      <c r="Q200" s="20"/>
      <c r="R200" s="20"/>
      <c r="S200" s="20"/>
      <c r="T200" s="20"/>
      <c r="U200" s="20"/>
      <c r="V200" s="20"/>
      <c r="W200" s="20"/>
      <c r="X200" s="20"/>
      <c r="Y200" s="20"/>
      <c r="Z200" s="20"/>
    </row>
    <row r="201" spans="3:26" ht="15" hidden="1" customHeight="1" x14ac:dyDescent="0.3">
      <c r="C201" s="20"/>
      <c r="D201" s="603">
        <v>148</v>
      </c>
      <c r="E201" s="609" t="e">
        <f ca="1">_xlfn.XLOOKUP(F201,Pareto!S:S,Pareto!T:T)</f>
        <v>#N/A</v>
      </c>
      <c r="F201" s="1759" t="e">
        <f ca="1">_xlfn.XLOOKUP(K201,Pareto!V:V,Pareto!S:S)</f>
        <v>#N/A</v>
      </c>
      <c r="G201" s="1760"/>
      <c r="H201" s="609" t="e">
        <f ca="1">_xlfn.XLOOKUP(F201,Pareto!S:S,Pareto!X:X)</f>
        <v>#N/A</v>
      </c>
      <c r="I201" s="609" t="e">
        <f ca="1">_xlfn.XLOOKUP('5 Unidades  +'!F201,Pareto!S:S,Pareto!Z:Z)</f>
        <v>#N/A</v>
      </c>
      <c r="J201" s="604" t="e">
        <f ca="1">_xlfn.XLOOKUP(F201,Pareto!S:S,Pareto!U:U)</f>
        <v>#N/A</v>
      </c>
      <c r="K201" s="604" t="str">
        <f ca="1">IFERROR(LARGE(Pareto!V:V,D201)," ")</f>
        <v xml:space="preserve"> </v>
      </c>
      <c r="L201" s="604" t="e">
        <f ca="1">_xlfn.XLOOKUP(F201,Pareto!S:S,Pareto!W:W)</f>
        <v>#N/A</v>
      </c>
      <c r="M201" s="605" t="e">
        <f t="shared" ca="1" si="3"/>
        <v>#N/A</v>
      </c>
      <c r="N201" s="20"/>
      <c r="O201" s="20"/>
      <c r="P201" s="20"/>
      <c r="Q201" s="20"/>
      <c r="R201" s="20"/>
      <c r="S201" s="20"/>
      <c r="T201" s="20"/>
      <c r="U201" s="20"/>
      <c r="V201" s="20"/>
      <c r="W201" s="20"/>
      <c r="X201" s="20"/>
      <c r="Y201" s="20"/>
      <c r="Z201" s="20"/>
    </row>
    <row r="202" spans="3:26" ht="15" hidden="1" customHeight="1" x14ac:dyDescent="0.3">
      <c r="C202" s="20"/>
      <c r="D202" s="600">
        <v>149</v>
      </c>
      <c r="E202" s="610" t="e">
        <f ca="1">_xlfn.XLOOKUP(F202,Pareto!S:S,Pareto!T:T)</f>
        <v>#N/A</v>
      </c>
      <c r="F202" s="1757" t="e">
        <f ca="1">_xlfn.XLOOKUP(K202,Pareto!V:V,Pareto!S:S)</f>
        <v>#N/A</v>
      </c>
      <c r="G202" s="1758"/>
      <c r="H202" s="608" t="e">
        <f ca="1">_xlfn.XLOOKUP(F202,Pareto!S:S,Pareto!X:X)</f>
        <v>#N/A</v>
      </c>
      <c r="I202" s="608" t="e">
        <f ca="1">_xlfn.XLOOKUP('5 Unidades  +'!F202,Pareto!S:S,Pareto!Z:Z)</f>
        <v>#N/A</v>
      </c>
      <c r="J202" s="601" t="e">
        <f ca="1">_xlfn.XLOOKUP(F202,Pareto!S:S,Pareto!U:U)</f>
        <v>#N/A</v>
      </c>
      <c r="K202" s="601" t="str">
        <f ca="1">IFERROR(LARGE(Pareto!V:V,D202)," ")</f>
        <v xml:space="preserve"> </v>
      </c>
      <c r="L202" s="601" t="e">
        <f ca="1">_xlfn.XLOOKUP(F202,Pareto!S:S,Pareto!W:W)</f>
        <v>#N/A</v>
      </c>
      <c r="M202" s="602" t="e">
        <f t="shared" ca="1" si="3"/>
        <v>#N/A</v>
      </c>
      <c r="N202" s="20"/>
      <c r="O202" s="20"/>
      <c r="P202" s="20"/>
      <c r="Q202" s="20"/>
      <c r="R202" s="20"/>
      <c r="S202" s="20"/>
      <c r="T202" s="20"/>
      <c r="U202" s="20"/>
      <c r="V202" s="20"/>
      <c r="W202" s="20"/>
      <c r="X202" s="20"/>
      <c r="Y202" s="20"/>
      <c r="Z202" s="20"/>
    </row>
    <row r="203" spans="3:26" ht="15" hidden="1" customHeight="1" x14ac:dyDescent="0.3">
      <c r="C203" s="20"/>
      <c r="D203" s="603">
        <v>150</v>
      </c>
      <c r="E203" s="609" t="e">
        <f ca="1">_xlfn.XLOOKUP(F203,Pareto!S:S,Pareto!T:T)</f>
        <v>#N/A</v>
      </c>
      <c r="F203" s="1759" t="e">
        <f ca="1">_xlfn.XLOOKUP(K203,Pareto!V:V,Pareto!S:S)</f>
        <v>#N/A</v>
      </c>
      <c r="G203" s="1760"/>
      <c r="H203" s="609" t="e">
        <f ca="1">_xlfn.XLOOKUP(F203,Pareto!S:S,Pareto!X:X)</f>
        <v>#N/A</v>
      </c>
      <c r="I203" s="609" t="e">
        <f ca="1">_xlfn.XLOOKUP('5 Unidades  +'!F203,Pareto!S:S,Pareto!Z:Z)</f>
        <v>#N/A</v>
      </c>
      <c r="J203" s="604" t="e">
        <f ca="1">_xlfn.XLOOKUP(F203,Pareto!S:S,Pareto!U:U)</f>
        <v>#N/A</v>
      </c>
      <c r="K203" s="604" t="str">
        <f ca="1">IFERROR(LARGE(Pareto!V:V,D203)," ")</f>
        <v xml:space="preserve"> </v>
      </c>
      <c r="L203" s="604" t="e">
        <f ca="1">_xlfn.XLOOKUP(F203,Pareto!S:S,Pareto!W:W)</f>
        <v>#N/A</v>
      </c>
      <c r="M203" s="605" t="e">
        <f t="shared" ca="1" si="3"/>
        <v>#N/A</v>
      </c>
      <c r="N203" s="20"/>
      <c r="O203" s="20"/>
      <c r="P203" s="20"/>
      <c r="Q203" s="20"/>
      <c r="R203" s="20"/>
      <c r="S203" s="20"/>
      <c r="T203" s="20"/>
      <c r="U203" s="20"/>
      <c r="V203" s="20"/>
      <c r="W203" s="20"/>
      <c r="X203" s="20"/>
      <c r="Y203" s="20"/>
      <c r="Z203" s="20"/>
    </row>
    <row r="204" spans="3:26" ht="15" hidden="1" customHeight="1" x14ac:dyDescent="0.3">
      <c r="C204" s="20"/>
      <c r="D204" s="600">
        <v>151</v>
      </c>
      <c r="E204" s="610" t="e">
        <f ca="1">_xlfn.XLOOKUP(F204,Pareto!S:S,Pareto!T:T)</f>
        <v>#N/A</v>
      </c>
      <c r="F204" s="1757" t="e">
        <f ca="1">_xlfn.XLOOKUP(K204,Pareto!V:V,Pareto!S:S)</f>
        <v>#N/A</v>
      </c>
      <c r="G204" s="1758"/>
      <c r="H204" s="608" t="e">
        <f ca="1">_xlfn.XLOOKUP(F204,Pareto!S:S,Pareto!X:X)</f>
        <v>#N/A</v>
      </c>
      <c r="I204" s="608" t="e">
        <f ca="1">_xlfn.XLOOKUP('5 Unidades  +'!F204,Pareto!S:S,Pareto!Z:Z)</f>
        <v>#N/A</v>
      </c>
      <c r="J204" s="601" t="e">
        <f ca="1">_xlfn.XLOOKUP(F204,Pareto!S:S,Pareto!U:U)</f>
        <v>#N/A</v>
      </c>
      <c r="K204" s="601" t="str">
        <f ca="1">IFERROR(LARGE(Pareto!V:V,D204)," ")</f>
        <v xml:space="preserve"> </v>
      </c>
      <c r="L204" s="601" t="e">
        <f ca="1">_xlfn.XLOOKUP(F204,Pareto!S:S,Pareto!W:W)</f>
        <v>#N/A</v>
      </c>
      <c r="M204" s="602" t="e">
        <f t="shared" ca="1" si="3"/>
        <v>#N/A</v>
      </c>
      <c r="N204" s="20"/>
      <c r="O204" s="20"/>
      <c r="P204" s="20"/>
      <c r="Q204" s="20"/>
      <c r="R204" s="20"/>
      <c r="S204" s="20"/>
      <c r="T204" s="20"/>
      <c r="U204" s="20"/>
      <c r="V204" s="20"/>
      <c r="W204" s="20"/>
      <c r="X204" s="20"/>
      <c r="Y204" s="20"/>
      <c r="Z204" s="20"/>
    </row>
    <row r="205" spans="3:26" ht="15" hidden="1" customHeight="1" x14ac:dyDescent="0.3">
      <c r="C205" s="20"/>
      <c r="D205" s="603">
        <v>152</v>
      </c>
      <c r="E205" s="609" t="e">
        <f ca="1">_xlfn.XLOOKUP(F205,Pareto!S:S,Pareto!T:T)</f>
        <v>#N/A</v>
      </c>
      <c r="F205" s="1759" t="e">
        <f ca="1">_xlfn.XLOOKUP(K205,Pareto!V:V,Pareto!S:S)</f>
        <v>#N/A</v>
      </c>
      <c r="G205" s="1760"/>
      <c r="H205" s="609" t="e">
        <f ca="1">_xlfn.XLOOKUP(F205,Pareto!S:S,Pareto!X:X)</f>
        <v>#N/A</v>
      </c>
      <c r="I205" s="609" t="e">
        <f ca="1">_xlfn.XLOOKUP('5 Unidades  +'!F205,Pareto!S:S,Pareto!Z:Z)</f>
        <v>#N/A</v>
      </c>
      <c r="J205" s="604" t="e">
        <f ca="1">_xlfn.XLOOKUP(F205,Pareto!S:S,Pareto!U:U)</f>
        <v>#N/A</v>
      </c>
      <c r="K205" s="604" t="str">
        <f ca="1">IFERROR(LARGE(Pareto!V:V,D205)," ")</f>
        <v xml:space="preserve"> </v>
      </c>
      <c r="L205" s="604" t="e">
        <f ca="1">_xlfn.XLOOKUP(F205,Pareto!S:S,Pareto!W:W)</f>
        <v>#N/A</v>
      </c>
      <c r="M205" s="605" t="e">
        <f t="shared" ca="1" si="3"/>
        <v>#N/A</v>
      </c>
      <c r="N205" s="20"/>
      <c r="O205" s="20"/>
      <c r="P205" s="20"/>
      <c r="Q205" s="20"/>
      <c r="R205" s="20"/>
      <c r="S205" s="20"/>
      <c r="T205" s="20"/>
      <c r="U205" s="20"/>
      <c r="V205" s="20"/>
      <c r="W205" s="20"/>
      <c r="X205" s="20"/>
      <c r="Y205" s="20"/>
      <c r="Z205" s="20"/>
    </row>
    <row r="206" spans="3:26" ht="15" hidden="1" customHeight="1" x14ac:dyDescent="0.3">
      <c r="C206" s="20"/>
      <c r="D206" s="600">
        <v>153</v>
      </c>
      <c r="E206" s="610" t="e">
        <f ca="1">_xlfn.XLOOKUP(F206,Pareto!S:S,Pareto!T:T)</f>
        <v>#N/A</v>
      </c>
      <c r="F206" s="1757" t="e">
        <f ca="1">_xlfn.XLOOKUP(K206,Pareto!V:V,Pareto!S:S)</f>
        <v>#N/A</v>
      </c>
      <c r="G206" s="1758"/>
      <c r="H206" s="608" t="e">
        <f ca="1">_xlfn.XLOOKUP(F206,Pareto!S:S,Pareto!X:X)</f>
        <v>#N/A</v>
      </c>
      <c r="I206" s="608" t="e">
        <f ca="1">_xlfn.XLOOKUP('5 Unidades  +'!F206,Pareto!S:S,Pareto!Z:Z)</f>
        <v>#N/A</v>
      </c>
      <c r="J206" s="601" t="e">
        <f ca="1">_xlfn.XLOOKUP(F206,Pareto!S:S,Pareto!U:U)</f>
        <v>#N/A</v>
      </c>
      <c r="K206" s="601" t="str">
        <f ca="1">IFERROR(LARGE(Pareto!V:V,D206)," ")</f>
        <v xml:space="preserve"> </v>
      </c>
      <c r="L206" s="601" t="e">
        <f ca="1">_xlfn.XLOOKUP(F206,Pareto!S:S,Pareto!W:W)</f>
        <v>#N/A</v>
      </c>
      <c r="M206" s="602" t="e">
        <f t="shared" ca="1" si="3"/>
        <v>#N/A</v>
      </c>
      <c r="N206" s="20"/>
      <c r="O206" s="20"/>
      <c r="P206" s="20"/>
      <c r="Q206" s="20"/>
      <c r="R206" s="20"/>
      <c r="S206" s="20"/>
      <c r="T206" s="20"/>
      <c r="U206" s="20"/>
      <c r="V206" s="20"/>
      <c r="W206" s="20"/>
      <c r="X206" s="20"/>
      <c r="Y206" s="20"/>
      <c r="Z206" s="20"/>
    </row>
    <row r="207" spans="3:26" ht="15" hidden="1" customHeight="1" x14ac:dyDescent="0.3">
      <c r="C207" s="20"/>
      <c r="D207" s="603">
        <v>154</v>
      </c>
      <c r="E207" s="609" t="e">
        <f ca="1">_xlfn.XLOOKUP(F207,Pareto!S:S,Pareto!T:T)</f>
        <v>#N/A</v>
      </c>
      <c r="F207" s="1759" t="e">
        <f ca="1">_xlfn.XLOOKUP(K207,Pareto!V:V,Pareto!S:S)</f>
        <v>#N/A</v>
      </c>
      <c r="G207" s="1760"/>
      <c r="H207" s="609" t="e">
        <f ca="1">_xlfn.XLOOKUP(F207,Pareto!S:S,Pareto!X:X)</f>
        <v>#N/A</v>
      </c>
      <c r="I207" s="609" t="e">
        <f ca="1">_xlfn.XLOOKUP('5 Unidades  +'!F207,Pareto!S:S,Pareto!Z:Z)</f>
        <v>#N/A</v>
      </c>
      <c r="J207" s="604" t="e">
        <f ca="1">_xlfn.XLOOKUP(F207,Pareto!S:S,Pareto!U:U)</f>
        <v>#N/A</v>
      </c>
      <c r="K207" s="604" t="str">
        <f ca="1">IFERROR(LARGE(Pareto!V:V,D207)," ")</f>
        <v xml:space="preserve"> </v>
      </c>
      <c r="L207" s="604" t="e">
        <f ca="1">_xlfn.XLOOKUP(F207,Pareto!S:S,Pareto!W:W)</f>
        <v>#N/A</v>
      </c>
      <c r="M207" s="605" t="e">
        <f t="shared" ca="1" si="3"/>
        <v>#N/A</v>
      </c>
      <c r="N207" s="20"/>
      <c r="O207" s="20"/>
      <c r="P207" s="20"/>
      <c r="Q207" s="20"/>
      <c r="R207" s="20"/>
      <c r="S207" s="20"/>
      <c r="T207" s="20"/>
      <c r="U207" s="20"/>
      <c r="V207" s="20"/>
      <c r="W207" s="20"/>
      <c r="X207" s="20"/>
      <c r="Y207" s="20"/>
      <c r="Z207" s="20"/>
    </row>
    <row r="208" spans="3:26" ht="15" hidden="1" customHeight="1" x14ac:dyDescent="0.3">
      <c r="C208" s="20"/>
      <c r="D208" s="600">
        <v>155</v>
      </c>
      <c r="E208" s="610" t="e">
        <f ca="1">_xlfn.XLOOKUP(F208,Pareto!S:S,Pareto!T:T)</f>
        <v>#N/A</v>
      </c>
      <c r="F208" s="1757" t="e">
        <f ca="1">_xlfn.XLOOKUP(K208,Pareto!V:V,Pareto!S:S)</f>
        <v>#N/A</v>
      </c>
      <c r="G208" s="1758"/>
      <c r="H208" s="608" t="e">
        <f ca="1">_xlfn.XLOOKUP(F208,Pareto!S:S,Pareto!X:X)</f>
        <v>#N/A</v>
      </c>
      <c r="I208" s="608" t="e">
        <f ca="1">_xlfn.XLOOKUP('5 Unidades  +'!F208,Pareto!S:S,Pareto!Z:Z)</f>
        <v>#N/A</v>
      </c>
      <c r="J208" s="601" t="e">
        <f ca="1">_xlfn.XLOOKUP(F208,Pareto!S:S,Pareto!U:U)</f>
        <v>#N/A</v>
      </c>
      <c r="K208" s="601" t="str">
        <f ca="1">IFERROR(LARGE(Pareto!V:V,D208)," ")</f>
        <v xml:space="preserve"> </v>
      </c>
      <c r="L208" s="601" t="e">
        <f ca="1">_xlfn.XLOOKUP(F208,Pareto!S:S,Pareto!W:W)</f>
        <v>#N/A</v>
      </c>
      <c r="M208" s="602" t="e">
        <f t="shared" ca="1" si="3"/>
        <v>#N/A</v>
      </c>
      <c r="N208" s="20"/>
      <c r="O208" s="20"/>
      <c r="P208" s="20"/>
      <c r="Q208" s="20"/>
      <c r="R208" s="20"/>
      <c r="S208" s="20"/>
      <c r="T208" s="20"/>
      <c r="U208" s="20"/>
      <c r="V208" s="20"/>
      <c r="W208" s="20"/>
      <c r="X208" s="20"/>
      <c r="Y208" s="20"/>
      <c r="Z208" s="20"/>
    </row>
    <row r="209" spans="3:26" ht="15" hidden="1" customHeight="1" x14ac:dyDescent="0.3">
      <c r="C209" s="20"/>
      <c r="D209" s="603">
        <v>156</v>
      </c>
      <c r="E209" s="609" t="e">
        <f ca="1">_xlfn.XLOOKUP(F209,Pareto!S:S,Pareto!T:T)</f>
        <v>#N/A</v>
      </c>
      <c r="F209" s="1759" t="e">
        <f ca="1">_xlfn.XLOOKUP(K209,Pareto!V:V,Pareto!S:S)</f>
        <v>#N/A</v>
      </c>
      <c r="G209" s="1760"/>
      <c r="H209" s="609" t="e">
        <f ca="1">_xlfn.XLOOKUP(F209,Pareto!S:S,Pareto!X:X)</f>
        <v>#N/A</v>
      </c>
      <c r="I209" s="609" t="e">
        <f ca="1">_xlfn.XLOOKUP('5 Unidades  +'!F209,Pareto!S:S,Pareto!Z:Z)</f>
        <v>#N/A</v>
      </c>
      <c r="J209" s="604" t="e">
        <f ca="1">_xlfn.XLOOKUP(F209,Pareto!S:S,Pareto!U:U)</f>
        <v>#N/A</v>
      </c>
      <c r="K209" s="604" t="str">
        <f ca="1">IFERROR(LARGE(Pareto!V:V,D209)," ")</f>
        <v xml:space="preserve"> </v>
      </c>
      <c r="L209" s="604" t="e">
        <f ca="1">_xlfn.XLOOKUP(F209,Pareto!S:S,Pareto!W:W)</f>
        <v>#N/A</v>
      </c>
      <c r="M209" s="605" t="e">
        <f t="shared" ca="1" si="3"/>
        <v>#N/A</v>
      </c>
      <c r="N209" s="20"/>
      <c r="O209" s="20"/>
      <c r="P209" s="20"/>
      <c r="Q209" s="20"/>
      <c r="R209" s="20"/>
      <c r="S209" s="20"/>
      <c r="T209" s="20"/>
      <c r="U209" s="20"/>
      <c r="V209" s="20"/>
      <c r="W209" s="20"/>
      <c r="X209" s="20"/>
      <c r="Y209" s="20"/>
      <c r="Z209" s="20"/>
    </row>
    <row r="210" spans="3:26" ht="15" hidden="1" customHeight="1" x14ac:dyDescent="0.3">
      <c r="C210" s="20"/>
      <c r="D210" s="600">
        <v>157</v>
      </c>
      <c r="E210" s="610" t="e">
        <f ca="1">_xlfn.XLOOKUP(F210,Pareto!S:S,Pareto!T:T)</f>
        <v>#N/A</v>
      </c>
      <c r="F210" s="1757" t="e">
        <f ca="1">_xlfn.XLOOKUP(K210,Pareto!V:V,Pareto!S:S)</f>
        <v>#N/A</v>
      </c>
      <c r="G210" s="1758"/>
      <c r="H210" s="608" t="e">
        <f ca="1">_xlfn.XLOOKUP(F210,Pareto!S:S,Pareto!X:X)</f>
        <v>#N/A</v>
      </c>
      <c r="I210" s="608" t="e">
        <f ca="1">_xlfn.XLOOKUP('5 Unidades  +'!F210,Pareto!S:S,Pareto!Z:Z)</f>
        <v>#N/A</v>
      </c>
      <c r="J210" s="601" t="e">
        <f ca="1">_xlfn.XLOOKUP(F210,Pareto!S:S,Pareto!U:U)</f>
        <v>#N/A</v>
      </c>
      <c r="K210" s="601" t="str">
        <f ca="1">IFERROR(LARGE(Pareto!V:V,D210)," ")</f>
        <v xml:space="preserve"> </v>
      </c>
      <c r="L210" s="601" t="e">
        <f ca="1">_xlfn.XLOOKUP(F210,Pareto!S:S,Pareto!W:W)</f>
        <v>#N/A</v>
      </c>
      <c r="M210" s="602" t="e">
        <f t="shared" ca="1" si="3"/>
        <v>#N/A</v>
      </c>
      <c r="N210" s="20"/>
      <c r="O210" s="20"/>
      <c r="P210" s="20"/>
      <c r="Q210" s="20"/>
      <c r="R210" s="20"/>
      <c r="S210" s="20"/>
      <c r="T210" s="20"/>
      <c r="U210" s="20"/>
      <c r="V210" s="20"/>
      <c r="W210" s="20"/>
      <c r="X210" s="20"/>
      <c r="Y210" s="20"/>
      <c r="Z210" s="20"/>
    </row>
    <row r="211" spans="3:26" ht="15" hidden="1" customHeight="1" x14ac:dyDescent="0.3">
      <c r="C211" s="20"/>
      <c r="D211" s="603">
        <v>158</v>
      </c>
      <c r="E211" s="609" t="e">
        <f ca="1">_xlfn.XLOOKUP(F211,Pareto!S:S,Pareto!T:T)</f>
        <v>#N/A</v>
      </c>
      <c r="F211" s="1759" t="e">
        <f ca="1">_xlfn.XLOOKUP(K211,Pareto!V:V,Pareto!S:S)</f>
        <v>#N/A</v>
      </c>
      <c r="G211" s="1760"/>
      <c r="H211" s="609" t="e">
        <f ca="1">_xlfn.XLOOKUP(F211,Pareto!S:S,Pareto!X:X)</f>
        <v>#N/A</v>
      </c>
      <c r="I211" s="609" t="e">
        <f ca="1">_xlfn.XLOOKUP('5 Unidades  +'!F211,Pareto!S:S,Pareto!Z:Z)</f>
        <v>#N/A</v>
      </c>
      <c r="J211" s="604" t="e">
        <f ca="1">_xlfn.XLOOKUP(F211,Pareto!S:S,Pareto!U:U)</f>
        <v>#N/A</v>
      </c>
      <c r="K211" s="604" t="str">
        <f ca="1">IFERROR(LARGE(Pareto!V:V,D211)," ")</f>
        <v xml:space="preserve"> </v>
      </c>
      <c r="L211" s="604" t="e">
        <f ca="1">_xlfn.XLOOKUP(F211,Pareto!S:S,Pareto!W:W)</f>
        <v>#N/A</v>
      </c>
      <c r="M211" s="605" t="e">
        <f t="shared" ca="1" si="3"/>
        <v>#N/A</v>
      </c>
      <c r="N211" s="20"/>
      <c r="O211" s="20"/>
      <c r="P211" s="20"/>
      <c r="Q211" s="20"/>
      <c r="R211" s="20"/>
      <c r="S211" s="20"/>
      <c r="T211" s="20"/>
      <c r="U211" s="20"/>
      <c r="V211" s="20"/>
      <c r="W211" s="20"/>
      <c r="X211" s="20"/>
      <c r="Y211" s="20"/>
      <c r="Z211" s="20"/>
    </row>
    <row r="212" spans="3:26" ht="15" hidden="1" customHeight="1" x14ac:dyDescent="0.3">
      <c r="C212" s="20"/>
      <c r="D212" s="600">
        <v>159</v>
      </c>
      <c r="E212" s="610" t="e">
        <f ca="1">_xlfn.XLOOKUP(F212,Pareto!S:S,Pareto!T:T)</f>
        <v>#N/A</v>
      </c>
      <c r="F212" s="1757" t="e">
        <f ca="1">_xlfn.XLOOKUP(K212,Pareto!V:V,Pareto!S:S)</f>
        <v>#N/A</v>
      </c>
      <c r="G212" s="1758"/>
      <c r="H212" s="608" t="e">
        <f ca="1">_xlfn.XLOOKUP(F212,Pareto!S:S,Pareto!X:X)</f>
        <v>#N/A</v>
      </c>
      <c r="I212" s="608" t="e">
        <f ca="1">_xlfn.XLOOKUP('5 Unidades  +'!F212,Pareto!S:S,Pareto!Z:Z)</f>
        <v>#N/A</v>
      </c>
      <c r="J212" s="601" t="e">
        <f ca="1">_xlfn.XLOOKUP(F212,Pareto!S:S,Pareto!U:U)</f>
        <v>#N/A</v>
      </c>
      <c r="K212" s="601" t="str">
        <f ca="1">IFERROR(LARGE(Pareto!V:V,D212)," ")</f>
        <v xml:space="preserve"> </v>
      </c>
      <c r="L212" s="601" t="e">
        <f ca="1">_xlfn.XLOOKUP(F212,Pareto!S:S,Pareto!W:W)</f>
        <v>#N/A</v>
      </c>
      <c r="M212" s="602" t="e">
        <f t="shared" ca="1" si="3"/>
        <v>#N/A</v>
      </c>
      <c r="N212" s="20"/>
      <c r="O212" s="20"/>
      <c r="P212" s="20"/>
      <c r="Q212" s="20"/>
      <c r="R212" s="20"/>
      <c r="S212" s="20"/>
      <c r="T212" s="20"/>
      <c r="U212" s="20"/>
      <c r="V212" s="20"/>
      <c r="W212" s="20"/>
      <c r="X212" s="20"/>
      <c r="Y212" s="20"/>
      <c r="Z212" s="20"/>
    </row>
    <row r="213" spans="3:26" ht="15" hidden="1" customHeight="1" x14ac:dyDescent="0.3">
      <c r="C213" s="20"/>
      <c r="D213" s="603">
        <v>160</v>
      </c>
      <c r="E213" s="609" t="e">
        <f ca="1">_xlfn.XLOOKUP(F213,Pareto!S:S,Pareto!T:T)</f>
        <v>#N/A</v>
      </c>
      <c r="F213" s="1759" t="e">
        <f ca="1">_xlfn.XLOOKUP(K213,Pareto!V:V,Pareto!S:S)</f>
        <v>#N/A</v>
      </c>
      <c r="G213" s="1760"/>
      <c r="H213" s="609" t="e">
        <f ca="1">_xlfn.XLOOKUP(F213,Pareto!S:S,Pareto!X:X)</f>
        <v>#N/A</v>
      </c>
      <c r="I213" s="609" t="e">
        <f ca="1">_xlfn.XLOOKUP('5 Unidades  +'!F213,Pareto!S:S,Pareto!Z:Z)</f>
        <v>#N/A</v>
      </c>
      <c r="J213" s="604" t="e">
        <f ca="1">_xlfn.XLOOKUP(F213,Pareto!S:S,Pareto!U:U)</f>
        <v>#N/A</v>
      </c>
      <c r="K213" s="604" t="str">
        <f ca="1">IFERROR(LARGE(Pareto!V:V,D213)," ")</f>
        <v xml:space="preserve"> </v>
      </c>
      <c r="L213" s="604" t="e">
        <f ca="1">_xlfn.XLOOKUP(F213,Pareto!S:S,Pareto!W:W)</f>
        <v>#N/A</v>
      </c>
      <c r="M213" s="605" t="e">
        <f t="shared" ca="1" si="3"/>
        <v>#N/A</v>
      </c>
      <c r="N213" s="20"/>
      <c r="O213" s="20"/>
      <c r="P213" s="20"/>
      <c r="Q213" s="20"/>
      <c r="R213" s="20"/>
      <c r="S213" s="20"/>
      <c r="T213" s="20"/>
      <c r="U213" s="20"/>
      <c r="V213" s="20"/>
      <c r="W213" s="20"/>
      <c r="X213" s="20"/>
      <c r="Y213" s="20"/>
      <c r="Z213" s="20"/>
    </row>
    <row r="214" spans="3:26" ht="15" hidden="1" customHeight="1" x14ac:dyDescent="0.3">
      <c r="C214" s="20"/>
      <c r="D214" s="600">
        <v>161</v>
      </c>
      <c r="E214" s="610" t="e">
        <f ca="1">_xlfn.XLOOKUP(F214,Pareto!S:S,Pareto!T:T)</f>
        <v>#N/A</v>
      </c>
      <c r="F214" s="1757" t="e">
        <f ca="1">_xlfn.XLOOKUP(K214,Pareto!V:V,Pareto!S:S)</f>
        <v>#N/A</v>
      </c>
      <c r="G214" s="1758"/>
      <c r="H214" s="608" t="e">
        <f ca="1">_xlfn.XLOOKUP(F214,Pareto!S:S,Pareto!X:X)</f>
        <v>#N/A</v>
      </c>
      <c r="I214" s="608" t="e">
        <f ca="1">_xlfn.XLOOKUP('5 Unidades  +'!F214,Pareto!S:S,Pareto!Z:Z)</f>
        <v>#N/A</v>
      </c>
      <c r="J214" s="601" t="e">
        <f ca="1">_xlfn.XLOOKUP(F214,Pareto!S:S,Pareto!U:U)</f>
        <v>#N/A</v>
      </c>
      <c r="K214" s="601" t="str">
        <f ca="1">IFERROR(LARGE(Pareto!V:V,D214)," ")</f>
        <v xml:space="preserve"> </v>
      </c>
      <c r="L214" s="601" t="e">
        <f ca="1">_xlfn.XLOOKUP(F214,Pareto!S:S,Pareto!W:W)</f>
        <v>#N/A</v>
      </c>
      <c r="M214" s="602" t="e">
        <f t="shared" ca="1" si="3"/>
        <v>#N/A</v>
      </c>
      <c r="N214" s="20"/>
      <c r="O214" s="20"/>
      <c r="P214" s="20"/>
      <c r="Q214" s="20"/>
      <c r="R214" s="20"/>
      <c r="S214" s="20"/>
      <c r="T214" s="20"/>
      <c r="U214" s="20"/>
      <c r="V214" s="20"/>
      <c r="W214" s="20"/>
      <c r="X214" s="20"/>
      <c r="Y214" s="20"/>
      <c r="Z214" s="20"/>
    </row>
    <row r="215" spans="3:26" ht="15" hidden="1" customHeight="1" x14ac:dyDescent="0.3">
      <c r="C215" s="20"/>
      <c r="D215" s="603">
        <v>162</v>
      </c>
      <c r="E215" s="609" t="e">
        <f ca="1">_xlfn.XLOOKUP(F215,Pareto!S:S,Pareto!T:T)</f>
        <v>#N/A</v>
      </c>
      <c r="F215" s="1759" t="e">
        <f ca="1">_xlfn.XLOOKUP(K215,Pareto!V:V,Pareto!S:S)</f>
        <v>#N/A</v>
      </c>
      <c r="G215" s="1760"/>
      <c r="H215" s="609" t="e">
        <f ca="1">_xlfn.XLOOKUP(F215,Pareto!S:S,Pareto!X:X)</f>
        <v>#N/A</v>
      </c>
      <c r="I215" s="609" t="e">
        <f ca="1">_xlfn.XLOOKUP('5 Unidades  +'!F215,Pareto!S:S,Pareto!Z:Z)</f>
        <v>#N/A</v>
      </c>
      <c r="J215" s="604" t="e">
        <f ca="1">_xlfn.XLOOKUP(F215,Pareto!S:S,Pareto!U:U)</f>
        <v>#N/A</v>
      </c>
      <c r="K215" s="604" t="str">
        <f ca="1">IFERROR(LARGE(Pareto!V:V,D215)," ")</f>
        <v xml:space="preserve"> </v>
      </c>
      <c r="L215" s="604" t="e">
        <f ca="1">_xlfn.XLOOKUP(F215,Pareto!S:S,Pareto!W:W)</f>
        <v>#N/A</v>
      </c>
      <c r="M215" s="605" t="e">
        <f t="shared" ca="1" si="3"/>
        <v>#N/A</v>
      </c>
      <c r="N215" s="20"/>
      <c r="O215" s="20"/>
      <c r="P215" s="20"/>
      <c r="Q215" s="20"/>
      <c r="R215" s="20"/>
      <c r="S215" s="20"/>
      <c r="T215" s="20"/>
      <c r="U215" s="20"/>
      <c r="V215" s="20"/>
      <c r="W215" s="20"/>
      <c r="X215" s="20"/>
      <c r="Y215" s="20"/>
      <c r="Z215" s="20"/>
    </row>
    <row r="216" spans="3:26" ht="15" hidden="1" customHeight="1" x14ac:dyDescent="0.3">
      <c r="C216" s="20"/>
      <c r="D216" s="600">
        <v>163</v>
      </c>
      <c r="E216" s="610" t="e">
        <f ca="1">_xlfn.XLOOKUP(F216,Pareto!S:S,Pareto!T:T)</f>
        <v>#N/A</v>
      </c>
      <c r="F216" s="1757" t="e">
        <f ca="1">_xlfn.XLOOKUP(K216,Pareto!V:V,Pareto!S:S)</f>
        <v>#N/A</v>
      </c>
      <c r="G216" s="1758"/>
      <c r="H216" s="608" t="e">
        <f ca="1">_xlfn.XLOOKUP(F216,Pareto!S:S,Pareto!X:X)</f>
        <v>#N/A</v>
      </c>
      <c r="I216" s="608" t="e">
        <f ca="1">_xlfn.XLOOKUP('5 Unidades  +'!F216,Pareto!S:S,Pareto!Z:Z)</f>
        <v>#N/A</v>
      </c>
      <c r="J216" s="601" t="e">
        <f ca="1">_xlfn.XLOOKUP(F216,Pareto!S:S,Pareto!U:U)</f>
        <v>#N/A</v>
      </c>
      <c r="K216" s="601" t="str">
        <f ca="1">IFERROR(LARGE(Pareto!V:V,D216)," ")</f>
        <v xml:space="preserve"> </v>
      </c>
      <c r="L216" s="601" t="e">
        <f ca="1">_xlfn.XLOOKUP(F216,Pareto!S:S,Pareto!W:W)</f>
        <v>#N/A</v>
      </c>
      <c r="M216" s="602" t="e">
        <f t="shared" ca="1" si="3"/>
        <v>#N/A</v>
      </c>
      <c r="N216" s="20"/>
      <c r="O216" s="20"/>
      <c r="P216" s="20"/>
      <c r="Q216" s="20"/>
      <c r="R216" s="20"/>
      <c r="S216" s="20"/>
      <c r="T216" s="20"/>
      <c r="U216" s="20"/>
      <c r="V216" s="20"/>
      <c r="W216" s="20"/>
      <c r="X216" s="20"/>
      <c r="Y216" s="20"/>
      <c r="Z216" s="20"/>
    </row>
    <row r="217" spans="3:26" ht="15" hidden="1" customHeight="1" x14ac:dyDescent="0.3">
      <c r="C217" s="20"/>
      <c r="D217" s="603">
        <v>164</v>
      </c>
      <c r="E217" s="609" t="e">
        <f ca="1">_xlfn.XLOOKUP(F217,Pareto!S:S,Pareto!T:T)</f>
        <v>#N/A</v>
      </c>
      <c r="F217" s="1759" t="e">
        <f ca="1">_xlfn.XLOOKUP(K217,Pareto!V:V,Pareto!S:S)</f>
        <v>#N/A</v>
      </c>
      <c r="G217" s="1760"/>
      <c r="H217" s="609" t="e">
        <f ca="1">_xlfn.XLOOKUP(F217,Pareto!S:S,Pareto!X:X)</f>
        <v>#N/A</v>
      </c>
      <c r="I217" s="609" t="e">
        <f ca="1">_xlfn.XLOOKUP('5 Unidades  +'!F217,Pareto!S:S,Pareto!Z:Z)</f>
        <v>#N/A</v>
      </c>
      <c r="J217" s="604" t="e">
        <f ca="1">_xlfn.XLOOKUP(F217,Pareto!S:S,Pareto!U:U)</f>
        <v>#N/A</v>
      </c>
      <c r="K217" s="604" t="str">
        <f ca="1">IFERROR(LARGE(Pareto!V:V,D217)," ")</f>
        <v xml:space="preserve"> </v>
      </c>
      <c r="L217" s="604" t="e">
        <f ca="1">_xlfn.XLOOKUP(F217,Pareto!S:S,Pareto!W:W)</f>
        <v>#N/A</v>
      </c>
      <c r="M217" s="605" t="e">
        <f t="shared" ca="1" si="3"/>
        <v>#N/A</v>
      </c>
      <c r="N217" s="20"/>
      <c r="O217" s="20"/>
      <c r="P217" s="20"/>
      <c r="Q217" s="20"/>
      <c r="R217" s="20"/>
      <c r="S217" s="20"/>
      <c r="T217" s="20"/>
      <c r="U217" s="20"/>
      <c r="V217" s="20"/>
      <c r="W217" s="20"/>
      <c r="X217" s="20"/>
      <c r="Y217" s="20"/>
      <c r="Z217" s="20"/>
    </row>
    <row r="218" spans="3:26" ht="15" hidden="1" customHeight="1" x14ac:dyDescent="0.3">
      <c r="C218" s="20"/>
      <c r="D218" s="600">
        <v>165</v>
      </c>
      <c r="E218" s="610" t="e">
        <f ca="1">_xlfn.XLOOKUP(F218,Pareto!S:S,Pareto!T:T)</f>
        <v>#N/A</v>
      </c>
      <c r="F218" s="1757" t="e">
        <f ca="1">_xlfn.XLOOKUP(K218,Pareto!V:V,Pareto!S:S)</f>
        <v>#N/A</v>
      </c>
      <c r="G218" s="1758"/>
      <c r="H218" s="608" t="e">
        <f ca="1">_xlfn.XLOOKUP(F218,Pareto!S:S,Pareto!X:X)</f>
        <v>#N/A</v>
      </c>
      <c r="I218" s="608" t="e">
        <f ca="1">_xlfn.XLOOKUP('5 Unidades  +'!F218,Pareto!S:S,Pareto!Z:Z)</f>
        <v>#N/A</v>
      </c>
      <c r="J218" s="601" t="e">
        <f ca="1">_xlfn.XLOOKUP(F218,Pareto!S:S,Pareto!U:U)</f>
        <v>#N/A</v>
      </c>
      <c r="K218" s="601" t="str">
        <f ca="1">IFERROR(LARGE(Pareto!V:V,D218)," ")</f>
        <v xml:space="preserve"> </v>
      </c>
      <c r="L218" s="601" t="e">
        <f ca="1">_xlfn.XLOOKUP(F218,Pareto!S:S,Pareto!W:W)</f>
        <v>#N/A</v>
      </c>
      <c r="M218" s="602" t="e">
        <f t="shared" ca="1" si="3"/>
        <v>#N/A</v>
      </c>
      <c r="N218" s="20"/>
      <c r="O218" s="20"/>
      <c r="P218" s="20"/>
      <c r="Q218" s="20"/>
      <c r="R218" s="20"/>
      <c r="S218" s="20"/>
      <c r="T218" s="20"/>
      <c r="U218" s="20"/>
      <c r="V218" s="20"/>
      <c r="W218" s="20"/>
      <c r="X218" s="20"/>
      <c r="Y218" s="20"/>
      <c r="Z218" s="20"/>
    </row>
    <row r="219" spans="3:26" ht="15" hidden="1" customHeight="1" x14ac:dyDescent="0.3">
      <c r="C219" s="20"/>
      <c r="D219" s="603">
        <v>166</v>
      </c>
      <c r="E219" s="609" t="e">
        <f ca="1">_xlfn.XLOOKUP(F219,Pareto!S:S,Pareto!T:T)</f>
        <v>#N/A</v>
      </c>
      <c r="F219" s="1759" t="e">
        <f ca="1">_xlfn.XLOOKUP(K219,Pareto!V:V,Pareto!S:S)</f>
        <v>#N/A</v>
      </c>
      <c r="G219" s="1760"/>
      <c r="H219" s="609" t="e">
        <f ca="1">_xlfn.XLOOKUP(F219,Pareto!S:S,Pareto!X:X)</f>
        <v>#N/A</v>
      </c>
      <c r="I219" s="609" t="e">
        <f ca="1">_xlfn.XLOOKUP('5 Unidades  +'!F219,Pareto!S:S,Pareto!Z:Z)</f>
        <v>#N/A</v>
      </c>
      <c r="J219" s="604" t="e">
        <f ca="1">_xlfn.XLOOKUP(F219,Pareto!S:S,Pareto!U:U)</f>
        <v>#N/A</v>
      </c>
      <c r="K219" s="604" t="str">
        <f ca="1">IFERROR(LARGE(Pareto!V:V,D219)," ")</f>
        <v xml:space="preserve"> </v>
      </c>
      <c r="L219" s="604" t="e">
        <f ca="1">_xlfn.XLOOKUP(F219,Pareto!S:S,Pareto!W:W)</f>
        <v>#N/A</v>
      </c>
      <c r="M219" s="605" t="e">
        <f t="shared" ca="1" si="3"/>
        <v>#N/A</v>
      </c>
      <c r="N219" s="20"/>
      <c r="O219" s="20"/>
      <c r="P219" s="20"/>
      <c r="Q219" s="20"/>
      <c r="R219" s="20"/>
      <c r="S219" s="20"/>
      <c r="T219" s="20"/>
      <c r="U219" s="20"/>
      <c r="V219" s="20"/>
      <c r="W219" s="20"/>
      <c r="X219" s="20"/>
      <c r="Y219" s="20"/>
      <c r="Z219" s="20"/>
    </row>
    <row r="220" spans="3:26" ht="15" hidden="1" customHeight="1" x14ac:dyDescent="0.3">
      <c r="C220" s="20"/>
      <c r="D220" s="600">
        <v>167</v>
      </c>
      <c r="E220" s="610" t="e">
        <f ca="1">_xlfn.XLOOKUP(F220,Pareto!S:S,Pareto!T:T)</f>
        <v>#N/A</v>
      </c>
      <c r="F220" s="1757" t="e">
        <f ca="1">_xlfn.XLOOKUP(K220,Pareto!V:V,Pareto!S:S)</f>
        <v>#N/A</v>
      </c>
      <c r="G220" s="1758"/>
      <c r="H220" s="608" t="e">
        <f ca="1">_xlfn.XLOOKUP(F220,Pareto!S:S,Pareto!X:X)</f>
        <v>#N/A</v>
      </c>
      <c r="I220" s="608" t="e">
        <f ca="1">_xlfn.XLOOKUP('5 Unidades  +'!F220,Pareto!S:S,Pareto!Z:Z)</f>
        <v>#N/A</v>
      </c>
      <c r="J220" s="601" t="e">
        <f ca="1">_xlfn.XLOOKUP(F220,Pareto!S:S,Pareto!U:U)</f>
        <v>#N/A</v>
      </c>
      <c r="K220" s="601" t="str">
        <f ca="1">IFERROR(LARGE(Pareto!V:V,D220)," ")</f>
        <v xml:space="preserve"> </v>
      </c>
      <c r="L220" s="601" t="e">
        <f ca="1">_xlfn.XLOOKUP(F220,Pareto!S:S,Pareto!W:W)</f>
        <v>#N/A</v>
      </c>
      <c r="M220" s="602" t="e">
        <f t="shared" ca="1" si="3"/>
        <v>#N/A</v>
      </c>
      <c r="N220" s="20"/>
      <c r="O220" s="20"/>
      <c r="P220" s="20"/>
      <c r="Q220" s="20"/>
      <c r="R220" s="20"/>
      <c r="S220" s="20"/>
      <c r="T220" s="20"/>
      <c r="U220" s="20"/>
      <c r="V220" s="20"/>
      <c r="W220" s="20"/>
      <c r="X220" s="20"/>
      <c r="Y220" s="20"/>
      <c r="Z220" s="20"/>
    </row>
    <row r="221" spans="3:26" ht="15" hidden="1" customHeight="1" x14ac:dyDescent="0.3">
      <c r="C221" s="20"/>
      <c r="D221" s="603">
        <v>168</v>
      </c>
      <c r="E221" s="609" t="e">
        <f ca="1">_xlfn.XLOOKUP(F221,Pareto!S:S,Pareto!T:T)</f>
        <v>#N/A</v>
      </c>
      <c r="F221" s="1759" t="e">
        <f ca="1">_xlfn.XLOOKUP(K221,Pareto!V:V,Pareto!S:S)</f>
        <v>#N/A</v>
      </c>
      <c r="G221" s="1760"/>
      <c r="H221" s="609" t="e">
        <f ca="1">_xlfn.XLOOKUP(F221,Pareto!S:S,Pareto!X:X)</f>
        <v>#N/A</v>
      </c>
      <c r="I221" s="609" t="e">
        <f ca="1">_xlfn.XLOOKUP('5 Unidades  +'!F221,Pareto!S:S,Pareto!Z:Z)</f>
        <v>#N/A</v>
      </c>
      <c r="J221" s="604" t="e">
        <f ca="1">_xlfn.XLOOKUP(F221,Pareto!S:S,Pareto!U:U)</f>
        <v>#N/A</v>
      </c>
      <c r="K221" s="604" t="str">
        <f ca="1">IFERROR(LARGE(Pareto!V:V,D221)," ")</f>
        <v xml:space="preserve"> </v>
      </c>
      <c r="L221" s="604" t="e">
        <f ca="1">_xlfn.XLOOKUP(F221,Pareto!S:S,Pareto!W:W)</f>
        <v>#N/A</v>
      </c>
      <c r="M221" s="605" t="e">
        <f t="shared" ca="1" si="3"/>
        <v>#N/A</v>
      </c>
      <c r="N221" s="20"/>
      <c r="O221" s="20"/>
      <c r="P221" s="20"/>
      <c r="Q221" s="20"/>
      <c r="R221" s="20"/>
      <c r="S221" s="20"/>
      <c r="T221" s="20"/>
      <c r="U221" s="20"/>
      <c r="V221" s="20"/>
      <c r="W221" s="20"/>
      <c r="X221" s="20"/>
      <c r="Y221" s="20"/>
      <c r="Z221" s="20"/>
    </row>
    <row r="222" spans="3:26" ht="15" hidden="1" customHeight="1" x14ac:dyDescent="0.3">
      <c r="C222" s="20"/>
      <c r="D222" s="600">
        <v>169</v>
      </c>
      <c r="E222" s="610" t="e">
        <f ca="1">_xlfn.XLOOKUP(F222,Pareto!S:S,Pareto!T:T)</f>
        <v>#N/A</v>
      </c>
      <c r="F222" s="1757" t="e">
        <f ca="1">_xlfn.XLOOKUP(K222,Pareto!V:V,Pareto!S:S)</f>
        <v>#N/A</v>
      </c>
      <c r="G222" s="1758"/>
      <c r="H222" s="608" t="e">
        <f ca="1">_xlfn.XLOOKUP(F222,Pareto!S:S,Pareto!X:X)</f>
        <v>#N/A</v>
      </c>
      <c r="I222" s="608" t="e">
        <f ca="1">_xlfn.XLOOKUP('5 Unidades  +'!F222,Pareto!S:S,Pareto!Z:Z)</f>
        <v>#N/A</v>
      </c>
      <c r="J222" s="601" t="e">
        <f ca="1">_xlfn.XLOOKUP(F222,Pareto!S:S,Pareto!U:U)</f>
        <v>#N/A</v>
      </c>
      <c r="K222" s="601" t="str">
        <f ca="1">IFERROR(LARGE(Pareto!V:V,D222)," ")</f>
        <v xml:space="preserve"> </v>
      </c>
      <c r="L222" s="601" t="e">
        <f ca="1">_xlfn.XLOOKUP(F222,Pareto!S:S,Pareto!W:W)</f>
        <v>#N/A</v>
      </c>
      <c r="M222" s="602" t="e">
        <f t="shared" ca="1" si="3"/>
        <v>#N/A</v>
      </c>
      <c r="N222" s="20"/>
      <c r="O222" s="20"/>
      <c r="P222" s="20"/>
      <c r="Q222" s="20"/>
      <c r="R222" s="20"/>
      <c r="S222" s="20"/>
      <c r="T222" s="20"/>
      <c r="U222" s="20"/>
      <c r="V222" s="20"/>
      <c r="W222" s="20"/>
      <c r="X222" s="20"/>
      <c r="Y222" s="20"/>
      <c r="Z222" s="20"/>
    </row>
    <row r="223" spans="3:26" ht="15" hidden="1" customHeight="1" x14ac:dyDescent="0.3">
      <c r="C223" s="20"/>
      <c r="D223" s="603">
        <v>170</v>
      </c>
      <c r="E223" s="609" t="e">
        <f ca="1">_xlfn.XLOOKUP(F223,Pareto!S:S,Pareto!T:T)</f>
        <v>#N/A</v>
      </c>
      <c r="F223" s="1759" t="e">
        <f ca="1">_xlfn.XLOOKUP(K223,Pareto!V:V,Pareto!S:S)</f>
        <v>#N/A</v>
      </c>
      <c r="G223" s="1760"/>
      <c r="H223" s="609" t="e">
        <f ca="1">_xlfn.XLOOKUP(F223,Pareto!S:S,Pareto!X:X)</f>
        <v>#N/A</v>
      </c>
      <c r="I223" s="609" t="e">
        <f ca="1">_xlfn.XLOOKUP('5 Unidades  +'!F223,Pareto!S:S,Pareto!Z:Z)</f>
        <v>#N/A</v>
      </c>
      <c r="J223" s="604" t="e">
        <f ca="1">_xlfn.XLOOKUP(F223,Pareto!S:S,Pareto!U:U)</f>
        <v>#N/A</v>
      </c>
      <c r="K223" s="604" t="str">
        <f ca="1">IFERROR(LARGE(Pareto!V:V,D223)," ")</f>
        <v xml:space="preserve"> </v>
      </c>
      <c r="L223" s="604" t="e">
        <f ca="1">_xlfn.XLOOKUP(F223,Pareto!S:S,Pareto!W:W)</f>
        <v>#N/A</v>
      </c>
      <c r="M223" s="605" t="e">
        <f t="shared" ca="1" si="3"/>
        <v>#N/A</v>
      </c>
      <c r="N223" s="20"/>
      <c r="O223" s="20"/>
      <c r="P223" s="20"/>
      <c r="Q223" s="20"/>
      <c r="R223" s="20"/>
      <c r="S223" s="20"/>
      <c r="T223" s="20"/>
      <c r="U223" s="20"/>
      <c r="V223" s="20"/>
      <c r="W223" s="20"/>
      <c r="X223" s="20"/>
      <c r="Y223" s="20"/>
      <c r="Z223" s="20"/>
    </row>
    <row r="224" spans="3:26" ht="15" hidden="1" customHeight="1" x14ac:dyDescent="0.3">
      <c r="C224" s="20"/>
      <c r="D224" s="600">
        <v>171</v>
      </c>
      <c r="E224" s="610" t="e">
        <f ca="1">_xlfn.XLOOKUP(F224,Pareto!S:S,Pareto!T:T)</f>
        <v>#N/A</v>
      </c>
      <c r="F224" s="1757" t="e">
        <f ca="1">_xlfn.XLOOKUP(K224,Pareto!V:V,Pareto!S:S)</f>
        <v>#N/A</v>
      </c>
      <c r="G224" s="1758"/>
      <c r="H224" s="608" t="e">
        <f ca="1">_xlfn.XLOOKUP(F224,Pareto!S:S,Pareto!X:X)</f>
        <v>#N/A</v>
      </c>
      <c r="I224" s="608" t="e">
        <f ca="1">_xlfn.XLOOKUP('5 Unidades  +'!F224,Pareto!S:S,Pareto!Z:Z)</f>
        <v>#N/A</v>
      </c>
      <c r="J224" s="601" t="e">
        <f ca="1">_xlfn.XLOOKUP(F224,Pareto!S:S,Pareto!U:U)</f>
        <v>#N/A</v>
      </c>
      <c r="K224" s="601" t="str">
        <f ca="1">IFERROR(LARGE(Pareto!V:V,D224)," ")</f>
        <v xml:space="preserve"> </v>
      </c>
      <c r="L224" s="601" t="e">
        <f ca="1">_xlfn.XLOOKUP(F224,Pareto!S:S,Pareto!W:W)</f>
        <v>#N/A</v>
      </c>
      <c r="M224" s="602" t="e">
        <f t="shared" ca="1" si="3"/>
        <v>#N/A</v>
      </c>
      <c r="N224" s="20"/>
      <c r="O224" s="20"/>
      <c r="P224" s="20"/>
      <c r="Q224" s="20"/>
      <c r="R224" s="20"/>
      <c r="S224" s="20"/>
      <c r="T224" s="20"/>
      <c r="U224" s="20"/>
      <c r="V224" s="20"/>
      <c r="W224" s="20"/>
      <c r="X224" s="20"/>
      <c r="Y224" s="20"/>
      <c r="Z224" s="20"/>
    </row>
    <row r="225" spans="3:26" ht="15" hidden="1" customHeight="1" x14ac:dyDescent="0.3">
      <c r="C225" s="20"/>
      <c r="D225" s="603">
        <v>172</v>
      </c>
      <c r="E225" s="609" t="e">
        <f ca="1">_xlfn.XLOOKUP(F225,Pareto!S:S,Pareto!T:T)</f>
        <v>#N/A</v>
      </c>
      <c r="F225" s="1759" t="e">
        <f ca="1">_xlfn.XLOOKUP(K225,Pareto!V:V,Pareto!S:S)</f>
        <v>#N/A</v>
      </c>
      <c r="G225" s="1760"/>
      <c r="H225" s="609" t="e">
        <f ca="1">_xlfn.XLOOKUP(F225,Pareto!S:S,Pareto!X:X)</f>
        <v>#N/A</v>
      </c>
      <c r="I225" s="609" t="e">
        <f ca="1">_xlfn.XLOOKUP('5 Unidades  +'!F225,Pareto!S:S,Pareto!Z:Z)</f>
        <v>#N/A</v>
      </c>
      <c r="J225" s="604" t="e">
        <f ca="1">_xlfn.XLOOKUP(F225,Pareto!S:S,Pareto!U:U)</f>
        <v>#N/A</v>
      </c>
      <c r="K225" s="604" t="str">
        <f ca="1">IFERROR(LARGE(Pareto!V:V,D225)," ")</f>
        <v xml:space="preserve"> </v>
      </c>
      <c r="L225" s="604" t="e">
        <f ca="1">_xlfn.XLOOKUP(F225,Pareto!S:S,Pareto!W:W)</f>
        <v>#N/A</v>
      </c>
      <c r="M225" s="605" t="e">
        <f t="shared" ca="1" si="3"/>
        <v>#N/A</v>
      </c>
      <c r="N225" s="20"/>
      <c r="O225" s="20"/>
      <c r="P225" s="20"/>
      <c r="Q225" s="20"/>
      <c r="R225" s="20"/>
      <c r="S225" s="20"/>
      <c r="T225" s="20"/>
      <c r="U225" s="20"/>
      <c r="V225" s="20"/>
      <c r="W225" s="20"/>
      <c r="X225" s="20"/>
      <c r="Y225" s="20"/>
      <c r="Z225" s="20"/>
    </row>
    <row r="226" spans="3:26" ht="15" hidden="1" customHeight="1" x14ac:dyDescent="0.3">
      <c r="C226" s="20"/>
      <c r="D226" s="600">
        <v>173</v>
      </c>
      <c r="E226" s="610" t="e">
        <f ca="1">_xlfn.XLOOKUP(F226,Pareto!S:S,Pareto!T:T)</f>
        <v>#N/A</v>
      </c>
      <c r="F226" s="1757" t="e">
        <f ca="1">_xlfn.XLOOKUP(K226,Pareto!V:V,Pareto!S:S)</f>
        <v>#N/A</v>
      </c>
      <c r="G226" s="1758"/>
      <c r="H226" s="608" t="e">
        <f ca="1">_xlfn.XLOOKUP(F226,Pareto!S:S,Pareto!X:X)</f>
        <v>#N/A</v>
      </c>
      <c r="I226" s="608" t="e">
        <f ca="1">_xlfn.XLOOKUP('5 Unidades  +'!F226,Pareto!S:S,Pareto!Z:Z)</f>
        <v>#N/A</v>
      </c>
      <c r="J226" s="601" t="e">
        <f ca="1">_xlfn.XLOOKUP(F226,Pareto!S:S,Pareto!U:U)</f>
        <v>#N/A</v>
      </c>
      <c r="K226" s="601" t="str">
        <f ca="1">IFERROR(LARGE(Pareto!V:V,D226)," ")</f>
        <v xml:space="preserve"> </v>
      </c>
      <c r="L226" s="601" t="e">
        <f ca="1">_xlfn.XLOOKUP(F226,Pareto!S:S,Pareto!W:W)</f>
        <v>#N/A</v>
      </c>
      <c r="M226" s="602" t="e">
        <f t="shared" ca="1" si="3"/>
        <v>#N/A</v>
      </c>
      <c r="N226" s="20"/>
      <c r="O226" s="20"/>
      <c r="P226" s="20"/>
      <c r="Q226" s="20"/>
      <c r="R226" s="20"/>
      <c r="S226" s="20"/>
      <c r="T226" s="20"/>
      <c r="U226" s="20"/>
      <c r="V226" s="20"/>
      <c r="W226" s="20"/>
      <c r="X226" s="20"/>
      <c r="Y226" s="20"/>
      <c r="Z226" s="20"/>
    </row>
    <row r="227" spans="3:26" ht="15" hidden="1" customHeight="1" x14ac:dyDescent="0.3">
      <c r="C227" s="20"/>
      <c r="D227" s="603">
        <v>174</v>
      </c>
      <c r="E227" s="609" t="e">
        <f ca="1">_xlfn.XLOOKUP(F227,Pareto!S:S,Pareto!T:T)</f>
        <v>#N/A</v>
      </c>
      <c r="F227" s="1759" t="e">
        <f ca="1">_xlfn.XLOOKUP(K227,Pareto!V:V,Pareto!S:S)</f>
        <v>#N/A</v>
      </c>
      <c r="G227" s="1760"/>
      <c r="H227" s="609" t="e">
        <f ca="1">_xlfn.XLOOKUP(F227,Pareto!S:S,Pareto!X:X)</f>
        <v>#N/A</v>
      </c>
      <c r="I227" s="609" t="e">
        <f ca="1">_xlfn.XLOOKUP('5 Unidades  +'!F227,Pareto!S:S,Pareto!Z:Z)</f>
        <v>#N/A</v>
      </c>
      <c r="J227" s="604" t="e">
        <f ca="1">_xlfn.XLOOKUP(F227,Pareto!S:S,Pareto!U:U)</f>
        <v>#N/A</v>
      </c>
      <c r="K227" s="604" t="str">
        <f ca="1">IFERROR(LARGE(Pareto!V:V,D227)," ")</f>
        <v xml:space="preserve"> </v>
      </c>
      <c r="L227" s="604" t="e">
        <f ca="1">_xlfn.XLOOKUP(F227,Pareto!S:S,Pareto!W:W)</f>
        <v>#N/A</v>
      </c>
      <c r="M227" s="605" t="e">
        <f t="shared" ca="1" si="3"/>
        <v>#N/A</v>
      </c>
      <c r="N227" s="20"/>
      <c r="O227" s="20"/>
      <c r="P227" s="20"/>
      <c r="Q227" s="20"/>
      <c r="R227" s="20"/>
      <c r="S227" s="20"/>
      <c r="T227" s="20"/>
      <c r="U227" s="20"/>
      <c r="V227" s="20"/>
      <c r="W227" s="20"/>
      <c r="X227" s="20"/>
      <c r="Y227" s="20"/>
      <c r="Z227" s="20"/>
    </row>
    <row r="228" spans="3:26" ht="15" hidden="1" customHeight="1" x14ac:dyDescent="0.3">
      <c r="C228" s="20"/>
      <c r="D228" s="600">
        <v>175</v>
      </c>
      <c r="E228" s="610" t="e">
        <f ca="1">_xlfn.XLOOKUP(F228,Pareto!S:S,Pareto!T:T)</f>
        <v>#N/A</v>
      </c>
      <c r="F228" s="1757" t="e">
        <f ca="1">_xlfn.XLOOKUP(K228,Pareto!V:V,Pareto!S:S)</f>
        <v>#N/A</v>
      </c>
      <c r="G228" s="1758"/>
      <c r="H228" s="608" t="e">
        <f ca="1">_xlfn.XLOOKUP(F228,Pareto!S:S,Pareto!X:X)</f>
        <v>#N/A</v>
      </c>
      <c r="I228" s="608" t="e">
        <f ca="1">_xlfn.XLOOKUP('5 Unidades  +'!F228,Pareto!S:S,Pareto!Z:Z)</f>
        <v>#N/A</v>
      </c>
      <c r="J228" s="601" t="e">
        <f ca="1">_xlfn.XLOOKUP(F228,Pareto!S:S,Pareto!U:U)</f>
        <v>#N/A</v>
      </c>
      <c r="K228" s="601" t="str">
        <f ca="1">IFERROR(LARGE(Pareto!V:V,D228)," ")</f>
        <v xml:space="preserve"> </v>
      </c>
      <c r="L228" s="601" t="e">
        <f ca="1">_xlfn.XLOOKUP(F228,Pareto!S:S,Pareto!W:W)</f>
        <v>#N/A</v>
      </c>
      <c r="M228" s="602" t="e">
        <f t="shared" ca="1" si="3"/>
        <v>#N/A</v>
      </c>
      <c r="N228" s="20"/>
      <c r="O228" s="20"/>
      <c r="P228" s="20"/>
      <c r="Q228" s="20"/>
      <c r="R228" s="20"/>
      <c r="S228" s="20"/>
      <c r="T228" s="20"/>
      <c r="U228" s="20"/>
      <c r="V228" s="20"/>
      <c r="W228" s="20"/>
      <c r="X228" s="20"/>
      <c r="Y228" s="20"/>
      <c r="Z228" s="20"/>
    </row>
    <row r="229" spans="3:26" ht="15" hidden="1" customHeight="1" x14ac:dyDescent="0.3">
      <c r="C229" s="20"/>
      <c r="D229" s="603">
        <v>176</v>
      </c>
      <c r="E229" s="609" t="e">
        <f ca="1">_xlfn.XLOOKUP(F229,Pareto!S:S,Pareto!T:T)</f>
        <v>#N/A</v>
      </c>
      <c r="F229" s="1759" t="e">
        <f ca="1">_xlfn.XLOOKUP(K229,Pareto!V:V,Pareto!S:S)</f>
        <v>#N/A</v>
      </c>
      <c r="G229" s="1760"/>
      <c r="H229" s="609" t="e">
        <f ca="1">_xlfn.XLOOKUP(F229,Pareto!S:S,Pareto!X:X)</f>
        <v>#N/A</v>
      </c>
      <c r="I229" s="609" t="e">
        <f ca="1">_xlfn.XLOOKUP('5 Unidades  +'!F229,Pareto!S:S,Pareto!Z:Z)</f>
        <v>#N/A</v>
      </c>
      <c r="J229" s="604" t="e">
        <f ca="1">_xlfn.XLOOKUP(F229,Pareto!S:S,Pareto!U:U)</f>
        <v>#N/A</v>
      </c>
      <c r="K229" s="604" t="str">
        <f ca="1">IFERROR(LARGE(Pareto!V:V,D229)," ")</f>
        <v xml:space="preserve"> </v>
      </c>
      <c r="L229" s="604" t="e">
        <f ca="1">_xlfn.XLOOKUP(F229,Pareto!S:S,Pareto!W:W)</f>
        <v>#N/A</v>
      </c>
      <c r="M229" s="605" t="e">
        <f t="shared" ca="1" si="3"/>
        <v>#N/A</v>
      </c>
      <c r="N229" s="20"/>
      <c r="O229" s="20"/>
      <c r="P229" s="20"/>
      <c r="Q229" s="20"/>
      <c r="R229" s="20"/>
      <c r="S229" s="20"/>
      <c r="T229" s="20"/>
      <c r="U229" s="20"/>
      <c r="V229" s="20"/>
      <c r="W229" s="20"/>
      <c r="X229" s="20"/>
      <c r="Y229" s="20"/>
      <c r="Z229" s="20"/>
    </row>
    <row r="230" spans="3:26" ht="15" hidden="1" customHeight="1" x14ac:dyDescent="0.3">
      <c r="C230" s="20"/>
      <c r="D230" s="600">
        <v>177</v>
      </c>
      <c r="E230" s="610" t="e">
        <f ca="1">_xlfn.XLOOKUP(F230,Pareto!S:S,Pareto!T:T)</f>
        <v>#N/A</v>
      </c>
      <c r="F230" s="1757" t="e">
        <f ca="1">_xlfn.XLOOKUP(K230,Pareto!V:V,Pareto!S:S)</f>
        <v>#N/A</v>
      </c>
      <c r="G230" s="1758"/>
      <c r="H230" s="608" t="e">
        <f ca="1">_xlfn.XLOOKUP(F230,Pareto!S:S,Pareto!X:X)</f>
        <v>#N/A</v>
      </c>
      <c r="I230" s="608" t="e">
        <f ca="1">_xlfn.XLOOKUP('5 Unidades  +'!F230,Pareto!S:S,Pareto!Z:Z)</f>
        <v>#N/A</v>
      </c>
      <c r="J230" s="601" t="e">
        <f ca="1">_xlfn.XLOOKUP(F230,Pareto!S:S,Pareto!U:U)</f>
        <v>#N/A</v>
      </c>
      <c r="K230" s="601" t="str">
        <f ca="1">IFERROR(LARGE(Pareto!V:V,D230)," ")</f>
        <v xml:space="preserve"> </v>
      </c>
      <c r="L230" s="601" t="e">
        <f ca="1">_xlfn.XLOOKUP(F230,Pareto!S:S,Pareto!W:W)</f>
        <v>#N/A</v>
      </c>
      <c r="M230" s="602" t="e">
        <f t="shared" ca="1" si="3"/>
        <v>#N/A</v>
      </c>
      <c r="N230" s="20"/>
      <c r="O230" s="20"/>
      <c r="P230" s="20"/>
      <c r="Q230" s="20"/>
      <c r="R230" s="20"/>
      <c r="S230" s="20"/>
      <c r="T230" s="20"/>
      <c r="U230" s="20"/>
      <c r="V230" s="20"/>
      <c r="W230" s="20"/>
      <c r="X230" s="20"/>
      <c r="Y230" s="20"/>
      <c r="Z230" s="20"/>
    </row>
    <row r="231" spans="3:26" ht="15" hidden="1" customHeight="1" x14ac:dyDescent="0.3">
      <c r="C231" s="20"/>
      <c r="D231" s="603">
        <v>178</v>
      </c>
      <c r="E231" s="609" t="e">
        <f ca="1">_xlfn.XLOOKUP(F231,Pareto!S:S,Pareto!T:T)</f>
        <v>#N/A</v>
      </c>
      <c r="F231" s="1759" t="e">
        <f ca="1">_xlfn.XLOOKUP(K231,Pareto!V:V,Pareto!S:S)</f>
        <v>#N/A</v>
      </c>
      <c r="G231" s="1760"/>
      <c r="H231" s="609" t="e">
        <f ca="1">_xlfn.XLOOKUP(F231,Pareto!S:S,Pareto!X:X)</f>
        <v>#N/A</v>
      </c>
      <c r="I231" s="609" t="e">
        <f ca="1">_xlfn.XLOOKUP('5 Unidades  +'!F231,Pareto!S:S,Pareto!Z:Z)</f>
        <v>#N/A</v>
      </c>
      <c r="J231" s="604" t="e">
        <f ca="1">_xlfn.XLOOKUP(F231,Pareto!S:S,Pareto!U:U)</f>
        <v>#N/A</v>
      </c>
      <c r="K231" s="604" t="str">
        <f ca="1">IFERROR(LARGE(Pareto!V:V,D231)," ")</f>
        <v xml:space="preserve"> </v>
      </c>
      <c r="L231" s="604" t="e">
        <f ca="1">_xlfn.XLOOKUP(F231,Pareto!S:S,Pareto!W:W)</f>
        <v>#N/A</v>
      </c>
      <c r="M231" s="605" t="e">
        <f t="shared" ca="1" si="3"/>
        <v>#N/A</v>
      </c>
      <c r="N231" s="20"/>
      <c r="O231" s="20"/>
      <c r="P231" s="20"/>
      <c r="Q231" s="20"/>
      <c r="R231" s="20"/>
      <c r="S231" s="20"/>
      <c r="T231" s="20"/>
      <c r="U231" s="20"/>
      <c r="V231" s="20"/>
      <c r="W231" s="20"/>
      <c r="X231" s="20"/>
      <c r="Y231" s="20"/>
      <c r="Z231" s="20"/>
    </row>
    <row r="232" spans="3:26" ht="15" hidden="1" customHeight="1" x14ac:dyDescent="0.3">
      <c r="C232" s="20"/>
      <c r="D232" s="600">
        <v>179</v>
      </c>
      <c r="E232" s="610" t="e">
        <f ca="1">_xlfn.XLOOKUP(F232,Pareto!S:S,Pareto!T:T)</f>
        <v>#N/A</v>
      </c>
      <c r="F232" s="1757" t="e">
        <f ca="1">_xlfn.XLOOKUP(K232,Pareto!V:V,Pareto!S:S)</f>
        <v>#N/A</v>
      </c>
      <c r="G232" s="1758"/>
      <c r="H232" s="608" t="e">
        <f ca="1">_xlfn.XLOOKUP(F232,Pareto!S:S,Pareto!X:X)</f>
        <v>#N/A</v>
      </c>
      <c r="I232" s="608" t="e">
        <f ca="1">_xlfn.XLOOKUP('5 Unidades  +'!F232,Pareto!S:S,Pareto!Z:Z)</f>
        <v>#N/A</v>
      </c>
      <c r="J232" s="601" t="e">
        <f ca="1">_xlfn.XLOOKUP(F232,Pareto!S:S,Pareto!U:U)</f>
        <v>#N/A</v>
      </c>
      <c r="K232" s="601" t="str">
        <f ca="1">IFERROR(LARGE(Pareto!V:V,D232)," ")</f>
        <v xml:space="preserve"> </v>
      </c>
      <c r="L232" s="601" t="e">
        <f ca="1">_xlfn.XLOOKUP(F232,Pareto!S:S,Pareto!W:W)</f>
        <v>#N/A</v>
      </c>
      <c r="M232" s="602" t="e">
        <f t="shared" ca="1" si="3"/>
        <v>#N/A</v>
      </c>
      <c r="N232" s="20"/>
      <c r="O232" s="20"/>
      <c r="P232" s="20"/>
      <c r="Q232" s="20"/>
      <c r="R232" s="20"/>
      <c r="S232" s="20"/>
      <c r="T232" s="20"/>
      <c r="U232" s="20"/>
      <c r="V232" s="20"/>
      <c r="W232" s="20"/>
      <c r="X232" s="20"/>
      <c r="Y232" s="20"/>
      <c r="Z232" s="20"/>
    </row>
    <row r="233" spans="3:26" ht="15" hidden="1" customHeight="1" x14ac:dyDescent="0.3">
      <c r="C233" s="20"/>
      <c r="D233" s="603">
        <v>180</v>
      </c>
      <c r="E233" s="609" t="e">
        <f ca="1">_xlfn.XLOOKUP(F233,Pareto!S:S,Pareto!T:T)</f>
        <v>#N/A</v>
      </c>
      <c r="F233" s="1759" t="e">
        <f ca="1">_xlfn.XLOOKUP(K233,Pareto!V:V,Pareto!S:S)</f>
        <v>#N/A</v>
      </c>
      <c r="G233" s="1760"/>
      <c r="H233" s="609" t="e">
        <f ca="1">_xlfn.XLOOKUP(F233,Pareto!S:S,Pareto!X:X)</f>
        <v>#N/A</v>
      </c>
      <c r="I233" s="609" t="e">
        <f ca="1">_xlfn.XLOOKUP('5 Unidades  +'!F233,Pareto!S:S,Pareto!Z:Z)</f>
        <v>#N/A</v>
      </c>
      <c r="J233" s="604" t="e">
        <f ca="1">_xlfn.XLOOKUP(F233,Pareto!S:S,Pareto!U:U)</f>
        <v>#N/A</v>
      </c>
      <c r="K233" s="604" t="str">
        <f ca="1">IFERROR(LARGE(Pareto!V:V,D233)," ")</f>
        <v xml:space="preserve"> </v>
      </c>
      <c r="L233" s="604" t="e">
        <f ca="1">_xlfn.XLOOKUP(F233,Pareto!S:S,Pareto!W:W)</f>
        <v>#N/A</v>
      </c>
      <c r="M233" s="605" t="e">
        <f t="shared" ca="1" si="3"/>
        <v>#N/A</v>
      </c>
      <c r="N233" s="20"/>
      <c r="O233" s="20"/>
      <c r="P233" s="20"/>
      <c r="Q233" s="20"/>
      <c r="R233" s="20"/>
      <c r="S233" s="20"/>
      <c r="T233" s="20"/>
      <c r="U233" s="20"/>
      <c r="V233" s="20"/>
      <c r="W233" s="20"/>
      <c r="X233" s="20"/>
      <c r="Y233" s="20"/>
      <c r="Z233" s="20"/>
    </row>
    <row r="234" spans="3:26" ht="15" hidden="1" customHeight="1" x14ac:dyDescent="0.3">
      <c r="C234" s="20"/>
      <c r="D234" s="600">
        <v>181</v>
      </c>
      <c r="E234" s="610" t="e">
        <f ca="1">_xlfn.XLOOKUP(F234,Pareto!S:S,Pareto!T:T)</f>
        <v>#N/A</v>
      </c>
      <c r="F234" s="1757" t="e">
        <f ca="1">_xlfn.XLOOKUP(K234,Pareto!V:V,Pareto!S:S)</f>
        <v>#N/A</v>
      </c>
      <c r="G234" s="1758"/>
      <c r="H234" s="608" t="e">
        <f ca="1">_xlfn.XLOOKUP(F234,Pareto!S:S,Pareto!X:X)</f>
        <v>#N/A</v>
      </c>
      <c r="I234" s="608" t="e">
        <f ca="1">_xlfn.XLOOKUP('5 Unidades  +'!F234,Pareto!S:S,Pareto!Z:Z)</f>
        <v>#N/A</v>
      </c>
      <c r="J234" s="601" t="e">
        <f ca="1">_xlfn.XLOOKUP(F234,Pareto!S:S,Pareto!U:U)</f>
        <v>#N/A</v>
      </c>
      <c r="K234" s="601" t="str">
        <f ca="1">IFERROR(LARGE(Pareto!V:V,D234)," ")</f>
        <v xml:space="preserve"> </v>
      </c>
      <c r="L234" s="601" t="e">
        <f ca="1">_xlfn.XLOOKUP(F234,Pareto!S:S,Pareto!W:W)</f>
        <v>#N/A</v>
      </c>
      <c r="M234" s="602" t="e">
        <f t="shared" ca="1" si="3"/>
        <v>#N/A</v>
      </c>
      <c r="N234" s="20"/>
      <c r="O234" s="20"/>
      <c r="P234" s="20"/>
      <c r="Q234" s="20"/>
      <c r="R234" s="20"/>
      <c r="S234" s="20"/>
      <c r="T234" s="20"/>
      <c r="U234" s="20"/>
      <c r="V234" s="20"/>
      <c r="W234" s="20"/>
      <c r="X234" s="20"/>
      <c r="Y234" s="20"/>
      <c r="Z234" s="20"/>
    </row>
    <row r="235" spans="3:26" ht="15" hidden="1" customHeight="1" x14ac:dyDescent="0.3">
      <c r="C235" s="20"/>
      <c r="D235" s="603">
        <v>182</v>
      </c>
      <c r="E235" s="609" t="e">
        <f ca="1">_xlfn.XLOOKUP(F235,Pareto!S:S,Pareto!T:T)</f>
        <v>#N/A</v>
      </c>
      <c r="F235" s="1759" t="e">
        <f ca="1">_xlfn.XLOOKUP(K235,Pareto!V:V,Pareto!S:S)</f>
        <v>#N/A</v>
      </c>
      <c r="G235" s="1760"/>
      <c r="H235" s="609" t="e">
        <f ca="1">_xlfn.XLOOKUP(F235,Pareto!S:S,Pareto!X:X)</f>
        <v>#N/A</v>
      </c>
      <c r="I235" s="609" t="e">
        <f ca="1">_xlfn.XLOOKUP('5 Unidades  +'!F235,Pareto!S:S,Pareto!Z:Z)</f>
        <v>#N/A</v>
      </c>
      <c r="J235" s="604" t="e">
        <f ca="1">_xlfn.XLOOKUP(F235,Pareto!S:S,Pareto!U:U)</f>
        <v>#N/A</v>
      </c>
      <c r="K235" s="604" t="str">
        <f ca="1">IFERROR(LARGE(Pareto!V:V,D235)," ")</f>
        <v xml:space="preserve"> </v>
      </c>
      <c r="L235" s="604" t="e">
        <f ca="1">_xlfn.XLOOKUP(F235,Pareto!S:S,Pareto!W:W)</f>
        <v>#N/A</v>
      </c>
      <c r="M235" s="605" t="e">
        <f t="shared" ca="1" si="3"/>
        <v>#N/A</v>
      </c>
      <c r="N235" s="20"/>
      <c r="O235" s="20"/>
      <c r="P235" s="20"/>
      <c r="Q235" s="20"/>
      <c r="R235" s="20"/>
      <c r="S235" s="20"/>
      <c r="T235" s="20"/>
      <c r="U235" s="20"/>
      <c r="V235" s="20"/>
      <c r="W235" s="20"/>
      <c r="X235" s="20"/>
      <c r="Y235" s="20"/>
      <c r="Z235" s="20"/>
    </row>
    <row r="236" spans="3:26" ht="15" hidden="1" customHeight="1" x14ac:dyDescent="0.3">
      <c r="C236" s="20"/>
      <c r="D236" s="600">
        <v>183</v>
      </c>
      <c r="E236" s="610" t="e">
        <f ca="1">_xlfn.XLOOKUP(F236,Pareto!S:S,Pareto!T:T)</f>
        <v>#N/A</v>
      </c>
      <c r="F236" s="1757" t="e">
        <f ca="1">_xlfn.XLOOKUP(K236,Pareto!V:V,Pareto!S:S)</f>
        <v>#N/A</v>
      </c>
      <c r="G236" s="1758"/>
      <c r="H236" s="608" t="e">
        <f ca="1">_xlfn.XLOOKUP(F236,Pareto!S:S,Pareto!X:X)</f>
        <v>#N/A</v>
      </c>
      <c r="I236" s="608" t="e">
        <f ca="1">_xlfn.XLOOKUP('5 Unidades  +'!F236,Pareto!S:S,Pareto!Z:Z)</f>
        <v>#N/A</v>
      </c>
      <c r="J236" s="601" t="e">
        <f ca="1">_xlfn.XLOOKUP(F236,Pareto!S:S,Pareto!U:U)</f>
        <v>#N/A</v>
      </c>
      <c r="K236" s="601" t="str">
        <f ca="1">IFERROR(LARGE(Pareto!V:V,D236)," ")</f>
        <v xml:space="preserve"> </v>
      </c>
      <c r="L236" s="601" t="e">
        <f ca="1">_xlfn.XLOOKUP(F236,Pareto!S:S,Pareto!W:W)</f>
        <v>#N/A</v>
      </c>
      <c r="M236" s="602" t="e">
        <f t="shared" ca="1" si="3"/>
        <v>#N/A</v>
      </c>
      <c r="N236" s="20"/>
      <c r="O236" s="20"/>
      <c r="P236" s="20"/>
      <c r="Q236" s="20"/>
      <c r="R236" s="20"/>
      <c r="S236" s="20"/>
      <c r="T236" s="20"/>
      <c r="U236" s="20"/>
      <c r="V236" s="20"/>
      <c r="W236" s="20"/>
      <c r="X236" s="20"/>
      <c r="Y236" s="20"/>
      <c r="Z236" s="20"/>
    </row>
    <row r="237" spans="3:26" ht="15" hidden="1" customHeight="1" x14ac:dyDescent="0.3">
      <c r="C237" s="20"/>
      <c r="D237" s="603">
        <v>184</v>
      </c>
      <c r="E237" s="609" t="e">
        <f ca="1">_xlfn.XLOOKUP(F237,Pareto!S:S,Pareto!T:T)</f>
        <v>#N/A</v>
      </c>
      <c r="F237" s="1759" t="e">
        <f ca="1">_xlfn.XLOOKUP(K237,Pareto!V:V,Pareto!S:S)</f>
        <v>#N/A</v>
      </c>
      <c r="G237" s="1760"/>
      <c r="H237" s="609" t="e">
        <f ca="1">_xlfn.XLOOKUP(F237,Pareto!S:S,Pareto!X:X)</f>
        <v>#N/A</v>
      </c>
      <c r="I237" s="609" t="e">
        <f ca="1">_xlfn.XLOOKUP('5 Unidades  +'!F237,Pareto!S:S,Pareto!Z:Z)</f>
        <v>#N/A</v>
      </c>
      <c r="J237" s="604" t="e">
        <f ca="1">_xlfn.XLOOKUP(F237,Pareto!S:S,Pareto!U:U)</f>
        <v>#N/A</v>
      </c>
      <c r="K237" s="604" t="str">
        <f ca="1">IFERROR(LARGE(Pareto!V:V,D237)," ")</f>
        <v xml:space="preserve"> </v>
      </c>
      <c r="L237" s="604" t="e">
        <f ca="1">_xlfn.XLOOKUP(F237,Pareto!S:S,Pareto!W:W)</f>
        <v>#N/A</v>
      </c>
      <c r="M237" s="605" t="e">
        <f t="shared" ca="1" si="3"/>
        <v>#N/A</v>
      </c>
      <c r="N237" s="20"/>
      <c r="O237" s="20"/>
      <c r="P237" s="20"/>
      <c r="Q237" s="20"/>
      <c r="R237" s="20"/>
      <c r="S237" s="20"/>
      <c r="T237" s="20"/>
      <c r="U237" s="20"/>
      <c r="V237" s="20"/>
      <c r="W237" s="20"/>
      <c r="X237" s="20"/>
      <c r="Y237" s="20"/>
      <c r="Z237" s="20"/>
    </row>
    <row r="238" spans="3:26" ht="15" hidden="1" customHeight="1" x14ac:dyDescent="0.3">
      <c r="C238" s="20"/>
      <c r="D238" s="600">
        <v>185</v>
      </c>
      <c r="E238" s="610" t="e">
        <f ca="1">_xlfn.XLOOKUP(F238,Pareto!S:S,Pareto!T:T)</f>
        <v>#N/A</v>
      </c>
      <c r="F238" s="1757" t="e">
        <f ca="1">_xlfn.XLOOKUP(K238,Pareto!V:V,Pareto!S:S)</f>
        <v>#N/A</v>
      </c>
      <c r="G238" s="1758"/>
      <c r="H238" s="608" t="e">
        <f ca="1">_xlfn.XLOOKUP(F238,Pareto!S:S,Pareto!X:X)</f>
        <v>#N/A</v>
      </c>
      <c r="I238" s="608" t="e">
        <f ca="1">_xlfn.XLOOKUP('5 Unidades  +'!F238,Pareto!S:S,Pareto!Z:Z)</f>
        <v>#N/A</v>
      </c>
      <c r="J238" s="601" t="e">
        <f ca="1">_xlfn.XLOOKUP(F238,Pareto!S:S,Pareto!U:U)</f>
        <v>#N/A</v>
      </c>
      <c r="K238" s="601" t="str">
        <f ca="1">IFERROR(LARGE(Pareto!V:V,D238)," ")</f>
        <v xml:space="preserve"> </v>
      </c>
      <c r="L238" s="601" t="e">
        <f ca="1">_xlfn.XLOOKUP(F238,Pareto!S:S,Pareto!W:W)</f>
        <v>#N/A</v>
      </c>
      <c r="M238" s="602" t="e">
        <f t="shared" ca="1" si="3"/>
        <v>#N/A</v>
      </c>
      <c r="N238" s="20"/>
      <c r="O238" s="20"/>
      <c r="P238" s="20"/>
      <c r="Q238" s="20"/>
      <c r="R238" s="20"/>
      <c r="S238" s="20"/>
      <c r="T238" s="20"/>
      <c r="U238" s="20"/>
      <c r="V238" s="20"/>
      <c r="W238" s="20"/>
      <c r="X238" s="20"/>
      <c r="Y238" s="20"/>
      <c r="Z238" s="20"/>
    </row>
    <row r="239" spans="3:26" ht="15" hidden="1" customHeight="1" x14ac:dyDescent="0.3">
      <c r="C239" s="20"/>
      <c r="D239" s="603">
        <v>186</v>
      </c>
      <c r="E239" s="609" t="e">
        <f ca="1">_xlfn.XLOOKUP(F239,Pareto!S:S,Pareto!T:T)</f>
        <v>#N/A</v>
      </c>
      <c r="F239" s="1759" t="e">
        <f ca="1">_xlfn.XLOOKUP(K239,Pareto!V:V,Pareto!S:S)</f>
        <v>#N/A</v>
      </c>
      <c r="G239" s="1760"/>
      <c r="H239" s="609" t="e">
        <f ca="1">_xlfn.XLOOKUP(F239,Pareto!S:S,Pareto!X:X)</f>
        <v>#N/A</v>
      </c>
      <c r="I239" s="609" t="e">
        <f ca="1">_xlfn.XLOOKUP('5 Unidades  +'!F239,Pareto!S:S,Pareto!Z:Z)</f>
        <v>#N/A</v>
      </c>
      <c r="J239" s="604" t="e">
        <f ca="1">_xlfn.XLOOKUP(F239,Pareto!S:S,Pareto!U:U)</f>
        <v>#N/A</v>
      </c>
      <c r="K239" s="604" t="str">
        <f ca="1">IFERROR(LARGE(Pareto!V:V,D239)," ")</f>
        <v xml:space="preserve"> </v>
      </c>
      <c r="L239" s="604" t="e">
        <f ca="1">_xlfn.XLOOKUP(F239,Pareto!S:S,Pareto!W:W)</f>
        <v>#N/A</v>
      </c>
      <c r="M239" s="605" t="e">
        <f t="shared" ca="1" si="3"/>
        <v>#N/A</v>
      </c>
      <c r="N239" s="20"/>
      <c r="O239" s="20"/>
      <c r="P239" s="20"/>
      <c r="Q239" s="20"/>
      <c r="R239" s="20"/>
      <c r="S239" s="20"/>
      <c r="T239" s="20"/>
      <c r="U239" s="20"/>
      <c r="V239" s="20"/>
      <c r="W239" s="20"/>
      <c r="X239" s="20"/>
      <c r="Y239" s="20"/>
      <c r="Z239" s="20"/>
    </row>
    <row r="240" spans="3:26" ht="15" hidden="1" customHeight="1" x14ac:dyDescent="0.3">
      <c r="C240" s="20"/>
      <c r="D240" s="600">
        <v>187</v>
      </c>
      <c r="E240" s="610" t="e">
        <f ca="1">_xlfn.XLOOKUP(F240,Pareto!S:S,Pareto!T:T)</f>
        <v>#N/A</v>
      </c>
      <c r="F240" s="1757" t="e">
        <f ca="1">_xlfn.XLOOKUP(K240,Pareto!V:V,Pareto!S:S)</f>
        <v>#N/A</v>
      </c>
      <c r="G240" s="1758"/>
      <c r="H240" s="608" t="e">
        <f ca="1">_xlfn.XLOOKUP(F240,Pareto!S:S,Pareto!X:X)</f>
        <v>#N/A</v>
      </c>
      <c r="I240" s="608" t="e">
        <f ca="1">_xlfn.XLOOKUP('5 Unidades  +'!F240,Pareto!S:S,Pareto!Z:Z)</f>
        <v>#N/A</v>
      </c>
      <c r="J240" s="601" t="e">
        <f ca="1">_xlfn.XLOOKUP(F240,Pareto!S:S,Pareto!U:U)</f>
        <v>#N/A</v>
      </c>
      <c r="K240" s="601" t="str">
        <f ca="1">IFERROR(LARGE(Pareto!V:V,D240)," ")</f>
        <v xml:space="preserve"> </v>
      </c>
      <c r="L240" s="601" t="e">
        <f ca="1">_xlfn.XLOOKUP(F240,Pareto!S:S,Pareto!W:W)</f>
        <v>#N/A</v>
      </c>
      <c r="M240" s="602" t="e">
        <f t="shared" ca="1" si="3"/>
        <v>#N/A</v>
      </c>
      <c r="N240" s="20"/>
      <c r="O240" s="20"/>
      <c r="P240" s="20"/>
      <c r="Q240" s="20"/>
      <c r="R240" s="20"/>
      <c r="S240" s="20"/>
      <c r="T240" s="20"/>
      <c r="U240" s="20"/>
      <c r="V240" s="20"/>
      <c r="W240" s="20"/>
      <c r="X240" s="20"/>
      <c r="Y240" s="20"/>
      <c r="Z240" s="20"/>
    </row>
    <row r="241" spans="3:26" ht="15" hidden="1" customHeight="1" x14ac:dyDescent="0.3">
      <c r="C241" s="20"/>
      <c r="D241" s="603">
        <v>188</v>
      </c>
      <c r="E241" s="609" t="e">
        <f ca="1">_xlfn.XLOOKUP(F241,Pareto!S:S,Pareto!T:T)</f>
        <v>#N/A</v>
      </c>
      <c r="F241" s="1759" t="e">
        <f ca="1">_xlfn.XLOOKUP(K241,Pareto!V:V,Pareto!S:S)</f>
        <v>#N/A</v>
      </c>
      <c r="G241" s="1760"/>
      <c r="H241" s="609" t="e">
        <f ca="1">_xlfn.XLOOKUP(F241,Pareto!S:S,Pareto!X:X)</f>
        <v>#N/A</v>
      </c>
      <c r="I241" s="609" t="e">
        <f ca="1">_xlfn.XLOOKUP('5 Unidades  +'!F241,Pareto!S:S,Pareto!Z:Z)</f>
        <v>#N/A</v>
      </c>
      <c r="J241" s="604" t="e">
        <f ca="1">_xlfn.XLOOKUP(F241,Pareto!S:S,Pareto!U:U)</f>
        <v>#N/A</v>
      </c>
      <c r="K241" s="604" t="str">
        <f ca="1">IFERROR(LARGE(Pareto!V:V,D241)," ")</f>
        <v xml:space="preserve"> </v>
      </c>
      <c r="L241" s="604" t="e">
        <f ca="1">_xlfn.XLOOKUP(F241,Pareto!S:S,Pareto!W:W)</f>
        <v>#N/A</v>
      </c>
      <c r="M241" s="605" t="e">
        <f t="shared" ca="1" si="3"/>
        <v>#N/A</v>
      </c>
      <c r="N241" s="20"/>
      <c r="O241" s="20"/>
      <c r="P241" s="20"/>
      <c r="Q241" s="20"/>
      <c r="R241" s="20"/>
      <c r="S241" s="20"/>
      <c r="T241" s="20"/>
      <c r="U241" s="20"/>
      <c r="V241" s="20"/>
      <c r="W241" s="20"/>
      <c r="X241" s="20"/>
      <c r="Y241" s="20"/>
      <c r="Z241" s="20"/>
    </row>
    <row r="242" spans="3:26" ht="15" hidden="1" customHeight="1" x14ac:dyDescent="0.3">
      <c r="C242" s="20"/>
      <c r="D242" s="600">
        <v>189</v>
      </c>
      <c r="E242" s="610" t="e">
        <f ca="1">_xlfn.XLOOKUP(F242,Pareto!S:S,Pareto!T:T)</f>
        <v>#N/A</v>
      </c>
      <c r="F242" s="1757" t="e">
        <f ca="1">_xlfn.XLOOKUP(K242,Pareto!V:V,Pareto!S:S)</f>
        <v>#N/A</v>
      </c>
      <c r="G242" s="1758"/>
      <c r="H242" s="608" t="e">
        <f ca="1">_xlfn.XLOOKUP(F242,Pareto!S:S,Pareto!X:X)</f>
        <v>#N/A</v>
      </c>
      <c r="I242" s="608" t="e">
        <f ca="1">_xlfn.XLOOKUP('5 Unidades  +'!F242,Pareto!S:S,Pareto!Z:Z)</f>
        <v>#N/A</v>
      </c>
      <c r="J242" s="601" t="e">
        <f ca="1">_xlfn.XLOOKUP(F242,Pareto!S:S,Pareto!U:U)</f>
        <v>#N/A</v>
      </c>
      <c r="K242" s="601" t="str">
        <f ca="1">IFERROR(LARGE(Pareto!V:V,D242)," ")</f>
        <v xml:space="preserve"> </v>
      </c>
      <c r="L242" s="601" t="e">
        <f ca="1">_xlfn.XLOOKUP(F242,Pareto!S:S,Pareto!W:W)</f>
        <v>#N/A</v>
      </c>
      <c r="M242" s="602" t="e">
        <f t="shared" ca="1" si="3"/>
        <v>#N/A</v>
      </c>
      <c r="N242" s="20"/>
      <c r="O242" s="20"/>
      <c r="P242" s="20"/>
      <c r="Q242" s="20"/>
      <c r="R242" s="20"/>
      <c r="S242" s="20"/>
      <c r="T242" s="20"/>
      <c r="U242" s="20"/>
      <c r="V242" s="20"/>
      <c r="W242" s="20"/>
      <c r="X242" s="20"/>
      <c r="Y242" s="20"/>
      <c r="Z242" s="20"/>
    </row>
    <row r="243" spans="3:26" ht="15" hidden="1" customHeight="1" x14ac:dyDescent="0.3">
      <c r="C243" s="20"/>
      <c r="D243" s="603">
        <v>190</v>
      </c>
      <c r="E243" s="609" t="e">
        <f ca="1">_xlfn.XLOOKUP(F243,Pareto!S:S,Pareto!T:T)</f>
        <v>#N/A</v>
      </c>
      <c r="F243" s="1759" t="e">
        <f ca="1">_xlfn.XLOOKUP(K243,Pareto!V:V,Pareto!S:S)</f>
        <v>#N/A</v>
      </c>
      <c r="G243" s="1760"/>
      <c r="H243" s="609" t="e">
        <f ca="1">_xlfn.XLOOKUP(F243,Pareto!S:S,Pareto!X:X)</f>
        <v>#N/A</v>
      </c>
      <c r="I243" s="609" t="e">
        <f ca="1">_xlfn.XLOOKUP('5 Unidades  +'!F243,Pareto!S:S,Pareto!Z:Z)</f>
        <v>#N/A</v>
      </c>
      <c r="J243" s="604" t="e">
        <f ca="1">_xlfn.XLOOKUP(F243,Pareto!S:S,Pareto!U:U)</f>
        <v>#N/A</v>
      </c>
      <c r="K243" s="604" t="str">
        <f ca="1">IFERROR(LARGE(Pareto!V:V,D243)," ")</f>
        <v xml:space="preserve"> </v>
      </c>
      <c r="L243" s="604" t="e">
        <f ca="1">_xlfn.XLOOKUP(F243,Pareto!S:S,Pareto!W:W)</f>
        <v>#N/A</v>
      </c>
      <c r="M243" s="605" t="e">
        <f t="shared" ca="1" si="3"/>
        <v>#N/A</v>
      </c>
      <c r="N243" s="20"/>
      <c r="O243" s="20"/>
      <c r="P243" s="20"/>
      <c r="Q243" s="20"/>
      <c r="R243" s="20"/>
      <c r="S243" s="20"/>
      <c r="T243" s="20"/>
      <c r="U243" s="20"/>
      <c r="V243" s="20"/>
      <c r="W243" s="20"/>
      <c r="X243" s="20"/>
      <c r="Y243" s="20"/>
      <c r="Z243" s="20"/>
    </row>
    <row r="244" spans="3:26" ht="15" hidden="1" customHeight="1" x14ac:dyDescent="0.3">
      <c r="C244" s="20"/>
      <c r="D244" s="600">
        <v>191</v>
      </c>
      <c r="E244" s="610" t="e">
        <f ca="1">_xlfn.XLOOKUP(F244,Pareto!S:S,Pareto!T:T)</f>
        <v>#N/A</v>
      </c>
      <c r="F244" s="1757" t="e">
        <f ca="1">_xlfn.XLOOKUP(K244,Pareto!V:V,Pareto!S:S)</f>
        <v>#N/A</v>
      </c>
      <c r="G244" s="1758"/>
      <c r="H244" s="608" t="e">
        <f ca="1">_xlfn.XLOOKUP(F244,Pareto!S:S,Pareto!X:X)</f>
        <v>#N/A</v>
      </c>
      <c r="I244" s="608" t="e">
        <f ca="1">_xlfn.XLOOKUP('5 Unidades  +'!F244,Pareto!S:S,Pareto!Z:Z)</f>
        <v>#N/A</v>
      </c>
      <c r="J244" s="601" t="e">
        <f ca="1">_xlfn.XLOOKUP(F244,Pareto!S:S,Pareto!U:U)</f>
        <v>#N/A</v>
      </c>
      <c r="K244" s="601" t="str">
        <f ca="1">IFERROR(LARGE(Pareto!V:V,D244)," ")</f>
        <v xml:space="preserve"> </v>
      </c>
      <c r="L244" s="601" t="e">
        <f ca="1">_xlfn.XLOOKUP(F244,Pareto!S:S,Pareto!W:W)</f>
        <v>#N/A</v>
      </c>
      <c r="M244" s="602" t="e">
        <f t="shared" ca="1" si="3"/>
        <v>#N/A</v>
      </c>
      <c r="N244" s="20"/>
      <c r="O244" s="20"/>
      <c r="P244" s="20"/>
      <c r="Q244" s="20"/>
      <c r="R244" s="20"/>
      <c r="S244" s="20"/>
      <c r="T244" s="20"/>
      <c r="U244" s="20"/>
      <c r="V244" s="20"/>
      <c r="W244" s="20"/>
      <c r="X244" s="20"/>
      <c r="Y244" s="20"/>
      <c r="Z244" s="20"/>
    </row>
    <row r="245" spans="3:26" ht="15" hidden="1" customHeight="1" x14ac:dyDescent="0.3">
      <c r="C245" s="20"/>
      <c r="D245" s="603">
        <v>192</v>
      </c>
      <c r="E245" s="609" t="e">
        <f ca="1">_xlfn.XLOOKUP(F245,Pareto!S:S,Pareto!T:T)</f>
        <v>#N/A</v>
      </c>
      <c r="F245" s="1759" t="e">
        <f ca="1">_xlfn.XLOOKUP(K245,Pareto!V:V,Pareto!S:S)</f>
        <v>#N/A</v>
      </c>
      <c r="G245" s="1760"/>
      <c r="H245" s="609" t="e">
        <f ca="1">_xlfn.XLOOKUP(F245,Pareto!S:S,Pareto!X:X)</f>
        <v>#N/A</v>
      </c>
      <c r="I245" s="609" t="e">
        <f ca="1">_xlfn.XLOOKUP('5 Unidades  +'!F245,Pareto!S:S,Pareto!Z:Z)</f>
        <v>#N/A</v>
      </c>
      <c r="J245" s="604" t="e">
        <f ca="1">_xlfn.XLOOKUP(F245,Pareto!S:S,Pareto!U:U)</f>
        <v>#N/A</v>
      </c>
      <c r="K245" s="604" t="str">
        <f ca="1">IFERROR(LARGE(Pareto!V:V,D245)," ")</f>
        <v xml:space="preserve"> </v>
      </c>
      <c r="L245" s="604" t="e">
        <f ca="1">_xlfn.XLOOKUP(F245,Pareto!S:S,Pareto!W:W)</f>
        <v>#N/A</v>
      </c>
      <c r="M245" s="605" t="e">
        <f t="shared" ca="1" si="3"/>
        <v>#N/A</v>
      </c>
      <c r="N245" s="20"/>
      <c r="O245" s="20"/>
      <c r="P245" s="20"/>
      <c r="Q245" s="20"/>
      <c r="R245" s="20"/>
      <c r="S245" s="20"/>
      <c r="T245" s="20"/>
      <c r="U245" s="20"/>
      <c r="V245" s="20"/>
      <c r="W245" s="20"/>
      <c r="X245" s="20"/>
      <c r="Y245" s="20"/>
      <c r="Z245" s="20"/>
    </row>
    <row r="246" spans="3:26" ht="15" hidden="1" customHeight="1" x14ac:dyDescent="0.3">
      <c r="C246" s="20"/>
      <c r="D246" s="600">
        <v>193</v>
      </c>
      <c r="E246" s="610" t="e">
        <f ca="1">_xlfn.XLOOKUP(F246,Pareto!S:S,Pareto!T:T)</f>
        <v>#N/A</v>
      </c>
      <c r="F246" s="1757" t="e">
        <f ca="1">_xlfn.XLOOKUP(K246,Pareto!V:V,Pareto!S:S)</f>
        <v>#N/A</v>
      </c>
      <c r="G246" s="1758"/>
      <c r="H246" s="608" t="e">
        <f ca="1">_xlfn.XLOOKUP(F246,Pareto!S:S,Pareto!X:X)</f>
        <v>#N/A</v>
      </c>
      <c r="I246" s="608" t="e">
        <f ca="1">_xlfn.XLOOKUP('5 Unidades  +'!F246,Pareto!S:S,Pareto!Z:Z)</f>
        <v>#N/A</v>
      </c>
      <c r="J246" s="601" t="e">
        <f ca="1">_xlfn.XLOOKUP(F246,Pareto!S:S,Pareto!U:U)</f>
        <v>#N/A</v>
      </c>
      <c r="K246" s="601" t="str">
        <f ca="1">IFERROR(LARGE(Pareto!V:V,D246)," ")</f>
        <v xml:space="preserve"> </v>
      </c>
      <c r="L246" s="601" t="e">
        <f ca="1">_xlfn.XLOOKUP(F246,Pareto!S:S,Pareto!W:W)</f>
        <v>#N/A</v>
      </c>
      <c r="M246" s="602" t="e">
        <f t="shared" ca="1" si="3"/>
        <v>#N/A</v>
      </c>
      <c r="N246" s="20"/>
      <c r="O246" s="20"/>
      <c r="P246" s="20"/>
      <c r="Q246" s="20"/>
      <c r="R246" s="20"/>
      <c r="S246" s="20"/>
      <c r="T246" s="20"/>
      <c r="U246" s="20"/>
      <c r="V246" s="20"/>
      <c r="W246" s="20"/>
      <c r="X246" s="20"/>
      <c r="Y246" s="20"/>
      <c r="Z246" s="20"/>
    </row>
    <row r="247" spans="3:26" ht="15" hidden="1" customHeight="1" x14ac:dyDescent="0.3">
      <c r="C247" s="20"/>
      <c r="D247" s="603">
        <v>194</v>
      </c>
      <c r="E247" s="609" t="e">
        <f ca="1">_xlfn.XLOOKUP(F247,Pareto!S:S,Pareto!T:T)</f>
        <v>#N/A</v>
      </c>
      <c r="F247" s="1759" t="e">
        <f ca="1">_xlfn.XLOOKUP(K247,Pareto!V:V,Pareto!S:S)</f>
        <v>#N/A</v>
      </c>
      <c r="G247" s="1760"/>
      <c r="H247" s="609" t="e">
        <f ca="1">_xlfn.XLOOKUP(F247,Pareto!S:S,Pareto!X:X)</f>
        <v>#N/A</v>
      </c>
      <c r="I247" s="609" t="e">
        <f ca="1">_xlfn.XLOOKUP('5 Unidades  +'!F247,Pareto!S:S,Pareto!Z:Z)</f>
        <v>#N/A</v>
      </c>
      <c r="J247" s="604" t="e">
        <f ca="1">_xlfn.XLOOKUP(F247,Pareto!S:S,Pareto!U:U)</f>
        <v>#N/A</v>
      </c>
      <c r="K247" s="604" t="str">
        <f ca="1">IFERROR(LARGE(Pareto!V:V,D247)," ")</f>
        <v xml:space="preserve"> </v>
      </c>
      <c r="L247" s="604" t="e">
        <f ca="1">_xlfn.XLOOKUP(F247,Pareto!S:S,Pareto!W:W)</f>
        <v>#N/A</v>
      </c>
      <c r="M247" s="605" t="e">
        <f t="shared" ca="1" si="3"/>
        <v>#N/A</v>
      </c>
      <c r="N247" s="20"/>
      <c r="O247" s="20"/>
      <c r="P247" s="20"/>
      <c r="Q247" s="20"/>
      <c r="R247" s="20"/>
      <c r="S247" s="20"/>
      <c r="T247" s="20"/>
      <c r="U247" s="20"/>
      <c r="V247" s="20"/>
      <c r="W247" s="20"/>
      <c r="X247" s="20"/>
      <c r="Y247" s="20"/>
      <c r="Z247" s="20"/>
    </row>
    <row r="248" spans="3:26" ht="15" hidden="1" customHeight="1" x14ac:dyDescent="0.3">
      <c r="C248" s="20"/>
      <c r="D248" s="600">
        <v>195</v>
      </c>
      <c r="E248" s="610" t="e">
        <f ca="1">_xlfn.XLOOKUP(F248,Pareto!S:S,Pareto!T:T)</f>
        <v>#N/A</v>
      </c>
      <c r="F248" s="1757" t="e">
        <f ca="1">_xlfn.XLOOKUP(K248,Pareto!V:V,Pareto!S:S)</f>
        <v>#N/A</v>
      </c>
      <c r="G248" s="1758"/>
      <c r="H248" s="608" t="e">
        <f ca="1">_xlfn.XLOOKUP(F248,Pareto!S:S,Pareto!X:X)</f>
        <v>#N/A</v>
      </c>
      <c r="I248" s="608" t="e">
        <f ca="1">_xlfn.XLOOKUP('5 Unidades  +'!F248,Pareto!S:S,Pareto!Z:Z)</f>
        <v>#N/A</v>
      </c>
      <c r="J248" s="601" t="e">
        <f ca="1">_xlfn.XLOOKUP(F248,Pareto!S:S,Pareto!U:U)</f>
        <v>#N/A</v>
      </c>
      <c r="K248" s="601" t="str">
        <f ca="1">IFERROR(LARGE(Pareto!V:V,D248)," ")</f>
        <v xml:space="preserve"> </v>
      </c>
      <c r="L248" s="601" t="e">
        <f ca="1">_xlfn.XLOOKUP(F248,Pareto!S:S,Pareto!W:W)</f>
        <v>#N/A</v>
      </c>
      <c r="M248" s="602" t="e">
        <f t="shared" ref="M248:M257" ca="1" si="4">IF(L248="",-K248,L248-K248)</f>
        <v>#N/A</v>
      </c>
      <c r="N248" s="20"/>
      <c r="O248" s="20"/>
      <c r="P248" s="20"/>
      <c r="Q248" s="20"/>
      <c r="R248" s="20"/>
      <c r="S248" s="20"/>
      <c r="T248" s="20"/>
      <c r="U248" s="20"/>
      <c r="V248" s="20"/>
      <c r="W248" s="20"/>
      <c r="X248" s="20"/>
      <c r="Y248" s="20"/>
      <c r="Z248" s="20"/>
    </row>
    <row r="249" spans="3:26" ht="15" hidden="1" customHeight="1" x14ac:dyDescent="0.3">
      <c r="C249" s="20"/>
      <c r="D249" s="603">
        <v>196</v>
      </c>
      <c r="E249" s="609" t="e">
        <f ca="1">_xlfn.XLOOKUP(F249,Pareto!S:S,Pareto!T:T)</f>
        <v>#N/A</v>
      </c>
      <c r="F249" s="1759" t="e">
        <f ca="1">_xlfn.XLOOKUP(K249,Pareto!V:V,Pareto!S:S)</f>
        <v>#N/A</v>
      </c>
      <c r="G249" s="1760"/>
      <c r="H249" s="609" t="e">
        <f ca="1">_xlfn.XLOOKUP(F249,Pareto!S:S,Pareto!X:X)</f>
        <v>#N/A</v>
      </c>
      <c r="I249" s="609" t="e">
        <f ca="1">_xlfn.XLOOKUP('5 Unidades  +'!F249,Pareto!S:S,Pareto!Z:Z)</f>
        <v>#N/A</v>
      </c>
      <c r="J249" s="604" t="e">
        <f ca="1">_xlfn.XLOOKUP(F249,Pareto!S:S,Pareto!U:U)</f>
        <v>#N/A</v>
      </c>
      <c r="K249" s="604" t="str">
        <f ca="1">IFERROR(LARGE(Pareto!V:V,D249)," ")</f>
        <v xml:space="preserve"> </v>
      </c>
      <c r="L249" s="604" t="e">
        <f ca="1">_xlfn.XLOOKUP(F249,Pareto!S:S,Pareto!W:W)</f>
        <v>#N/A</v>
      </c>
      <c r="M249" s="605" t="e">
        <f t="shared" ca="1" si="4"/>
        <v>#N/A</v>
      </c>
      <c r="N249" s="20"/>
      <c r="O249" s="20"/>
      <c r="P249" s="20"/>
      <c r="Q249" s="20"/>
      <c r="R249" s="20"/>
      <c r="S249" s="20"/>
      <c r="T249" s="20"/>
      <c r="U249" s="20"/>
      <c r="V249" s="20"/>
      <c r="W249" s="20"/>
      <c r="X249" s="20"/>
      <c r="Y249" s="20"/>
      <c r="Z249" s="20"/>
    </row>
    <row r="250" spans="3:26" ht="15" hidden="1" customHeight="1" x14ac:dyDescent="0.3">
      <c r="C250" s="20"/>
      <c r="D250" s="600">
        <v>197</v>
      </c>
      <c r="E250" s="610" t="e">
        <f ca="1">_xlfn.XLOOKUP(F250,Pareto!S:S,Pareto!T:T)</f>
        <v>#N/A</v>
      </c>
      <c r="F250" s="1757" t="e">
        <f ca="1">_xlfn.XLOOKUP(K250,Pareto!V:V,Pareto!S:S)</f>
        <v>#N/A</v>
      </c>
      <c r="G250" s="1758"/>
      <c r="H250" s="608" t="e">
        <f ca="1">_xlfn.XLOOKUP(F250,Pareto!S:S,Pareto!X:X)</f>
        <v>#N/A</v>
      </c>
      <c r="I250" s="608" t="e">
        <f ca="1">_xlfn.XLOOKUP('5 Unidades  +'!F250,Pareto!S:S,Pareto!Z:Z)</f>
        <v>#N/A</v>
      </c>
      <c r="J250" s="601" t="e">
        <f ca="1">_xlfn.XLOOKUP(F250,Pareto!S:S,Pareto!U:U)</f>
        <v>#N/A</v>
      </c>
      <c r="K250" s="601" t="str">
        <f ca="1">IFERROR(LARGE(Pareto!V:V,D250)," ")</f>
        <v xml:space="preserve"> </v>
      </c>
      <c r="L250" s="601" t="e">
        <f ca="1">_xlfn.XLOOKUP(F250,Pareto!S:S,Pareto!W:W)</f>
        <v>#N/A</v>
      </c>
      <c r="M250" s="602" t="e">
        <f t="shared" ca="1" si="4"/>
        <v>#N/A</v>
      </c>
      <c r="N250" s="20"/>
      <c r="O250" s="20"/>
      <c r="P250" s="20"/>
      <c r="Q250" s="20"/>
      <c r="R250" s="20"/>
      <c r="S250" s="20"/>
      <c r="T250" s="20"/>
      <c r="U250" s="20"/>
      <c r="V250" s="20"/>
      <c r="W250" s="20"/>
      <c r="X250" s="20"/>
      <c r="Y250" s="20"/>
      <c r="Z250" s="20"/>
    </row>
    <row r="251" spans="3:26" ht="15" hidden="1" customHeight="1" x14ac:dyDescent="0.3">
      <c r="C251" s="20"/>
      <c r="D251" s="603">
        <v>198</v>
      </c>
      <c r="E251" s="609" t="e">
        <f ca="1">_xlfn.XLOOKUP(F251,Pareto!S:S,Pareto!T:T)</f>
        <v>#N/A</v>
      </c>
      <c r="F251" s="1759" t="e">
        <f ca="1">_xlfn.XLOOKUP(K251,Pareto!V:V,Pareto!S:S)</f>
        <v>#N/A</v>
      </c>
      <c r="G251" s="1760"/>
      <c r="H251" s="609" t="e">
        <f ca="1">_xlfn.XLOOKUP(F251,Pareto!S:S,Pareto!X:X)</f>
        <v>#N/A</v>
      </c>
      <c r="I251" s="609" t="e">
        <f ca="1">_xlfn.XLOOKUP('5 Unidades  +'!F251,Pareto!S:S,Pareto!Z:Z)</f>
        <v>#N/A</v>
      </c>
      <c r="J251" s="604" t="e">
        <f ca="1">_xlfn.XLOOKUP(F251,Pareto!S:S,Pareto!U:U)</f>
        <v>#N/A</v>
      </c>
      <c r="K251" s="604" t="str">
        <f ca="1">IFERROR(LARGE(Pareto!V:V,D251)," ")</f>
        <v xml:space="preserve"> </v>
      </c>
      <c r="L251" s="604" t="e">
        <f ca="1">_xlfn.XLOOKUP(F251,Pareto!S:S,Pareto!W:W)</f>
        <v>#N/A</v>
      </c>
      <c r="M251" s="605" t="e">
        <f t="shared" ca="1" si="4"/>
        <v>#N/A</v>
      </c>
      <c r="N251" s="20"/>
      <c r="O251" s="20"/>
      <c r="P251" s="20"/>
      <c r="Q251" s="20"/>
      <c r="R251" s="20"/>
      <c r="S251" s="20"/>
      <c r="T251" s="20"/>
      <c r="U251" s="20"/>
      <c r="V251" s="20"/>
      <c r="W251" s="20"/>
      <c r="X251" s="20"/>
      <c r="Y251" s="20"/>
      <c r="Z251" s="20"/>
    </row>
    <row r="252" spans="3:26" ht="15" hidden="1" customHeight="1" x14ac:dyDescent="0.3">
      <c r="C252" s="20"/>
      <c r="D252" s="600">
        <v>199</v>
      </c>
      <c r="E252" s="610" t="e">
        <f ca="1">_xlfn.XLOOKUP(F252,Pareto!S:S,Pareto!T:T)</f>
        <v>#N/A</v>
      </c>
      <c r="F252" s="1757" t="e">
        <f ca="1">_xlfn.XLOOKUP(K252,Pareto!V:V,Pareto!S:S)</f>
        <v>#N/A</v>
      </c>
      <c r="G252" s="1758"/>
      <c r="H252" s="608" t="e">
        <f ca="1">_xlfn.XLOOKUP(F252,Pareto!S:S,Pareto!X:X)</f>
        <v>#N/A</v>
      </c>
      <c r="I252" s="608" t="e">
        <f ca="1">_xlfn.XLOOKUP('5 Unidades  +'!F252,Pareto!S:S,Pareto!Z:Z)</f>
        <v>#N/A</v>
      </c>
      <c r="J252" s="601" t="e">
        <f ca="1">_xlfn.XLOOKUP(F252,Pareto!S:S,Pareto!U:U)</f>
        <v>#N/A</v>
      </c>
      <c r="K252" s="601" t="str">
        <f ca="1">IFERROR(LARGE(Pareto!V:V,D252)," ")</f>
        <v xml:space="preserve"> </v>
      </c>
      <c r="L252" s="601" t="e">
        <f ca="1">_xlfn.XLOOKUP(F252,Pareto!S:S,Pareto!W:W)</f>
        <v>#N/A</v>
      </c>
      <c r="M252" s="602" t="e">
        <f t="shared" ca="1" si="4"/>
        <v>#N/A</v>
      </c>
      <c r="N252" s="20"/>
      <c r="O252" s="20"/>
      <c r="P252" s="20"/>
      <c r="Q252" s="20"/>
      <c r="R252" s="20"/>
      <c r="S252" s="20"/>
      <c r="T252" s="20"/>
      <c r="U252" s="20"/>
      <c r="V252" s="20"/>
      <c r="W252" s="20"/>
      <c r="X252" s="20"/>
      <c r="Y252" s="20"/>
      <c r="Z252" s="20"/>
    </row>
    <row r="253" spans="3:26" ht="15" hidden="1" customHeight="1" x14ac:dyDescent="0.3">
      <c r="C253" s="20"/>
      <c r="D253" s="603">
        <v>200</v>
      </c>
      <c r="E253" s="609" t="e">
        <f ca="1">_xlfn.XLOOKUP(F253,Pareto!S:S,Pareto!T:T)</f>
        <v>#N/A</v>
      </c>
      <c r="F253" s="1759" t="e">
        <f ca="1">_xlfn.XLOOKUP(K253,Pareto!V:V,Pareto!S:S)</f>
        <v>#N/A</v>
      </c>
      <c r="G253" s="1760"/>
      <c r="H253" s="609" t="e">
        <f ca="1">_xlfn.XLOOKUP(F253,Pareto!S:S,Pareto!X:X)</f>
        <v>#N/A</v>
      </c>
      <c r="I253" s="609" t="e">
        <f ca="1">_xlfn.XLOOKUP('5 Unidades  +'!F253,Pareto!S:S,Pareto!Z:Z)</f>
        <v>#N/A</v>
      </c>
      <c r="J253" s="604" t="e">
        <f ca="1">_xlfn.XLOOKUP(F253,Pareto!S:S,Pareto!U:U)</f>
        <v>#N/A</v>
      </c>
      <c r="K253" s="604" t="str">
        <f ca="1">IFERROR(LARGE(Pareto!V:V,D253)," ")</f>
        <v xml:space="preserve"> </v>
      </c>
      <c r="L253" s="604" t="e">
        <f ca="1">_xlfn.XLOOKUP(F253,Pareto!S:S,Pareto!W:W)</f>
        <v>#N/A</v>
      </c>
      <c r="M253" s="605" t="e">
        <f t="shared" ca="1" si="4"/>
        <v>#N/A</v>
      </c>
      <c r="N253" s="20"/>
      <c r="O253" s="20"/>
      <c r="P253" s="20"/>
      <c r="Q253" s="20"/>
      <c r="R253" s="20"/>
      <c r="S253" s="20"/>
      <c r="T253" s="20"/>
      <c r="U253" s="20"/>
      <c r="V253" s="20"/>
      <c r="W253" s="20"/>
      <c r="X253" s="20"/>
      <c r="Y253" s="20"/>
      <c r="Z253" s="20"/>
    </row>
    <row r="254" spans="3:26" ht="15" hidden="1" customHeight="1" x14ac:dyDescent="0.3">
      <c r="C254" s="20"/>
      <c r="D254" s="600">
        <v>201</v>
      </c>
      <c r="E254" s="610" t="e">
        <f ca="1">_xlfn.XLOOKUP(F254,Pareto!S:S,Pareto!T:T)</f>
        <v>#N/A</v>
      </c>
      <c r="F254" s="1757" t="e">
        <f ca="1">_xlfn.XLOOKUP(K254,Pareto!V:V,Pareto!S:S)</f>
        <v>#N/A</v>
      </c>
      <c r="G254" s="1758"/>
      <c r="H254" s="608" t="e">
        <f ca="1">_xlfn.XLOOKUP(F254,Pareto!S:S,Pareto!X:X)</f>
        <v>#N/A</v>
      </c>
      <c r="I254" s="608" t="e">
        <f ca="1">_xlfn.XLOOKUP('5 Unidades  +'!F254,Pareto!S:S,Pareto!Z:Z)</f>
        <v>#N/A</v>
      </c>
      <c r="J254" s="601" t="e">
        <f ca="1">_xlfn.XLOOKUP(F254,Pareto!S:S,Pareto!U:U)</f>
        <v>#N/A</v>
      </c>
      <c r="K254" s="601" t="str">
        <f ca="1">IFERROR(LARGE(Pareto!V:V,D254)," ")</f>
        <v xml:space="preserve"> </v>
      </c>
      <c r="L254" s="601" t="e">
        <f ca="1">_xlfn.XLOOKUP(F254,Pareto!S:S,Pareto!W:W)</f>
        <v>#N/A</v>
      </c>
      <c r="M254" s="602" t="e">
        <f t="shared" ca="1" si="4"/>
        <v>#N/A</v>
      </c>
      <c r="N254" s="20"/>
      <c r="O254" s="20"/>
      <c r="P254" s="20"/>
      <c r="Q254" s="20"/>
      <c r="R254" s="20"/>
      <c r="S254" s="20"/>
      <c r="T254" s="20"/>
      <c r="U254" s="20"/>
      <c r="V254" s="20"/>
      <c r="W254" s="20"/>
      <c r="X254" s="20"/>
      <c r="Y254" s="20"/>
      <c r="Z254" s="20"/>
    </row>
    <row r="255" spans="3:26" ht="15" hidden="1" customHeight="1" x14ac:dyDescent="0.3">
      <c r="C255" s="20"/>
      <c r="D255" s="603">
        <v>202</v>
      </c>
      <c r="E255" s="609" t="e">
        <f ca="1">_xlfn.XLOOKUP(F255,Pareto!S:S,Pareto!T:T)</f>
        <v>#N/A</v>
      </c>
      <c r="F255" s="1759" t="e">
        <f ca="1">_xlfn.XLOOKUP(K255,Pareto!V:V,Pareto!S:S)</f>
        <v>#N/A</v>
      </c>
      <c r="G255" s="1760"/>
      <c r="H255" s="609" t="e">
        <f ca="1">_xlfn.XLOOKUP(F255,Pareto!S:S,Pareto!X:X)</f>
        <v>#N/A</v>
      </c>
      <c r="I255" s="609" t="e">
        <f ca="1">_xlfn.XLOOKUP('5 Unidades  +'!F255,Pareto!S:S,Pareto!Z:Z)</f>
        <v>#N/A</v>
      </c>
      <c r="J255" s="604" t="e">
        <f ca="1">_xlfn.XLOOKUP(F255,Pareto!S:S,Pareto!U:U)</f>
        <v>#N/A</v>
      </c>
      <c r="K255" s="604" t="str">
        <f ca="1">IFERROR(LARGE(Pareto!V:V,D255)," ")</f>
        <v xml:space="preserve"> </v>
      </c>
      <c r="L255" s="604" t="e">
        <f ca="1">_xlfn.XLOOKUP(F255,Pareto!S:S,Pareto!W:W)</f>
        <v>#N/A</v>
      </c>
      <c r="M255" s="605" t="e">
        <f t="shared" ca="1" si="4"/>
        <v>#N/A</v>
      </c>
      <c r="N255" s="20"/>
      <c r="O255" s="20"/>
      <c r="P255" s="20"/>
      <c r="Q255" s="20"/>
      <c r="R255" s="20"/>
      <c r="S255" s="20"/>
      <c r="T255" s="20"/>
      <c r="U255" s="20"/>
      <c r="V255" s="20"/>
      <c r="W255" s="20"/>
      <c r="X255" s="20"/>
      <c r="Y255" s="20"/>
      <c r="Z255" s="20"/>
    </row>
    <row r="256" spans="3:26" ht="15" hidden="1" customHeight="1" x14ac:dyDescent="0.3">
      <c r="C256" s="20"/>
      <c r="D256" s="600">
        <v>203</v>
      </c>
      <c r="E256" s="610" t="e">
        <f ca="1">_xlfn.XLOOKUP(F256,Pareto!S:S,Pareto!T:T)</f>
        <v>#N/A</v>
      </c>
      <c r="F256" s="1757" t="e">
        <f ca="1">_xlfn.XLOOKUP(K256,Pareto!V:V,Pareto!S:S)</f>
        <v>#N/A</v>
      </c>
      <c r="G256" s="1758"/>
      <c r="H256" s="608" t="e">
        <f ca="1">_xlfn.XLOOKUP(F256,Pareto!S:S,Pareto!X:X)</f>
        <v>#N/A</v>
      </c>
      <c r="I256" s="608" t="e">
        <f ca="1">_xlfn.XLOOKUP('5 Unidades  +'!F256,Pareto!S:S,Pareto!Z:Z)</f>
        <v>#N/A</v>
      </c>
      <c r="J256" s="601" t="e">
        <f ca="1">_xlfn.XLOOKUP(F256,Pareto!S:S,Pareto!U:U)</f>
        <v>#N/A</v>
      </c>
      <c r="K256" s="601" t="str">
        <f ca="1">IFERROR(LARGE(Pareto!V:V,D256)," ")</f>
        <v xml:space="preserve"> </v>
      </c>
      <c r="L256" s="601" t="e">
        <f ca="1">_xlfn.XLOOKUP(F256,Pareto!S:S,Pareto!W:W)</f>
        <v>#N/A</v>
      </c>
      <c r="M256" s="602" t="e">
        <f t="shared" ca="1" si="4"/>
        <v>#N/A</v>
      </c>
      <c r="N256" s="20"/>
      <c r="O256" s="20"/>
      <c r="P256" s="20"/>
      <c r="Q256" s="20"/>
      <c r="R256" s="20"/>
      <c r="S256" s="20"/>
      <c r="T256" s="20"/>
      <c r="U256" s="20"/>
      <c r="V256" s="20"/>
      <c r="W256" s="20"/>
      <c r="X256" s="20"/>
      <c r="Y256" s="20"/>
      <c r="Z256" s="20"/>
    </row>
    <row r="257" spans="3:26" ht="15" hidden="1" customHeight="1" x14ac:dyDescent="0.3">
      <c r="C257" s="20"/>
      <c r="D257" s="603">
        <v>204</v>
      </c>
      <c r="E257" s="609" t="e">
        <f ca="1">_xlfn.XLOOKUP(F257,Pareto!S:S,Pareto!T:T)</f>
        <v>#N/A</v>
      </c>
      <c r="F257" s="1759" t="e">
        <f ca="1">_xlfn.XLOOKUP(K257,Pareto!V:V,Pareto!S:S)</f>
        <v>#N/A</v>
      </c>
      <c r="G257" s="1760"/>
      <c r="H257" s="609" t="e">
        <f ca="1">_xlfn.XLOOKUP(F257,Pareto!S:S,Pareto!X:X)</f>
        <v>#N/A</v>
      </c>
      <c r="I257" s="609" t="e">
        <f ca="1">_xlfn.XLOOKUP('5 Unidades  +'!F257,Pareto!S:S,Pareto!Z:Z)</f>
        <v>#N/A</v>
      </c>
      <c r="J257" s="604" t="e">
        <f ca="1">_xlfn.XLOOKUP(F257,Pareto!S:S,Pareto!U:U)</f>
        <v>#N/A</v>
      </c>
      <c r="K257" s="604" t="str">
        <f ca="1">IFERROR(LARGE(Pareto!V:V,D257)," ")</f>
        <v xml:space="preserve"> </v>
      </c>
      <c r="L257" s="604" t="e">
        <f ca="1">_xlfn.XLOOKUP(F257,Pareto!S:S,Pareto!W:W)</f>
        <v>#N/A</v>
      </c>
      <c r="M257" s="605" t="e">
        <f t="shared" ca="1" si="4"/>
        <v>#N/A</v>
      </c>
      <c r="N257" s="20"/>
      <c r="O257" s="20"/>
      <c r="P257" s="20"/>
      <c r="Q257" s="20"/>
      <c r="R257" s="20"/>
      <c r="S257" s="20"/>
      <c r="T257" s="20"/>
      <c r="U257" s="20"/>
      <c r="V257" s="20"/>
      <c r="W257" s="20"/>
      <c r="X257" s="20"/>
      <c r="Y257" s="20"/>
      <c r="Z257" s="20"/>
    </row>
    <row r="258" spans="3:26" ht="15" customHeight="1" x14ac:dyDescent="0.3">
      <c r="C258" s="20"/>
      <c r="D258" s="20"/>
      <c r="E258" s="20"/>
      <c r="F258" s="20"/>
      <c r="G258" s="20"/>
      <c r="H258" s="20"/>
      <c r="I258" s="20"/>
      <c r="J258" s="606">
        <f ca="1">SUBTOTAL(9,J53:J153)</f>
        <v>7286158.7958986759</v>
      </c>
      <c r="K258" s="606">
        <f ca="1">SUM(K54:K153)</f>
        <v>4219129.565377837</v>
      </c>
      <c r="L258" s="606" cm="1">
        <f t="array" aca="1" ref="L258" ca="1">SUM(IFERROR(L54:L153,0))</f>
        <v>3554549.1916693132</v>
      </c>
      <c r="M258" s="606">
        <f ca="1">L258-K258</f>
        <v>-664580.37370852381</v>
      </c>
      <c r="N258" s="20"/>
      <c r="O258" s="20"/>
      <c r="P258" s="20"/>
      <c r="Q258" s="20"/>
      <c r="R258" s="20"/>
      <c r="S258" s="20"/>
      <c r="T258" s="20"/>
      <c r="U258" s="20"/>
      <c r="V258" s="20"/>
      <c r="W258" s="20"/>
      <c r="X258" s="20"/>
      <c r="Y258" s="20"/>
      <c r="Z258" s="20"/>
    </row>
    <row r="259" spans="3:26" ht="15" customHeight="1" x14ac:dyDescent="0.3">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3:26" ht="15" customHeight="1" x14ac:dyDescent="0.3">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3:26" ht="15" customHeight="1" x14ac:dyDescent="0.3">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3:26" ht="15" customHeight="1" x14ac:dyDescent="0.3">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3:26" ht="15" customHeight="1" x14ac:dyDescent="0.3">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3:26" ht="15" customHeight="1" x14ac:dyDescent="0.3">
      <c r="C264" s="20"/>
      <c r="D264" s="20" t="s">
        <v>73</v>
      </c>
      <c r="E264" s="20" t="s">
        <v>106</v>
      </c>
      <c r="F264" s="20" t="s">
        <v>107</v>
      </c>
      <c r="G264" s="20"/>
      <c r="H264" s="20"/>
      <c r="I264" s="20"/>
      <c r="J264" s="20"/>
      <c r="K264" s="20"/>
      <c r="L264" s="20"/>
      <c r="M264" s="20"/>
      <c r="N264" s="20"/>
      <c r="O264" s="20"/>
      <c r="P264" s="20"/>
      <c r="Q264" s="20"/>
      <c r="R264" s="20"/>
      <c r="S264" s="20"/>
      <c r="T264" s="20"/>
      <c r="U264" s="20"/>
      <c r="V264" s="20"/>
      <c r="W264" s="20"/>
      <c r="X264" s="20"/>
      <c r="Y264" s="20"/>
      <c r="Z264" s="20"/>
    </row>
    <row r="265" spans="3:26" ht="15" customHeight="1" x14ac:dyDescent="0.3">
      <c r="C265" s="20"/>
      <c r="D265" s="20" t="s">
        <v>26</v>
      </c>
      <c r="E265" s="598">
        <f ca="1">SUMIF($E$54:$E$246,D265,$K$54:$K$246)</f>
        <v>1566100.6675</v>
      </c>
      <c r="F265" s="598">
        <f ca="1">SUMIF($E$54:$E$103,D265,$L$54:$L$246)</f>
        <v>597103.47075763997</v>
      </c>
      <c r="G265" s="20"/>
      <c r="H265" s="20"/>
      <c r="I265" s="20"/>
      <c r="J265" s="20"/>
      <c r="K265" s="20"/>
      <c r="L265" s="20"/>
      <c r="M265" s="20"/>
      <c r="N265" s="20"/>
      <c r="O265" s="20"/>
      <c r="P265" s="20"/>
      <c r="Q265" s="20"/>
      <c r="R265" s="20"/>
      <c r="S265" s="20"/>
      <c r="T265" s="20"/>
      <c r="U265" s="20"/>
      <c r="V265" s="20"/>
      <c r="W265" s="20"/>
      <c r="X265" s="20"/>
      <c r="Y265" s="20"/>
      <c r="Z265" s="20"/>
    </row>
    <row r="266" spans="3:26" ht="15" customHeight="1" x14ac:dyDescent="0.3">
      <c r="C266" s="20"/>
      <c r="D266" s="20" t="s">
        <v>22</v>
      </c>
      <c r="E266" s="598">
        <f ca="1">SUMIF($E$54:$E$246,D266,$K$54:$K$246)</f>
        <v>890026.80353535351</v>
      </c>
      <c r="F266" s="598">
        <f t="shared" ref="F266:F270" ca="1" si="5">SUMIF($E$54:$E$103,D266,$L$54:$L$246)</f>
        <v>1194100.1099999999</v>
      </c>
      <c r="G266" s="20"/>
      <c r="H266" s="20"/>
      <c r="I266" s="20"/>
      <c r="J266" s="20"/>
      <c r="K266" s="20"/>
      <c r="L266" s="20"/>
      <c r="M266" s="20"/>
      <c r="N266" s="20"/>
      <c r="O266" s="20"/>
      <c r="P266" s="20"/>
      <c r="Q266" s="20"/>
      <c r="R266" s="20"/>
      <c r="S266" s="20"/>
      <c r="T266" s="20"/>
      <c r="U266" s="20"/>
      <c r="V266" s="20"/>
      <c r="W266" s="20"/>
      <c r="X266" s="20"/>
      <c r="Y266" s="20"/>
      <c r="Z266" s="20"/>
    </row>
    <row r="267" spans="3:26" ht="15" customHeight="1" x14ac:dyDescent="0.3">
      <c r="C267" s="20"/>
      <c r="D267" s="20" t="s">
        <v>108</v>
      </c>
      <c r="E267" s="598">
        <f t="shared" ref="E266:E270" ca="1" si="6">SUMIF($E$54:$E$246,D267,$K$54:$K$246)</f>
        <v>670756.8942504205</v>
      </c>
      <c r="F267" s="598">
        <f t="shared" ca="1" si="5"/>
        <v>821498.26</v>
      </c>
      <c r="G267" s="20"/>
      <c r="H267" s="20"/>
      <c r="I267" s="20"/>
      <c r="J267" s="20"/>
      <c r="K267" s="20"/>
      <c r="L267" s="20"/>
      <c r="M267" s="20"/>
      <c r="N267" s="20"/>
      <c r="O267" s="20"/>
      <c r="P267" s="20"/>
      <c r="Q267" s="20"/>
      <c r="R267" s="20"/>
      <c r="S267" s="20"/>
      <c r="T267" s="20"/>
      <c r="U267" s="20"/>
      <c r="V267" s="20"/>
      <c r="W267" s="20"/>
      <c r="X267" s="20"/>
      <c r="Y267" s="20"/>
      <c r="Z267" s="20"/>
    </row>
    <row r="268" spans="3:26" ht="15" customHeight="1" x14ac:dyDescent="0.3">
      <c r="C268" s="20"/>
      <c r="D268" s="20" t="s">
        <v>21</v>
      </c>
      <c r="E268" s="598">
        <f t="shared" ca="1" si="6"/>
        <v>466575.81672337552</v>
      </c>
      <c r="F268" s="598">
        <f t="shared" ca="1" si="5"/>
        <v>386808.68688146869</v>
      </c>
      <c r="G268" s="20"/>
      <c r="H268" s="20"/>
      <c r="I268" s="20"/>
      <c r="J268" s="20"/>
      <c r="K268" s="20"/>
      <c r="L268" s="20"/>
      <c r="M268" s="20"/>
      <c r="N268" s="20"/>
      <c r="O268" s="20"/>
      <c r="P268" s="20"/>
      <c r="Q268" s="20"/>
      <c r="R268" s="20"/>
      <c r="S268" s="20"/>
      <c r="T268" s="20"/>
      <c r="U268" s="20"/>
      <c r="V268" s="20"/>
      <c r="W268" s="20"/>
      <c r="X268" s="20"/>
      <c r="Y268" s="20"/>
      <c r="Z268" s="20"/>
    </row>
    <row r="269" spans="3:26" ht="15" customHeight="1" x14ac:dyDescent="0.3">
      <c r="C269" s="20"/>
      <c r="D269" s="20" t="s">
        <v>25</v>
      </c>
      <c r="E269" s="598">
        <f t="shared" ca="1" si="6"/>
        <v>177113.98186868688</v>
      </c>
      <c r="F269" s="598">
        <f t="shared" ca="1" si="5"/>
        <v>144003.3141743305</v>
      </c>
      <c r="G269" s="20"/>
      <c r="H269" s="20"/>
      <c r="I269" s="20"/>
      <c r="J269" s="20"/>
      <c r="K269" s="20"/>
      <c r="L269" s="20"/>
      <c r="M269" s="20"/>
      <c r="N269" s="20"/>
      <c r="O269" s="20"/>
      <c r="P269" s="20"/>
      <c r="Q269" s="20"/>
      <c r="R269" s="20"/>
      <c r="S269" s="20"/>
      <c r="T269" s="20"/>
      <c r="U269" s="20"/>
      <c r="V269" s="20"/>
      <c r="W269" s="20"/>
      <c r="X269" s="20"/>
      <c r="Y269" s="20"/>
      <c r="Z269" s="20"/>
    </row>
    <row r="270" spans="3:26" ht="15" customHeight="1" x14ac:dyDescent="0.3">
      <c r="C270" s="20"/>
      <c r="D270" s="20" t="s">
        <v>24</v>
      </c>
      <c r="E270" s="598">
        <f t="shared" ca="1" si="6"/>
        <v>448555.40150000004</v>
      </c>
      <c r="F270" s="598">
        <f t="shared" ca="1" si="5"/>
        <v>390000</v>
      </c>
      <c r="G270" s="20"/>
      <c r="H270" s="20"/>
      <c r="I270" s="20"/>
      <c r="J270" s="20"/>
      <c r="K270" s="20"/>
      <c r="L270" s="20"/>
      <c r="M270" s="20"/>
      <c r="N270" s="20"/>
      <c r="O270" s="20"/>
      <c r="P270" s="20"/>
      <c r="Q270" s="20"/>
      <c r="R270" s="20"/>
      <c r="S270" s="20"/>
      <c r="T270" s="20"/>
      <c r="U270" s="20"/>
      <c r="V270" s="20"/>
      <c r="W270" s="20"/>
      <c r="X270" s="20"/>
      <c r="Y270" s="20"/>
      <c r="Z270" s="20"/>
    </row>
    <row r="271" spans="3:26" ht="15" customHeight="1" x14ac:dyDescent="0.3">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3:26" ht="15" customHeight="1" x14ac:dyDescent="0.3">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3:26" ht="15" customHeight="1" x14ac:dyDescent="0.3">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3:26" ht="15" customHeight="1" x14ac:dyDescent="0.3">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3:26" ht="15" customHeight="1" x14ac:dyDescent="0.3">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3:26" ht="15" customHeight="1" x14ac:dyDescent="0.3">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3:26" ht="15" customHeight="1" x14ac:dyDescent="0.3">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3:26" ht="15" customHeight="1" x14ac:dyDescent="0.3">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3:26" ht="15" customHeight="1" x14ac:dyDescent="0.3">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3:26" ht="15" customHeight="1" x14ac:dyDescent="0.3">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3:26" ht="15" customHeight="1" x14ac:dyDescent="0.3">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3:26" ht="15" customHeight="1" x14ac:dyDescent="0.3">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3:26" ht="15" customHeight="1" x14ac:dyDescent="0.3">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3:26" ht="15" customHeight="1" x14ac:dyDescent="0.3">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3:26" ht="15" customHeight="1" x14ac:dyDescent="0.3">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3:26" ht="15" customHeight="1" x14ac:dyDescent="0.3">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3:26" ht="15" customHeight="1" x14ac:dyDescent="0.3">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3:26" ht="15" customHeight="1" x14ac:dyDescent="0.3">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3:26" ht="15" customHeight="1" x14ac:dyDescent="0.3">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3:26" ht="15" customHeight="1" x14ac:dyDescent="0.3">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3:26" ht="15" customHeight="1" x14ac:dyDescent="0.3">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3:26" ht="15" customHeight="1" x14ac:dyDescent="0.3">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3:26" ht="15" customHeight="1" x14ac:dyDescent="0.3">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3:26" ht="15" customHeight="1" x14ac:dyDescent="0.3">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3:26" ht="15" customHeight="1" x14ac:dyDescent="0.3">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3:26" ht="15" customHeight="1" x14ac:dyDescent="0.3">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3:26" ht="15" customHeight="1" x14ac:dyDescent="0.3">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3:26" ht="15" customHeight="1" x14ac:dyDescent="0.3">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3:26" ht="15" customHeight="1" x14ac:dyDescent="0.3">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3:26" ht="15" customHeight="1" x14ac:dyDescent="0.3">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3:26" ht="15" customHeight="1" x14ac:dyDescent="0.3">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3:26" ht="15" customHeight="1" x14ac:dyDescent="0.3">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3:26" ht="15" customHeight="1" x14ac:dyDescent="0.3">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3:26" ht="15" customHeight="1" x14ac:dyDescent="0.3">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3:26" ht="15" customHeight="1" x14ac:dyDescent="0.3">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3:26" ht="15" customHeight="1" x14ac:dyDescent="0.3">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3:26" ht="15" customHeight="1" x14ac:dyDescent="0.3">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3:26" ht="15" customHeight="1" x14ac:dyDescent="0.3">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3:26" ht="15" customHeight="1" x14ac:dyDescent="0.3">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3:26" ht="15" customHeight="1" x14ac:dyDescent="0.3">
      <c r="D310" s="20"/>
      <c r="E310" s="20"/>
      <c r="F310" s="20"/>
      <c r="G310" s="20"/>
      <c r="H310" s="20"/>
      <c r="U310" s="20"/>
      <c r="V310" s="20"/>
      <c r="W310" s="20"/>
      <c r="X310" s="20"/>
      <c r="Y310" s="20"/>
      <c r="Z310" s="20"/>
    </row>
    <row r="311" spans="3:26" ht="15" customHeight="1" x14ac:dyDescent="0.3">
      <c r="U311" s="20"/>
      <c r="V311" s="20"/>
      <c r="W311" s="20"/>
      <c r="X311" s="20"/>
      <c r="Y311" s="20"/>
      <c r="Z311" s="20"/>
    </row>
    <row r="312" spans="3:26" ht="15" customHeight="1" x14ac:dyDescent="0.3">
      <c r="U312" s="20"/>
      <c r="V312" s="20"/>
      <c r="W312" s="20"/>
      <c r="X312" s="20"/>
      <c r="Y312" s="20"/>
      <c r="Z312" s="20"/>
    </row>
    <row r="313" spans="3:26" ht="15" customHeight="1" x14ac:dyDescent="0.3">
      <c r="U313" s="20"/>
      <c r="V313" s="20"/>
      <c r="W313" s="20"/>
      <c r="X313" s="20"/>
      <c r="Y313" s="20"/>
      <c r="Z313" s="20"/>
    </row>
    <row r="314" spans="3:26" ht="15" customHeight="1" x14ac:dyDescent="0.3">
      <c r="U314" s="20"/>
      <c r="V314" s="20"/>
      <c r="W314" s="20"/>
      <c r="X314" s="20"/>
      <c r="Y314" s="20"/>
      <c r="Z314" s="20"/>
    </row>
    <row r="315" spans="3:26" ht="15" customHeight="1" x14ac:dyDescent="0.3">
      <c r="U315" s="20"/>
      <c r="V315" s="20"/>
      <c r="W315" s="20"/>
      <c r="X315" s="20"/>
      <c r="Y315" s="20"/>
      <c r="Z315" s="20"/>
    </row>
    <row r="316" spans="3:26" ht="15" customHeight="1" x14ac:dyDescent="0.3">
      <c r="U316" s="20"/>
      <c r="V316" s="20"/>
      <c r="W316" s="20"/>
      <c r="X316" s="20"/>
      <c r="Y316" s="20"/>
      <c r="Z316" s="20"/>
    </row>
    <row r="317" spans="3:26" ht="15" customHeight="1" x14ac:dyDescent="0.3">
      <c r="U317" s="20"/>
      <c r="V317" s="20"/>
      <c r="W317" s="20"/>
      <c r="X317" s="20"/>
      <c r="Y317" s="20"/>
      <c r="Z317" s="20"/>
    </row>
    <row r="318" spans="3:26" ht="15" customHeight="1" x14ac:dyDescent="0.3">
      <c r="U318" s="20"/>
      <c r="V318" s="20"/>
      <c r="W318" s="20"/>
      <c r="X318" s="20"/>
      <c r="Y318" s="20"/>
      <c r="Z318" s="20"/>
    </row>
    <row r="319" spans="3:26" ht="15" customHeight="1" x14ac:dyDescent="0.3">
      <c r="U319" s="20"/>
      <c r="V319" s="20"/>
      <c r="W319" s="20"/>
      <c r="X319" s="20"/>
      <c r="Y319" s="20"/>
      <c r="Z319" s="20"/>
    </row>
    <row r="320" spans="3:26" ht="15" customHeight="1" x14ac:dyDescent="0.3">
      <c r="U320" s="20"/>
      <c r="V320" s="20"/>
      <c r="W320" s="20"/>
      <c r="X320" s="20"/>
      <c r="Y320" s="20"/>
      <c r="Z320" s="20"/>
    </row>
    <row r="321" spans="21:26" ht="15" customHeight="1" x14ac:dyDescent="0.3">
      <c r="U321" s="20"/>
      <c r="V321" s="20"/>
      <c r="W321" s="20"/>
      <c r="X321" s="20"/>
      <c r="Y321" s="20"/>
      <c r="Z321" s="20"/>
    </row>
    <row r="322" spans="21:26" ht="15" customHeight="1" x14ac:dyDescent="0.3">
      <c r="U322" s="20"/>
      <c r="V322" s="20"/>
      <c r="W322" s="20"/>
      <c r="X322" s="20"/>
      <c r="Y322" s="20"/>
      <c r="Z322" s="20"/>
    </row>
    <row r="323" spans="21:26" ht="15" customHeight="1" x14ac:dyDescent="0.3">
      <c r="U323" s="20"/>
      <c r="V323" s="20"/>
      <c r="W323" s="20"/>
      <c r="X323" s="20"/>
      <c r="Y323" s="20"/>
      <c r="Z323" s="20"/>
    </row>
    <row r="324" spans="21:26" ht="15" customHeight="1" x14ac:dyDescent="0.3">
      <c r="U324" s="20"/>
      <c r="V324" s="20"/>
      <c r="W324" s="20"/>
      <c r="X324" s="20"/>
      <c r="Y324" s="20"/>
      <c r="Z324" s="20"/>
    </row>
    <row r="325" spans="21:26" ht="15" customHeight="1" x14ac:dyDescent="0.3">
      <c r="U325" s="20"/>
      <c r="V325" s="20"/>
      <c r="W325" s="20"/>
      <c r="X325" s="20"/>
      <c r="Y325" s="20"/>
      <c r="Z325" s="20"/>
    </row>
    <row r="326" spans="21:26" ht="15" customHeight="1" x14ac:dyDescent="0.3">
      <c r="U326" s="20"/>
      <c r="V326" s="20"/>
      <c r="W326" s="20"/>
      <c r="X326" s="20"/>
      <c r="Y326" s="20"/>
      <c r="Z326" s="20"/>
    </row>
    <row r="327" spans="21:26" ht="15" customHeight="1" x14ac:dyDescent="0.3">
      <c r="U327" s="20"/>
      <c r="V327" s="20"/>
      <c r="W327" s="20"/>
      <c r="X327" s="20"/>
      <c r="Y327" s="20"/>
      <c r="Z327" s="20"/>
    </row>
    <row r="328" spans="21:26" ht="15" customHeight="1" x14ac:dyDescent="0.3">
      <c r="U328" s="20"/>
      <c r="V328" s="20"/>
      <c r="W328" s="20"/>
      <c r="X328" s="20"/>
      <c r="Y328" s="20"/>
      <c r="Z328" s="20"/>
    </row>
    <row r="329" spans="21:26" ht="15" customHeight="1" x14ac:dyDescent="0.3">
      <c r="U329" s="20"/>
      <c r="V329" s="20"/>
      <c r="W329" s="20"/>
      <c r="X329" s="20"/>
      <c r="Y329" s="20"/>
      <c r="Z329" s="20"/>
    </row>
    <row r="330" spans="21:26" ht="15" customHeight="1" x14ac:dyDescent="0.3">
      <c r="U330" s="20"/>
      <c r="V330" s="20"/>
      <c r="W330" s="20"/>
      <c r="X330" s="20"/>
      <c r="Y330" s="20"/>
      <c r="Z330" s="20"/>
    </row>
    <row r="331" spans="21:26" ht="15" customHeight="1" x14ac:dyDescent="0.3">
      <c r="U331" s="20"/>
      <c r="V331" s="20"/>
      <c r="W331" s="20"/>
      <c r="X331" s="20"/>
      <c r="Y331" s="20"/>
      <c r="Z331" s="20"/>
    </row>
    <row r="332" spans="21:26" ht="15" customHeight="1" x14ac:dyDescent="0.3">
      <c r="U332" s="20"/>
      <c r="V332" s="20"/>
      <c r="W332" s="20"/>
      <c r="X332" s="20"/>
      <c r="Y332" s="20"/>
      <c r="Z332" s="20"/>
    </row>
    <row r="333" spans="21:26" ht="15" customHeight="1" x14ac:dyDescent="0.3">
      <c r="U333" s="20"/>
      <c r="V333" s="20"/>
      <c r="W333" s="20"/>
      <c r="X333" s="20"/>
      <c r="Y333" s="20"/>
      <c r="Z333" s="20"/>
    </row>
    <row r="334" spans="21:26" ht="15" customHeight="1" x14ac:dyDescent="0.3">
      <c r="U334" s="20"/>
      <c r="V334" s="20"/>
      <c r="W334" s="20"/>
      <c r="X334" s="20"/>
      <c r="Y334" s="20"/>
      <c r="Z334" s="20"/>
    </row>
    <row r="335" spans="21:26" ht="15" customHeight="1" x14ac:dyDescent="0.3">
      <c r="U335" s="20"/>
      <c r="V335" s="20"/>
      <c r="W335" s="20"/>
      <c r="X335" s="20"/>
      <c r="Y335" s="20"/>
      <c r="Z335" s="20"/>
    </row>
    <row r="336" spans="21:26" ht="15" customHeight="1" x14ac:dyDescent="0.3">
      <c r="U336" s="20"/>
      <c r="V336" s="20"/>
      <c r="W336" s="20"/>
      <c r="X336" s="20"/>
      <c r="Y336" s="20"/>
      <c r="Z336" s="20"/>
    </row>
    <row r="337" spans="21:26" ht="15" customHeight="1" x14ac:dyDescent="0.3">
      <c r="U337" s="20"/>
      <c r="V337" s="20"/>
      <c r="W337" s="20"/>
      <c r="X337" s="20"/>
      <c r="Y337" s="20"/>
      <c r="Z337" s="20"/>
    </row>
    <row r="338" spans="21:26" ht="15" customHeight="1" x14ac:dyDescent="0.3">
      <c r="U338" s="20"/>
      <c r="V338" s="20"/>
      <c r="W338" s="20"/>
      <c r="X338" s="20"/>
      <c r="Y338" s="20"/>
      <c r="Z338" s="20"/>
    </row>
    <row r="339" spans="21:26" ht="15" customHeight="1" x14ac:dyDescent="0.3">
      <c r="U339" s="20"/>
      <c r="V339" s="20"/>
      <c r="W339" s="20"/>
      <c r="X339" s="20"/>
      <c r="Y339" s="20"/>
      <c r="Z339" s="20"/>
    </row>
    <row r="340" spans="21:26" ht="15" customHeight="1" x14ac:dyDescent="0.3">
      <c r="U340" s="20"/>
      <c r="V340" s="20"/>
      <c r="W340" s="20"/>
      <c r="X340" s="20"/>
      <c r="Y340" s="20"/>
      <c r="Z340" s="20"/>
    </row>
    <row r="341" spans="21:26" ht="15" customHeight="1" x14ac:dyDescent="0.3">
      <c r="U341" s="20"/>
      <c r="V341" s="20"/>
      <c r="W341" s="20"/>
      <c r="X341" s="20"/>
      <c r="Y341" s="20"/>
      <c r="Z341" s="20"/>
    </row>
    <row r="342" spans="21:26" ht="15" customHeight="1" x14ac:dyDescent="0.3">
      <c r="U342" s="20"/>
      <c r="V342" s="20"/>
      <c r="W342" s="20"/>
      <c r="X342" s="20"/>
      <c r="Y342" s="20"/>
      <c r="Z342" s="20"/>
    </row>
    <row r="343" spans="21:26" ht="15" customHeight="1" x14ac:dyDescent="0.3">
      <c r="U343" s="20"/>
      <c r="V343" s="20"/>
      <c r="W343" s="20"/>
      <c r="X343" s="20"/>
      <c r="Y343" s="20"/>
      <c r="Z343" s="20"/>
    </row>
    <row r="344" spans="21:26" ht="15" customHeight="1" x14ac:dyDescent="0.3">
      <c r="U344" s="20"/>
      <c r="V344" s="20"/>
      <c r="W344" s="20"/>
      <c r="X344" s="20"/>
      <c r="Y344" s="20"/>
      <c r="Z344" s="20"/>
    </row>
    <row r="345" spans="21:26" ht="15" customHeight="1" x14ac:dyDescent="0.3">
      <c r="U345" s="20"/>
      <c r="V345" s="20"/>
      <c r="W345" s="20"/>
      <c r="X345" s="20"/>
      <c r="Y345" s="20"/>
      <c r="Z345" s="20"/>
    </row>
    <row r="346" spans="21:26" ht="15" customHeight="1" x14ac:dyDescent="0.3">
      <c r="U346" s="20"/>
      <c r="V346" s="20"/>
      <c r="W346" s="20"/>
      <c r="X346" s="20"/>
      <c r="Y346" s="20"/>
      <c r="Z346" s="20"/>
    </row>
    <row r="347" spans="21:26" ht="15" customHeight="1" x14ac:dyDescent="0.3">
      <c r="U347" s="20"/>
      <c r="V347" s="20"/>
      <c r="W347" s="20"/>
      <c r="X347" s="20"/>
      <c r="Y347" s="20"/>
      <c r="Z347" s="20"/>
    </row>
    <row r="348" spans="21:26" ht="15" customHeight="1" x14ac:dyDescent="0.3">
      <c r="U348" s="20"/>
      <c r="V348" s="20"/>
      <c r="W348" s="20"/>
      <c r="X348" s="20"/>
      <c r="Y348" s="20"/>
      <c r="Z348" s="20"/>
    </row>
    <row r="349" spans="21:26" ht="15" customHeight="1" x14ac:dyDescent="0.3">
      <c r="U349" s="20"/>
      <c r="V349" s="20"/>
      <c r="W349" s="20"/>
      <c r="X349" s="20"/>
      <c r="Y349" s="20"/>
      <c r="Z349" s="20"/>
    </row>
    <row r="350" spans="21:26" ht="15" customHeight="1" x14ac:dyDescent="0.3">
      <c r="U350" s="20"/>
      <c r="V350" s="20"/>
      <c r="W350" s="20"/>
      <c r="X350" s="20"/>
      <c r="Y350" s="20"/>
      <c r="Z350" s="20"/>
    </row>
    <row r="351" spans="21:26" ht="15" customHeight="1" x14ac:dyDescent="0.3">
      <c r="U351" s="20"/>
      <c r="V351" s="20"/>
      <c r="W351" s="20"/>
      <c r="X351" s="20"/>
      <c r="Y351" s="20"/>
      <c r="Z351" s="20"/>
    </row>
    <row r="352" spans="21:26" ht="15" customHeight="1" x14ac:dyDescent="0.3">
      <c r="U352" s="20"/>
      <c r="V352" s="20"/>
      <c r="W352" s="20"/>
      <c r="X352" s="20"/>
      <c r="Y352" s="20"/>
      <c r="Z352" s="20"/>
    </row>
    <row r="353" spans="21:26" ht="15" customHeight="1" x14ac:dyDescent="0.3">
      <c r="U353" s="20"/>
      <c r="V353" s="20"/>
      <c r="W353" s="20"/>
      <c r="X353" s="20"/>
      <c r="Y353" s="20"/>
      <c r="Z353" s="20"/>
    </row>
    <row r="354" spans="21:26" ht="15" customHeight="1" x14ac:dyDescent="0.3">
      <c r="U354" s="20"/>
      <c r="V354" s="20"/>
      <c r="W354" s="20"/>
      <c r="X354" s="20"/>
      <c r="Y354" s="20"/>
      <c r="Z354" s="20"/>
    </row>
    <row r="355" spans="21:26" ht="15" customHeight="1" x14ac:dyDescent="0.3">
      <c r="U355" s="20"/>
      <c r="V355" s="20"/>
      <c r="W355" s="20"/>
      <c r="X355" s="20"/>
      <c r="Y355" s="20"/>
      <c r="Z355" s="20"/>
    </row>
    <row r="356" spans="21:26" ht="15" customHeight="1" x14ac:dyDescent="0.3">
      <c r="U356" s="20"/>
      <c r="V356" s="20"/>
      <c r="W356" s="20"/>
      <c r="X356" s="20"/>
      <c r="Y356" s="20"/>
      <c r="Z356" s="20"/>
    </row>
  </sheetData>
  <sheetProtection selectLockedCells="1" selectUnlockedCells="1"/>
  <autoFilter ref="D53:M257" xr:uid="{2118386B-FF62-4363-8709-53270BF3324E}">
    <filterColumn colId="2" showButton="0"/>
    <filterColumn colId="4">
      <filters>
        <filter val="⏳ Em Execução"/>
        <filter val="✓ Concluído"/>
      </filters>
    </filterColumn>
  </autoFilter>
  <sortState xmlns:xlrd2="http://schemas.microsoft.com/office/spreadsheetml/2017/richdata2" ref="D265:F270">
    <sortCondition descending="1" ref="F264:F270"/>
  </sortState>
  <mergeCells count="232">
    <mergeCell ref="F254:G254"/>
    <mergeCell ref="F255:G255"/>
    <mergeCell ref="F256:G256"/>
    <mergeCell ref="F257:G257"/>
    <mergeCell ref="F249:G249"/>
    <mergeCell ref="F250:G250"/>
    <mergeCell ref="F251:G251"/>
    <mergeCell ref="F252:G252"/>
    <mergeCell ref="F253:G253"/>
    <mergeCell ref="F244:G244"/>
    <mergeCell ref="F245:G245"/>
    <mergeCell ref="F246:G246"/>
    <mergeCell ref="F247:G247"/>
    <mergeCell ref="F248:G248"/>
    <mergeCell ref="F239:G239"/>
    <mergeCell ref="F240:G240"/>
    <mergeCell ref="F241:G241"/>
    <mergeCell ref="F242:G242"/>
    <mergeCell ref="F243:G243"/>
    <mergeCell ref="F234:G234"/>
    <mergeCell ref="F235:G235"/>
    <mergeCell ref="F236:G236"/>
    <mergeCell ref="F237:G237"/>
    <mergeCell ref="F238:G238"/>
    <mergeCell ref="F229:G229"/>
    <mergeCell ref="F230:G230"/>
    <mergeCell ref="F231:G231"/>
    <mergeCell ref="F232:G232"/>
    <mergeCell ref="F233:G233"/>
    <mergeCell ref="F224:G224"/>
    <mergeCell ref="F225:G225"/>
    <mergeCell ref="F226:G226"/>
    <mergeCell ref="F227:G227"/>
    <mergeCell ref="F228:G228"/>
    <mergeCell ref="F219:G219"/>
    <mergeCell ref="F220:G220"/>
    <mergeCell ref="F221:G221"/>
    <mergeCell ref="F222:G222"/>
    <mergeCell ref="F223:G223"/>
    <mergeCell ref="F214:G214"/>
    <mergeCell ref="F215:G215"/>
    <mergeCell ref="F216:G216"/>
    <mergeCell ref="F217:G217"/>
    <mergeCell ref="F218:G218"/>
    <mergeCell ref="F209:G209"/>
    <mergeCell ref="F210:G210"/>
    <mergeCell ref="F211:G211"/>
    <mergeCell ref="F212:G212"/>
    <mergeCell ref="F213:G213"/>
    <mergeCell ref="F204:G204"/>
    <mergeCell ref="F205:G205"/>
    <mergeCell ref="F206:G206"/>
    <mergeCell ref="F207:G207"/>
    <mergeCell ref="F208:G208"/>
    <mergeCell ref="F199:G199"/>
    <mergeCell ref="F200:G200"/>
    <mergeCell ref="F201:G201"/>
    <mergeCell ref="F202:G202"/>
    <mergeCell ref="F203:G203"/>
    <mergeCell ref="F194:G194"/>
    <mergeCell ref="F195:G195"/>
    <mergeCell ref="F196:G196"/>
    <mergeCell ref="F197:G197"/>
    <mergeCell ref="F198:G198"/>
    <mergeCell ref="F189:G189"/>
    <mergeCell ref="F190:G190"/>
    <mergeCell ref="F191:G191"/>
    <mergeCell ref="F192:G192"/>
    <mergeCell ref="F193:G193"/>
    <mergeCell ref="F184:G184"/>
    <mergeCell ref="F185:G185"/>
    <mergeCell ref="F186:G186"/>
    <mergeCell ref="F187:G187"/>
    <mergeCell ref="F188:G188"/>
    <mergeCell ref="F179:G179"/>
    <mergeCell ref="F180:G180"/>
    <mergeCell ref="F181:G181"/>
    <mergeCell ref="F182:G182"/>
    <mergeCell ref="F183:G183"/>
    <mergeCell ref="F174:G174"/>
    <mergeCell ref="F175:G175"/>
    <mergeCell ref="F176:G176"/>
    <mergeCell ref="F177:G177"/>
    <mergeCell ref="F178:G178"/>
    <mergeCell ref="F169:G169"/>
    <mergeCell ref="F170:G170"/>
    <mergeCell ref="F171:G171"/>
    <mergeCell ref="F172:G172"/>
    <mergeCell ref="F173:G173"/>
    <mergeCell ref="F164:G164"/>
    <mergeCell ref="F165:G165"/>
    <mergeCell ref="F166:G166"/>
    <mergeCell ref="F167:G167"/>
    <mergeCell ref="F168:G168"/>
    <mergeCell ref="F159:G159"/>
    <mergeCell ref="F160:G160"/>
    <mergeCell ref="F161:G161"/>
    <mergeCell ref="F162:G162"/>
    <mergeCell ref="F163:G163"/>
    <mergeCell ref="F154:G154"/>
    <mergeCell ref="F155:G155"/>
    <mergeCell ref="F156:G156"/>
    <mergeCell ref="F157:G157"/>
    <mergeCell ref="F158:G158"/>
    <mergeCell ref="F149:G149"/>
    <mergeCell ref="F150:G150"/>
    <mergeCell ref="F151:G151"/>
    <mergeCell ref="F152:G152"/>
    <mergeCell ref="F153:G153"/>
    <mergeCell ref="F144:G144"/>
    <mergeCell ref="F145:G145"/>
    <mergeCell ref="F146:G146"/>
    <mergeCell ref="F147:G147"/>
    <mergeCell ref="F148:G148"/>
    <mergeCell ref="F139:G139"/>
    <mergeCell ref="F140:G140"/>
    <mergeCell ref="F141:G141"/>
    <mergeCell ref="F142:G142"/>
    <mergeCell ref="F143:G143"/>
    <mergeCell ref="F134:G134"/>
    <mergeCell ref="F135:G135"/>
    <mergeCell ref="F136:G136"/>
    <mergeCell ref="F137:G137"/>
    <mergeCell ref="F138:G138"/>
    <mergeCell ref="F129:G129"/>
    <mergeCell ref="F130:G130"/>
    <mergeCell ref="F131:G131"/>
    <mergeCell ref="F132:G132"/>
    <mergeCell ref="F133:G133"/>
    <mergeCell ref="F124:G124"/>
    <mergeCell ref="F125:G125"/>
    <mergeCell ref="F126:G126"/>
    <mergeCell ref="F127:G127"/>
    <mergeCell ref="F128:G128"/>
    <mergeCell ref="F119:G119"/>
    <mergeCell ref="F120:G120"/>
    <mergeCell ref="F121:G121"/>
    <mergeCell ref="F122:G122"/>
    <mergeCell ref="F123:G123"/>
    <mergeCell ref="F114:G114"/>
    <mergeCell ref="F115:G115"/>
    <mergeCell ref="F116:G116"/>
    <mergeCell ref="F117:G117"/>
    <mergeCell ref="F118:G118"/>
    <mergeCell ref="F109:G109"/>
    <mergeCell ref="F110:G110"/>
    <mergeCell ref="F111:G111"/>
    <mergeCell ref="F112:G112"/>
    <mergeCell ref="F113:G113"/>
    <mergeCell ref="F104:G104"/>
    <mergeCell ref="F105:G105"/>
    <mergeCell ref="F106:G106"/>
    <mergeCell ref="F107:G107"/>
    <mergeCell ref="F108:G108"/>
    <mergeCell ref="F99:G99"/>
    <mergeCell ref="F100:G100"/>
    <mergeCell ref="F101:G101"/>
    <mergeCell ref="F102:G102"/>
    <mergeCell ref="F103:G103"/>
    <mergeCell ref="F94:G94"/>
    <mergeCell ref="F95:G95"/>
    <mergeCell ref="F96:G96"/>
    <mergeCell ref="F97:G97"/>
    <mergeCell ref="F98:G98"/>
    <mergeCell ref="F89:G89"/>
    <mergeCell ref="F90:G90"/>
    <mergeCell ref="F91:G91"/>
    <mergeCell ref="F92:G92"/>
    <mergeCell ref="F93:G93"/>
    <mergeCell ref="F84:G84"/>
    <mergeCell ref="F85:G85"/>
    <mergeCell ref="F86:G86"/>
    <mergeCell ref="F87:G87"/>
    <mergeCell ref="F88:G88"/>
    <mergeCell ref="F79:G79"/>
    <mergeCell ref="F80:G80"/>
    <mergeCell ref="F81:G81"/>
    <mergeCell ref="F82:G82"/>
    <mergeCell ref="F83:G83"/>
    <mergeCell ref="F74:G74"/>
    <mergeCell ref="F75:G75"/>
    <mergeCell ref="F76:G76"/>
    <mergeCell ref="F77:G77"/>
    <mergeCell ref="F78:G78"/>
    <mergeCell ref="F69:G69"/>
    <mergeCell ref="F70:G70"/>
    <mergeCell ref="F71:G71"/>
    <mergeCell ref="F72:G72"/>
    <mergeCell ref="F73:G73"/>
    <mergeCell ref="F64:G64"/>
    <mergeCell ref="F65:G65"/>
    <mergeCell ref="F66:G66"/>
    <mergeCell ref="F67:G67"/>
    <mergeCell ref="F68:G68"/>
    <mergeCell ref="F59:G59"/>
    <mergeCell ref="F60:G60"/>
    <mergeCell ref="F61:G61"/>
    <mergeCell ref="F62:G62"/>
    <mergeCell ref="F63:G63"/>
    <mergeCell ref="F54:G54"/>
    <mergeCell ref="F55:G55"/>
    <mergeCell ref="F56:G56"/>
    <mergeCell ref="F57:G57"/>
    <mergeCell ref="F58:G58"/>
    <mergeCell ref="F53:G53"/>
    <mergeCell ref="D3:R3"/>
    <mergeCell ref="D4:S4"/>
    <mergeCell ref="D6:E6"/>
    <mergeCell ref="H6:I6"/>
    <mergeCell ref="J6:K6"/>
    <mergeCell ref="L6:M6"/>
    <mergeCell ref="N6:O6"/>
    <mergeCell ref="P6:S6"/>
    <mergeCell ref="M12:M13"/>
    <mergeCell ref="L12:L13"/>
    <mergeCell ref="L11:O11"/>
    <mergeCell ref="I11:K11"/>
    <mergeCell ref="L14:L16"/>
    <mergeCell ref="M14:M16"/>
    <mergeCell ref="N14:O16"/>
    <mergeCell ref="N12:O13"/>
    <mergeCell ref="N7:O9"/>
    <mergeCell ref="Q7:R7"/>
    <mergeCell ref="Q8:R8"/>
    <mergeCell ref="Q9:R9"/>
    <mergeCell ref="P11:R11"/>
    <mergeCell ref="D7:E9"/>
    <mergeCell ref="H7:I9"/>
    <mergeCell ref="J7:K9"/>
    <mergeCell ref="L7:M9"/>
    <mergeCell ref="F7:F9"/>
    <mergeCell ref="G7:G9"/>
  </mergeCells>
  <conditionalFormatting sqref="E29:I31">
    <cfRule type="aboveAverage" dxfId="135" priority="7"/>
  </conditionalFormatting>
  <conditionalFormatting sqref="E23:L24">
    <cfRule type="aboveAverage" dxfId="134" priority="15"/>
  </conditionalFormatting>
  <conditionalFormatting sqref="E26:L26">
    <cfRule type="cellIs" dxfId="133" priority="3" operator="lessThanOrEqual">
      <formula>-0.1</formula>
    </cfRule>
  </conditionalFormatting>
  <conditionalFormatting sqref="E26:L28">
    <cfRule type="aboveAverage" dxfId="132" priority="16"/>
  </conditionalFormatting>
  <conditionalFormatting sqref="M54:M257">
    <cfRule type="cellIs" dxfId="1" priority="1" operator="greaterThanOrEqual">
      <formula>1</formula>
    </cfRule>
    <cfRule type="cellIs" dxfId="0" priority="2" operator="less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 id="{8475071C-2C2E-4AA8-8C1A-2309C499E572}">
            <x14:iconSet iconSet="3Stars">
              <x14:cfvo type="percent">
                <xm:f>0</xm:f>
              </x14:cfvo>
              <x14:cfvo type="percent">
                <xm:f>33</xm:f>
              </x14:cfvo>
              <x14:cfvo type="percent">
                <xm:f>67</xm:f>
              </x14:cfvo>
            </x14:iconSet>
          </x14:cfRule>
          <xm:sqref>P7:P9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390"/>
  <sheetViews>
    <sheetView topLeftCell="A28" zoomScale="70" zoomScaleNormal="70" workbookViewId="0">
      <selection activeCell="G5" sqref="G5:I5"/>
    </sheetView>
  </sheetViews>
  <sheetFormatPr defaultColWidth="8.5546875" defaultRowHeight="14.4" x14ac:dyDescent="0.3"/>
  <cols>
    <col min="1" max="1" width="21.21875" style="62" customWidth="1"/>
    <col min="2" max="2" width="31.21875" style="62" customWidth="1"/>
    <col min="3" max="3" width="33.44140625" style="62" customWidth="1"/>
    <col min="4" max="4" width="42.5546875" style="62" customWidth="1"/>
    <col min="5" max="5" width="30.21875" style="62" customWidth="1"/>
    <col min="6" max="6" width="24.44140625" style="62" customWidth="1"/>
    <col min="7" max="7" width="17.5546875" style="62" customWidth="1"/>
    <col min="8" max="8" width="39.44140625" style="62" customWidth="1"/>
    <col min="9" max="9" width="25.5546875" style="62" bestFit="1" customWidth="1"/>
    <col min="10" max="10" width="19.44140625" style="62" bestFit="1" customWidth="1"/>
    <col min="11" max="11" width="26.44140625" style="62" customWidth="1"/>
    <col min="12" max="12" width="24.44140625" style="62" bestFit="1" customWidth="1"/>
    <col min="13" max="13" width="21.5546875" style="62" customWidth="1"/>
    <col min="14" max="14" width="20.77734375" style="62" bestFit="1" customWidth="1"/>
    <col min="15" max="15" width="28" style="62" customWidth="1"/>
    <col min="16" max="16" width="17.5546875" style="62" customWidth="1"/>
    <col min="17" max="17" width="23" style="62" customWidth="1"/>
    <col min="18" max="18" width="21.44140625" style="62" bestFit="1" customWidth="1"/>
    <col min="19" max="19" width="17" style="62" customWidth="1"/>
    <col min="20" max="20" width="19.44140625" style="62" customWidth="1"/>
    <col min="21" max="21" width="18.44140625" style="62" bestFit="1" customWidth="1"/>
    <col min="22" max="22" width="20.21875" style="62" bestFit="1" customWidth="1"/>
    <col min="23" max="23" width="19" style="62" customWidth="1"/>
    <col min="24" max="24" width="18.44140625" style="62" bestFit="1" customWidth="1"/>
    <col min="25" max="25" width="21.5546875" style="62" bestFit="1" customWidth="1"/>
    <col min="26" max="26" width="20.44140625" style="62" bestFit="1" customWidth="1"/>
    <col min="27" max="27" width="21.5546875" style="62" customWidth="1"/>
    <col min="28" max="28" width="25.5546875" style="62" customWidth="1"/>
    <col min="29" max="29" width="21.44140625" style="62" bestFit="1" customWidth="1"/>
    <col min="30" max="30" width="22.5546875" style="62" bestFit="1" customWidth="1"/>
    <col min="31" max="31" width="20.44140625" style="62" bestFit="1" customWidth="1"/>
    <col min="32" max="32" width="17.5546875" style="62" bestFit="1" customWidth="1"/>
    <col min="33" max="33" width="16" style="62" bestFit="1" customWidth="1"/>
    <col min="34" max="34" width="18" style="62" customWidth="1"/>
    <col min="35" max="35" width="17.5546875" style="62" bestFit="1" customWidth="1"/>
    <col min="36" max="36" width="255.5546875" style="62" bestFit="1" customWidth="1"/>
    <col min="37" max="37" width="15.5546875" style="62" bestFit="1" customWidth="1"/>
    <col min="38" max="38" width="14" style="62" bestFit="1" customWidth="1"/>
    <col min="39" max="39" width="14.44140625" style="62" bestFit="1" customWidth="1"/>
    <col min="40" max="40" width="2.44140625" style="62" bestFit="1" customWidth="1"/>
    <col min="41" max="41" width="25.44140625" style="62" customWidth="1"/>
    <col min="42" max="42" width="19.88671875" style="62" bestFit="1" customWidth="1"/>
    <col min="43" max="16384" width="8.5546875" style="62"/>
  </cols>
  <sheetData>
    <row r="1" spans="1:52" ht="50.1" customHeight="1" x14ac:dyDescent="0.3">
      <c r="A1" s="1181" t="s">
        <v>109</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c r="AF1" s="1181"/>
    </row>
    <row r="2" spans="1:52"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c r="AF2" s="1183"/>
    </row>
    <row r="3" spans="1:52"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row>
    <row r="4" spans="1:52" ht="22.35" customHeight="1" x14ac:dyDescent="0.3">
      <c r="A4" s="1281" t="s">
        <v>89</v>
      </c>
      <c r="B4" s="1281"/>
      <c r="C4" s="508" t="s">
        <v>110</v>
      </c>
      <c r="D4" s="511" t="s">
        <v>49</v>
      </c>
      <c r="E4" s="1282" t="s">
        <v>50</v>
      </c>
      <c r="F4" s="1282"/>
      <c r="G4" s="1387" t="s">
        <v>51</v>
      </c>
      <c r="H4" s="1387"/>
      <c r="I4" s="1387"/>
      <c r="J4" s="1397" t="s">
        <v>53</v>
      </c>
      <c r="K4" s="1398"/>
      <c r="L4" s="1397" t="s">
        <v>54</v>
      </c>
      <c r="M4" s="1398"/>
      <c r="N4" s="47" t="s">
        <v>111</v>
      </c>
      <c r="O4" s="1192" t="s">
        <v>112</v>
      </c>
      <c r="P4" s="1193"/>
      <c r="Q4" s="1193"/>
      <c r="R4" s="1193"/>
      <c r="S4" s="1193"/>
      <c r="T4" s="1193"/>
      <c r="U4" s="1193"/>
      <c r="V4" s="1193"/>
      <c r="W4" s="1193"/>
      <c r="X4" s="1193"/>
      <c r="Y4" s="1193"/>
      <c r="Z4" s="1193"/>
      <c r="AA4" s="1193"/>
      <c r="AB4" s="1193"/>
      <c r="AC4" s="1193"/>
      <c r="AD4" s="1193"/>
      <c r="AE4" s="1193"/>
      <c r="AF4" s="1193"/>
      <c r="AP4" s="62" t="s">
        <v>113</v>
      </c>
      <c r="AQ4" s="62" t="s">
        <v>114</v>
      </c>
      <c r="AU4" s="62">
        <v>2025</v>
      </c>
      <c r="AV4" s="62">
        <v>2026</v>
      </c>
    </row>
    <row r="5" spans="1:52" ht="45" customHeight="1" x14ac:dyDescent="0.3">
      <c r="A5" s="1411">
        <f>Parâmetros!E5</f>
        <v>6947000</v>
      </c>
      <c r="B5" s="1411"/>
      <c r="C5" s="510">
        <f>SUM(I55:I176)</f>
        <v>4622086.3209958989</v>
      </c>
      <c r="D5" s="512">
        <f>SUMIF(Q55:Q176,"Previsto",AI55:AI176)</f>
        <v>3121824.773647971</v>
      </c>
      <c r="E5" s="1412">
        <f>SUM(N55:N176)</f>
        <v>2465004.7720731716</v>
      </c>
      <c r="F5" s="1412"/>
      <c r="G5" s="1078">
        <f>SUMIF(Q55:Q176,"Real",AI55:AI176)</f>
        <v>415214.83749542851</v>
      </c>
      <c r="H5" s="1078"/>
      <c r="I5" s="1078"/>
      <c r="J5" s="1395">
        <f>G5/A5</f>
        <v>5.9768941628822299E-2</v>
      </c>
      <c r="K5" s="1396"/>
      <c r="L5" s="1399">
        <f ca="1">SUM(I9:I11)</f>
        <v>56</v>
      </c>
      <c r="M5" s="1400"/>
      <c r="N5" s="242"/>
      <c r="O5" s="382" t="s">
        <v>115</v>
      </c>
      <c r="P5" s="382" t="s">
        <v>72</v>
      </c>
      <c r="Q5" s="386" t="s">
        <v>116</v>
      </c>
      <c r="R5" s="386" t="s">
        <v>117</v>
      </c>
      <c r="S5" s="386" t="s">
        <v>118</v>
      </c>
      <c r="T5" s="542" t="s">
        <v>119</v>
      </c>
      <c r="U5" s="1401" t="s">
        <v>120</v>
      </c>
      <c r="V5" s="1402"/>
      <c r="W5" s="1402"/>
      <c r="X5" s="1402"/>
      <c r="Y5" s="1403"/>
      <c r="Z5" s="382" t="s">
        <v>121</v>
      </c>
      <c r="AA5" s="382" t="s">
        <v>122</v>
      </c>
      <c r="AB5" s="382" t="s">
        <v>123</v>
      </c>
      <c r="AC5" s="382" t="s">
        <v>124</v>
      </c>
      <c r="AD5" s="382" t="s">
        <v>125</v>
      </c>
      <c r="AE5" s="386" t="s">
        <v>126</v>
      </c>
      <c r="AF5" s="47"/>
      <c r="AG5" s="47"/>
      <c r="AH5" s="47"/>
      <c r="AI5" s="47"/>
      <c r="AS5" s="114">
        <v>0.32929999999999998</v>
      </c>
      <c r="AT5" s="188">
        <v>0.92279999999999995</v>
      </c>
      <c r="AW5" s="62" t="s">
        <v>127</v>
      </c>
      <c r="AX5" s="62">
        <v>0.92610000000000003</v>
      </c>
      <c r="AY5" s="62">
        <v>0.95</v>
      </c>
    </row>
    <row r="6" spans="1:52" ht="20.100000000000001" customHeight="1" x14ac:dyDescent="0.3">
      <c r="A6" s="47"/>
      <c r="B6" s="47"/>
      <c r="C6" s="47"/>
      <c r="D6" s="47"/>
      <c r="E6" s="47"/>
      <c r="F6" s="47"/>
      <c r="G6" s="47"/>
      <c r="H6" s="47"/>
      <c r="I6" s="47"/>
      <c r="J6" s="47"/>
      <c r="K6" s="47"/>
      <c r="L6" s="47"/>
      <c r="M6" s="47"/>
      <c r="N6" s="47"/>
      <c r="O6" s="372" cm="1">
        <f t="array" ref="O6:O25">_xlfn.SEQUENCE(20)</f>
        <v>1</v>
      </c>
      <c r="P6" s="398" t="str">
        <f t="shared" ref="P6:P25" si="0">_xlfn.XLOOKUP(U6,$C$55:$C$176,$A$55:$A$176)</f>
        <v>BSW</v>
      </c>
      <c r="Q6" s="373">
        <f>MAX(I55:I176)</f>
        <v>450000.00900000002</v>
      </c>
      <c r="R6" s="543">
        <f t="shared" ref="R6:R25" si="1">_xlfn.XLOOKUP(Q6,$I$55:$I$176,$N$55:$N$176)</f>
        <v>446423.79</v>
      </c>
      <c r="S6" s="534">
        <f t="shared" ref="S6:S25" si="2">_xlfn.XLOOKUP(U6,$C$55:$C$176,$J$55:$J$176)</f>
        <v>46082</v>
      </c>
      <c r="T6" s="543" cm="1">
        <f t="array" aca="1" ref="T6" ca="1">SUMPRODUCT(($C$55:$C$175=U6)*(S$54:$AG$54&lt;=TODAY())*(ISNUMBER(S$56:$AG$176)),S$56:$AG$176)</f>
        <v>182981.17848009121</v>
      </c>
      <c r="U6" s="1302" t="str">
        <f>IFERROR(HYPERLINK(INDEX($D$55:$D$176,MATCH(Q6,$I$55:$I$176,0)),INDEX($C$55:$C$176,MATCH(Q6,$I$55:$I$176,0))
   ),
)</f>
        <v>29 - DA000489Z_DA000490Z - STC Scania M_</v>
      </c>
      <c r="V6" s="1302"/>
      <c r="W6" s="1302"/>
      <c r="X6" s="1302"/>
      <c r="Y6" s="1302"/>
      <c r="Z6" s="402">
        <f t="shared" ref="Z6:Z25" si="3">Q6/$C$5</f>
        <v>9.7358633687966406E-2</v>
      </c>
      <c r="AA6" s="375">
        <f>Z6</f>
        <v>9.7358633687966406E-2</v>
      </c>
      <c r="AB6" s="376" cm="1">
        <f t="array" ref="AB6">IFERROR(INDEX($R$55:$R$176,MATCH(1,($AN$55:$AN$176=U6)*($Q$55:$Q$176="Previsto"), 0) ), "")</f>
        <v>1</v>
      </c>
      <c r="AC6" s="376" cm="1">
        <f t="array" ref="AC6">IFERROR( INDEX($R$55:$R$176,MATCH(1,($AN$55:$AN$176=U6)*($Q$55:$Q$176="Real"),0)),"")</f>
        <v>1</v>
      </c>
      <c r="AD6" s="400" t="str">
        <f>IF(OR(AB6="",AC6=""),"",IF(AC6=100%,"CONCLUÍDO",IF(AC6=0,IF(AB6=0,"PROJETO NÃO INICIADO","FALTA DE ACOMPANHAMENTO"),IF(AC6&gt;AB6,"ADIANTADO",IF(AC6=AB6,"CONFORME PLANEJADO","ATRASO")))))</f>
        <v>CONCLUÍDO</v>
      </c>
      <c r="AE6" s="376" cm="1">
        <f t="array" ref="AE6:AE25">_xlfn.XLOOKUP($U$6:$U$25,$C$55:$C$176,$P$55:$P$176)</f>
        <v>1</v>
      </c>
      <c r="AF6" s="47"/>
      <c r="AG6" s="47"/>
      <c r="AH6" s="47"/>
      <c r="AI6" s="47"/>
      <c r="AS6" s="114">
        <v>0.41660000000000003</v>
      </c>
      <c r="AT6" s="188">
        <v>0.91520000000000001</v>
      </c>
      <c r="AW6" s="62" t="s">
        <v>128</v>
      </c>
      <c r="AX6" s="62">
        <v>0.50170000000000003</v>
      </c>
      <c r="AY6" s="62">
        <v>0.57999999999999996</v>
      </c>
    </row>
    <row r="7" spans="1:52" ht="20.100000000000001" customHeight="1" x14ac:dyDescent="0.3">
      <c r="A7" s="1392" t="s">
        <v>129</v>
      </c>
      <c r="B7" s="1392"/>
      <c r="C7" s="1392"/>
      <c r="D7" s="1392"/>
      <c r="E7" s="1392"/>
      <c r="F7" s="1392"/>
      <c r="H7" s="1392" t="s">
        <v>59</v>
      </c>
      <c r="I7" s="1392"/>
      <c r="J7" s="1410"/>
      <c r="K7" s="1393" t="s">
        <v>60</v>
      </c>
      <c r="L7" s="1394"/>
      <c r="M7" s="1394"/>
      <c r="N7" s="47"/>
      <c r="O7" s="377">
        <v>2</v>
      </c>
      <c r="P7" s="399" t="str">
        <f t="shared" si="0"/>
        <v>BSW</v>
      </c>
      <c r="Q7" s="378">
        <f t="shared" ref="Q7:Q25" si="4">IFERROR(LARGE($I$55:$I$176,O7)," ")</f>
        <v>331600</v>
      </c>
      <c r="R7" s="544">
        <f t="shared" si="1"/>
        <v>160178.29</v>
      </c>
      <c r="S7" s="535">
        <f t="shared" si="2"/>
        <v>46082</v>
      </c>
      <c r="T7" s="544" cm="1">
        <f t="array" aca="1" ref="T7" ca="1">SUMPRODUCT(($C$55:$C$175=U7)*(S$54:$AG$54&lt;=TODAY())*(ISNUMBER(S$56:$AG$176)),S$56:$AG$176)</f>
        <v>51688.192766560009</v>
      </c>
      <c r="U7" s="1301" t="str">
        <f t="shared" ref="U7:U24" si="5">IFERROR(HYPERLINK(INDEX($D$55:$D$176,MATCH(Q7,$I$55:$I$176,0)),INDEX($C$55:$C$176,MATCH(Q7,$I$55:$I$176,0))
   ),
   ""
)</f>
        <v>01 - Redução de peso bruto DA000489A</v>
      </c>
      <c r="V7" s="1301"/>
      <c r="W7" s="1301"/>
      <c r="X7" s="1301"/>
      <c r="Y7" s="1301"/>
      <c r="Z7" s="403">
        <f t="shared" si="3"/>
        <v>7.1742493967216034E-2</v>
      </c>
      <c r="AA7" s="380">
        <f t="shared" ref="AA7:AA14" si="6">Z7+AA6</f>
        <v>0.16910112765518243</v>
      </c>
      <c r="AB7" s="381" cm="1">
        <f t="array" ref="AB7">IFERROR(INDEX($R$55:$R$176,MATCH(1,($AN$55:$AN$176=U7)*($Q$55:$Q$176="Previsto"), 0) ), "")</f>
        <v>1</v>
      </c>
      <c r="AC7" s="381" cm="1">
        <f t="array" ref="AC7">IFERROR( INDEX($R$55:$R$176,MATCH(1,($AN$55:$AN$176=U7)*($Q$55:$Q$176="Real"),0)),"")</f>
        <v>1</v>
      </c>
      <c r="AD7" s="401" t="str">
        <f t="shared" ref="AD7:AD25" si="7">IF(OR(AB7="",AC7=""),"",IF(AC7=100%,"CONCLUÍDO",IF(AC7=0,IF(AB7=0,"PROJETO NÃO INICIADO","FALTA DE ACOMPANHAMENTO"),IF(AC7&gt;AB7,"ADIANTADO",IF(AC7=AB7,"CONFORME PLANEJADO","ATRASO")))))</f>
        <v>CONCLUÍDO</v>
      </c>
      <c r="AE7" s="381">
        <v>1</v>
      </c>
      <c r="AF7" s="47"/>
      <c r="AG7" s="47"/>
      <c r="AH7" s="47"/>
      <c r="AI7" s="47"/>
      <c r="AS7" s="114">
        <v>0.46660000000000001</v>
      </c>
      <c r="AT7" s="188">
        <v>0.92020000000000002</v>
      </c>
      <c r="AW7" s="62" t="s">
        <v>130</v>
      </c>
      <c r="AX7" s="62">
        <v>0.95499999999999996</v>
      </c>
      <c r="AY7" s="62">
        <v>0.96499999999999997</v>
      </c>
    </row>
    <row r="8" spans="1:52" ht="20.100000000000001" customHeight="1" x14ac:dyDescent="0.3">
      <c r="A8" s="49" t="s">
        <v>62</v>
      </c>
      <c r="B8" s="49" t="s">
        <v>63</v>
      </c>
      <c r="C8" s="49" t="s">
        <v>64</v>
      </c>
      <c r="D8" s="49" t="s">
        <v>65</v>
      </c>
      <c r="E8" s="49" t="s">
        <v>66</v>
      </c>
      <c r="F8" s="49" t="s">
        <v>131</v>
      </c>
      <c r="G8" s="659"/>
      <c r="H8" s="49" t="s">
        <v>67</v>
      </c>
      <c r="I8" s="49" t="s">
        <v>63</v>
      </c>
      <c r="J8" s="553" t="s">
        <v>68</v>
      </c>
      <c r="K8" s="1404" t="s">
        <v>69</v>
      </c>
      <c r="L8" s="1408" t="s">
        <v>70</v>
      </c>
      <c r="M8" s="1408" t="s">
        <v>132</v>
      </c>
      <c r="N8" s="47"/>
      <c r="O8" s="372">
        <v>3</v>
      </c>
      <c r="P8" s="398" t="str">
        <f t="shared" si="0"/>
        <v>Redução de custo</v>
      </c>
      <c r="Q8" s="373">
        <f t="shared" si="4"/>
        <v>288000.00300000003</v>
      </c>
      <c r="R8" s="543">
        <f t="shared" si="1"/>
        <v>79673.52</v>
      </c>
      <c r="S8" s="534">
        <f t="shared" si="2"/>
        <v>46143</v>
      </c>
      <c r="T8" s="543" cm="1">
        <f t="array" aca="1" ref="T8" ca="1">SUMPRODUCT(($C$55:$C$175=U8)*(S$54:$AG$54&lt;=TODAY())*(ISNUMBER(S$56:$AG$176)),S$56:$AG$176)</f>
        <v>-31423.7</v>
      </c>
      <c r="U8" s="1302" t="str">
        <f t="shared" si="5"/>
        <v>06 - Produtividade</v>
      </c>
      <c r="V8" s="1302"/>
      <c r="W8" s="1302"/>
      <c r="X8" s="1302"/>
      <c r="Y8" s="1302"/>
      <c r="Z8" s="402">
        <f t="shared" ref="Z8:Z13" si="8">Q8/$C$5</f>
        <v>6.2309524963165559E-2</v>
      </c>
      <c r="AA8" s="375">
        <f t="shared" si="6"/>
        <v>0.23141065261834798</v>
      </c>
      <c r="AB8" s="376" cm="1">
        <f t="array" ref="AB8">IFERROR(INDEX($R$55:$R$176,MATCH(1,($AN$55:$AN$176=U8)*($Q$55:$Q$176="Previsto"), 0) ), "")</f>
        <v>0.96</v>
      </c>
      <c r="AC8" s="376" cm="1">
        <f t="array" ref="AC8">IFERROR( INDEX($R$55:$R$176,MATCH(1,($AN$55:$AN$176=U8)*($Q$55:$Q$176="Real"),0)),"")</f>
        <v>0.98</v>
      </c>
      <c r="AD8" s="400" t="str">
        <f t="shared" ref="AD8:AD13" si="9">IF(OR(AB8="",AC8=""),"",IF(AC8=100%,"CONCLUÍDO",IF(AC8=0,IF(AB8=0,"PROJETO NÃO INICIADO","FALTA DE ACOMPANHAMENTO"),IF(AC8&gt;AB8,"ADIANTADO",IF(AC8=AB8,"CONFORME PLANEJADO","ATRASO")))))</f>
        <v>ADIANTADO</v>
      </c>
      <c r="AE8" s="376">
        <v>1</v>
      </c>
      <c r="AG8" s="47"/>
      <c r="AH8" s="47"/>
      <c r="AI8" s="47"/>
      <c r="AJ8" s="47"/>
      <c r="AT8" s="114">
        <v>0.54359999999999997</v>
      </c>
      <c r="AU8" s="188">
        <v>0.92059999999999997</v>
      </c>
      <c r="AY8" s="190">
        <f>AX7*AX6*AX5</f>
        <v>0.44371627335000002</v>
      </c>
      <c r="AZ8" s="190">
        <f>AY7*AY6*AY5</f>
        <v>0.53171499999999994</v>
      </c>
    </row>
    <row r="9" spans="1:52" ht="20.100000000000001" customHeight="1" x14ac:dyDescent="0.3">
      <c r="A9" s="48" t="s">
        <v>76</v>
      </c>
      <c r="B9" s="1025">
        <f>COUNTIF($A$55:$A$176,A9)</f>
        <v>10</v>
      </c>
      <c r="C9" s="249">
        <f>SUMIF($A$55:$A$176,A9,$I$55:$I$176)</f>
        <v>625866.7709</v>
      </c>
      <c r="D9" s="249">
        <f>SUMIF($A$55:$A$176,A9,$N$55:$N$176)</f>
        <v>168076.19</v>
      </c>
      <c r="E9" s="51">
        <f>IF($D$13=0,"",D9/$D$13)</f>
        <v>6.8184934935700325E-2</v>
      </c>
      <c r="F9" s="52">
        <f>E9</f>
        <v>6.8184934935700325E-2</v>
      </c>
      <c r="G9" s="47"/>
      <c r="H9" s="53" t="s">
        <v>77</v>
      </c>
      <c r="I9" s="54">
        <f ca="1">COUNTIF($O$55:$O$176,H9)</f>
        <v>36</v>
      </c>
      <c r="J9" s="554">
        <f ca="1">SUMIF($O$55:$O$176,H9,$I$55:$I$176)</f>
        <v>3163136.7830510987</v>
      </c>
      <c r="K9" s="1405"/>
      <c r="L9" s="1409"/>
      <c r="M9" s="1409"/>
      <c r="N9" s="47"/>
      <c r="O9" s="377">
        <v>4</v>
      </c>
      <c r="P9" s="399"/>
      <c r="Q9" s="378"/>
      <c r="R9" s="544"/>
      <c r="S9" s="535"/>
      <c r="T9" s="544"/>
      <c r="U9" s="1301"/>
      <c r="V9" s="1301"/>
      <c r="W9" s="1301"/>
      <c r="X9" s="1301"/>
      <c r="Y9" s="1301"/>
      <c r="Z9" s="403">
        <f t="shared" si="8"/>
        <v>0</v>
      </c>
      <c r="AA9" s="380">
        <f t="shared" si="6"/>
        <v>0.23141065261834798</v>
      </c>
      <c r="AB9" s="381" t="str" cm="1">
        <f t="array" aca="1" ref="AB9" ca="1">IFERROR(INDEX($R$55:$R$176,MATCH(1,($AN$55:$AN$176=U9)*($Q$55:$Q$176="Previsto"), 0) ), "")</f>
        <v/>
      </c>
      <c r="AC9" s="381" cm="1">
        <f t="array" ref="AC9">IFERROR( INDEX($R$55:$R$176,MATCH(1,($AN$55:$AN$176=U9)*($Q$55:$Q$176="Real"),0)),"")</f>
        <v>0</v>
      </c>
      <c r="AD9" s="401" t="str">
        <f t="shared" ca="1" si="9"/>
        <v/>
      </c>
      <c r="AE9" s="381">
        <v>0</v>
      </c>
      <c r="AH9" s="47"/>
      <c r="AI9" s="47"/>
      <c r="AJ9" s="47"/>
      <c r="AT9" s="114">
        <v>0.51229999999999998</v>
      </c>
      <c r="AU9" s="188">
        <v>0.92300000000000004</v>
      </c>
    </row>
    <row r="10" spans="1:52" ht="20.100000000000001" customHeight="1" x14ac:dyDescent="0.3">
      <c r="A10" s="48" t="s">
        <v>79</v>
      </c>
      <c r="B10" s="1025">
        <f>COUNTIF($A$55:$A$176,A10)</f>
        <v>10</v>
      </c>
      <c r="C10" s="249">
        <f>SUMIF($A$55:$A$176,A10,$I$55:$I$176)</f>
        <v>592471.53850000002</v>
      </c>
      <c r="D10" s="249">
        <f>SUMIF($A$55:$A$176,A10,$N$55:$N$176)</f>
        <v>208784.28</v>
      </c>
      <c r="E10" s="51">
        <f>IF($D$13=0,"",D10/$D$13)</f>
        <v>8.4699341098801909E-2</v>
      </c>
      <c r="F10" s="52">
        <f>E10</f>
        <v>8.4699341098801909E-2</v>
      </c>
      <c r="G10" s="47"/>
      <c r="H10" s="55" t="s">
        <v>80</v>
      </c>
      <c r="I10" s="251">
        <f ca="1">COUNTIF($O$55:$O$176,H10)</f>
        <v>19</v>
      </c>
      <c r="J10" s="555">
        <f ca="1">SUMIF($O$55:$O$176,H10,$I$55:$I$176)</f>
        <v>1458948.0024448</v>
      </c>
      <c r="K10" s="1406">
        <f>E207</f>
        <v>0.6428571428571429</v>
      </c>
      <c r="L10" s="1385">
        <f>F207</f>
        <v>0.39285714285714285</v>
      </c>
      <c r="M10" s="1385">
        <f>L214</f>
        <v>0.16161616000000001</v>
      </c>
      <c r="N10" s="47"/>
      <c r="O10" s="372">
        <v>5</v>
      </c>
      <c r="P10" s="398" t="str">
        <f t="shared" si="0"/>
        <v>BSW</v>
      </c>
      <c r="Q10" s="373">
        <f t="shared" si="4"/>
        <v>270000</v>
      </c>
      <c r="R10" s="543">
        <f t="shared" si="1"/>
        <v>128107.04</v>
      </c>
      <c r="S10" s="534">
        <f t="shared" si="2"/>
        <v>46174</v>
      </c>
      <c r="T10" s="543" cm="1">
        <f t="array" aca="1" ref="T10" ca="1">SUMPRODUCT(($C$55:$C$175=U10)*(S$54:$AG$54&lt;=TODAY())*(ISNUMBER(S$56:$AG$176)),S$56:$AG$176)</f>
        <v>0</v>
      </c>
      <c r="U10" s="1302" t="str">
        <f t="shared" si="5"/>
        <v>23 - Redução do peso bruto VW000581Z / VW000582Z</v>
      </c>
      <c r="V10" s="1302"/>
      <c r="W10" s="1302"/>
      <c r="X10" s="1302"/>
      <c r="Y10" s="1302"/>
      <c r="Z10" s="402">
        <f t="shared" si="8"/>
        <v>5.8415179044476261E-2</v>
      </c>
      <c r="AA10" s="375">
        <f t="shared" si="6"/>
        <v>0.28982583166282422</v>
      </c>
      <c r="AB10" s="376" cm="1">
        <f t="array" ref="AB10">IFERROR(INDEX($R$55:$R$176,MATCH(1,($AN$55:$AN$176=U10)*($Q$55:$Q$176="Previsto"), 0) ), "")</f>
        <v>0.2</v>
      </c>
      <c r="AC10" s="376" cm="1">
        <f t="array" ref="AC10">IFERROR( INDEX($R$55:$R$176,MATCH(1,($AN$55:$AN$176=U10)*($Q$55:$Q$176="Real"),0)),"")</f>
        <v>0.25</v>
      </c>
      <c r="AD10" s="400" t="str">
        <f t="shared" si="9"/>
        <v>ADIANTADO</v>
      </c>
      <c r="AE10" s="376">
        <v>0.8</v>
      </c>
      <c r="AG10" s="47"/>
      <c r="AH10" s="47"/>
      <c r="AI10" s="47"/>
      <c r="AJ10" s="47"/>
      <c r="AT10" s="114">
        <v>0.52159999999999995</v>
      </c>
      <c r="AU10" s="188">
        <v>0.91649999999999998</v>
      </c>
    </row>
    <row r="11" spans="1:52" ht="20.100000000000001" customHeight="1" x14ac:dyDescent="0.3">
      <c r="A11" s="48" t="s">
        <v>82</v>
      </c>
      <c r="B11" s="1025">
        <f>COUNTIF($A$55:$A$176,A11)</f>
        <v>0</v>
      </c>
      <c r="C11" s="249">
        <f>SUMIF($A$55:$A$176,A11,$I$55:$I$176)</f>
        <v>0</v>
      </c>
      <c r="D11" s="249">
        <f>SUMIF($A$55:$A$176,A11,$N$55:$N$176)</f>
        <v>0</v>
      </c>
      <c r="E11" s="51">
        <f>IF($D$13=0,"",D11/$D$13)</f>
        <v>0</v>
      </c>
      <c r="F11" s="52">
        <f>E11</f>
        <v>0</v>
      </c>
      <c r="G11" s="47"/>
      <c r="H11" s="253" t="s">
        <v>83</v>
      </c>
      <c r="I11" s="254">
        <f ca="1">COUNTIF($O$55:$O$176,H11)</f>
        <v>1</v>
      </c>
      <c r="J11" s="556">
        <f ca="1">SUMIF($O$55:$O$176,H11,$I$55:$I$176)</f>
        <v>1.5355000000000001</v>
      </c>
      <c r="K11" s="1407"/>
      <c r="L11" s="1386"/>
      <c r="M11" s="1386"/>
      <c r="N11" s="47"/>
      <c r="O11" s="377">
        <v>6</v>
      </c>
      <c r="P11" s="399" t="str">
        <f t="shared" si="0"/>
        <v>BSW</v>
      </c>
      <c r="Q11" s="378">
        <f t="shared" si="4"/>
        <v>236000</v>
      </c>
      <c r="R11" s="544">
        <f t="shared" si="1"/>
        <v>138092.84</v>
      </c>
      <c r="S11" s="535">
        <f t="shared" si="2"/>
        <v>46174</v>
      </c>
      <c r="T11" s="544" cm="1">
        <f t="array" aca="1" ref="T11" ca="1">SUMPRODUCT(($C$55:$C$175=U11)*(S$54:$AG$54&lt;=TODAY())*(ISNUMBER(S$56:$AG$176)),S$56:$AG$176)</f>
        <v>0</v>
      </c>
      <c r="U11" s="1301" t="str">
        <f t="shared" si="5"/>
        <v>52 - Redução de MP - GM000458Z / GM000459Z</v>
      </c>
      <c r="V11" s="1301"/>
      <c r="W11" s="1301"/>
      <c r="X11" s="1301"/>
      <c r="Y11" s="1301"/>
      <c r="Z11" s="403">
        <f t="shared" si="8"/>
        <v>5.105919353517184E-2</v>
      </c>
      <c r="AA11" s="380">
        <f t="shared" si="6"/>
        <v>0.34088502519799607</v>
      </c>
      <c r="AB11" s="381" cm="1">
        <f t="array" aca="1" ref="AB11" ca="1">IFERROR(INDEX($R$55:$R$176,MATCH(1,($AN$55:$AN$176=U11)*($Q$55:$Q$176="Previsto"), 0) ), "")</f>
        <v>1</v>
      </c>
      <c r="AC11" s="381" cm="1">
        <f t="array" ref="AC11">IFERROR( INDEX($R$55:$R$176,MATCH(1,($AN$55:$AN$176=U11)*($Q$55:$Q$176="Real"),0)),"")</f>
        <v>1</v>
      </c>
      <c r="AD11" s="401" t="str">
        <f t="shared" ca="1" si="9"/>
        <v>CONCLUÍDO</v>
      </c>
      <c r="AE11" s="381">
        <v>1</v>
      </c>
      <c r="AG11" s="47"/>
      <c r="AH11" s="47"/>
      <c r="AI11" s="47"/>
      <c r="AJ11" s="47"/>
      <c r="AT11" s="114">
        <v>0.52170000000000005</v>
      </c>
      <c r="AU11" s="188">
        <v>0.92369999999999997</v>
      </c>
    </row>
    <row r="12" spans="1:52" ht="20.100000000000001" customHeight="1" x14ac:dyDescent="0.3">
      <c r="A12" s="48" t="s">
        <v>85</v>
      </c>
      <c r="B12" s="1025">
        <f>COUNTIF($A$55:$A$176,A12)</f>
        <v>37</v>
      </c>
      <c r="C12" s="249">
        <f>SUMIF($A$55:$A$176,A12,$I$55:$I$176)</f>
        <v>3403748.0115958992</v>
      </c>
      <c r="D12" s="249">
        <f>SUMIF($A$55:$A$176,A12,$N$55:$N$176)</f>
        <v>2088144.3020731716</v>
      </c>
      <c r="E12" s="51">
        <f>IF($D$13=0,"",D12/$D$13)</f>
        <v>0.84711572396549784</v>
      </c>
      <c r="F12" s="52">
        <f>E12</f>
        <v>0.84711572396549784</v>
      </c>
      <c r="G12" s="47"/>
      <c r="H12" s="47"/>
      <c r="I12" s="47"/>
      <c r="J12" s="47"/>
      <c r="K12" s="47"/>
      <c r="L12" s="47"/>
      <c r="M12" s="47"/>
      <c r="N12" s="47"/>
      <c r="O12" s="372">
        <v>7</v>
      </c>
      <c r="P12" s="398" t="str">
        <f t="shared" si="0"/>
        <v>BSW</v>
      </c>
      <c r="Q12" s="373">
        <f t="shared" si="4"/>
        <v>230000</v>
      </c>
      <c r="R12" s="543">
        <f t="shared" si="1"/>
        <v>115000</v>
      </c>
      <c r="S12" s="534">
        <f t="shared" si="2"/>
        <v>46204</v>
      </c>
      <c r="T12" s="543" cm="1">
        <f t="array" aca="1" ref="T12" ca="1">SUMPRODUCT(($C$55:$C$175=U12)*(S$54:$AG$54&lt;=TODAY())*(ISNUMBER(S$56:$AG$176)),S$56:$AG$176)</f>
        <v>0</v>
      </c>
      <c r="U12" s="1302" t="str">
        <f t="shared" si="5"/>
        <v>44 - Mudança de fonte Usiminas para Arcelor</v>
      </c>
      <c r="V12" s="1302"/>
      <c r="W12" s="1302"/>
      <c r="X12" s="1302"/>
      <c r="Y12" s="1302"/>
      <c r="Z12" s="402">
        <f t="shared" si="8"/>
        <v>4.9761078445294593E-2</v>
      </c>
      <c r="AA12" s="375">
        <f t="shared" si="6"/>
        <v>0.39064610364329067</v>
      </c>
      <c r="AB12" s="376" cm="1">
        <f t="array" ref="AB12">IFERROR(INDEX($R$55:$R$176,MATCH(1,($AN$55:$AN$176=U12)*($Q$55:$Q$176="Previsto"), 0) ), "")</f>
        <v>0.28999999999999998</v>
      </c>
      <c r="AC12" s="376" cm="1">
        <f t="array" ref="AC12">IFERROR( INDEX($R$55:$R$176,MATCH(1,($AN$55:$AN$176=U12)*($Q$55:$Q$176="Real"),0)),"")</f>
        <v>0.36</v>
      </c>
      <c r="AD12" s="400" t="str">
        <f t="shared" si="9"/>
        <v>ADIANTADO</v>
      </c>
      <c r="AE12" s="376">
        <v>0.2</v>
      </c>
      <c r="AG12" s="47"/>
      <c r="AH12" s="47"/>
      <c r="AI12" s="47"/>
      <c r="AJ12" s="47"/>
      <c r="AT12" s="114">
        <v>0.5746</v>
      </c>
      <c r="AU12" s="188">
        <v>0.93600000000000005</v>
      </c>
    </row>
    <row r="13" spans="1:52" ht="20.100000000000001" customHeight="1" x14ac:dyDescent="0.35">
      <c r="A13" s="166" t="s">
        <v>29</v>
      </c>
      <c r="B13" s="1026">
        <f>SUM(B9:B12)</f>
        <v>57</v>
      </c>
      <c r="C13" s="256">
        <f>SUM(C9:C12)</f>
        <v>4622086.3209958989</v>
      </c>
      <c r="D13" s="256">
        <f>SUM(D9:D12)</f>
        <v>2465004.7720731716</v>
      </c>
      <c r="E13" s="171">
        <f>SUM(E9:E12)</f>
        <v>1</v>
      </c>
      <c r="F13" s="47"/>
      <c r="G13" s="47"/>
      <c r="H13" s="47"/>
      <c r="I13" s="47"/>
      <c r="J13" s="47"/>
      <c r="K13" s="47"/>
      <c r="L13" s="168"/>
      <c r="M13" s="854"/>
      <c r="N13" s="854"/>
      <c r="O13" s="377">
        <v>8</v>
      </c>
      <c r="P13" s="399" t="str">
        <f t="shared" si="0"/>
        <v>Kaizen</v>
      </c>
      <c r="Q13" s="378">
        <f t="shared" si="4"/>
        <v>228000</v>
      </c>
      <c r="R13" s="544">
        <f t="shared" si="1"/>
        <v>124710.19</v>
      </c>
      <c r="S13" s="535">
        <f t="shared" si="2"/>
        <v>46082</v>
      </c>
      <c r="T13" s="544" cm="1">
        <f t="array" aca="1" ref="T13" ca="1">SUMPRODUCT(($C$55:$C$175=U13)*(S$54:$AG$54&lt;=TODAY())*(ISNUMBER(S$56:$AG$176)),S$56:$AG$176)</f>
        <v>12885.189999999999</v>
      </c>
      <c r="U13" s="1301" t="str">
        <f t="shared" si="5"/>
        <v>16 - Eficiência de MO na linha de Solda e Montagem</v>
      </c>
      <c r="V13" s="1301"/>
      <c r="W13" s="1301"/>
      <c r="X13" s="1301"/>
      <c r="Y13" s="1301"/>
      <c r="Z13" s="403">
        <f t="shared" si="8"/>
        <v>4.9328373415335504E-2</v>
      </c>
      <c r="AA13" s="380">
        <f t="shared" si="6"/>
        <v>0.43997447705862619</v>
      </c>
      <c r="AB13" s="381" cm="1">
        <f t="array" ref="AB13">IFERROR(INDEX($R$55:$R$176,MATCH(1,($AN$55:$AN$176=U13)*($Q$55:$Q$176="Previsto"), 0) ), "")</f>
        <v>1</v>
      </c>
      <c r="AC13" s="381" cm="1">
        <f t="array" ref="AC13">IFERROR( INDEX($R$55:$R$176,MATCH(1,($AN$55:$AN$176=U13)*($Q$55:$Q$176="Real"),0)),"")</f>
        <v>1</v>
      </c>
      <c r="AD13" s="401" t="str">
        <f t="shared" si="9"/>
        <v>CONCLUÍDO</v>
      </c>
      <c r="AE13" s="381">
        <v>1</v>
      </c>
      <c r="AG13" s="47"/>
      <c r="AH13" s="47"/>
      <c r="AI13" s="47"/>
      <c r="AJ13" s="47"/>
      <c r="AT13" s="114">
        <v>0.5423</v>
      </c>
      <c r="AU13" s="188">
        <v>0.93600000000000005</v>
      </c>
    </row>
    <row r="14" spans="1:52" ht="20.100000000000001" customHeight="1" x14ac:dyDescent="0.3">
      <c r="A14" s="47"/>
      <c r="B14" s="47"/>
      <c r="C14" s="47"/>
      <c r="D14" s="47"/>
      <c r="E14" s="47"/>
      <c r="F14" s="47"/>
      <c r="G14" s="47"/>
      <c r="H14" s="47"/>
      <c r="I14" s="47"/>
      <c r="J14" s="47"/>
      <c r="K14" s="47"/>
      <c r="L14" s="47"/>
      <c r="M14" s="47"/>
      <c r="N14" s="47"/>
      <c r="O14" s="372">
        <v>9</v>
      </c>
      <c r="P14" s="398" t="str">
        <f t="shared" si="0"/>
        <v>BSW</v>
      </c>
      <c r="Q14" s="373">
        <f t="shared" si="4"/>
        <v>223200</v>
      </c>
      <c r="R14" s="543">
        <f t="shared" si="1"/>
        <v>0</v>
      </c>
      <c r="S14" s="534">
        <f t="shared" si="2"/>
        <v>46174</v>
      </c>
      <c r="T14" s="543" cm="1">
        <f t="array" aca="1" ref="T14" ca="1">SUMPRODUCT(($C$55:$C$175=U14)*(S$54:$AG$54&lt;=TODAY())*(ISNUMBER(S$56:$AG$176)),S$56:$AG$176)</f>
        <v>0</v>
      </c>
      <c r="U14" s="1302" t="str">
        <f t="shared" si="5"/>
        <v>57 - AlmaCAM_Redução de Peso</v>
      </c>
      <c r="V14" s="1302"/>
      <c r="W14" s="1302"/>
      <c r="X14" s="1302"/>
      <c r="Y14" s="1302"/>
      <c r="Z14" s="402">
        <f t="shared" si="3"/>
        <v>4.8289881343433705E-2</v>
      </c>
      <c r="AA14" s="375">
        <f t="shared" si="6"/>
        <v>0.48826435840205989</v>
      </c>
      <c r="AB14" s="376" cm="1">
        <f t="array" aca="1" ref="AB14" ca="1">IFERROR(INDEX($R$55:$R$176,MATCH(1,($AN$55:$AN$176=U14)*($Q$55:$Q$176="Previsto"), 0) ), "")</f>
        <v>1</v>
      </c>
      <c r="AC14" s="376" cm="1">
        <f t="array" ref="AC14">IFERROR( INDEX($R$55:$R$176,MATCH(1,($AN$55:$AN$176=U14)*($Q$55:$Q$176="Real"),0)),"")</f>
        <v>1</v>
      </c>
      <c r="AD14" s="400" t="str">
        <f t="shared" ca="1" si="7"/>
        <v>CONCLUÍDO</v>
      </c>
      <c r="AE14" s="376">
        <v>1</v>
      </c>
      <c r="AF14" s="47"/>
      <c r="AG14" s="47"/>
      <c r="AH14" s="47"/>
      <c r="AI14" s="47"/>
      <c r="AS14" s="114">
        <v>0.54720000000000002</v>
      </c>
      <c r="AT14" s="188">
        <v>0.91149999999999998</v>
      </c>
    </row>
    <row r="15" spans="1:52" ht="20.100000000000001" customHeight="1" x14ac:dyDescent="0.3">
      <c r="A15" s="47"/>
      <c r="B15" s="47"/>
      <c r="C15" s="47"/>
      <c r="D15" s="47"/>
      <c r="E15" s="47"/>
      <c r="F15" s="47" t="s">
        <v>90</v>
      </c>
      <c r="G15" s="967">
        <f>SUMIF($B$55:$B$176,F15,$N$55:$N$176)</f>
        <v>2088144.3020731716</v>
      </c>
      <c r="H15" s="47"/>
      <c r="I15" s="47"/>
      <c r="J15" s="47"/>
      <c r="K15" s="47"/>
      <c r="L15" s="47"/>
      <c r="M15" s="47"/>
      <c r="N15" s="47"/>
      <c r="O15" s="377">
        <v>10</v>
      </c>
      <c r="P15" s="399" t="str">
        <f t="shared" si="0"/>
        <v>BSW</v>
      </c>
      <c r="Q15" s="378">
        <f t="shared" si="4"/>
        <v>189200</v>
      </c>
      <c r="R15" s="544">
        <f t="shared" si="1"/>
        <v>70963.59</v>
      </c>
      <c r="S15" s="535">
        <f t="shared" si="2"/>
        <v>46235</v>
      </c>
      <c r="T15" s="544" cm="1">
        <f t="array" aca="1" ref="T15" ca="1">SUMPRODUCT(($C$55:$C$175=U15)*(S$54:$AG$54&lt;=TODAY())*(ISNUMBER(S$56:$AG$176)),S$56:$AG$176)</f>
        <v>0</v>
      </c>
      <c r="U15" s="1301" t="str">
        <f t="shared" si="5"/>
        <v>47 - REDUÇÃO DE MP DJ000079Z – 80Z</v>
      </c>
      <c r="V15" s="1301"/>
      <c r="W15" s="1301"/>
      <c r="X15" s="1301"/>
      <c r="Y15" s="1301"/>
      <c r="Z15" s="403">
        <f t="shared" si="3"/>
        <v>4.0933895834129291E-2</v>
      </c>
      <c r="AA15" s="380">
        <f t="shared" ref="AA15:AA25" si="10">Z15+AA14</f>
        <v>0.52919825423618916</v>
      </c>
      <c r="AB15" s="381" cm="1">
        <f t="array" ref="AB15">IFERROR(INDEX($R$55:$R$176,MATCH(1,($AN$55:$AN$176=U15)*($Q$55:$Q$176="Previsto"), 0) ), "")</f>
        <v>0.24</v>
      </c>
      <c r="AC15" s="381" cm="1">
        <f t="array" ref="AC15">IFERROR( INDEX($R$55:$R$176,MATCH(1,($AN$55:$AN$176=U15)*($Q$55:$Q$176="Real"),0)),"")</f>
        <v>0.38</v>
      </c>
      <c r="AD15" s="401" t="str">
        <f t="shared" si="7"/>
        <v>ADIANTADO</v>
      </c>
      <c r="AE15" s="381">
        <v>0.5</v>
      </c>
      <c r="AF15" s="47"/>
      <c r="AG15" s="47"/>
      <c r="AH15" s="47"/>
      <c r="AI15" s="47"/>
      <c r="AS15" s="114">
        <v>0.54830000000000001</v>
      </c>
      <c r="AT15" s="188">
        <v>0.92290000000000005</v>
      </c>
    </row>
    <row r="16" spans="1:52" ht="20.100000000000001" customHeight="1" x14ac:dyDescent="0.3">
      <c r="A16" s="47"/>
      <c r="B16" s="47"/>
      <c r="C16" s="47"/>
      <c r="D16" s="47"/>
      <c r="E16" s="47"/>
      <c r="F16" s="47" t="s">
        <v>91</v>
      </c>
      <c r="G16" s="967">
        <f>SUMIF($B$55:$B$176,F16,$N$55:$N$176)</f>
        <v>376860.47</v>
      </c>
      <c r="H16" s="47"/>
      <c r="I16" s="47"/>
      <c r="J16" s="47"/>
      <c r="K16" s="47"/>
      <c r="L16" s="47"/>
      <c r="M16" s="47"/>
      <c r="N16" s="47"/>
      <c r="O16" s="372">
        <v>11</v>
      </c>
      <c r="P16" s="398" t="str">
        <f t="shared" si="0"/>
        <v>Redução de custo</v>
      </c>
      <c r="Q16" s="373">
        <f t="shared" si="4"/>
        <v>160000</v>
      </c>
      <c r="R16" s="543">
        <f t="shared" si="1"/>
        <v>72500</v>
      </c>
      <c r="S16" s="534">
        <f t="shared" si="2"/>
        <v>46174</v>
      </c>
      <c r="T16" s="543" cm="1">
        <f t="array" aca="1" ref="T16" ca="1">SUMPRODUCT(($C$55:$C$175=U16)*(S$54:$AG$54&lt;=TODAY())*(ISNUMBER(S$56:$AG$176)),S$56:$AG$176)</f>
        <v>0</v>
      </c>
      <c r="U16" s="1302" t="str">
        <f t="shared" si="5"/>
        <v>42 - Aluguel de Compressor</v>
      </c>
      <c r="V16" s="1302"/>
      <c r="W16" s="1302"/>
      <c r="X16" s="1302"/>
      <c r="Y16" s="1302"/>
      <c r="Z16" s="402">
        <f t="shared" si="3"/>
        <v>3.461640239672667E-2</v>
      </c>
      <c r="AA16" s="375">
        <f t="shared" si="10"/>
        <v>0.56381465663291586</v>
      </c>
      <c r="AB16" s="376" cm="1">
        <f t="array" ref="AB16">IFERROR(INDEX($R$55:$R$176,MATCH(1,($AN$55:$AN$176=U16)*($Q$55:$Q$176="Previsto"), 0) ), "")</f>
        <v>0.43</v>
      </c>
      <c r="AC16" s="376" cm="1">
        <f t="array" ref="AC16">IFERROR( INDEX($R$55:$R$176,MATCH(1,($AN$55:$AN$176=U16)*($Q$55:$Q$176="Real"),0)),"")</f>
        <v>1</v>
      </c>
      <c r="AD16" s="400" t="str">
        <f t="shared" si="7"/>
        <v>CONCLUÍDO</v>
      </c>
      <c r="AE16" s="376">
        <v>1</v>
      </c>
      <c r="AF16" s="47"/>
      <c r="AG16" s="47"/>
      <c r="AH16" s="47"/>
      <c r="AI16" s="47"/>
      <c r="AS16" s="114">
        <v>0.49580000000000002</v>
      </c>
      <c r="AT16" s="188">
        <v>0.96419999999999995</v>
      </c>
    </row>
    <row r="17" spans="1:47" ht="20.100000000000001" customHeight="1" x14ac:dyDescent="0.3">
      <c r="A17" s="47"/>
      <c r="B17" s="47"/>
      <c r="C17" s="47"/>
      <c r="D17" s="47"/>
      <c r="E17" s="47"/>
      <c r="F17" s="47" t="s">
        <v>93</v>
      </c>
      <c r="G17" s="967">
        <f>SUMIF($B$55:$B$176,F17,$N$55:$N$176)</f>
        <v>0</v>
      </c>
      <c r="H17" s="47"/>
      <c r="I17" s="47"/>
      <c r="J17" s="47"/>
      <c r="K17" s="47"/>
      <c r="L17" s="47"/>
      <c r="M17" s="47"/>
      <c r="N17" s="47"/>
      <c r="O17" s="377">
        <v>12</v>
      </c>
      <c r="P17" s="399" t="str">
        <f t="shared" si="0"/>
        <v>Kaizen</v>
      </c>
      <c r="Q17" s="378">
        <f t="shared" si="4"/>
        <v>135186</v>
      </c>
      <c r="R17" s="544">
        <f t="shared" si="1"/>
        <v>0</v>
      </c>
      <c r="S17" s="535">
        <f t="shared" si="2"/>
        <v>0</v>
      </c>
      <c r="T17" s="544" cm="1">
        <f t="array" aca="1" ref="T17" ca="1">SUMPRODUCT(($C$55:$C$175=U17)*(S$54:$AG$54&lt;=TODAY())*(ISNUMBER(S$56:$AG$176)),S$56:$AG$176)</f>
        <v>0</v>
      </c>
      <c r="U17" s="1301" t="str">
        <f t="shared" si="5"/>
        <v>02 - Redução na quantidade de lâmpadas acessa, na produção</v>
      </c>
      <c r="V17" s="1301"/>
      <c r="W17" s="1301"/>
      <c r="X17" s="1301"/>
      <c r="Y17" s="1301"/>
      <c r="Z17" s="403">
        <f t="shared" si="3"/>
        <v>2.9247831090024323E-2</v>
      </c>
      <c r="AA17" s="380">
        <f t="shared" si="10"/>
        <v>0.59306248772294023</v>
      </c>
      <c r="AB17" s="381" cm="1">
        <f t="array" ref="AB17">IFERROR(INDEX($R$55:$R$176,MATCH(1,($AN$55:$AN$176=U17)*($Q$55:$Q$176="Previsto"), 0) ), "")</f>
        <v>1</v>
      </c>
      <c r="AC17" s="381" cm="1">
        <f t="array" ref="AC17">IFERROR( INDEX($R$55:$R$176,MATCH(1,($AN$55:$AN$176=U17)*($Q$55:$Q$176="Real"),0)),"")</f>
        <v>1</v>
      </c>
      <c r="AD17" s="401" t="str">
        <f t="shared" si="7"/>
        <v>CONCLUÍDO</v>
      </c>
      <c r="AE17" s="381">
        <v>1</v>
      </c>
      <c r="AF17" s="47"/>
      <c r="AG17" s="47"/>
      <c r="AH17" s="47"/>
      <c r="AI17" s="47"/>
      <c r="AS17" s="187">
        <f>AVERAGE(AS5:AS16)</f>
        <v>0.46729999999999999</v>
      </c>
      <c r="AT17" s="187">
        <f>AVERAGE(AT5:AT16)</f>
        <v>0.73107500000000003</v>
      </c>
      <c r="AU17" s="189">
        <f>AT17*AS17</f>
        <v>0.34163134750000002</v>
      </c>
    </row>
    <row r="18" spans="1:47" ht="20.100000000000001" customHeight="1" x14ac:dyDescent="0.3">
      <c r="A18" s="47"/>
      <c r="B18" s="47"/>
      <c r="C18" s="47"/>
      <c r="D18" s="47"/>
      <c r="E18" s="47"/>
      <c r="F18" s="47" t="s">
        <v>94</v>
      </c>
      <c r="G18" s="967">
        <f>SUMIF($B$55:$B$176,F18,$N$55:$N$176)</f>
        <v>0</v>
      </c>
      <c r="H18" s="47"/>
      <c r="I18" s="47"/>
      <c r="J18" s="47"/>
      <c r="K18" s="47"/>
      <c r="L18" s="47"/>
      <c r="M18" s="47"/>
      <c r="N18" s="47"/>
      <c r="O18" s="372">
        <v>13</v>
      </c>
      <c r="P18" s="398" t="str">
        <f t="shared" si="0"/>
        <v>BSW</v>
      </c>
      <c r="Q18" s="373">
        <f t="shared" si="4"/>
        <v>115000</v>
      </c>
      <c r="R18" s="543">
        <f t="shared" si="1"/>
        <v>39111.769999999997</v>
      </c>
      <c r="S18" s="534">
        <f t="shared" si="2"/>
        <v>46174</v>
      </c>
      <c r="T18" s="543" cm="1">
        <f t="array" aca="1" ref="T18" ca="1">SUMPRODUCT(($C$55:$C$175=U18)*(S$54:$AG$54&lt;=TODAY())*(ISNUMBER(S$56:$AG$176)),S$56:$AG$176)</f>
        <v>0</v>
      </c>
      <c r="U18" s="1302" t="str">
        <f t="shared" si="5"/>
        <v>30 - DA000491Z_DE000492Z - STC Scania G_</v>
      </c>
      <c r="V18" s="1302"/>
      <c r="W18" s="1302"/>
      <c r="X18" s="1302"/>
      <c r="Y18" s="1302"/>
      <c r="Z18" s="402">
        <f t="shared" si="3"/>
        <v>2.4880539222647297E-2</v>
      </c>
      <c r="AA18" s="375">
        <f t="shared" si="10"/>
        <v>0.61794302694558756</v>
      </c>
      <c r="AB18" s="376" cm="1">
        <f t="array" ref="AB18">IFERROR(INDEX($R$55:$R$176,MATCH(1,($AN$55:$AN$176=U18)*($Q$55:$Q$176="Previsto"), 0) ), "")</f>
        <v>1</v>
      </c>
      <c r="AC18" s="376" cm="1">
        <f t="array" ref="AC18">IFERROR( INDEX($R$55:$R$176,MATCH(1,($AN$55:$AN$176=U18)*($Q$55:$Q$176="Real"),0)),"")</f>
        <v>0.95</v>
      </c>
      <c r="AD18" s="400" t="str">
        <f t="shared" si="7"/>
        <v>ATRASO</v>
      </c>
      <c r="AE18" s="376">
        <v>1</v>
      </c>
      <c r="AF18" s="47"/>
      <c r="AG18" s="47"/>
      <c r="AH18" s="47"/>
      <c r="AI18" s="47"/>
    </row>
    <row r="19" spans="1:47" ht="20.100000000000001" customHeight="1" x14ac:dyDescent="0.3">
      <c r="A19" s="47"/>
      <c r="B19" s="47"/>
      <c r="C19" s="47"/>
      <c r="D19" s="47"/>
      <c r="E19" s="47"/>
      <c r="F19" s="47"/>
      <c r="G19" s="47"/>
      <c r="H19" s="47"/>
      <c r="I19" s="47"/>
      <c r="J19" s="47"/>
      <c r="K19" s="47"/>
      <c r="L19" s="47"/>
      <c r="M19" s="47"/>
      <c r="N19" s="47"/>
      <c r="O19" s="377">
        <v>14</v>
      </c>
      <c r="P19" s="399" t="str">
        <f t="shared" si="0"/>
        <v>BSW</v>
      </c>
      <c r="Q19" s="378">
        <f t="shared" si="4"/>
        <v>106000</v>
      </c>
      <c r="R19" s="544">
        <f t="shared" si="1"/>
        <v>99381.26</v>
      </c>
      <c r="S19" s="535">
        <f t="shared" si="2"/>
        <v>46136</v>
      </c>
      <c r="T19" s="544" cm="1">
        <f t="array" aca="1" ref="T19" ca="1">SUMPRODUCT(($C$55:$C$175=U19)*(S$54:$AG$54&lt;=TODAY())*(ISNUMBER(S$56:$AG$176)),S$56:$AG$176)</f>
        <v>34660.771754999863</v>
      </c>
      <c r="U19" s="1301" t="str">
        <f t="shared" si="5"/>
        <v>45 - Redução de MP GM000409Z</v>
      </c>
      <c r="V19" s="1301"/>
      <c r="W19" s="1301"/>
      <c r="X19" s="1301"/>
      <c r="Y19" s="1301"/>
      <c r="Z19" s="403">
        <f t="shared" si="3"/>
        <v>2.2933366587831419E-2</v>
      </c>
      <c r="AA19" s="380">
        <f t="shared" si="10"/>
        <v>0.64087639353341896</v>
      </c>
      <c r="AB19" s="381" cm="1">
        <f t="array" ref="AB19">IFERROR(INDEX($R$55:$R$176,MATCH(1,($AN$55:$AN$176=U19)*($Q$55:$Q$176="Previsto"), 0) ), "")</f>
        <v>0.88</v>
      </c>
      <c r="AC19" s="381" cm="1">
        <f t="array" ref="AC19">IFERROR( INDEX($R$55:$R$176,MATCH(1,($AN$55:$AN$176=U19)*($Q$55:$Q$176="Real"),0)),"")</f>
        <v>0.97</v>
      </c>
      <c r="AD19" s="401" t="str">
        <f t="shared" si="7"/>
        <v>ADIANTADO</v>
      </c>
      <c r="AE19" s="381">
        <v>1</v>
      </c>
      <c r="AF19" s="47"/>
      <c r="AG19" s="47"/>
      <c r="AH19" s="47"/>
      <c r="AI19" s="47"/>
    </row>
    <row r="20" spans="1:47" ht="20.100000000000001" customHeight="1" x14ac:dyDescent="0.3">
      <c r="A20" s="47"/>
      <c r="B20" s="47"/>
      <c r="C20" s="47"/>
      <c r="D20" s="47"/>
      <c r="E20" s="47"/>
      <c r="F20" s="47"/>
      <c r="G20" s="47"/>
      <c r="H20" s="47"/>
      <c r="I20" s="47"/>
      <c r="J20" s="47"/>
      <c r="K20" s="47"/>
      <c r="L20" s="47"/>
      <c r="M20" s="47"/>
      <c r="N20" s="47"/>
      <c r="O20" s="372">
        <v>15</v>
      </c>
      <c r="P20" s="398" t="str">
        <f t="shared" si="0"/>
        <v>Kaizen</v>
      </c>
      <c r="Q20" s="373">
        <f t="shared" si="4"/>
        <v>96000</v>
      </c>
      <c r="R20" s="543">
        <f t="shared" si="1"/>
        <v>0</v>
      </c>
      <c r="S20" s="534">
        <f t="shared" si="2"/>
        <v>46204</v>
      </c>
      <c r="T20" s="543" cm="1">
        <f t="array" aca="1" ref="T20" ca="1">SUMPRODUCT(($C$55:$C$175=U20)*(S$54:$AG$54&lt;=TODAY())*(ISNUMBER(S$56:$AG$176)),S$56:$AG$176)</f>
        <v>0</v>
      </c>
      <c r="U20" s="1302" t="str">
        <f t="shared" si="5"/>
        <v>43 - Automação Boomerang</v>
      </c>
      <c r="V20" s="1302"/>
      <c r="W20" s="1302"/>
      <c r="X20" s="1302"/>
      <c r="Y20" s="1302"/>
      <c r="Z20" s="402">
        <f t="shared" si="3"/>
        <v>2.0769841438036004E-2</v>
      </c>
      <c r="AA20" s="375">
        <f t="shared" si="10"/>
        <v>0.66164623497145492</v>
      </c>
      <c r="AB20" s="376" cm="1">
        <f t="array" ref="AB20">IFERROR(INDEX($R$55:$R$176,MATCH(1,($AN$55:$AN$176=U20)*($Q$55:$Q$176="Previsto"), 0) ), "")</f>
        <v>0.3</v>
      </c>
      <c r="AC20" s="376" cm="1">
        <f t="array" ref="AC20">IFERROR( INDEX($R$55:$R$176,MATCH(1,($AN$55:$AN$176=U20)*($Q$55:$Q$176="Real"),0)),"")</f>
        <v>0.32</v>
      </c>
      <c r="AD20" s="400" t="str">
        <f t="shared" si="7"/>
        <v>ADIANTADO</v>
      </c>
      <c r="AE20" s="376">
        <v>1</v>
      </c>
      <c r="AF20" s="47"/>
      <c r="AG20" s="47"/>
      <c r="AH20" s="47"/>
      <c r="AI20" s="47"/>
    </row>
    <row r="21" spans="1:47" ht="20.100000000000001" customHeight="1" x14ac:dyDescent="0.3">
      <c r="A21" s="47"/>
      <c r="B21" s="47"/>
      <c r="C21" s="47"/>
      <c r="D21" s="47"/>
      <c r="E21" s="47"/>
      <c r="F21" s="47"/>
      <c r="G21" s="47"/>
      <c r="H21" s="47"/>
      <c r="I21" s="47"/>
      <c r="J21" s="47"/>
      <c r="K21" s="47"/>
      <c r="L21" s="47"/>
      <c r="M21" s="47"/>
      <c r="N21" s="47"/>
      <c r="O21" s="377">
        <v>16</v>
      </c>
      <c r="P21" s="399" t="str">
        <f t="shared" si="0"/>
        <v>BSW</v>
      </c>
      <c r="Q21" s="378">
        <f t="shared" si="4"/>
        <v>92500</v>
      </c>
      <c r="R21" s="544">
        <f t="shared" si="1"/>
        <v>153302.57999999999</v>
      </c>
      <c r="S21" s="535">
        <f t="shared" si="2"/>
        <v>46174</v>
      </c>
      <c r="T21" s="544" cm="1">
        <f t="array" aca="1" ref="T21" ca="1">SUMPRODUCT(($C$55:$C$175=U21)*(S$54:$AG$54&lt;=TODAY())*(ISNUMBER(S$56:$AG$176)),S$56:$AG$176)</f>
        <v>0</v>
      </c>
      <c r="U21" s="1301" t="str">
        <f t="shared" si="5"/>
        <v>50 - Suporte da lanterna MB003681</v>
      </c>
      <c r="V21" s="1301"/>
      <c r="W21" s="1301"/>
      <c r="X21" s="1301"/>
      <c r="Y21" s="1301"/>
      <c r="Z21" s="403">
        <f t="shared" si="3"/>
        <v>2.0012607635607606E-2</v>
      </c>
      <c r="AA21" s="380">
        <f t="shared" si="10"/>
        <v>0.68165884260706255</v>
      </c>
      <c r="AB21" s="381" cm="1">
        <f t="array" ref="AB21">IFERROR(INDEX($R$55:$R$176,MATCH(1,($AN$55:$AN$176=U21)*($Q$55:$Q$176="Previsto"), 0) ), "")</f>
        <v>0.86</v>
      </c>
      <c r="AC21" s="381" cm="1">
        <f t="array" ref="AC21">IFERROR( INDEX($R$55:$R$176,MATCH(1,($AN$55:$AN$176=U21)*($Q$55:$Q$176="Real"),0)),"")</f>
        <v>0.86</v>
      </c>
      <c r="AD21" s="401" t="str">
        <f t="shared" si="7"/>
        <v>CONFORME PLANEJADO</v>
      </c>
      <c r="AE21" s="381">
        <v>1</v>
      </c>
      <c r="AF21" s="47"/>
      <c r="AG21" s="47"/>
      <c r="AH21" s="47"/>
      <c r="AI21" s="47"/>
    </row>
    <row r="22" spans="1:47" ht="20.100000000000001" customHeight="1" x14ac:dyDescent="0.3">
      <c r="A22" s="47"/>
      <c r="B22" s="47"/>
      <c r="C22" s="47"/>
      <c r="D22" s="47"/>
      <c r="E22" s="47"/>
      <c r="F22" s="47"/>
      <c r="G22" s="47"/>
      <c r="H22" s="47"/>
      <c r="I22" s="47"/>
      <c r="J22" s="47"/>
      <c r="K22" s="47"/>
      <c r="L22" s="47"/>
      <c r="M22" s="47"/>
      <c r="N22" s="47"/>
      <c r="O22" s="372">
        <v>17</v>
      </c>
      <c r="P22" s="398" t="str">
        <f t="shared" si="0"/>
        <v>BSW</v>
      </c>
      <c r="Q22" s="373">
        <f t="shared" si="4"/>
        <v>91200</v>
      </c>
      <c r="R22" s="543">
        <f t="shared" si="1"/>
        <v>28666.410000000003</v>
      </c>
      <c r="S22" s="534">
        <f t="shared" si="2"/>
        <v>46204</v>
      </c>
      <c r="T22" s="543" cm="1">
        <f t="array" aca="1" ref="T22" ca="1">SUMPRODUCT(($C$55:$C$175=U22)*(S$54:$AG$54&lt;=TODAY())*(ISNUMBER(S$56:$AG$176)),S$56:$AG$176)</f>
        <v>0</v>
      </c>
      <c r="U22" s="1302" t="str">
        <f t="shared" si="5"/>
        <v>56 -Redução de Peso Bruto do item SV001141LA / SV001142LA</v>
      </c>
      <c r="V22" s="1302"/>
      <c r="W22" s="1302"/>
      <c r="X22" s="1302"/>
      <c r="Y22" s="1302"/>
      <c r="Z22" s="402">
        <f t="shared" si="3"/>
        <v>1.9731349366134202E-2</v>
      </c>
      <c r="AA22" s="375">
        <f t="shared" si="10"/>
        <v>0.70139019197319674</v>
      </c>
      <c r="AB22" s="376" cm="1">
        <f t="array" aca="1" ref="AB22" ca="1">IFERROR(INDEX($R$55:$R$176,MATCH(1,($AN$55:$AN$176=U22)*($Q$55:$Q$176="Previsto"), 0) ), "")</f>
        <v>0.86792452830188682</v>
      </c>
      <c r="AC22" s="376" cm="1">
        <f t="array" ref="AC22">IFERROR( INDEX($R$55:$R$176,MATCH(1,($AN$55:$AN$176=U22)*($Q$55:$Q$176="Real"),0)),"")</f>
        <v>0.75</v>
      </c>
      <c r="AD22" s="400" t="str">
        <f t="shared" ca="1" si="7"/>
        <v>ATRASO</v>
      </c>
      <c r="AE22" s="376">
        <v>1</v>
      </c>
      <c r="AF22" s="47"/>
      <c r="AG22" s="47"/>
      <c r="AH22" s="47"/>
      <c r="AI22" s="47"/>
    </row>
    <row r="23" spans="1:47" ht="20.100000000000001" customHeight="1" x14ac:dyDescent="0.3">
      <c r="A23" s="47"/>
      <c r="B23" s="47"/>
      <c r="C23" s="47"/>
      <c r="D23" s="47"/>
      <c r="E23" s="47"/>
      <c r="F23" s="47"/>
      <c r="G23" s="47"/>
      <c r="H23" s="47"/>
      <c r="I23" s="47"/>
      <c r="J23" s="47"/>
      <c r="K23" s="47"/>
      <c r="L23" s="47"/>
      <c r="M23" s="47"/>
      <c r="N23" s="47"/>
      <c r="O23" s="377">
        <v>18</v>
      </c>
      <c r="P23" s="399" t="str">
        <f t="shared" si="0"/>
        <v>BSW</v>
      </c>
      <c r="Q23" s="378">
        <f t="shared" si="4"/>
        <v>90000.000000098997</v>
      </c>
      <c r="R23" s="544">
        <f t="shared" si="1"/>
        <v>41632.629999999997</v>
      </c>
      <c r="S23" s="535">
        <f t="shared" si="2"/>
        <v>46174</v>
      </c>
      <c r="T23" s="544" cm="1">
        <f t="array" aca="1" ref="T23" ca="1">SUMPRODUCT(($C$55:$C$175=U23)*(S$54:$AG$54&lt;=TODAY())*(ISNUMBER(S$56:$AG$176)),S$56:$AG$176)</f>
        <v>0</v>
      </c>
      <c r="U23" s="1301" t="str">
        <f t="shared" si="5"/>
        <v>27 - DA000459AA - STC Volvo_</v>
      </c>
      <c r="V23" s="1301"/>
      <c r="W23" s="1301"/>
      <c r="X23" s="1301"/>
      <c r="Y23" s="1301"/>
      <c r="Z23" s="403">
        <f t="shared" si="3"/>
        <v>1.947172634818017E-2</v>
      </c>
      <c r="AA23" s="380">
        <f t="shared" si="10"/>
        <v>0.72086191832137692</v>
      </c>
      <c r="AB23" s="381" cm="1">
        <f t="array" ref="AB23">IFERROR(INDEX($R$55:$R$176,MATCH(1,($AN$55:$AN$176=U23)*($Q$55:$Q$176="Previsto"), 0) ), "")</f>
        <v>1</v>
      </c>
      <c r="AC23" s="381" cm="1">
        <f t="array" ref="AC23">IFERROR( INDEX($R$55:$R$176,MATCH(1,($AN$55:$AN$176=U23)*($Q$55:$Q$176="Real"),0)),"")</f>
        <v>1</v>
      </c>
      <c r="AD23" s="401" t="str">
        <f t="shared" si="7"/>
        <v>CONCLUÍDO</v>
      </c>
      <c r="AE23" s="381">
        <v>1</v>
      </c>
      <c r="AF23" s="47"/>
      <c r="AG23" s="47"/>
      <c r="AH23" s="47"/>
      <c r="AI23" s="47"/>
    </row>
    <row r="24" spans="1:47" ht="20.100000000000001" customHeight="1" x14ac:dyDescent="0.3">
      <c r="A24" s="47"/>
      <c r="B24" s="47"/>
      <c r="C24" s="47"/>
      <c r="D24" s="47"/>
      <c r="E24" s="47"/>
      <c r="F24" s="47"/>
      <c r="G24" s="47"/>
      <c r="H24" s="47"/>
      <c r="I24" s="47"/>
      <c r="J24" s="47"/>
      <c r="K24" s="47"/>
      <c r="L24" s="47"/>
      <c r="M24" s="47"/>
      <c r="N24" s="47"/>
      <c r="O24" s="372">
        <v>19</v>
      </c>
      <c r="P24" s="398" t="str">
        <f t="shared" si="0"/>
        <v>Redução de custo</v>
      </c>
      <c r="Q24" s="373">
        <f t="shared" si="4"/>
        <v>68000</v>
      </c>
      <c r="R24" s="543">
        <f t="shared" si="1"/>
        <v>56610.76</v>
      </c>
      <c r="S24" s="534">
        <f t="shared" si="2"/>
        <v>46082</v>
      </c>
      <c r="T24" s="543" cm="1">
        <f t="array" aca="1" ref="T24" ca="1">SUMPRODUCT(($C$55:$C$175=U24)*(S$54:$AG$54&lt;=TODAY())*(ISNUMBER(S$56:$AG$176)),S$56:$AG$176)</f>
        <v>15439.297500000008</v>
      </c>
      <c r="U24" s="1302" t="str">
        <f t="shared" si="5"/>
        <v>05 - Empilhadeira - Diadema</v>
      </c>
      <c r="V24" s="1302"/>
      <c r="W24" s="1302"/>
      <c r="X24" s="1302"/>
      <c r="Y24" s="1302"/>
      <c r="Z24" s="402">
        <f t="shared" si="3"/>
        <v>1.4711971018608836E-2</v>
      </c>
      <c r="AA24" s="375">
        <f t="shared" si="10"/>
        <v>0.7355738893399858</v>
      </c>
      <c r="AB24" s="376" cm="1">
        <f t="array" ref="AB24">IFERROR(INDEX($R$55:$R$176,MATCH(1,($AN$55:$AN$176=U24)*($Q$55:$Q$176="Previsto"), 0) ), "")</f>
        <v>1</v>
      </c>
      <c r="AC24" s="376" cm="1">
        <f t="array" ref="AC24">IFERROR( INDEX($R$55:$R$176,MATCH(1,($AN$55:$AN$176=U24)*($Q$55:$Q$176="Real"),0)),"")</f>
        <v>1</v>
      </c>
      <c r="AD24" s="400" t="str">
        <f t="shared" si="7"/>
        <v>CONCLUÍDO</v>
      </c>
      <c r="AE24" s="376">
        <v>1</v>
      </c>
      <c r="AF24" s="47"/>
      <c r="AG24" s="47"/>
      <c r="AH24" s="47"/>
      <c r="AI24" s="47"/>
    </row>
    <row r="25" spans="1:47" ht="20.100000000000001" customHeight="1" x14ac:dyDescent="0.3">
      <c r="A25" s="47"/>
      <c r="B25" s="47"/>
      <c r="C25" s="47"/>
      <c r="D25" s="47"/>
      <c r="E25" s="47"/>
      <c r="F25" s="47"/>
      <c r="G25" s="47"/>
      <c r="H25" s="47"/>
      <c r="I25" s="47"/>
      <c r="J25" s="47"/>
      <c r="K25" s="47"/>
      <c r="L25" s="47"/>
      <c r="M25" s="47"/>
      <c r="N25" s="47"/>
      <c r="O25" s="432">
        <v>20</v>
      </c>
      <c r="P25" s="433" t="str">
        <f t="shared" si="0"/>
        <v>BSW</v>
      </c>
      <c r="Q25" s="434">
        <f t="shared" si="4"/>
        <v>63600</v>
      </c>
      <c r="R25" s="545">
        <f t="shared" si="1"/>
        <v>0</v>
      </c>
      <c r="S25" s="535">
        <f t="shared" si="2"/>
        <v>46204</v>
      </c>
      <c r="T25" s="544" cm="1">
        <f t="array" aca="1" ref="T25" ca="1">SUMPRODUCT(($C$55:$C$175=U25)*(S$54:$AG$54&lt;=TODAY())*(ISNUMBER(S$56:$AG$176)),S$56:$AG$176)</f>
        <v>0</v>
      </c>
      <c r="U25" s="1301" t="str">
        <f>IFERROR(
   HYPERLINK(
      INDEX(Diadema!$D$55:$D$176,
             MATCH(Q25,Diadema!$I$55:$I$176,0)
      ),
      INDEX(Diadema!$C$55:$C$176,
             MATCH(Q25,Diadema!$I$55:$I$176,0)
      )
   ),
   ""
)</f>
        <v>49 - REDUÇÃO DE MP GM000408Z / GM000409Z</v>
      </c>
      <c r="V25" s="1301"/>
      <c r="W25" s="1301"/>
      <c r="X25" s="1301"/>
      <c r="Y25" s="1301"/>
      <c r="Z25" s="403">
        <f t="shared" si="3"/>
        <v>1.3760019952698852E-2</v>
      </c>
      <c r="AA25" s="380">
        <f t="shared" si="10"/>
        <v>0.74933390929268462</v>
      </c>
      <c r="AB25" s="381" cm="1">
        <f t="array" ref="AB25">IFERROR(INDEX($R$55:$R$176,MATCH(1,($AN$55:$AN$176=U25)*($Q$55:$Q$176="Previsto"), 0) ), "")</f>
        <v>0.28000000000000003</v>
      </c>
      <c r="AC25" s="381" cm="1">
        <f t="array" ref="AC25">IFERROR( INDEX($R$55:$R$176,MATCH(1,($AN$55:$AN$176=U25)*($Q$55:$Q$176="Real"),0)),"")</f>
        <v>1</v>
      </c>
      <c r="AD25" s="401" t="str">
        <f t="shared" si="7"/>
        <v>CONCLUÍDO</v>
      </c>
      <c r="AE25" s="381">
        <v>0.5</v>
      </c>
      <c r="AF25" s="47"/>
      <c r="AG25" s="47"/>
      <c r="AH25" s="47"/>
      <c r="AI25" s="47"/>
    </row>
    <row r="26" spans="1:47" ht="20.100000000000001" customHeight="1" x14ac:dyDescent="0.3">
      <c r="A26" s="47"/>
      <c r="B26" s="47"/>
      <c r="C26" s="47"/>
      <c r="D26" s="47"/>
      <c r="E26" s="47"/>
      <c r="F26" s="47"/>
      <c r="G26" s="47"/>
      <c r="H26" s="47"/>
      <c r="I26" s="47"/>
      <c r="J26" s="47"/>
      <c r="K26" s="47"/>
      <c r="L26" s="47"/>
      <c r="M26" s="47"/>
      <c r="N26" s="47"/>
      <c r="O26" s="1079" t="s">
        <v>133</v>
      </c>
      <c r="P26" s="1080"/>
      <c r="Q26" s="435">
        <f>SUM(Q6:Q25)</f>
        <v>3463486.0120000993</v>
      </c>
      <c r="R26" s="546">
        <f>SUM(R6:R25)</f>
        <v>1754354.67</v>
      </c>
      <c r="S26" s="47"/>
      <c r="T26" s="47"/>
      <c r="U26" s="47"/>
      <c r="V26" s="47"/>
      <c r="W26" s="47"/>
      <c r="X26" s="47"/>
      <c r="Y26" s="47"/>
      <c r="Z26" s="47"/>
      <c r="AA26" s="47"/>
      <c r="AB26" s="47"/>
      <c r="AC26" s="47"/>
      <c r="AD26" s="47"/>
      <c r="AE26" s="47"/>
      <c r="AF26" s="47"/>
    </row>
    <row r="27" spans="1:47" ht="15.6" x14ac:dyDescent="0.3">
      <c r="A27" s="63" t="s">
        <v>134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47"/>
    </row>
    <row r="28" spans="1:47" ht="27" customHeight="1" x14ac:dyDescent="0.3">
      <c r="A28" s="64" t="s">
        <v>135</v>
      </c>
      <c r="B28" s="65" t="s">
        <v>31</v>
      </c>
      <c r="C28" s="65" t="s">
        <v>136</v>
      </c>
      <c r="D28" s="65" t="s">
        <v>137</v>
      </c>
      <c r="E28" s="65" t="s">
        <v>138</v>
      </c>
      <c r="F28" s="65" t="s">
        <v>139</v>
      </c>
      <c r="G28" s="65" t="s">
        <v>140</v>
      </c>
      <c r="H28" s="65" t="s">
        <v>141</v>
      </c>
      <c r="I28" s="66" t="s">
        <v>142</v>
      </c>
      <c r="J28" s="65" t="s">
        <v>143</v>
      </c>
      <c r="K28" s="66" t="s">
        <v>144</v>
      </c>
      <c r="L28" s="65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525" t="s">
        <v>163</v>
      </c>
      <c r="AE28" s="527" t="s">
        <v>164</v>
      </c>
      <c r="AF28" s="47"/>
    </row>
    <row r="29" spans="1:47" x14ac:dyDescent="0.3">
      <c r="A29" s="67" t="s">
        <v>165</v>
      </c>
      <c r="B29" s="68" t="s">
        <v>166</v>
      </c>
      <c r="C29" s="197" t="s">
        <v>167</v>
      </c>
      <c r="D29" s="69" t="s">
        <v>168</v>
      </c>
      <c r="E29" s="197" t="s">
        <v>169</v>
      </c>
      <c r="F29" s="327">
        <v>0.34599999999999997</v>
      </c>
      <c r="G29" s="327">
        <v>0.36099999999999999</v>
      </c>
      <c r="H29" s="779">
        <v>0.32100000000000001</v>
      </c>
      <c r="I29" s="330" t="s">
        <v>170</v>
      </c>
      <c r="J29" s="778">
        <v>0.33</v>
      </c>
      <c r="K29" s="653" t="s">
        <v>170</v>
      </c>
      <c r="L29" s="777">
        <v>0.32600000000000001</v>
      </c>
      <c r="M29" s="654" t="s">
        <v>170</v>
      </c>
      <c r="N29" s="914">
        <v>0.35799999999999998</v>
      </c>
      <c r="O29" s="911" t="s">
        <v>170</v>
      </c>
      <c r="P29" s="327">
        <v>0.35799999999999998</v>
      </c>
      <c r="Q29" s="330" t="s">
        <v>170</v>
      </c>
      <c r="R29" s="281"/>
      <c r="S29" s="330"/>
      <c r="T29" s="281"/>
      <c r="U29" s="330"/>
      <c r="V29" s="281"/>
      <c r="W29" s="330"/>
      <c r="X29" s="281"/>
      <c r="Y29" s="522"/>
      <c r="Z29" s="328"/>
      <c r="AA29" s="522"/>
      <c r="AB29" s="328"/>
      <c r="AC29" s="522"/>
      <c r="AD29" s="328"/>
      <c r="AE29" s="526"/>
      <c r="AF29" s="320"/>
    </row>
    <row r="30" spans="1:47" x14ac:dyDescent="0.3">
      <c r="A30" s="67" t="s">
        <v>165</v>
      </c>
      <c r="B30" s="68" t="s">
        <v>171</v>
      </c>
      <c r="C30" s="197" t="s">
        <v>167</v>
      </c>
      <c r="D30" s="68" t="s">
        <v>168</v>
      </c>
      <c r="E30" s="197" t="s">
        <v>172</v>
      </c>
      <c r="F30" s="329">
        <v>3.0000000000000001E-3</v>
      </c>
      <c r="G30" s="329">
        <v>2E-3</v>
      </c>
      <c r="H30" s="480">
        <v>2.0100000000000001E-3</v>
      </c>
      <c r="I30" s="330" t="s">
        <v>173</v>
      </c>
      <c r="J30" s="329">
        <v>6.4999999999999997E-3</v>
      </c>
      <c r="K30" s="653" t="s">
        <v>173</v>
      </c>
      <c r="L30" s="329">
        <v>4.1999999999999997E-3</v>
      </c>
      <c r="M30" s="654" t="s">
        <v>173</v>
      </c>
      <c r="N30" s="915">
        <v>4.3E-3</v>
      </c>
      <c r="O30" s="912" t="s">
        <v>173</v>
      </c>
      <c r="P30" s="329">
        <v>2.8E-3</v>
      </c>
      <c r="Q30" s="330" t="s">
        <v>173</v>
      </c>
      <c r="R30" s="330"/>
      <c r="S30" s="330"/>
      <c r="T30" s="330"/>
      <c r="U30" s="330"/>
      <c r="V30" s="330"/>
      <c r="W30" s="330"/>
      <c r="X30" s="330"/>
      <c r="Y30" s="523"/>
      <c r="Z30" s="330"/>
      <c r="AA30" s="523"/>
      <c r="AB30" s="330"/>
      <c r="AC30" s="523"/>
      <c r="AD30" s="330"/>
      <c r="AE30" s="523"/>
      <c r="AF30" s="320"/>
    </row>
    <row r="31" spans="1:47" x14ac:dyDescent="0.3">
      <c r="A31" s="67" t="s">
        <v>174</v>
      </c>
      <c r="B31" s="68" t="s">
        <v>175</v>
      </c>
      <c r="C31" s="197" t="s">
        <v>167</v>
      </c>
      <c r="D31" s="68" t="s">
        <v>176</v>
      </c>
      <c r="E31" s="197" t="s">
        <v>169</v>
      </c>
      <c r="F31" s="329">
        <v>0.501</v>
      </c>
      <c r="G31" s="329">
        <v>0.56000000000000005</v>
      </c>
      <c r="H31" s="329">
        <v>0.48430000000000001</v>
      </c>
      <c r="I31" s="330" t="s">
        <v>177</v>
      </c>
      <c r="J31" s="329">
        <f>J33*J34*J35</f>
        <v>0.51104831887200008</v>
      </c>
      <c r="K31" s="653" t="s">
        <v>178</v>
      </c>
      <c r="L31" s="329">
        <f>L33*L34*L35</f>
        <v>0.66519873403199992</v>
      </c>
      <c r="M31" s="654" t="s">
        <v>178</v>
      </c>
      <c r="N31" s="914">
        <v>0.72019999999999995</v>
      </c>
      <c r="O31" s="911" t="s">
        <v>178</v>
      </c>
      <c r="P31" s="329">
        <v>0.69489999999999996</v>
      </c>
      <c r="Q31" s="330" t="s">
        <v>178</v>
      </c>
      <c r="R31" s="330"/>
      <c r="S31" s="330"/>
      <c r="T31" s="330"/>
      <c r="U31" s="330"/>
      <c r="V31" s="330"/>
      <c r="W31" s="330"/>
      <c r="X31" s="330"/>
      <c r="Y31" s="522"/>
      <c r="Z31" s="328"/>
      <c r="AA31" s="522"/>
      <c r="AB31" s="328"/>
      <c r="AC31" s="522"/>
      <c r="AD31" s="328"/>
      <c r="AE31" s="522"/>
      <c r="AF31" s="320"/>
    </row>
    <row r="32" spans="1:47" x14ac:dyDescent="0.3">
      <c r="A32" s="67" t="s">
        <v>174</v>
      </c>
      <c r="B32" s="68" t="s">
        <v>179</v>
      </c>
      <c r="C32" s="197" t="s">
        <v>167</v>
      </c>
      <c r="D32" s="68" t="s">
        <v>168</v>
      </c>
      <c r="E32" s="197" t="s">
        <v>169</v>
      </c>
      <c r="F32" s="480">
        <v>0.56200000000000006</v>
      </c>
      <c r="G32" s="480">
        <v>0.64</v>
      </c>
      <c r="H32" s="480">
        <v>0.55100000000000005</v>
      </c>
      <c r="I32" s="330" t="s">
        <v>177</v>
      </c>
      <c r="J32" s="329">
        <v>0.56100000000000005</v>
      </c>
      <c r="K32" s="653" t="s">
        <v>177</v>
      </c>
      <c r="L32" s="331">
        <v>0.53</v>
      </c>
      <c r="M32" s="654" t="s">
        <v>180</v>
      </c>
      <c r="N32" s="915">
        <v>0.50800000000000001</v>
      </c>
      <c r="O32" s="912" t="s">
        <v>180</v>
      </c>
      <c r="P32" s="329">
        <v>0.52300000000000002</v>
      </c>
      <c r="Q32" s="330" t="s">
        <v>180</v>
      </c>
      <c r="R32" s="330"/>
      <c r="S32" s="330"/>
      <c r="T32" s="330"/>
      <c r="U32" s="330"/>
      <c r="V32" s="330"/>
      <c r="W32" s="330"/>
      <c r="X32" s="330"/>
      <c r="Y32" s="523"/>
      <c r="Z32" s="330"/>
      <c r="AA32" s="523"/>
      <c r="AB32" s="330"/>
      <c r="AC32" s="523"/>
      <c r="AD32" s="330"/>
      <c r="AE32" s="523"/>
      <c r="AF32" s="320"/>
    </row>
    <row r="33" spans="1:34" x14ac:dyDescent="0.3">
      <c r="A33" s="67" t="s">
        <v>174</v>
      </c>
      <c r="B33" s="68" t="s">
        <v>181</v>
      </c>
      <c r="C33" s="197" t="s">
        <v>167</v>
      </c>
      <c r="D33" s="68" t="s">
        <v>176</v>
      </c>
      <c r="E33" s="197" t="s">
        <v>169</v>
      </c>
      <c r="F33" s="329">
        <v>0.92610000000000003</v>
      </c>
      <c r="G33" s="329">
        <v>0.95</v>
      </c>
      <c r="H33" s="329">
        <v>0.8992</v>
      </c>
      <c r="I33" s="330" t="s">
        <v>177</v>
      </c>
      <c r="J33" s="329">
        <v>0.88790000000000002</v>
      </c>
      <c r="K33" s="653" t="s">
        <v>178</v>
      </c>
      <c r="L33" s="329">
        <v>0.95079999999999998</v>
      </c>
      <c r="M33" s="654" t="s">
        <v>178</v>
      </c>
      <c r="N33" s="914">
        <v>0.97170000000000001</v>
      </c>
      <c r="O33" s="911" t="s">
        <v>178</v>
      </c>
      <c r="P33" s="329">
        <v>0.94610000000000005</v>
      </c>
      <c r="Q33" s="330" t="s">
        <v>178</v>
      </c>
      <c r="R33" s="330"/>
      <c r="S33" s="330"/>
      <c r="T33" s="330"/>
      <c r="U33" s="330"/>
      <c r="V33" s="330"/>
      <c r="W33" s="330"/>
      <c r="X33" s="330"/>
      <c r="Y33" s="522"/>
      <c r="Z33" s="328"/>
      <c r="AA33" s="522"/>
      <c r="AB33" s="328"/>
      <c r="AC33" s="522"/>
      <c r="AD33" s="328"/>
      <c r="AE33" s="522"/>
      <c r="AF33" s="320"/>
    </row>
    <row r="34" spans="1:34" x14ac:dyDescent="0.3">
      <c r="A34" s="67" t="s">
        <v>174</v>
      </c>
      <c r="B34" s="68" t="s">
        <v>182</v>
      </c>
      <c r="C34" s="197" t="s">
        <v>167</v>
      </c>
      <c r="D34" s="68" t="s">
        <v>176</v>
      </c>
      <c r="E34" s="197" t="s">
        <v>169</v>
      </c>
      <c r="F34" s="329">
        <v>0.95499999999999996</v>
      </c>
      <c r="G34" s="329">
        <v>0.96499999999999997</v>
      </c>
      <c r="H34" s="329">
        <v>0.99950000000000006</v>
      </c>
      <c r="I34" s="330" t="s">
        <v>183</v>
      </c>
      <c r="J34" s="329">
        <v>0.99960000000000004</v>
      </c>
      <c r="K34" s="653" t="s">
        <v>183</v>
      </c>
      <c r="L34" s="329">
        <v>0.99960000000000004</v>
      </c>
      <c r="M34" s="654" t="s">
        <v>178</v>
      </c>
      <c r="N34" s="915">
        <v>0.99970000000000003</v>
      </c>
      <c r="O34" s="912" t="s">
        <v>178</v>
      </c>
      <c r="P34" s="329">
        <v>0.99970000000000003</v>
      </c>
      <c r="Q34" s="330" t="s">
        <v>178</v>
      </c>
      <c r="R34" s="330"/>
      <c r="S34" s="330"/>
      <c r="T34" s="330"/>
      <c r="U34" s="330"/>
      <c r="V34" s="330"/>
      <c r="W34" s="330"/>
      <c r="X34" s="330"/>
      <c r="Y34" s="523"/>
      <c r="Z34" s="330"/>
      <c r="AA34" s="523"/>
      <c r="AB34" s="330"/>
      <c r="AC34" s="523"/>
      <c r="AD34" s="330"/>
      <c r="AE34" s="523"/>
      <c r="AF34" s="320"/>
    </row>
    <row r="35" spans="1:34" x14ac:dyDescent="0.3">
      <c r="A35" s="67" t="s">
        <v>174</v>
      </c>
      <c r="B35" s="68" t="s">
        <v>184</v>
      </c>
      <c r="C35" s="197" t="s">
        <v>167</v>
      </c>
      <c r="D35" s="68" t="s">
        <v>176</v>
      </c>
      <c r="E35" s="197" t="s">
        <v>169</v>
      </c>
      <c r="F35" s="329">
        <v>0.95899999999999996</v>
      </c>
      <c r="G35" s="331">
        <v>0.97</v>
      </c>
      <c r="H35" s="329">
        <v>0.53890000000000005</v>
      </c>
      <c r="I35" s="330" t="s">
        <v>183</v>
      </c>
      <c r="J35" s="329">
        <v>0.57579999999999998</v>
      </c>
      <c r="K35" s="653" t="s">
        <v>183</v>
      </c>
      <c r="L35" s="329">
        <v>0.69989999999999997</v>
      </c>
      <c r="M35" s="654" t="s">
        <v>178</v>
      </c>
      <c r="N35" s="914">
        <v>0.74139999999999995</v>
      </c>
      <c r="O35" s="911" t="s">
        <v>178</v>
      </c>
      <c r="P35" s="329">
        <v>0.73470000000000002</v>
      </c>
      <c r="Q35" s="330" t="s">
        <v>178</v>
      </c>
      <c r="R35" s="330"/>
      <c r="S35" s="330"/>
      <c r="T35" s="330"/>
      <c r="U35" s="330"/>
      <c r="V35" s="330"/>
      <c r="W35" s="330"/>
      <c r="X35" s="330"/>
      <c r="Y35" s="522"/>
      <c r="Z35" s="328"/>
      <c r="AA35" s="522"/>
      <c r="AB35" s="328"/>
      <c r="AC35" s="522"/>
      <c r="AD35" s="328"/>
      <c r="AE35" s="522"/>
      <c r="AF35" s="320"/>
    </row>
    <row r="36" spans="1:34" x14ac:dyDescent="0.3">
      <c r="A36" s="67" t="s">
        <v>174</v>
      </c>
      <c r="B36" s="68" t="s">
        <v>185</v>
      </c>
      <c r="C36" s="197" t="s">
        <v>186</v>
      </c>
      <c r="D36" s="68" t="s">
        <v>168</v>
      </c>
      <c r="E36" s="197" t="s">
        <v>169</v>
      </c>
      <c r="F36" s="326" t="s">
        <v>187</v>
      </c>
      <c r="G36" s="326" t="s">
        <v>188</v>
      </c>
      <c r="H36" s="365">
        <v>0.625</v>
      </c>
      <c r="I36" s="330" t="s">
        <v>189</v>
      </c>
      <c r="J36" s="365">
        <v>0.54166666666666663</v>
      </c>
      <c r="K36" s="653" t="s">
        <v>189</v>
      </c>
      <c r="L36" s="365">
        <v>0.875</v>
      </c>
      <c r="M36" s="654" t="s">
        <v>189</v>
      </c>
      <c r="N36" s="916">
        <v>1.5</v>
      </c>
      <c r="O36" s="912" t="s">
        <v>189</v>
      </c>
      <c r="P36" s="1015">
        <v>1.5</v>
      </c>
      <c r="Q36" s="330" t="s">
        <v>189</v>
      </c>
      <c r="R36" s="330"/>
      <c r="S36" s="330"/>
      <c r="T36" s="330"/>
      <c r="U36" s="330"/>
      <c r="V36" s="330"/>
      <c r="W36" s="330"/>
      <c r="X36" s="330"/>
      <c r="Y36" s="523"/>
      <c r="Z36" s="330"/>
      <c r="AA36" s="523"/>
      <c r="AB36" s="330"/>
      <c r="AC36" s="523"/>
      <c r="AD36" s="330"/>
      <c r="AE36" s="523"/>
      <c r="AF36" s="320"/>
    </row>
    <row r="37" spans="1:34" x14ac:dyDescent="0.3">
      <c r="A37" s="67" t="s">
        <v>174</v>
      </c>
      <c r="B37" s="68" t="s">
        <v>190</v>
      </c>
      <c r="C37" s="197" t="s">
        <v>186</v>
      </c>
      <c r="D37" s="68" t="s">
        <v>168</v>
      </c>
      <c r="E37" s="197" t="s">
        <v>172</v>
      </c>
      <c r="F37" s="326" t="s">
        <v>191</v>
      </c>
      <c r="G37" s="326" t="s">
        <v>192</v>
      </c>
      <c r="H37" s="326" t="s">
        <v>193</v>
      </c>
      <c r="I37" s="330" t="s">
        <v>194</v>
      </c>
      <c r="J37" s="365">
        <v>4.8611111111111112E-2</v>
      </c>
      <c r="K37" s="653" t="s">
        <v>189</v>
      </c>
      <c r="L37" s="365">
        <v>5.2083333333333336E-2</v>
      </c>
      <c r="M37" s="654" t="s">
        <v>189</v>
      </c>
      <c r="N37" s="917">
        <v>3.1944444444444442E-2</v>
      </c>
      <c r="O37" s="911" t="s">
        <v>189</v>
      </c>
      <c r="P37" s="365">
        <v>3.888888888888889E-2</v>
      </c>
      <c r="Q37" s="330" t="s">
        <v>189</v>
      </c>
      <c r="R37" s="330"/>
      <c r="S37" s="330"/>
      <c r="T37" s="330"/>
      <c r="U37" s="330"/>
      <c r="V37" s="330"/>
      <c r="W37" s="330"/>
      <c r="X37" s="330"/>
      <c r="Y37" s="522"/>
      <c r="Z37" s="328"/>
      <c r="AA37" s="522"/>
      <c r="AB37" s="328"/>
      <c r="AC37" s="522"/>
      <c r="AD37" s="328"/>
      <c r="AE37" s="522"/>
      <c r="AF37" s="320"/>
    </row>
    <row r="38" spans="1:34" x14ac:dyDescent="0.3">
      <c r="A38" s="67" t="s">
        <v>174</v>
      </c>
      <c r="B38" s="68" t="s">
        <v>195</v>
      </c>
      <c r="C38" s="197" t="s">
        <v>196</v>
      </c>
      <c r="D38" s="68" t="s">
        <v>168</v>
      </c>
      <c r="E38" s="197" t="s">
        <v>172</v>
      </c>
      <c r="F38" s="332">
        <v>91000</v>
      </c>
      <c r="G38" s="332">
        <v>73000</v>
      </c>
      <c r="H38" s="332">
        <v>108458.31</v>
      </c>
      <c r="I38" s="330" t="s">
        <v>178</v>
      </c>
      <c r="J38" s="332">
        <v>81579</v>
      </c>
      <c r="K38" s="653" t="s">
        <v>178</v>
      </c>
      <c r="L38" s="332">
        <f>5000+87000</f>
        <v>92000</v>
      </c>
      <c r="M38" s="654" t="s">
        <v>178</v>
      </c>
      <c r="N38" s="918">
        <v>97860</v>
      </c>
      <c r="O38" s="912" t="s">
        <v>178</v>
      </c>
      <c r="P38" s="332">
        <v>96507</v>
      </c>
      <c r="Q38" s="330" t="s">
        <v>178</v>
      </c>
      <c r="R38" s="330"/>
      <c r="S38" s="330"/>
      <c r="T38" s="330"/>
      <c r="U38" s="330"/>
      <c r="V38" s="330"/>
      <c r="W38" s="330"/>
      <c r="X38" s="330"/>
      <c r="Y38" s="523"/>
      <c r="Z38" s="330"/>
      <c r="AA38" s="523"/>
      <c r="AB38" s="330"/>
      <c r="AC38" s="523"/>
      <c r="AD38" s="330"/>
      <c r="AE38" s="523"/>
      <c r="AF38" s="320"/>
    </row>
    <row r="39" spans="1:34" x14ac:dyDescent="0.3">
      <c r="A39" s="67" t="s">
        <v>174</v>
      </c>
      <c r="B39" s="68" t="s">
        <v>197</v>
      </c>
      <c r="C39" s="197" t="s">
        <v>196</v>
      </c>
      <c r="D39" s="68" t="s">
        <v>176</v>
      </c>
      <c r="E39" s="197" t="s">
        <v>172</v>
      </c>
      <c r="F39" s="515">
        <v>458000</v>
      </c>
      <c r="G39" s="515">
        <v>358737</v>
      </c>
      <c r="H39" s="515">
        <v>29000</v>
      </c>
      <c r="I39" s="330" t="s">
        <v>198</v>
      </c>
      <c r="J39" s="332">
        <v>30000</v>
      </c>
      <c r="K39" s="653" t="s">
        <v>198</v>
      </c>
      <c r="L39" s="332">
        <v>6176</v>
      </c>
      <c r="M39" s="654" t="s">
        <v>198</v>
      </c>
      <c r="N39" s="919">
        <v>5680</v>
      </c>
      <c r="O39" s="911" t="s">
        <v>199</v>
      </c>
      <c r="P39" s="330">
        <v>213.12</v>
      </c>
      <c r="Q39" s="330" t="s">
        <v>199</v>
      </c>
      <c r="R39" s="330"/>
      <c r="S39" s="330"/>
      <c r="T39" s="330"/>
      <c r="U39" s="330"/>
      <c r="V39" s="330"/>
      <c r="W39" s="330"/>
      <c r="X39" s="330"/>
      <c r="Y39" s="522"/>
      <c r="Z39" s="328"/>
      <c r="AA39" s="522"/>
      <c r="AB39" s="328"/>
      <c r="AC39" s="522"/>
      <c r="AD39" s="328"/>
      <c r="AE39" s="522"/>
      <c r="AF39" s="320"/>
    </row>
    <row r="40" spans="1:34" x14ac:dyDescent="0.3">
      <c r="A40" s="67" t="s">
        <v>200</v>
      </c>
      <c r="B40" s="68" t="s">
        <v>201</v>
      </c>
      <c r="C40" s="197" t="s">
        <v>202</v>
      </c>
      <c r="D40" s="68" t="s">
        <v>168</v>
      </c>
      <c r="E40" s="197" t="s">
        <v>172</v>
      </c>
      <c r="F40" s="330" t="s">
        <v>88</v>
      </c>
      <c r="G40" s="330">
        <v>900</v>
      </c>
      <c r="H40" s="665">
        <v>60593</v>
      </c>
      <c r="I40" s="330" t="s">
        <v>203</v>
      </c>
      <c r="J40" s="332">
        <v>57795</v>
      </c>
      <c r="K40" s="653" t="s">
        <v>203</v>
      </c>
      <c r="L40" s="332">
        <v>19052</v>
      </c>
      <c r="M40" s="654" t="s">
        <v>203</v>
      </c>
      <c r="N40" s="918">
        <v>59710</v>
      </c>
      <c r="O40" s="912" t="s">
        <v>203</v>
      </c>
      <c r="P40" s="332">
        <v>60162</v>
      </c>
      <c r="Q40" s="330" t="s">
        <v>203</v>
      </c>
      <c r="R40" s="330"/>
      <c r="S40" s="330"/>
      <c r="T40" s="330"/>
      <c r="U40" s="330"/>
      <c r="V40" s="330"/>
      <c r="W40" s="330"/>
      <c r="X40" s="330"/>
      <c r="Y40" s="523"/>
      <c r="Z40" s="330"/>
      <c r="AA40" s="523"/>
      <c r="AB40" s="330"/>
      <c r="AC40" s="523"/>
      <c r="AD40" s="330"/>
      <c r="AE40" s="523"/>
      <c r="AF40" s="320"/>
    </row>
    <row r="41" spans="1:34" x14ac:dyDescent="0.3">
      <c r="A41" s="67" t="s">
        <v>200</v>
      </c>
      <c r="B41" s="68" t="s">
        <v>204</v>
      </c>
      <c r="C41" s="197" t="s">
        <v>202</v>
      </c>
      <c r="D41" s="68" t="s">
        <v>168</v>
      </c>
      <c r="E41" s="197" t="s">
        <v>172</v>
      </c>
      <c r="F41" s="330">
        <v>3347</v>
      </c>
      <c r="G41" s="330">
        <v>3000</v>
      </c>
      <c r="H41" s="470">
        <v>1</v>
      </c>
      <c r="I41" s="330" t="s">
        <v>205</v>
      </c>
      <c r="J41" s="330">
        <v>476</v>
      </c>
      <c r="K41" s="653" t="s">
        <v>206</v>
      </c>
      <c r="L41" s="330">
        <v>80</v>
      </c>
      <c r="M41" s="654" t="s">
        <v>207</v>
      </c>
      <c r="N41" s="920">
        <v>30</v>
      </c>
      <c r="O41" s="911" t="s">
        <v>208</v>
      </c>
      <c r="P41" s="330">
        <v>1</v>
      </c>
      <c r="Q41" s="330" t="s">
        <v>209</v>
      </c>
      <c r="R41" s="330"/>
      <c r="S41" s="330"/>
      <c r="T41" s="330"/>
      <c r="U41" s="330"/>
      <c r="V41" s="330"/>
      <c r="W41" s="330"/>
      <c r="X41" s="330"/>
      <c r="Y41" s="522"/>
      <c r="Z41" s="328"/>
      <c r="AA41" s="522"/>
      <c r="AB41" s="328"/>
      <c r="AC41" s="522"/>
      <c r="AD41" s="328"/>
      <c r="AE41" s="522"/>
      <c r="AF41" s="320"/>
    </row>
    <row r="42" spans="1:34" x14ac:dyDescent="0.3">
      <c r="A42" s="67" t="s">
        <v>200</v>
      </c>
      <c r="B42" s="68" t="s">
        <v>210</v>
      </c>
      <c r="C42" s="197" t="s">
        <v>167</v>
      </c>
      <c r="D42" s="68" t="s">
        <v>168</v>
      </c>
      <c r="E42" s="197" t="s">
        <v>172</v>
      </c>
      <c r="F42" s="329">
        <v>2.5999999999999999E-2</v>
      </c>
      <c r="G42" s="329">
        <v>1.6E-2</v>
      </c>
      <c r="H42" s="480">
        <v>9.7999999999999997E-3</v>
      </c>
      <c r="I42" s="330" t="s">
        <v>211</v>
      </c>
      <c r="J42" s="329">
        <v>1.4200000000000001E-2</v>
      </c>
      <c r="K42" s="653" t="s">
        <v>212</v>
      </c>
      <c r="L42" s="329">
        <v>1.06E-2</v>
      </c>
      <c r="M42" s="654" t="s">
        <v>211</v>
      </c>
      <c r="N42" s="915">
        <v>1.6199999999999999E-2</v>
      </c>
      <c r="O42" s="912" t="s">
        <v>212</v>
      </c>
      <c r="P42" s="329">
        <v>1.4200000000000001E-2</v>
      </c>
      <c r="Q42" s="330" t="s">
        <v>213</v>
      </c>
      <c r="R42" s="330"/>
      <c r="S42" s="330"/>
      <c r="T42" s="330"/>
      <c r="U42" s="330"/>
      <c r="V42" s="330"/>
      <c r="W42" s="330"/>
      <c r="X42" s="330"/>
      <c r="Y42" s="523"/>
      <c r="Z42" s="330"/>
      <c r="AA42" s="523"/>
      <c r="AB42" s="330"/>
      <c r="AC42" s="523"/>
      <c r="AD42" s="330"/>
      <c r="AE42" s="523"/>
      <c r="AF42" s="320"/>
    </row>
    <row r="43" spans="1:34" x14ac:dyDescent="0.3">
      <c r="A43" s="67" t="s">
        <v>200</v>
      </c>
      <c r="B43" s="68" t="s">
        <v>214</v>
      </c>
      <c r="C43" s="197" t="s">
        <v>215</v>
      </c>
      <c r="D43" s="68" t="s">
        <v>216</v>
      </c>
      <c r="E43" s="197" t="s">
        <v>172</v>
      </c>
      <c r="F43" s="330">
        <v>49</v>
      </c>
      <c r="G43" s="330">
        <v>45</v>
      </c>
      <c r="H43" s="330">
        <v>1</v>
      </c>
      <c r="I43" s="330" t="s">
        <v>205</v>
      </c>
      <c r="J43" s="330">
        <v>2</v>
      </c>
      <c r="K43" s="653" t="s">
        <v>217</v>
      </c>
      <c r="L43" s="330">
        <v>2</v>
      </c>
      <c r="M43" s="654" t="s">
        <v>207</v>
      </c>
      <c r="N43" s="920">
        <v>2</v>
      </c>
      <c r="O43" s="913" t="s">
        <v>208</v>
      </c>
      <c r="P43" s="330">
        <v>3</v>
      </c>
      <c r="Q43" s="654" t="s">
        <v>209</v>
      </c>
      <c r="R43" s="330"/>
      <c r="S43" s="654"/>
      <c r="T43" s="330"/>
      <c r="U43" s="654"/>
      <c r="V43" s="330"/>
      <c r="W43" s="654"/>
      <c r="X43" s="330"/>
      <c r="Y43" s="709"/>
      <c r="Z43" s="328"/>
      <c r="AA43" s="709"/>
      <c r="AB43" s="328"/>
      <c r="AC43" s="709"/>
      <c r="AD43" s="328"/>
      <c r="AE43" s="709"/>
      <c r="AF43" s="320"/>
    </row>
    <row r="44" spans="1:34" x14ac:dyDescent="0.3">
      <c r="A44" s="324" t="s">
        <v>218</v>
      </c>
      <c r="B44" s="325" t="s">
        <v>219</v>
      </c>
      <c r="C44" s="369" t="s">
        <v>220</v>
      </c>
      <c r="D44" s="325" t="s">
        <v>168</v>
      </c>
      <c r="E44" s="369" t="s">
        <v>172</v>
      </c>
      <c r="F44" s="330">
        <v>28</v>
      </c>
      <c r="G44" s="330">
        <v>26</v>
      </c>
      <c r="H44" s="330">
        <v>32</v>
      </c>
      <c r="I44" s="330" t="s">
        <v>221</v>
      </c>
      <c r="J44" s="330">
        <v>30</v>
      </c>
      <c r="K44" s="653" t="s">
        <v>221</v>
      </c>
      <c r="L44" s="330">
        <v>13</v>
      </c>
      <c r="M44" s="654" t="s">
        <v>221</v>
      </c>
      <c r="N44" s="921">
        <v>0</v>
      </c>
      <c r="O44" s="912" t="s">
        <v>221</v>
      </c>
      <c r="P44" s="330">
        <v>0</v>
      </c>
      <c r="Q44" s="330" t="s">
        <v>221</v>
      </c>
      <c r="R44" s="330"/>
      <c r="S44" s="330"/>
      <c r="T44" s="330"/>
      <c r="U44" s="330"/>
      <c r="V44" s="330"/>
      <c r="W44" s="330"/>
      <c r="X44" s="330"/>
      <c r="Y44" s="523"/>
      <c r="Z44" s="330"/>
      <c r="AA44" s="523"/>
      <c r="AB44" s="330"/>
      <c r="AC44" s="523"/>
      <c r="AD44" s="330"/>
      <c r="AE44" s="523"/>
      <c r="AF44" s="320"/>
    </row>
    <row r="45" spans="1:34" ht="15.6" x14ac:dyDescent="0.3">
      <c r="A45" s="67" t="s">
        <v>222</v>
      </c>
      <c r="B45" s="68" t="s">
        <v>223</v>
      </c>
      <c r="C45" s="197" t="s">
        <v>167</v>
      </c>
      <c r="D45" s="68" t="s">
        <v>224</v>
      </c>
      <c r="E45" s="197" t="s">
        <v>169</v>
      </c>
      <c r="F45" s="331" t="s">
        <v>88</v>
      </c>
      <c r="G45" s="331">
        <v>1</v>
      </c>
      <c r="H45" s="331">
        <v>0</v>
      </c>
      <c r="I45" s="330" t="s">
        <v>225</v>
      </c>
      <c r="J45" s="331">
        <v>0.1</v>
      </c>
      <c r="K45" s="653" t="s">
        <v>226</v>
      </c>
      <c r="L45" s="331">
        <v>0.13</v>
      </c>
      <c r="M45" s="654" t="s">
        <v>226</v>
      </c>
      <c r="N45" s="922">
        <v>0.13</v>
      </c>
      <c r="O45" s="911" t="s">
        <v>226</v>
      </c>
      <c r="P45" s="331">
        <v>0.16</v>
      </c>
      <c r="Q45" s="330" t="s">
        <v>225</v>
      </c>
      <c r="R45" s="330"/>
      <c r="S45" s="330"/>
      <c r="T45" s="330"/>
      <c r="U45" s="330"/>
      <c r="V45" s="330"/>
      <c r="W45" s="330"/>
      <c r="X45" s="330"/>
      <c r="Y45" s="522"/>
      <c r="Z45" s="328"/>
      <c r="AA45" s="522"/>
      <c r="AB45" s="328"/>
      <c r="AC45" s="522"/>
      <c r="AD45" s="328"/>
      <c r="AE45" s="522"/>
      <c r="AF45" s="320"/>
      <c r="AG45" s="1203" t="s">
        <v>227</v>
      </c>
      <c r="AH45" s="1203"/>
    </row>
    <row r="46" spans="1:34" x14ac:dyDescent="0.3">
      <c r="A46" s="67" t="s">
        <v>228</v>
      </c>
      <c r="B46" s="68" t="s">
        <v>229</v>
      </c>
      <c r="C46" s="197" t="s">
        <v>167</v>
      </c>
      <c r="D46" s="68" t="s">
        <v>176</v>
      </c>
      <c r="E46" s="197" t="s">
        <v>169</v>
      </c>
      <c r="F46" s="331" t="s">
        <v>88</v>
      </c>
      <c r="G46" s="331">
        <v>1</v>
      </c>
      <c r="H46" s="331">
        <v>0.32</v>
      </c>
      <c r="I46" s="330" t="s">
        <v>230</v>
      </c>
      <c r="J46" s="331">
        <v>0.87</v>
      </c>
      <c r="K46" s="653" t="s">
        <v>230</v>
      </c>
      <c r="L46" s="331">
        <v>0.47</v>
      </c>
      <c r="M46" s="654" t="s">
        <v>231</v>
      </c>
      <c r="N46" s="923">
        <v>0.61</v>
      </c>
      <c r="O46" s="912" t="s">
        <v>231</v>
      </c>
      <c r="P46" s="331">
        <v>0.64</v>
      </c>
      <c r="Q46" s="330" t="s">
        <v>231</v>
      </c>
      <c r="R46" s="330"/>
      <c r="S46" s="330"/>
      <c r="T46" s="330"/>
      <c r="U46" s="330"/>
      <c r="V46" s="330"/>
      <c r="W46" s="330"/>
      <c r="X46" s="330"/>
      <c r="Y46" s="523"/>
      <c r="Z46" s="330"/>
      <c r="AA46" s="523"/>
      <c r="AB46" s="330"/>
      <c r="AC46" s="523"/>
      <c r="AD46" s="330"/>
      <c r="AE46" s="523"/>
      <c r="AF46" s="320"/>
      <c r="AG46" s="476" t="s">
        <v>232</v>
      </c>
      <c r="AH46" s="476" t="s">
        <v>233</v>
      </c>
    </row>
    <row r="47" spans="1:34" x14ac:dyDescent="0.3">
      <c r="A47" s="67" t="s">
        <v>174</v>
      </c>
      <c r="B47" s="68" t="s">
        <v>234</v>
      </c>
      <c r="C47" s="197" t="s">
        <v>186</v>
      </c>
      <c r="D47" s="68" t="s">
        <v>168</v>
      </c>
      <c r="E47" s="197" t="s">
        <v>169</v>
      </c>
      <c r="F47" s="326" t="s">
        <v>235</v>
      </c>
      <c r="G47" s="326" t="s">
        <v>236</v>
      </c>
      <c r="H47" s="326" t="s">
        <v>237</v>
      </c>
      <c r="I47" s="330" t="s">
        <v>238</v>
      </c>
      <c r="J47" s="326" t="s">
        <v>239</v>
      </c>
      <c r="K47" s="653" t="s">
        <v>238</v>
      </c>
      <c r="L47" s="326" t="s">
        <v>240</v>
      </c>
      <c r="M47" s="654" t="s">
        <v>238</v>
      </c>
      <c r="N47" s="924">
        <v>3.4520833333333334</v>
      </c>
      <c r="O47" s="911" t="s">
        <v>241</v>
      </c>
      <c r="P47" s="1015">
        <v>4.728472222222222</v>
      </c>
      <c r="Q47" s="330" t="s">
        <v>242</v>
      </c>
      <c r="R47" s="330"/>
      <c r="S47" s="330"/>
      <c r="T47" s="330"/>
      <c r="U47" s="330"/>
      <c r="V47" s="330"/>
      <c r="W47" s="330"/>
      <c r="X47" s="330"/>
      <c r="Y47" s="522"/>
      <c r="Z47" s="328"/>
      <c r="AA47" s="522"/>
      <c r="AB47" s="328"/>
      <c r="AC47" s="522"/>
      <c r="AD47" s="328"/>
      <c r="AE47" s="522"/>
      <c r="AF47" s="320"/>
      <c r="AG47" s="239" t="s">
        <v>26</v>
      </c>
      <c r="AH47" s="477">
        <f>SUMIF($AK$55:$AK$106,AG47,$AM$55:$AM$106)</f>
        <v>0</v>
      </c>
    </row>
    <row r="48" spans="1:34" x14ac:dyDescent="0.3">
      <c r="A48" s="67" t="s">
        <v>174</v>
      </c>
      <c r="B48" s="68" t="s">
        <v>243</v>
      </c>
      <c r="C48" s="197" t="s">
        <v>186</v>
      </c>
      <c r="D48" s="68" t="s">
        <v>168</v>
      </c>
      <c r="E48" s="197" t="s">
        <v>172</v>
      </c>
      <c r="F48" s="326" t="s">
        <v>244</v>
      </c>
      <c r="G48" s="326" t="s">
        <v>245</v>
      </c>
      <c r="H48" s="365">
        <v>8.819444444444445E-2</v>
      </c>
      <c r="I48" s="330" t="s">
        <v>238</v>
      </c>
      <c r="J48" s="365">
        <v>5.8333333333333334E-2</v>
      </c>
      <c r="K48" s="653" t="s">
        <v>242</v>
      </c>
      <c r="L48" s="365">
        <v>6.1805555555555558E-2</v>
      </c>
      <c r="M48" s="654" t="s">
        <v>242</v>
      </c>
      <c r="N48" s="925">
        <v>0.10277777777777777</v>
      </c>
      <c r="O48" s="912" t="s">
        <v>238</v>
      </c>
      <c r="P48" s="365">
        <v>7.0833333333333331E-2</v>
      </c>
      <c r="Q48" s="330" t="s">
        <v>238</v>
      </c>
      <c r="R48" s="330"/>
      <c r="S48" s="330"/>
      <c r="T48" s="330"/>
      <c r="U48" s="330"/>
      <c r="V48" s="330"/>
      <c r="W48" s="330"/>
      <c r="X48" s="330"/>
      <c r="Y48" s="523"/>
      <c r="Z48" s="330"/>
      <c r="AA48" s="523"/>
      <c r="AB48" s="330"/>
      <c r="AC48" s="523"/>
      <c r="AD48" s="330"/>
      <c r="AE48" s="523"/>
      <c r="AF48" s="320"/>
      <c r="AG48" s="265" t="s">
        <v>27</v>
      </c>
      <c r="AH48" s="478">
        <f>SUMIF($AK$55:$AK$106,AG48,$AM$55:$AM$106)</f>
        <v>0</v>
      </c>
    </row>
    <row r="49" spans="1:42" x14ac:dyDescent="0.3">
      <c r="A49" s="67" t="s">
        <v>246</v>
      </c>
      <c r="B49" s="68" t="s">
        <v>247</v>
      </c>
      <c r="C49" s="197" t="s">
        <v>248</v>
      </c>
      <c r="D49" s="68" t="s">
        <v>168</v>
      </c>
      <c r="E49" s="197" t="s">
        <v>169</v>
      </c>
      <c r="F49" s="329"/>
      <c r="G49" s="329"/>
      <c r="H49" s="95">
        <v>170000</v>
      </c>
      <c r="I49" s="95"/>
      <c r="J49" s="95">
        <v>110000</v>
      </c>
      <c r="K49" s="95"/>
      <c r="L49" s="95">
        <v>487000</v>
      </c>
      <c r="M49" s="330"/>
      <c r="N49" s="330"/>
      <c r="O49" s="330"/>
      <c r="P49" s="330"/>
      <c r="Q49" s="330"/>
      <c r="R49" s="330"/>
      <c r="S49" s="330"/>
      <c r="T49" s="330"/>
      <c r="U49" s="330"/>
      <c r="V49" s="330"/>
      <c r="W49" s="330"/>
      <c r="X49" s="330"/>
      <c r="Y49" s="524"/>
      <c r="Z49" s="328"/>
      <c r="AA49" s="524"/>
      <c r="AB49" s="328"/>
      <c r="AC49" s="524"/>
      <c r="AD49" s="328"/>
      <c r="AE49" s="522"/>
      <c r="AF49" s="320"/>
      <c r="AG49" s="239" t="s">
        <v>249</v>
      </c>
      <c r="AH49" s="477">
        <f>SUMIF($AK$55:$AK$106,AG49,$AM$55:$AM$106)</f>
        <v>0</v>
      </c>
    </row>
    <row r="50" spans="1:42" x14ac:dyDescent="0.3">
      <c r="A50" s="67"/>
      <c r="B50" s="68"/>
      <c r="C50" s="68"/>
      <c r="D50" s="68"/>
      <c r="E50" s="68"/>
      <c r="F50" s="330"/>
      <c r="G50" s="330"/>
      <c r="H50" s="330"/>
      <c r="I50" s="330"/>
      <c r="J50" s="330"/>
      <c r="K50" s="330"/>
      <c r="L50" s="330"/>
      <c r="M50" s="330"/>
      <c r="N50" s="330"/>
      <c r="O50" s="330"/>
      <c r="P50" s="330"/>
      <c r="Q50" s="330"/>
      <c r="R50" s="330"/>
      <c r="S50" s="330"/>
      <c r="T50" s="330"/>
      <c r="U50" s="330"/>
      <c r="V50" s="330"/>
      <c r="W50" s="330"/>
      <c r="X50" s="330"/>
      <c r="Y50" s="330"/>
      <c r="Z50" s="330"/>
      <c r="AA50" s="330"/>
      <c r="AB50" s="330"/>
      <c r="AC50" s="330"/>
      <c r="AD50" s="330"/>
      <c r="AE50" s="523"/>
      <c r="AF50" s="320"/>
      <c r="AG50" s="265" t="s">
        <v>250</v>
      </c>
      <c r="AH50" s="478">
        <f>SUMIF($AK$55:$AK$106,AG50,$AM$55:$AM$106)</f>
        <v>0</v>
      </c>
    </row>
    <row r="51" spans="1:42" x14ac:dyDescent="0.3">
      <c r="A51" s="79"/>
      <c r="B51" s="80"/>
      <c r="C51" s="80"/>
      <c r="D51" s="80"/>
      <c r="E51" s="80"/>
      <c r="F51" s="280"/>
      <c r="G51" s="280"/>
      <c r="H51" s="280"/>
      <c r="I51" s="280"/>
      <c r="J51" s="280"/>
      <c r="K51" s="280"/>
      <c r="L51" s="280"/>
      <c r="M51" s="280"/>
      <c r="N51" s="280"/>
      <c r="O51" s="280"/>
      <c r="P51" s="280"/>
      <c r="Q51" s="280"/>
      <c r="R51" s="280"/>
      <c r="S51" s="280"/>
      <c r="T51" s="280"/>
      <c r="U51" s="280"/>
      <c r="V51" s="280"/>
      <c r="W51" s="280"/>
      <c r="X51" s="280"/>
      <c r="Y51" s="524"/>
      <c r="Z51" s="328"/>
      <c r="AA51" s="524"/>
      <c r="AB51" s="328"/>
      <c r="AC51" s="524"/>
      <c r="AD51" s="328"/>
      <c r="AE51" s="522"/>
      <c r="AF51" s="320"/>
      <c r="AG51" s="239" t="s">
        <v>251</v>
      </c>
      <c r="AH51" s="477">
        <f>SUMIF($AK$55:$AK$106,AG51,$AM$55:$AM$106)</f>
        <v>0</v>
      </c>
    </row>
    <row r="52" spans="1:42" x14ac:dyDescent="0.3">
      <c r="A52" s="47"/>
      <c r="B52" s="47"/>
      <c r="C52" s="47"/>
      <c r="D52" s="47"/>
      <c r="E52" s="47"/>
      <c r="F52" s="47"/>
      <c r="G52" s="47"/>
      <c r="H52" s="47"/>
      <c r="I52" s="47"/>
      <c r="J52" s="47"/>
      <c r="K52" s="47"/>
      <c r="L52" s="47"/>
      <c r="M52" s="47"/>
      <c r="N52" s="47"/>
      <c r="O52" s="47"/>
      <c r="P52" s="47"/>
      <c r="Q52" s="47"/>
      <c r="R52" s="47"/>
      <c r="S52" s="47"/>
      <c r="T52" s="47"/>
      <c r="U52" s="47"/>
      <c r="V52" s="247"/>
      <c r="W52" s="47"/>
      <c r="X52" s="47"/>
      <c r="Y52" s="47"/>
      <c r="Z52" s="47"/>
      <c r="AA52" s="47"/>
      <c r="AB52" s="47"/>
      <c r="AC52" s="47"/>
      <c r="AD52" s="47"/>
      <c r="AE52" s="47"/>
      <c r="AF52" s="47"/>
      <c r="AH52" s="47"/>
      <c r="AJ52" s="47"/>
    </row>
    <row r="53" spans="1:42" ht="15.6" x14ac:dyDescent="0.3">
      <c r="A53" s="208" t="s">
        <v>252</v>
      </c>
      <c r="B53" s="208"/>
      <c r="C53" s="208"/>
      <c r="D53" s="208"/>
      <c r="E53" s="208"/>
      <c r="F53" s="208"/>
      <c r="G53" s="208"/>
      <c r="H53" s="208"/>
      <c r="I53" s="208"/>
      <c r="J53" s="208"/>
      <c r="K53" s="208"/>
      <c r="L53" s="208"/>
      <c r="M53" s="208"/>
      <c r="N53" s="208"/>
      <c r="O53" s="208"/>
      <c r="P53" s="208"/>
      <c r="Q53" s="208"/>
      <c r="R53" s="82"/>
      <c r="S53" s="209"/>
      <c r="T53" s="208"/>
      <c r="U53" s="1338" t="s">
        <v>253</v>
      </c>
      <c r="V53" s="1338"/>
      <c r="W53" s="1338"/>
      <c r="X53" s="1335" t="s">
        <v>254</v>
      </c>
      <c r="Y53" s="1335"/>
      <c r="Z53" s="1335"/>
      <c r="AA53" s="1335"/>
      <c r="AB53" s="1335" t="s">
        <v>255</v>
      </c>
      <c r="AC53" s="1335"/>
      <c r="AD53" s="1335"/>
      <c r="AE53" s="1335"/>
      <c r="AF53" s="1335" t="s">
        <v>256</v>
      </c>
      <c r="AG53" s="1335"/>
      <c r="AH53" s="1335"/>
      <c r="AI53" s="1335"/>
      <c r="AJ53" s="83"/>
      <c r="AK53" s="1204"/>
      <c r="AL53" s="1204"/>
      <c r="AM53" s="1204"/>
      <c r="AN53" s="208"/>
    </row>
    <row r="54" spans="1:42" ht="36" x14ac:dyDescent="0.3">
      <c r="A54" s="84" t="s">
        <v>257</v>
      </c>
      <c r="B54" s="84" t="s">
        <v>258</v>
      </c>
      <c r="C54" s="84" t="s">
        <v>259</v>
      </c>
      <c r="D54" s="84" t="s">
        <v>260</v>
      </c>
      <c r="E54" s="84" t="s">
        <v>261</v>
      </c>
      <c r="F54" s="84" t="s">
        <v>262</v>
      </c>
      <c r="G54" s="84" t="s">
        <v>263</v>
      </c>
      <c r="H54" s="84" t="s">
        <v>264</v>
      </c>
      <c r="I54" s="84" t="s">
        <v>265</v>
      </c>
      <c r="J54" s="84" t="s">
        <v>266</v>
      </c>
      <c r="K54" s="264" t="s">
        <v>267</v>
      </c>
      <c r="L54" s="467" t="s">
        <v>268</v>
      </c>
      <c r="M54" s="84" t="s">
        <v>269</v>
      </c>
      <c r="N54" s="84" t="s">
        <v>270</v>
      </c>
      <c r="O54" s="84" t="s">
        <v>67</v>
      </c>
      <c r="P54" s="84" t="s">
        <v>126</v>
      </c>
      <c r="Q54" s="84" t="s">
        <v>271</v>
      </c>
      <c r="R54" s="84" t="s">
        <v>272</v>
      </c>
      <c r="S54" s="85">
        <v>46023</v>
      </c>
      <c r="T54" s="85">
        <v>46054</v>
      </c>
      <c r="U54" s="85">
        <v>46082</v>
      </c>
      <c r="V54" s="86" t="s">
        <v>273</v>
      </c>
      <c r="W54" s="85">
        <v>46113</v>
      </c>
      <c r="X54" s="85">
        <v>46143</v>
      </c>
      <c r="Y54" s="85">
        <v>46174</v>
      </c>
      <c r="Z54" s="86" t="s">
        <v>274</v>
      </c>
      <c r="AA54" s="85">
        <v>46204</v>
      </c>
      <c r="AB54" s="85">
        <v>46235</v>
      </c>
      <c r="AC54" s="85">
        <v>46266</v>
      </c>
      <c r="AD54" s="86" t="s">
        <v>275</v>
      </c>
      <c r="AE54" s="85">
        <v>46296</v>
      </c>
      <c r="AF54" s="85">
        <v>46327</v>
      </c>
      <c r="AG54" s="85">
        <v>46357</v>
      </c>
      <c r="AH54" s="84" t="s">
        <v>276</v>
      </c>
      <c r="AI54" s="84" t="s">
        <v>277</v>
      </c>
      <c r="AJ54" s="84" t="s">
        <v>278</v>
      </c>
      <c r="AK54" s="84" t="s">
        <v>227</v>
      </c>
      <c r="AL54" s="84" t="s">
        <v>279</v>
      </c>
      <c r="AM54" s="84" t="s">
        <v>280</v>
      </c>
      <c r="AN54" s="62" t="s">
        <v>281</v>
      </c>
      <c r="AP54" s="542" t="s">
        <v>282</v>
      </c>
    </row>
    <row r="55" spans="1:42" ht="29.1" customHeight="1" x14ac:dyDescent="0.3">
      <c r="A55" s="1299" t="s">
        <v>85</v>
      </c>
      <c r="B55" s="1299" t="s">
        <v>90</v>
      </c>
      <c r="C55" s="1113" t="s">
        <v>283</v>
      </c>
      <c r="D55" s="1115" t="s">
        <v>284</v>
      </c>
      <c r="E55" s="1303" t="s">
        <v>285</v>
      </c>
      <c r="F55" s="1040" t="s">
        <v>286</v>
      </c>
      <c r="G55" s="1117">
        <v>46027</v>
      </c>
      <c r="H55" s="1117">
        <v>46087</v>
      </c>
      <c r="I55" s="1074">
        <v>331600</v>
      </c>
      <c r="J55" s="1158">
        <v>46082</v>
      </c>
      <c r="K55" s="1121">
        <f>IF(J55="", "", 12 - MONTH(J55) + 1)</f>
        <v>10</v>
      </c>
      <c r="L55" s="1074"/>
      <c r="M55" s="1119" t="s">
        <v>287</v>
      </c>
      <c r="N55" s="1325">
        <v>160178.29</v>
      </c>
      <c r="O55" s="1336" t="s">
        <v>77</v>
      </c>
      <c r="P55" s="1057">
        <v>1</v>
      </c>
      <c r="Q55" s="87" t="s">
        <v>106</v>
      </c>
      <c r="R55" s="824">
        <v>1</v>
      </c>
      <c r="S55" s="309">
        <f>IFERROR(IF(AND(S$54&gt;=EOMONTH($J55,-1)+1,S$54&lt;=EOMONTH(EOMONTH($J55,-1)+1,$K55-1)),IF(NOT(ISBLANK($N55)),$N55/$K55,$I55/$K55),0),0)</f>
        <v>0</v>
      </c>
      <c r="T55" s="309">
        <f>IFERROR(IF(AND(T$54&gt;=EOMONTH($J55,-1)+1,T$54&lt;=EOMONTH(EOMONTH($J55,-1)+1,$K55-1)),IF(NOT(ISBLANK($N55)),$N55/$K55,$I55/$K55),0),0)</f>
        <v>0</v>
      </c>
      <c r="U55" s="943">
        <f>IFERROR(IF(AND(U$54&gt;=EOMONTH($J55,-1)+1,U$54&lt;=EOMONTH(EOMONTH($J55,-1)+1,$K55-1)),IF(NOT(ISBLANK($N55)),$N55/$K55,$I55/$K55),0),0)</f>
        <v>16017.829000000002</v>
      </c>
      <c r="V55" s="89">
        <f>SUM(S55:U55)</f>
        <v>16017.829000000002</v>
      </c>
      <c r="W55" s="309">
        <f>IFERROR(IF(AND(W$54&gt;=EOMONTH($J55,-1)+1,W$54&lt;=EOMONTH(EOMONTH($J55,-1)+1,$K55-1)),IF(NOT(ISBLANK($N55)),$N55/$K55,$I55/$K55),0),0)</f>
        <v>16017.829000000002</v>
      </c>
      <c r="X55" s="309">
        <f>IFERROR(IF(AND(X$54&gt;=EOMONTH($J55,-1)+1,X$54&lt;=EOMONTH(EOMONTH($J55,-1)+1,$K55-1)),IF(NOT(ISBLANK($N55)),$N55/$K55,$I55/$K55),0),0)</f>
        <v>16017.829000000002</v>
      </c>
      <c r="Y55" s="309">
        <f>IFERROR(IF(AND(Y$54&gt;=EOMONTH($J55,-1)+1,Y$54&lt;=EOMONTH(EOMONTH($J55,-1)+1,$K55-1)),IF(NOT(ISBLANK($N55)),$N55/$K55,$I55/$K55),0),0)</f>
        <v>16017.829000000002</v>
      </c>
      <c r="Z55" s="89">
        <f t="shared" ref="Z55:Z56" si="11">SUM(W55:Y55)</f>
        <v>48053.487000000008</v>
      </c>
      <c r="AA55" s="309">
        <f>IFERROR(IF(AND(AA$54&gt;=EOMONTH($J55,-1)+1,AA$54&lt;=EOMONTH(EOMONTH($J55,-1)+1,$K55-1)),IF(NOT(ISBLANK($N55)),$N55/$K55,$I55/$K55),0),0)</f>
        <v>16017.829000000002</v>
      </c>
      <c r="AB55" s="309">
        <f>IFERROR(IF(AND(AB$54&gt;=EOMONTH($J55,-1)+1,AB$54&lt;=EOMONTH(EOMONTH($J55,-1)+1,$K55-1)),IF(NOT(ISBLANK($N55)),$N55/$K55,$I55/$K55),0),0)</f>
        <v>16017.829000000002</v>
      </c>
      <c r="AC55" s="309">
        <f>IFERROR(IF(AND(AC$54&gt;=EOMONTH($J55,-1)+1,AC$54&lt;=EOMONTH(EOMONTH($J55,-1)+1,$K55-1)),IF(NOT(ISBLANK($N55)),$N55/$K55,$I55/$K55),0),0)</f>
        <v>16017.829000000002</v>
      </c>
      <c r="AD55" s="89">
        <f t="shared" ref="AD55:AD56" si="12">SUM(AA55:AC55)</f>
        <v>48053.487000000008</v>
      </c>
      <c r="AE55" s="309">
        <f>IFERROR(IF(AND(AE$54&gt;=EOMONTH($J55,-1)+1,AE$54&lt;=EOMONTH(EOMONTH($J55,-1)+1,$K55-1)),IF(NOT(ISBLANK($N55)),$N55/$K55,$I55/$K55),0),0)</f>
        <v>16017.829000000002</v>
      </c>
      <c r="AF55" s="309">
        <f>IFERROR(IF(AND(AF$54&gt;=EOMONTH($J55,-1)+1,AF$54&lt;=EOMONTH(EOMONTH($J55,-1)+1,$K55-1)),IF(NOT(ISBLANK($N55)),$N55/$K55,$I55/$K55),0),0)</f>
        <v>16017.829000000002</v>
      </c>
      <c r="AG55" s="309">
        <f>IFERROR(IF(AND(AG$54&gt;=EOMONTH($J55,-1)+1,AG$54&lt;=EOMONTH(EOMONTH($J55,-1)+1,$K55-1)),IF(NOT(ISBLANK($N55)),$N55/$K55,$I55/$K55),0),0)</f>
        <v>16017.829000000002</v>
      </c>
      <c r="AH55" s="89">
        <f t="shared" ref="AH55:AH56" si="13">SUM(AE55:AG55)</f>
        <v>48053.487000000008</v>
      </c>
      <c r="AI55" s="90">
        <f>SUM(V55,Z55,AD55,AH55)</f>
        <v>160178.29000000004</v>
      </c>
      <c r="AJ55" s="98" t="s">
        <v>288</v>
      </c>
      <c r="AK55" s="1040"/>
      <c r="AL55" s="1048"/>
      <c r="AM55" s="1046">
        <f>N55*AL55</f>
        <v>0</v>
      </c>
      <c r="AN55" s="62" t="str">
        <f>C55</f>
        <v>01 - Redução de peso bruto DA000489A</v>
      </c>
      <c r="AO55" s="62" t="s">
        <v>289</v>
      </c>
      <c r="AP55" s="543" cm="1">
        <f t="array" aca="1" ref="AP55" ca="1">IF(OR(AN55="",AN55=0),"",IF(SUMPRODUCT(($C$55:$C$175=AN55)*(S$54:$AG$54&lt;EOMONTH(TODAY(),-1)+1)*(ISNUMBER(S$55:$AG$175)),S$55:$AG$175)=0,"",SUMPRODUCT(($C$55:$C$175=AN55)*(S$54:$AG$54&lt;EOMONTH(TODAY(),-1)+1)*(ISNUMBER(S$55:$AG$175)),S$55:$AG$175)))</f>
        <v>48053.487000000008</v>
      </c>
    </row>
    <row r="56" spans="1:42" ht="29.1" customHeight="1" x14ac:dyDescent="0.3">
      <c r="A56" s="1300"/>
      <c r="B56" s="1300"/>
      <c r="C56" s="1114"/>
      <c r="D56" s="1359"/>
      <c r="E56" s="1304"/>
      <c r="F56" s="1041"/>
      <c r="G56" s="1118"/>
      <c r="H56" s="1118"/>
      <c r="I56" s="1075"/>
      <c r="J56" s="1159"/>
      <c r="K56" s="1122"/>
      <c r="L56" s="1075"/>
      <c r="M56" s="1120"/>
      <c r="N56" s="1075"/>
      <c r="O56" s="1337"/>
      <c r="P56" s="1058"/>
      <c r="Q56" s="87" t="s">
        <v>107</v>
      </c>
      <c r="R56" s="825">
        <v>1</v>
      </c>
      <c r="S56" s="309">
        <v>0</v>
      </c>
      <c r="T56" s="309"/>
      <c r="U56" s="309">
        <v>12674.077117600002</v>
      </c>
      <c r="V56" s="310">
        <f t="shared" ref="V56" si="14">SUM(S56:U56)</f>
        <v>12674.077117600002</v>
      </c>
      <c r="W56" s="309">
        <v>17853.917330880002</v>
      </c>
      <c r="X56" s="309">
        <v>21160.198318080002</v>
      </c>
      <c r="Y56" s="309"/>
      <c r="Z56" s="310">
        <f t="shared" si="11"/>
        <v>39014.115648960003</v>
      </c>
      <c r="AA56" s="309"/>
      <c r="AB56" s="309"/>
      <c r="AC56" s="309"/>
      <c r="AD56" s="310">
        <f t="shared" si="12"/>
        <v>0</v>
      </c>
      <c r="AE56" s="309"/>
      <c r="AF56" s="309"/>
      <c r="AG56" s="309"/>
      <c r="AH56" s="310">
        <f t="shared" si="13"/>
        <v>0</v>
      </c>
      <c r="AI56" s="311">
        <f t="shared" ref="AI56:AI176" si="15">SUM(V56,Z56,AD56,AH56)</f>
        <v>51688.192766560009</v>
      </c>
      <c r="AJ56" s="360" t="s">
        <v>290</v>
      </c>
      <c r="AK56" s="1041"/>
      <c r="AL56" s="1049"/>
      <c r="AM56" s="1047"/>
      <c r="AN56" s="62" t="str">
        <f>C55</f>
        <v>01 - Redução de peso bruto DA000489A</v>
      </c>
      <c r="AO56" s="62" t="s">
        <v>291</v>
      </c>
      <c r="AP56" s="543" cm="1">
        <f t="array" aca="1" ref="AP56" ca="1">IF(OR(AN56="",AN56=0),"",IF(SUMPRODUCT(($C$55:$C$175=AN56)*($S$54:AG$54&lt;=TODAY())*(ISNUMBER($S$56:AG$176)),$S$56:AG$176)=0,"",SUMPRODUCT(($C$55:$C$175=AN56)*($S$54:AG$54&lt;=TODAY())*(ISNUMBER($S$56:AG$176)),$S$56:AG$176)))</f>
        <v>51688.192766560009</v>
      </c>
    </row>
    <row r="57" spans="1:42" ht="29.1" customHeight="1" x14ac:dyDescent="0.3">
      <c r="A57" s="1038" t="s">
        <v>76</v>
      </c>
      <c r="B57" s="1038" t="s">
        <v>91</v>
      </c>
      <c r="C57" s="1095" t="s">
        <v>292</v>
      </c>
      <c r="D57" s="1162" t="s">
        <v>293</v>
      </c>
      <c r="E57" s="1363" t="s">
        <v>294</v>
      </c>
      <c r="F57" s="1099" t="s">
        <v>295</v>
      </c>
      <c r="G57" s="1356">
        <v>46032</v>
      </c>
      <c r="H57" s="1356">
        <v>46081</v>
      </c>
      <c r="I57" s="1357">
        <v>135186</v>
      </c>
      <c r="J57" s="1109"/>
      <c r="K57" s="1111"/>
      <c r="L57" s="1103"/>
      <c r="M57" s="1344"/>
      <c r="N57" s="1348"/>
      <c r="O57" s="1316" t="s">
        <v>77</v>
      </c>
      <c r="P57" s="1042">
        <v>1</v>
      </c>
      <c r="Q57" s="93" t="s">
        <v>106</v>
      </c>
      <c r="R57" s="826">
        <v>1</v>
      </c>
      <c r="S57" s="641">
        <f>IFERROR(IF(AND(S$54&gt;=EOMONTH($J57,-1)+1,S$54&lt;=EOMONTH(EOMONTH($J57,-1)+1,$K57-1)),IF(NOT(ISBLANK($N57)),$N57/$K57,$I57/$K57),0),0)</f>
        <v>0</v>
      </c>
      <c r="T57" s="641">
        <f>IFERROR(IF(AND(T$54&gt;=EOMONTH($J57,-1)+1,T$54&lt;=EOMONTH(EOMONTH($J57,-1)+1,$K57-1)),IF(NOT(ISBLANK($N57)),$N57/$K57,$I57/$K57),0),0)</f>
        <v>0</v>
      </c>
      <c r="U57" s="641">
        <f>IFERROR(IF(AND(U$54&gt;=EOMONTH($J57,-1)+1,U$54&lt;=EOMONTH(EOMONTH($J57,-1)+1,$K57-1)),IF(NOT(ISBLANK($N57)),$N57/$K57,$I57/$K57),0),0)</f>
        <v>0</v>
      </c>
      <c r="V57" s="89">
        <f t="shared" ref="V57:V63" si="16">SUM(S57:U57)</f>
        <v>0</v>
      </c>
      <c r="W57" s="641">
        <f>IFERROR(IF(AND(W$54&gt;=EOMONTH($J57,-1)+1,W$54&lt;=EOMONTH(EOMONTH($J57,-1)+1,$K57-1)),IF(NOT(ISBLANK($N57)),$N57/$K57,$I57/$K57),0),0)</f>
        <v>0</v>
      </c>
      <c r="X57" s="532">
        <f>IFERROR(IF(AND(X$54&gt;=EOMONTH($J57,-1)+1,X$54&lt;=EOMONTH(EOMONTH($J57,-1)+1,$K57-1)),IF(NOT(ISBLANK($N57)),$N57/$K57,$I57/$K57),0),0)</f>
        <v>0</v>
      </c>
      <c r="Y57" s="532">
        <f>IFERROR(IF(AND(Y$54&gt;=EOMONTH($J57,-1)+1,Y$54&lt;=EOMONTH(EOMONTH($J57,-1)+1,$K57-1)),IF(NOT(ISBLANK($N57)),$N57/$K57,$I57/$K57),0),0)</f>
        <v>0</v>
      </c>
      <c r="Z57" s="89">
        <f t="shared" ref="Z57:Z62" si="17">SUM(W57:Y57)</f>
        <v>0</v>
      </c>
      <c r="AA57" s="532">
        <f>IFERROR(IF(AND(AA$54&gt;=EOMONTH($J57,-1)+1,AA$54&lt;=EOMONTH(EOMONTH($J57,-1)+1,$K57-1)),IF(NOT(ISBLANK($N57)),$N57/$K57,$I57/$K57),0),0)</f>
        <v>0</v>
      </c>
      <c r="AB57" s="532">
        <f>IFERROR(IF(AND(AB$54&gt;=EOMONTH($J57,-1)+1,AB$54&lt;=EOMONTH(EOMONTH($J57,-1)+1,$K57-1)),IF(NOT(ISBLANK($N57)),$N57/$K57,$I57/$K57),0),0)</f>
        <v>0</v>
      </c>
      <c r="AC57" s="532">
        <f>IFERROR(IF(AND(AC$54&gt;=EOMONTH($J57,-1)+1,AC$54&lt;=EOMONTH(EOMONTH($J57,-1)+1,$K57-1)),IF(NOT(ISBLANK($N57)),$N57/$K57,$I57/$K57),0),0)</f>
        <v>0</v>
      </c>
      <c r="AD57" s="89">
        <f t="shared" ref="AD57:AD62" si="18">SUM(AA57:AC57)</f>
        <v>0</v>
      </c>
      <c r="AE57" s="532">
        <f>IFERROR(IF(AND(AE$54&gt;=EOMONTH($J57,-1)+1,AE$54&lt;=EOMONTH(EOMONTH($J57,-1)+1,$K57-1)),IF(NOT(ISBLANK($N57)),$N57/$K57,$I57/$K57),0),0)</f>
        <v>0</v>
      </c>
      <c r="AF57" s="532">
        <f>IFERROR(IF(AND(AF$54&gt;=EOMONTH($J57,-1)+1,AF$54&lt;=EOMONTH(EOMONTH($J57,-1)+1,$K57-1)),IF(NOT(ISBLANK($N57)),$N57/$K57,$I57/$K57),0),0)</f>
        <v>0</v>
      </c>
      <c r="AG57" s="532">
        <f>IFERROR(IF(AND(AG$54&gt;=EOMONTH($J57,-1)+1,AG$54&lt;=EOMONTH(EOMONTH($J57,-1)+1,$K57-1)),IF(NOT(ISBLANK($N57)),$N57/$K57,$I57/$K57),0),0)</f>
        <v>0</v>
      </c>
      <c r="AH57" s="89">
        <f t="shared" ref="AH57:AH68" si="19">SUM(AE57:AG57)</f>
        <v>0</v>
      </c>
      <c r="AI57" s="95">
        <f t="shared" si="15"/>
        <v>0</v>
      </c>
      <c r="AJ57" s="97" t="s">
        <v>296</v>
      </c>
      <c r="AK57" s="1038"/>
      <c r="AL57" s="1042"/>
      <c r="AM57" s="1044">
        <f>N57*AL57</f>
        <v>0</v>
      </c>
      <c r="AN57" s="62" t="str">
        <f>C57</f>
        <v>02 - Redução na quantidade de lâmpadas acessa, na produção</v>
      </c>
      <c r="AO57" s="62" t="s">
        <v>289</v>
      </c>
      <c r="AP57" s="543" t="str" cm="1">
        <f t="array" aca="1" ref="AP57" ca="1">IF(OR(AN57="",AN57=0),"",IF(SUMPRODUCT(($C$55:$C$175=AN57)*(S$54:$AG$54&lt;EOMONTH(TODAY(),-1)+1)*(ISNUMBER(S$55:$AG$175)),S$55:$AG$175)=0,"",SUMPRODUCT(($C$55:$C$175=AN57)*(S$54:$AG$54&lt;EOMONTH(TODAY(),-1)+1)*(ISNUMBER(S$55:$AG$175)),S$55:$AG$175)))</f>
        <v/>
      </c>
    </row>
    <row r="58" spans="1:42" ht="29.1" customHeight="1" x14ac:dyDescent="0.3">
      <c r="A58" s="1039"/>
      <c r="B58" s="1039"/>
      <c r="C58" s="1096"/>
      <c r="D58" s="1098"/>
      <c r="E58" s="1364"/>
      <c r="F58" s="1100"/>
      <c r="G58" s="1104"/>
      <c r="H58" s="1104"/>
      <c r="I58" s="1358"/>
      <c r="J58" s="1110"/>
      <c r="K58" s="1112"/>
      <c r="L58" s="1104"/>
      <c r="M58" s="1345"/>
      <c r="N58" s="1349"/>
      <c r="O58" s="1317"/>
      <c r="P58" s="1043"/>
      <c r="Q58" s="93" t="s">
        <v>107</v>
      </c>
      <c r="R58" s="826">
        <v>1</v>
      </c>
      <c r="S58" s="874"/>
      <c r="T58" s="874"/>
      <c r="U58" s="875"/>
      <c r="V58" s="310">
        <f t="shared" si="16"/>
        <v>0</v>
      </c>
      <c r="W58" s="874"/>
      <c r="X58" s="312"/>
      <c r="Y58" s="312"/>
      <c r="Z58" s="310">
        <f t="shared" si="17"/>
        <v>0</v>
      </c>
      <c r="AA58" s="312"/>
      <c r="AB58" s="312"/>
      <c r="AC58" s="312"/>
      <c r="AD58" s="310">
        <f t="shared" si="18"/>
        <v>0</v>
      </c>
      <c r="AE58" s="312"/>
      <c r="AF58" s="312"/>
      <c r="AG58" s="312"/>
      <c r="AH58" s="310">
        <f t="shared" si="19"/>
        <v>0</v>
      </c>
      <c r="AI58" s="313">
        <f t="shared" si="15"/>
        <v>0</v>
      </c>
      <c r="AJ58" s="97" t="s">
        <v>297</v>
      </c>
      <c r="AK58" s="1039"/>
      <c r="AL58" s="1043"/>
      <c r="AM58" s="1045"/>
      <c r="AN58" s="62" t="str">
        <f>C57</f>
        <v>02 - Redução na quantidade de lâmpadas acessa, na produção</v>
      </c>
      <c r="AO58" s="62" t="s">
        <v>291</v>
      </c>
      <c r="AP58" s="543" t="str" cm="1">
        <f t="array" aca="1" ref="AP58" ca="1">IF(OR(AN58="",AN58=0),"",IF(SUMPRODUCT(($C$55:$C$175=AN58)*($S$54:AG$54&lt;=TODAY())*(ISNUMBER($S$56:AG$176)),$S$56:AG$176)=0,"",SUMPRODUCT(($C$55:$C$175=AN58)*($S$54:AG$54&lt;=TODAY())*(ISNUMBER($S$56:AG$176)),$S$56:AG$176)))</f>
        <v/>
      </c>
    </row>
    <row r="59" spans="1:42" ht="29.1" customHeight="1" x14ac:dyDescent="0.3">
      <c r="A59" s="1036" t="s">
        <v>76</v>
      </c>
      <c r="B59" s="1299" t="s">
        <v>91</v>
      </c>
      <c r="C59" s="1113" t="s">
        <v>298</v>
      </c>
      <c r="D59" s="1115" t="s">
        <v>299</v>
      </c>
      <c r="E59" s="1303" t="s">
        <v>300</v>
      </c>
      <c r="F59" s="1040" t="s">
        <v>301</v>
      </c>
      <c r="G59" s="1117">
        <v>46023</v>
      </c>
      <c r="H59" s="1117">
        <v>46112</v>
      </c>
      <c r="I59" s="1074">
        <v>24000.000899999999</v>
      </c>
      <c r="J59" s="1158">
        <v>46082</v>
      </c>
      <c r="K59" s="1121">
        <f t="shared" ref="K59" si="20">IF(J59="", "", 12 - MONTH(J59) + 1)</f>
        <v>10</v>
      </c>
      <c r="L59" s="1074"/>
      <c r="M59" s="1305"/>
      <c r="N59" s="1307"/>
      <c r="O59" s="1336" t="s">
        <v>77</v>
      </c>
      <c r="P59" s="1057">
        <v>1</v>
      </c>
      <c r="Q59" s="87" t="s">
        <v>106</v>
      </c>
      <c r="R59" s="825">
        <v>1</v>
      </c>
      <c r="S59" s="309">
        <f>IFERROR(IF(AND(S$54&gt;=EOMONTH($J59,-1)+1,S$54&lt;=EOMONTH(EOMONTH($J59,-1)+1,$K59-1)),IF(NOT(ISBLANK($N59)),$N59/$K59,$I59/$K59),0),0)</f>
        <v>0</v>
      </c>
      <c r="T59" s="309">
        <f>IFERROR(IF(AND(T$54&gt;=EOMONTH($J59,-1)+1,T$54&lt;=EOMONTH(EOMONTH($J59,-1)+1,$K59-1)),IF(NOT(ISBLANK($N59)),$N59/$K59,$I59/$K59),0),0)</f>
        <v>0</v>
      </c>
      <c r="U59" s="569">
        <f>IFERROR(IF(AND(U$54&gt;=EOMONTH($J59,-1)+1,U$54&lt;=EOMONTH(EOMONTH($J59,-1)+1,$K59-1)),IF(NOT(ISBLANK($N59)),$N59/$K59,$I59/$K59),0),0)</f>
        <v>2400.00009</v>
      </c>
      <c r="V59" s="89">
        <f>SUM(S59:U59)</f>
        <v>2400.00009</v>
      </c>
      <c r="W59" s="569">
        <f>IFERROR(IF(AND(W$54&gt;=EOMONTH($J59,-1)+1,W$54&lt;=EOMONTH(EOMONTH($J59,-1)+1,$K59-1)),IF(NOT(ISBLANK($N59)),$N59/$K59,$I59/$K59),0),0)</f>
        <v>2400.00009</v>
      </c>
      <c r="X59" s="309">
        <f>IFERROR(IF(AND(X$54&gt;=EOMONTH($J59,-1)+1,X$54&lt;=EOMONTH(EOMONTH($J59,-1)+1,$K59-1)),IF(NOT(ISBLANK($N59)),$N59/$K59,$I59/$K59),0),0)</f>
        <v>2400.00009</v>
      </c>
      <c r="Y59" s="309">
        <f>IFERROR(IF(AND(Y$54&gt;=EOMONTH($J59,-1)+1,Y$54&lt;=EOMONTH(EOMONTH($J59,-1)+1,$K59-1)),IF(NOT(ISBLANK($N59)),$N59/$K59,$I59/$K59),0),0)</f>
        <v>2400.00009</v>
      </c>
      <c r="Z59" s="89">
        <f t="shared" si="17"/>
        <v>7200.0002700000005</v>
      </c>
      <c r="AA59" s="309">
        <f>IFERROR(IF(AND(AA$54&gt;=EOMONTH($J59,-1)+1,AA$54&lt;=EOMONTH(EOMONTH($J59,-1)+1,$K59-1)),IF(NOT(ISBLANK($N59)),$N59/$K59,$I59/$K59),0),0)</f>
        <v>2400.00009</v>
      </c>
      <c r="AB59" s="309">
        <f>IFERROR(IF(AND(AB$54&gt;=EOMONTH($J59,-1)+1,AB$54&lt;=EOMONTH(EOMONTH($J59,-1)+1,$K59-1)),IF(NOT(ISBLANK($N59)),$N59/$K59,$I59/$K59),0),0)</f>
        <v>2400.00009</v>
      </c>
      <c r="AC59" s="309">
        <f>IFERROR(IF(AND(AC$54&gt;=EOMONTH($J59,-1)+1,AC$54&lt;=EOMONTH(EOMONTH($J59,-1)+1,$K59-1)),IF(NOT(ISBLANK($N59)),$N59/$K59,$I59/$K59),0),0)</f>
        <v>2400.00009</v>
      </c>
      <c r="AD59" s="89">
        <f t="shared" si="18"/>
        <v>7200.0002700000005</v>
      </c>
      <c r="AE59" s="309">
        <f>IFERROR(IF(AND(AE$54&gt;=EOMONTH($J59,-1)+1,AE$54&lt;=EOMONTH(EOMONTH($J59,-1)+1,$K59-1)),IF(NOT(ISBLANK($N59)),$N59/$K59,$I59/$K59),0),0)</f>
        <v>2400.00009</v>
      </c>
      <c r="AF59" s="309">
        <f>IFERROR(IF(AND(AF$54&gt;=EOMONTH($J59,-1)+1,AF$54&lt;=EOMONTH(EOMONTH($J59,-1)+1,$K59-1)),IF(NOT(ISBLANK($N59)),$N59/$K59,$I59/$K59),0),0)</f>
        <v>2400.00009</v>
      </c>
      <c r="AG59" s="309">
        <f>IFERROR(IF(AND(AG$54&gt;=EOMONTH($J59,-1)+1,AG$54&lt;=EOMONTH(EOMONTH($J59,-1)+1,$K59-1)),IF(NOT(ISBLANK($N59)),$N59/$K59,$I59/$K59),0),0)</f>
        <v>2400.00009</v>
      </c>
      <c r="AH59" s="89">
        <f t="shared" si="19"/>
        <v>7200.0002700000005</v>
      </c>
      <c r="AI59" s="90">
        <f t="shared" si="15"/>
        <v>24000.000900000003</v>
      </c>
      <c r="AJ59" s="98" t="s">
        <v>302</v>
      </c>
      <c r="AK59" s="1040"/>
      <c r="AL59" s="1048"/>
      <c r="AM59" s="1046">
        <f t="shared" ref="AM59" si="21">N59*AL59</f>
        <v>0</v>
      </c>
      <c r="AN59" s="62" t="str">
        <f>C59</f>
        <v>03 - Otimização de processo - Cavalo Marinho</v>
      </c>
      <c r="AO59" s="62" t="s">
        <v>289</v>
      </c>
      <c r="AP59" s="543" cm="1">
        <f t="array" aca="1" ref="AP59" ca="1">IF(OR(AN59="",AN59=0),"",IF(SUMPRODUCT(($C$55:$C$175=AN59)*(S$54:$AG$54&lt;EOMONTH(TODAY(),-1)+1)*(ISNUMBER(S$55:$AG$175)),S$55:$AG$175)=0,"",SUMPRODUCT(($C$55:$C$175=AN59)*(S$54:$AG$54&lt;EOMONTH(TODAY(),-1)+1)*(ISNUMBER(S$55:$AG$175)),S$55:$AG$175)))</f>
        <v>7200.0002700000005</v>
      </c>
    </row>
    <row r="60" spans="1:42" ht="29.1" customHeight="1" x14ac:dyDescent="0.3">
      <c r="A60" s="1037"/>
      <c r="B60" s="1300"/>
      <c r="C60" s="1114"/>
      <c r="D60" s="1359"/>
      <c r="E60" s="1304"/>
      <c r="F60" s="1041"/>
      <c r="G60" s="1118"/>
      <c r="H60" s="1118"/>
      <c r="I60" s="1075"/>
      <c r="J60" s="1159"/>
      <c r="K60" s="1122"/>
      <c r="L60" s="1075"/>
      <c r="M60" s="1306"/>
      <c r="N60" s="1054"/>
      <c r="O60" s="1337"/>
      <c r="P60" s="1058"/>
      <c r="Q60" s="87" t="s">
        <v>107</v>
      </c>
      <c r="R60" s="825">
        <v>1</v>
      </c>
      <c r="S60" s="309"/>
      <c r="T60" s="309"/>
      <c r="U60" s="309"/>
      <c r="V60" s="310">
        <f t="shared" si="16"/>
        <v>0</v>
      </c>
      <c r="W60" s="309"/>
      <c r="X60" s="309"/>
      <c r="Y60" s="309"/>
      <c r="Z60" s="310">
        <f t="shared" si="17"/>
        <v>0</v>
      </c>
      <c r="AA60" s="309"/>
      <c r="AB60" s="309"/>
      <c r="AC60" s="309"/>
      <c r="AD60" s="310">
        <f t="shared" si="18"/>
        <v>0</v>
      </c>
      <c r="AE60" s="309"/>
      <c r="AF60" s="309"/>
      <c r="AG60" s="309"/>
      <c r="AH60" s="310">
        <f t="shared" si="19"/>
        <v>0</v>
      </c>
      <c r="AI60" s="311">
        <f t="shared" si="15"/>
        <v>0</v>
      </c>
      <c r="AJ60" s="92" t="s">
        <v>303</v>
      </c>
      <c r="AK60" s="1041"/>
      <c r="AL60" s="1049"/>
      <c r="AM60" s="1047"/>
      <c r="AN60" s="62" t="str">
        <f>C59</f>
        <v>03 - Otimização de processo - Cavalo Marinho</v>
      </c>
      <c r="AO60" s="62" t="s">
        <v>291</v>
      </c>
      <c r="AP60" s="543" t="str" cm="1">
        <f t="array" aca="1" ref="AP60" ca="1">IF(OR(AN60="",AN60=0),"",IF(SUMPRODUCT(($C$55:$C$175=AN60)*($S$54:AG$54&lt;=TODAY())*(ISNUMBER($S$56:AG$176)),$S$56:AG$176)=0,"",SUMPRODUCT(($C$55:$C$175=AN60)*($S$54:AG$54&lt;=TODAY())*(ISNUMBER($S$56:AG$176)),$S$56:AG$176)))</f>
        <v/>
      </c>
    </row>
    <row r="61" spans="1:42" ht="29.1" customHeight="1" x14ac:dyDescent="0.3">
      <c r="A61" s="1038" t="s">
        <v>76</v>
      </c>
      <c r="B61" s="1038" t="s">
        <v>91</v>
      </c>
      <c r="C61" s="1095" t="s">
        <v>304</v>
      </c>
      <c r="D61" s="1097" t="s">
        <v>305</v>
      </c>
      <c r="E61" s="1363" t="s">
        <v>306</v>
      </c>
      <c r="F61" s="1099" t="s">
        <v>307</v>
      </c>
      <c r="G61" s="1101">
        <v>46023</v>
      </c>
      <c r="H61" s="1101">
        <v>46054</v>
      </c>
      <c r="I61" s="1103">
        <v>42000</v>
      </c>
      <c r="J61" s="1109">
        <v>46082</v>
      </c>
      <c r="K61" s="1213">
        <f t="shared" ref="K61" si="22">IF(J61="", "", 12 - MONTH(J61) + 1)</f>
        <v>10</v>
      </c>
      <c r="L61" s="1076"/>
      <c r="M61" s="1072"/>
      <c r="N61" s="1055"/>
      <c r="O61" s="1316" t="s">
        <v>77</v>
      </c>
      <c r="P61" s="1042">
        <v>1</v>
      </c>
      <c r="Q61" s="93" t="s">
        <v>106</v>
      </c>
      <c r="R61" s="826">
        <v>1</v>
      </c>
      <c r="S61" s="532">
        <f>IFERROR(IF(AND(S$54&gt;=EOMONTH($J61,-1)+1,S$54&lt;=EOMONTH(EOMONTH($J61,-1)+1,$K61-1)),IF(NOT(ISBLANK($N61)),$N61/$K61,$I61/$K61),0),0)</f>
        <v>0</v>
      </c>
      <c r="T61" s="532">
        <f>IFERROR(IF(AND(T$54&gt;=EOMONTH($J61,-1)+1,T$54&lt;=EOMONTH(EOMONTH($J61,-1)+1,$K61-1)),IF(NOT(ISBLANK($N61)),$N61/$K61,$I61/$K61),0),0)</f>
        <v>0</v>
      </c>
      <c r="U61" s="641">
        <f>IFERROR(IF(AND(U$54&gt;=EOMONTH($J61,-1)+1,U$54&lt;=EOMONTH(EOMONTH($J61,-1)+1,$K61-1)),IF(NOT(ISBLANK($N61)),$N61/$K61,$I61/$K61),0),0)</f>
        <v>4200</v>
      </c>
      <c r="V61" s="89">
        <f>SUM(S61:U61)</f>
        <v>4200</v>
      </c>
      <c r="W61" s="641">
        <f>IFERROR(IF(AND(W$54&gt;=EOMONTH($J61,-1)+1,W$54&lt;=EOMONTH(EOMONTH($J61,-1)+1,$K61-1)),IF(NOT(ISBLANK($N61)),$N61/$K61,$I61/$K61),0),0)</f>
        <v>4200</v>
      </c>
      <c r="X61" s="532">
        <f>IFERROR(IF(AND(X$54&gt;=EOMONTH($J61,-1)+1,X$54&lt;=EOMONTH(EOMONTH($J61,-1)+1,$K61-1)),IF(NOT(ISBLANK($N61)),$N61/$K61,$I61/$K61),0),0)</f>
        <v>4200</v>
      </c>
      <c r="Y61" s="532">
        <f>IFERROR(IF(AND(Y$54&gt;=EOMONTH($J61,-1)+1,Y$54&lt;=EOMONTH(EOMONTH($J61,-1)+1,$K61-1)),IF(NOT(ISBLANK($N61)),$N61/$K61,$I61/$K61),0),0)</f>
        <v>4200</v>
      </c>
      <c r="Z61" s="89">
        <f t="shared" si="17"/>
        <v>12600</v>
      </c>
      <c r="AA61" s="532">
        <f>IFERROR(IF(AND(AA$54&gt;=EOMONTH($J61,-1)+1,AA$54&lt;=EOMONTH(EOMONTH($J61,-1)+1,$K61-1)),IF(NOT(ISBLANK($N61)),$N61/$K61,$I61/$K61),0),0)</f>
        <v>4200</v>
      </c>
      <c r="AB61" s="532">
        <f>IFERROR(IF(AND(AB$54&gt;=EOMONTH($J61,-1)+1,AB$54&lt;=EOMONTH(EOMONTH($J61,-1)+1,$K61-1)),IF(NOT(ISBLANK($N61)),$N61/$K61,$I61/$K61),0),0)</f>
        <v>4200</v>
      </c>
      <c r="AC61" s="532">
        <f>IFERROR(IF(AND(AC$54&gt;=EOMONTH($J61,-1)+1,AC$54&lt;=EOMONTH(EOMONTH($J61,-1)+1,$K61-1)),IF(NOT(ISBLANK($N61)),$N61/$K61,$I61/$K61),0),0)</f>
        <v>4200</v>
      </c>
      <c r="AD61" s="89">
        <f t="shared" si="18"/>
        <v>12600</v>
      </c>
      <c r="AE61" s="532">
        <f>IFERROR(IF(AND(AE$54&gt;=EOMONTH($J61,-1)+1,AE$54&lt;=EOMONTH(EOMONTH($J61,-1)+1,$K61-1)),IF(NOT(ISBLANK($N61)),$N61/$K61,$I61/$K61),0),0)</f>
        <v>4200</v>
      </c>
      <c r="AF61" s="532">
        <f>IFERROR(IF(AND(AF$54&gt;=EOMONTH($J61,-1)+1,AF$54&lt;=EOMONTH(EOMONTH($J61,-1)+1,$K61-1)),IF(NOT(ISBLANK($N61)),$N61/$K61,$I61/$K61),0),0)</f>
        <v>4200</v>
      </c>
      <c r="AG61" s="532">
        <f>IFERROR(IF(AND(AG$54&gt;=EOMONTH($J61,-1)+1,AG$54&lt;=EOMONTH(EOMONTH($J61,-1)+1,$K61-1)),IF(NOT(ISBLANK($N61)),$N61/$K61,$I61/$K61),0),0)</f>
        <v>4200</v>
      </c>
      <c r="AH61" s="89">
        <f>SUM(AE61:AG61)</f>
        <v>12600</v>
      </c>
      <c r="AI61" s="95">
        <f t="shared" si="15"/>
        <v>42000</v>
      </c>
      <c r="AJ61" s="97" t="s">
        <v>308</v>
      </c>
      <c r="AK61" s="1038"/>
      <c r="AL61" s="1042"/>
      <c r="AM61" s="1044">
        <f t="shared" ref="AM61" si="23">N61*AL61</f>
        <v>0</v>
      </c>
      <c r="AN61" s="62" t="str">
        <f>C61</f>
        <v>04 - Otimização de processo - Pulmão</v>
      </c>
      <c r="AO61" s="62" t="s">
        <v>289</v>
      </c>
      <c r="AP61" s="543" cm="1">
        <f t="array" aca="1" ref="AP61" ca="1">IF(OR(AN61="",AN61=0),"",IF(SUMPRODUCT(($C$55:$C$175=AN61)*(S$54:$AG$54&lt;EOMONTH(TODAY(),-1)+1)*(ISNUMBER(S$55:$AG$175)),S$55:$AG$175)=0,"",SUMPRODUCT(($C$55:$C$175=AN61)*(S$54:$AG$54&lt;EOMONTH(TODAY(),-1)+1)*(ISNUMBER(S$55:$AG$175)),S$55:$AG$175)))</f>
        <v>12600</v>
      </c>
    </row>
    <row r="62" spans="1:42" ht="29.1" customHeight="1" x14ac:dyDescent="0.3">
      <c r="A62" s="1039"/>
      <c r="B62" s="1039"/>
      <c r="C62" s="1096"/>
      <c r="D62" s="1098"/>
      <c r="E62" s="1364"/>
      <c r="F62" s="1100"/>
      <c r="G62" s="1102"/>
      <c r="H62" s="1102"/>
      <c r="I62" s="1104"/>
      <c r="J62" s="1110"/>
      <c r="K62" s="1214"/>
      <c r="L62" s="1077"/>
      <c r="M62" s="1073"/>
      <c r="N62" s="1056"/>
      <c r="O62" s="1317"/>
      <c r="P62" s="1043"/>
      <c r="Q62" s="93" t="s">
        <v>107</v>
      </c>
      <c r="R62" s="826">
        <v>1</v>
      </c>
      <c r="S62" s="312"/>
      <c r="T62" s="312"/>
      <c r="U62" s="312"/>
      <c r="V62" s="310">
        <f t="shared" si="16"/>
        <v>0</v>
      </c>
      <c r="W62" s="312"/>
      <c r="X62" s="312"/>
      <c r="Y62" s="312"/>
      <c r="Z62" s="310">
        <f t="shared" si="17"/>
        <v>0</v>
      </c>
      <c r="AA62" s="312"/>
      <c r="AB62" s="312"/>
      <c r="AC62" s="312"/>
      <c r="AD62" s="310">
        <f t="shared" si="18"/>
        <v>0</v>
      </c>
      <c r="AE62" s="312"/>
      <c r="AF62" s="312"/>
      <c r="AG62" s="312"/>
      <c r="AH62" s="310">
        <f t="shared" si="19"/>
        <v>0</v>
      </c>
      <c r="AI62" s="313">
        <f t="shared" si="15"/>
        <v>0</v>
      </c>
      <c r="AJ62" s="97" t="s">
        <v>309</v>
      </c>
      <c r="AK62" s="1039"/>
      <c r="AL62" s="1043"/>
      <c r="AM62" s="1045"/>
      <c r="AN62" s="62" t="str">
        <f>C61</f>
        <v>04 - Otimização de processo - Pulmão</v>
      </c>
      <c r="AO62" s="62" t="s">
        <v>291</v>
      </c>
      <c r="AP62" s="543" t="str" cm="1">
        <f t="array" aca="1" ref="AP62" ca="1">IF(OR(AN62="",AN62=0),"",IF(SUMPRODUCT(($C$55:$C$175=AN62)*($S$54:AG$54&lt;=TODAY())*(ISNUMBER($S$56:AG$176)),$S$56:AG$176)=0,"",SUMPRODUCT(($C$55:$C$175=AN62)*($S$54:AG$54&lt;=TODAY())*(ISNUMBER($S$56:AG$176)),$S$56:AG$176)))</f>
        <v/>
      </c>
    </row>
    <row r="63" spans="1:42" ht="29.1" customHeight="1" x14ac:dyDescent="0.3">
      <c r="A63" s="1299" t="s">
        <v>310</v>
      </c>
      <c r="B63" s="1299" t="s">
        <v>91</v>
      </c>
      <c r="C63" s="1113" t="s">
        <v>311</v>
      </c>
      <c r="D63" s="1115" t="s">
        <v>312</v>
      </c>
      <c r="E63" s="1303" t="s">
        <v>313</v>
      </c>
      <c r="F63" s="1040" t="s">
        <v>295</v>
      </c>
      <c r="G63" s="1117">
        <v>46027</v>
      </c>
      <c r="H63" s="1117">
        <v>46078</v>
      </c>
      <c r="I63" s="1074">
        <v>68000</v>
      </c>
      <c r="J63" s="1158">
        <v>46082</v>
      </c>
      <c r="K63" s="1121">
        <f>IF(J63="", "", 12 - MONTH(J63) + 1)</f>
        <v>10</v>
      </c>
      <c r="L63" s="1074"/>
      <c r="M63" s="1312" t="s">
        <v>287</v>
      </c>
      <c r="N63" s="1314">
        <v>56610.76</v>
      </c>
      <c r="O63" s="1325" t="s">
        <v>77</v>
      </c>
      <c r="P63" s="1057">
        <v>1</v>
      </c>
      <c r="Q63" s="87" t="s">
        <v>106</v>
      </c>
      <c r="R63" s="825">
        <v>1</v>
      </c>
      <c r="S63" s="309">
        <f>IFERROR(IF(AND(S$54&gt;=EOMONTH($J63,-1)+1,S$54&lt;=EOMONTH(EOMONTH($J63,-1)+1,$K63-1)),IF(NOT(ISBLANK($N63)),$N63/$K63,$I63/$K63),0),0)</f>
        <v>0</v>
      </c>
      <c r="T63" s="309">
        <f>IFERROR(IF(AND(T$54&gt;=EOMONTH($J63,-1)+1,T$54&lt;=EOMONTH(EOMONTH($J63,-1)+1,$K63-1)),IF(NOT(ISBLANK($N63)),$N63/$K63,$I63/$K63),0),0)</f>
        <v>0</v>
      </c>
      <c r="U63" s="943">
        <f>IFERROR(IF(AND(U$54&gt;=EOMONTH($J63,-1)+1,U$54&lt;=EOMONTH(EOMONTH($J63,-1)+1,$K63-1)),IF(NOT(ISBLANK($N63)),$N63/$K63,$I63/$K63),0),0)</f>
        <v>5661.076</v>
      </c>
      <c r="V63" s="89">
        <f t="shared" si="16"/>
        <v>5661.076</v>
      </c>
      <c r="W63" s="943">
        <f>IFERROR(IF(AND(W$54&gt;=EOMONTH($J63,-1)+1,W$54&lt;=EOMONTH(EOMONTH($J63,-1)+1,$K63-1)),IF(NOT(ISBLANK($N63)),$N63/$K63,$I63/$K63),0),0)</f>
        <v>5661.076</v>
      </c>
      <c r="X63" s="309">
        <f>IFERROR(IF(AND(X$54&gt;=EOMONTH($J63,-1)+1,X$54&lt;=EOMONTH(EOMONTH($J63,-1)+1,$K63-1)),IF(NOT(ISBLANK($N63)),$N63/$K63,$I63/$K63),0),0)</f>
        <v>5661.076</v>
      </c>
      <c r="Y63" s="309">
        <f>IFERROR(IF(AND(Y$54&gt;=EOMONTH($J63,-1)+1,Y$54&lt;=EOMONTH(EOMONTH($J63,-1)+1,$K63-1)),IF(NOT(ISBLANK($N63)),$N63/$K63,$I63/$K63),0),0)</f>
        <v>5661.076</v>
      </c>
      <c r="Z63" s="89">
        <f t="shared" ref="Z63:Z76" si="24">SUM(W63:Y63)</f>
        <v>16983.227999999999</v>
      </c>
      <c r="AA63" s="309">
        <f>IFERROR(IF(AND(AA$54&gt;=EOMONTH($J63,-1)+1,AA$54&lt;=EOMONTH(EOMONTH($J63,-1)+1,$K63-1)),IF(NOT(ISBLANK($N63)),$N63/$K63,$I63/$K63),0),0)</f>
        <v>5661.076</v>
      </c>
      <c r="AB63" s="309">
        <f>IFERROR(IF(AND(AB$54&gt;=EOMONTH($J63,-1)+1,AB$54&lt;=EOMONTH(EOMONTH($J63,-1)+1,$K63-1)),IF(NOT(ISBLANK($N63)),$N63/$K63,$I63/$K63),0),0)</f>
        <v>5661.076</v>
      </c>
      <c r="AC63" s="309">
        <f>IFERROR(IF(AND(AC$54&gt;=EOMONTH($J63,-1)+1,AC$54&lt;=EOMONTH(EOMONTH($J63,-1)+1,$K63-1)),IF(NOT(ISBLANK($N63)),$N63/$K63,$I63/$K63),0),0)</f>
        <v>5661.076</v>
      </c>
      <c r="AD63" s="89">
        <f t="shared" ref="AD63:AD76" si="25">SUM(AA63:AC63)</f>
        <v>16983.227999999999</v>
      </c>
      <c r="AE63" s="309">
        <f>IFERROR(IF(AND(AE$54&gt;=EOMONTH($J63,-1)+1,AE$54&lt;=EOMONTH(EOMONTH($J63,-1)+1,$K63-1)),IF(NOT(ISBLANK($N63)),$N63/$K63,$I63/$K63),0),0)</f>
        <v>5661.076</v>
      </c>
      <c r="AF63" s="309">
        <f>IFERROR(IF(AND(AF$54&gt;=EOMONTH($J63,-1)+1,AF$54&lt;=EOMONTH(EOMONTH($J63,-1)+1,$K63-1)),IF(NOT(ISBLANK($N63)),$N63/$K63,$I63/$K63),0),0)</f>
        <v>5661.076</v>
      </c>
      <c r="AG63" s="309">
        <f>IFERROR(IF(AND(AG$54&gt;=EOMONTH($J63,-1)+1,AG$54&lt;=EOMONTH(EOMONTH($J63,-1)+1,$K63-1)),IF(NOT(ISBLANK($N63)),$N63/$K63,$I63/$K63),0),0)</f>
        <v>5661.076</v>
      </c>
      <c r="AH63" s="89">
        <f t="shared" si="19"/>
        <v>16983.227999999999</v>
      </c>
      <c r="AI63" s="90">
        <f t="shared" si="15"/>
        <v>56610.759999999995</v>
      </c>
      <c r="AJ63" s="360" t="s">
        <v>314</v>
      </c>
      <c r="AK63" s="1040"/>
      <c r="AL63" s="1048"/>
      <c r="AM63" s="1046">
        <f t="shared" ref="AM63" si="26">N63*AL63</f>
        <v>0</v>
      </c>
      <c r="AN63" s="62" t="str">
        <f>C63</f>
        <v>05 - Empilhadeira - Diadema</v>
      </c>
      <c r="AO63" s="62" t="s">
        <v>289</v>
      </c>
      <c r="AP63" s="543" cm="1">
        <f t="array" aca="1" ref="AP63" ca="1">IF(OR(AN63="",AN63=0),"",IF(SUMPRODUCT(($C$55:$C$175=AN63)*(S$54:$AG$54&lt;EOMONTH(TODAY(),-1)+1)*(ISNUMBER(S$55:$AG$175)),S$55:$AG$175)=0,"",SUMPRODUCT(($C$55:$C$175=AN63)*(S$54:$AG$54&lt;EOMONTH(TODAY(),-1)+1)*(ISNUMBER(S$55:$AG$175)),S$55:$AG$175)))</f>
        <v>16983.227999999999</v>
      </c>
    </row>
    <row r="64" spans="1:42" ht="29.1" customHeight="1" x14ac:dyDescent="0.3">
      <c r="A64" s="1300"/>
      <c r="B64" s="1300"/>
      <c r="C64" s="1114"/>
      <c r="D64" s="1359"/>
      <c r="E64" s="1304"/>
      <c r="F64" s="1041"/>
      <c r="G64" s="1118"/>
      <c r="H64" s="1118"/>
      <c r="I64" s="1075"/>
      <c r="J64" s="1159"/>
      <c r="K64" s="1122"/>
      <c r="L64" s="1075"/>
      <c r="M64" s="1313"/>
      <c r="N64" s="1315"/>
      <c r="O64" s="1326"/>
      <c r="P64" s="1058"/>
      <c r="Q64" s="87" t="s">
        <v>107</v>
      </c>
      <c r="R64" s="825">
        <v>1</v>
      </c>
      <c r="S64" s="309"/>
      <c r="T64" s="309">
        <v>0</v>
      </c>
      <c r="U64" s="309">
        <v>5146.4325000000026</v>
      </c>
      <c r="V64" s="310">
        <f t="shared" ref="V64:V76" si="27">SUM(S64:U64)</f>
        <v>5146.4325000000026</v>
      </c>
      <c r="W64" s="309">
        <v>5146.4325000000026</v>
      </c>
      <c r="X64" s="309">
        <v>5146.4325000000026</v>
      </c>
      <c r="Y64" s="309"/>
      <c r="Z64" s="310">
        <f t="shared" si="24"/>
        <v>10292.865000000005</v>
      </c>
      <c r="AA64" s="309"/>
      <c r="AB64" s="309"/>
      <c r="AC64" s="309"/>
      <c r="AD64" s="310">
        <f t="shared" si="25"/>
        <v>0</v>
      </c>
      <c r="AE64" s="309"/>
      <c r="AF64" s="309"/>
      <c r="AG64" s="309"/>
      <c r="AH64" s="310">
        <f t="shared" si="19"/>
        <v>0</v>
      </c>
      <c r="AI64" s="311">
        <f t="shared" si="15"/>
        <v>15439.297500000008</v>
      </c>
      <c r="AJ64" s="92" t="s">
        <v>315</v>
      </c>
      <c r="AK64" s="1041"/>
      <c r="AL64" s="1049"/>
      <c r="AM64" s="1047"/>
      <c r="AN64" s="62" t="str">
        <f>C63</f>
        <v>05 - Empilhadeira - Diadema</v>
      </c>
      <c r="AO64" s="62" t="s">
        <v>291</v>
      </c>
      <c r="AP64" s="543" cm="1">
        <f t="array" aca="1" ref="AP64" ca="1">IF(OR(AN64="",AN64=0),"",IF(SUMPRODUCT(($C$55:$C$175=AN64)*($S$54:AG$54&lt;=TODAY())*(ISNUMBER($S$56:AG$176)),$S$56:AG$176)=0,"",SUMPRODUCT(($C$55:$C$175=AN64)*($S$54:AG$54&lt;=TODAY())*(ISNUMBER($S$56:AG$176)),$S$56:AG$176)))</f>
        <v>15439.297500000008</v>
      </c>
    </row>
    <row r="65" spans="1:42" ht="29.1" customHeight="1" x14ac:dyDescent="0.3">
      <c r="A65" s="1361" t="s">
        <v>310</v>
      </c>
      <c r="B65" s="1038" t="s">
        <v>91</v>
      </c>
      <c r="C65" s="1095" t="s">
        <v>316</v>
      </c>
      <c r="D65" s="1097" t="s">
        <v>317</v>
      </c>
      <c r="E65" s="1363" t="s">
        <v>318</v>
      </c>
      <c r="F65" s="1099" t="s">
        <v>295</v>
      </c>
      <c r="G65" s="1101">
        <v>46070</v>
      </c>
      <c r="H65" s="1101">
        <v>46142</v>
      </c>
      <c r="I65" s="1350">
        <v>288000.00300000003</v>
      </c>
      <c r="J65" s="1109">
        <v>46143</v>
      </c>
      <c r="K65" s="1213">
        <f t="shared" ref="K65" si="28">IF(J65="", "", 12 - MONTH(J65) + 1)</f>
        <v>8</v>
      </c>
      <c r="L65" s="1076"/>
      <c r="M65" s="1320" t="s">
        <v>287</v>
      </c>
      <c r="N65" s="1331">
        <v>79673.52</v>
      </c>
      <c r="O65" s="1316" t="s">
        <v>77</v>
      </c>
      <c r="P65" s="1042">
        <v>1</v>
      </c>
      <c r="Q65" s="93" t="s">
        <v>106</v>
      </c>
      <c r="R65" s="826">
        <v>0.96</v>
      </c>
      <c r="S65" s="532">
        <f>IFERROR(IF(AND(S$54&gt;=EOMONTH($J65,-1)+1,S$54&lt;=EOMONTH(EOMONTH($J65,-1)+1,$K65-1)),IF(NOT(ISBLANK($N65)),$N65/$K65,$I65/$K65),0),0)</f>
        <v>0</v>
      </c>
      <c r="T65" s="532">
        <f>IFERROR(IF(AND(T$54&gt;=EOMONTH($J65,-1)+1,T$54&lt;=EOMONTH(EOMONTH($J65,-1)+1,$K65-1)),IF(NOT(ISBLANK($N65)),$N65/$K65,$I65/$K65),0),0)</f>
        <v>0</v>
      </c>
      <c r="U65" s="532">
        <f>IFERROR(IF(AND(U$54&gt;=EOMONTH($J65,-1)+1,U$54&lt;=EOMONTH(EOMONTH($J65,-1)+1,$K65-1)),IF(NOT(ISBLANK($N65)),$N65/$K65,$I65/$K65),0),0)</f>
        <v>0</v>
      </c>
      <c r="V65" s="89">
        <f t="shared" si="27"/>
        <v>0</v>
      </c>
      <c r="W65" s="532">
        <f>IFERROR(IF(AND(W$54&gt;=EOMONTH($J65,-1)+1,W$54&lt;=EOMONTH(EOMONTH($J65,-1)+1,$K65-1)),IF(NOT(ISBLANK($N65)),$N65/$K65,$I65/$K65),0),0)</f>
        <v>0</v>
      </c>
      <c r="X65" s="532">
        <f>IFERROR(IF(AND(X$54&gt;=EOMONTH($J65,-1)+1,X$54&lt;=EOMONTH(EOMONTH($J65,-1)+1,$K65-1)),IF(NOT(ISBLANK($N65)),$N65/$K65,$I65/$K65),0),0)</f>
        <v>9959.19</v>
      </c>
      <c r="Y65" s="532">
        <f>IFERROR(IF(AND(Y$54&gt;=EOMONTH($J65,-1)+1,Y$54&lt;=EOMONTH(EOMONTH($J65,-1)+1,$K65-1)),IF(NOT(ISBLANK($N65)),$N65/$K65,$I65/$K65),0),0)</f>
        <v>9959.19</v>
      </c>
      <c r="Z65" s="89">
        <f t="shared" si="24"/>
        <v>19918.38</v>
      </c>
      <c r="AA65" s="532">
        <f>IFERROR(IF(AND(AA$54&gt;=EOMONTH($J65,-1)+1,AA$54&lt;=EOMONTH(EOMONTH($J65,-1)+1,$K65-1)),IF(NOT(ISBLANK($N65)),$N65/$K65,$I65/$K65),0),0)</f>
        <v>9959.19</v>
      </c>
      <c r="AB65" s="532">
        <f>IFERROR(IF(AND(AB$54&gt;=EOMONTH($J65,-1)+1,AB$54&lt;=EOMONTH(EOMONTH($J65,-1)+1,$K65-1)),IF(NOT(ISBLANK($N65)),$N65/$K65,$I65/$K65),0),0)</f>
        <v>9959.19</v>
      </c>
      <c r="AC65" s="532">
        <f>IFERROR(IF(AND(AC$54&gt;=EOMONTH($J65,-1)+1,AC$54&lt;=EOMONTH(EOMONTH($J65,-1)+1,$K65-1)),IF(NOT(ISBLANK($N65)),$N65/$K65,$I65/$K65),0),0)</f>
        <v>9959.19</v>
      </c>
      <c r="AD65" s="89">
        <f t="shared" si="25"/>
        <v>29877.57</v>
      </c>
      <c r="AE65" s="532">
        <f>IFERROR(IF(AND(AE$54&gt;=EOMONTH($J65,-1)+1,AE$54&lt;=EOMONTH(EOMONTH($J65,-1)+1,$K65-1)),IF(NOT(ISBLANK($N65)),$N65/$K65,$I65/$K65),0),0)</f>
        <v>9959.19</v>
      </c>
      <c r="AF65" s="532">
        <f>IFERROR(IF(AND(AF$54&gt;=EOMONTH($J65,-1)+1,AF$54&lt;=EOMONTH(EOMONTH($J65,-1)+1,$K65-1)),IF(NOT(ISBLANK($N65)),$N65/$K65,$I65/$K65),0),0)</f>
        <v>9959.19</v>
      </c>
      <c r="AG65" s="532">
        <f>IFERROR(IF(AND(AG$54&gt;=EOMONTH($J65,-1)+1,AG$54&lt;=EOMONTH(EOMONTH($J65,-1)+1,$K65-1)),IF(NOT(ISBLANK($N65)),$N65/$K65,$I65/$K65),0),0)</f>
        <v>9959.19</v>
      </c>
      <c r="AH65" s="89">
        <f t="shared" si="19"/>
        <v>29877.57</v>
      </c>
      <c r="AI65" s="95">
        <f t="shared" si="15"/>
        <v>79673.51999999999</v>
      </c>
      <c r="AJ65" s="97" t="s">
        <v>319</v>
      </c>
      <c r="AK65" s="1038"/>
      <c r="AL65" s="1042"/>
      <c r="AM65" s="1044">
        <f t="shared" ref="AM65" si="29">N65*AL65</f>
        <v>0</v>
      </c>
      <c r="AN65" s="62" t="str">
        <f>C65</f>
        <v>06 - Produtividade</v>
      </c>
      <c r="AO65" s="62" t="s">
        <v>289</v>
      </c>
      <c r="AP65" s="543" cm="1">
        <f t="array" aca="1" ref="AP65" ca="1">IF(OR(AN65="",AN65=0),"",IF(SUMPRODUCT(($C$55:$C$175=AN65)*(S$54:$AG$54&lt;EOMONTH(TODAY(),-1)+1)*(ISNUMBER(S$55:$AG$175)),S$55:$AG$175)=0,"",SUMPRODUCT(($C$55:$C$175=AN65)*(S$54:$AG$54&lt;EOMONTH(TODAY(),-1)+1)*(ISNUMBER(S$55:$AG$175)),S$55:$AG$175)))</f>
        <v>9959.19</v>
      </c>
    </row>
    <row r="66" spans="1:42" ht="29.1" customHeight="1" x14ac:dyDescent="0.3">
      <c r="A66" s="1362"/>
      <c r="B66" s="1039"/>
      <c r="C66" s="1096"/>
      <c r="D66" s="1098"/>
      <c r="E66" s="1364"/>
      <c r="F66" s="1100"/>
      <c r="G66" s="1102"/>
      <c r="H66" s="1102"/>
      <c r="I66" s="1351"/>
      <c r="J66" s="1110"/>
      <c r="K66" s="1214"/>
      <c r="L66" s="1077"/>
      <c r="M66" s="1321"/>
      <c r="N66" s="1332"/>
      <c r="O66" s="1317"/>
      <c r="P66" s="1043"/>
      <c r="Q66" s="93" t="s">
        <v>107</v>
      </c>
      <c r="R66" s="826">
        <v>0.98</v>
      </c>
      <c r="S66" s="312"/>
      <c r="T66" s="312"/>
      <c r="U66" s="312"/>
      <c r="V66" s="310">
        <f t="shared" si="27"/>
        <v>0</v>
      </c>
      <c r="W66" s="312"/>
      <c r="X66" s="1010">
        <v>-31423.7</v>
      </c>
      <c r="Y66" s="312"/>
      <c r="Z66" s="310">
        <f t="shared" si="24"/>
        <v>-31423.7</v>
      </c>
      <c r="AA66" s="312"/>
      <c r="AB66" s="312"/>
      <c r="AC66" s="312"/>
      <c r="AD66" s="310">
        <f t="shared" si="25"/>
        <v>0</v>
      </c>
      <c r="AE66" s="312"/>
      <c r="AF66" s="312"/>
      <c r="AG66" s="312"/>
      <c r="AH66" s="310">
        <f t="shared" si="19"/>
        <v>0</v>
      </c>
      <c r="AI66" s="313">
        <f t="shared" si="15"/>
        <v>-31423.7</v>
      </c>
      <c r="AJ66" s="97"/>
      <c r="AK66" s="1039"/>
      <c r="AL66" s="1043"/>
      <c r="AM66" s="1045"/>
      <c r="AN66" s="62" t="str">
        <f>C65</f>
        <v>06 - Produtividade</v>
      </c>
      <c r="AO66" s="62" t="s">
        <v>291</v>
      </c>
      <c r="AP66" s="543" cm="1">
        <f t="array" aca="1" ref="AP66" ca="1">IF(OR(AN66="",AN66=0),"",IF(SUMPRODUCT(($C$55:$C$175=AN66)*($S$54:AG$54&lt;=TODAY())*(ISNUMBER($S$56:AG$176)),$S$56:AG$176)=0,"",SUMPRODUCT(($C$55:$C$175=AN66)*($S$54:AG$54&lt;=TODAY())*(ISNUMBER($S$56:AG$176)),$S$56:AG$176)))</f>
        <v>-31423.7</v>
      </c>
    </row>
    <row r="67" spans="1:42" ht="29.1" customHeight="1" x14ac:dyDescent="0.3">
      <c r="A67" s="1036" t="s">
        <v>310</v>
      </c>
      <c r="B67" s="1299" t="s">
        <v>91</v>
      </c>
      <c r="C67" s="1113" t="s">
        <v>320</v>
      </c>
      <c r="D67" s="1115" t="s">
        <v>321</v>
      </c>
      <c r="E67" s="1303" t="s">
        <v>322</v>
      </c>
      <c r="F67" s="1040" t="s">
        <v>295</v>
      </c>
      <c r="G67" s="1117">
        <v>46037</v>
      </c>
      <c r="H67" s="1117">
        <v>46127</v>
      </c>
      <c r="I67" s="1074">
        <v>16500</v>
      </c>
      <c r="J67" s="1158"/>
      <c r="K67" s="1121" t="str">
        <f t="shared" ref="K67" si="30">IF(J67="", "", 12 - MONTH(J67) + 1)</f>
        <v/>
      </c>
      <c r="L67" s="1074"/>
      <c r="M67" s="1344"/>
      <c r="N67" s="1346"/>
      <c r="O67" s="1074" t="s">
        <v>80</v>
      </c>
      <c r="P67" s="1057">
        <v>1</v>
      </c>
      <c r="Q67" s="87" t="s">
        <v>106</v>
      </c>
      <c r="R67" s="825">
        <v>1</v>
      </c>
      <c r="S67" s="309">
        <f>IFERROR(IF(AND(S$54&gt;=EOMONTH($J67,-1)+1,S$54&lt;=EOMONTH(EOMONTH($J67,-1)+1,$K67-1)),IF(NOT(ISBLANK($N67)),$N67/$K67,$I67/$K67),0),0)</f>
        <v>0</v>
      </c>
      <c r="T67" s="309">
        <f>IFERROR(IF(AND(T$54&gt;=EOMONTH($J67,-1)+1,T$54&lt;=EOMONTH(EOMONTH($J67,-1)+1,$K67-1)),IF(NOT(ISBLANK($N67)),$N67/$K67,$I67/$K67),0),0)</f>
        <v>0</v>
      </c>
      <c r="U67" s="309">
        <f>IFERROR(IF(AND(U$54&gt;=EOMONTH($J67,-1)+1,U$54&lt;=EOMONTH(EOMONTH($J67,-1)+1,$K67-1)),IF(NOT(ISBLANK($N67)),$N67/$K67,$I67/$K67),0),0)</f>
        <v>0</v>
      </c>
      <c r="V67" s="89">
        <f t="shared" si="27"/>
        <v>0</v>
      </c>
      <c r="W67" s="309">
        <f>IFERROR(IF(AND(W$54&gt;=EOMONTH($J67,-1)+1,W$54&lt;=EOMONTH(EOMONTH($J67,-1)+1,$K67-1)),IF(NOT(ISBLANK($N67)),$N67/$K67,$I67/$K67),0),0)</f>
        <v>0</v>
      </c>
      <c r="X67" s="309">
        <f>IFERROR(IF(AND(X$54&gt;=EOMONTH($J67,-1)+1,X$54&lt;=EOMONTH(EOMONTH($J67,-1)+1,$K67-1)),IF(NOT(ISBLANK($N67)),$N67/$K67,$I67/$K67),0),0)</f>
        <v>0</v>
      </c>
      <c r="Y67" s="309">
        <f>IFERROR(IF(AND(Y$54&gt;=EOMONTH($J67,-1)+1,Y$54&lt;=EOMONTH(EOMONTH($J67,-1)+1,$K67-1)),IF(NOT(ISBLANK($N67)),$N67/$K67,$I67/$K67),0),0)</f>
        <v>0</v>
      </c>
      <c r="Z67" s="89">
        <f t="shared" si="24"/>
        <v>0</v>
      </c>
      <c r="AA67" s="309">
        <f>IFERROR(IF(AND(AA$54&gt;=EOMONTH($J67,-1)+1,AA$54&lt;=EOMONTH(EOMONTH($J67,-1)+1,$K67-1)),IF(NOT(ISBLANK($N67)),$N67/$K67,$I67/$K67),0),0)</f>
        <v>0</v>
      </c>
      <c r="AB67" s="309">
        <f>IFERROR(IF(AND(AB$54&gt;=EOMONTH($J67,-1)+1,AB$54&lt;=EOMONTH(EOMONTH($J67,-1)+1,$K67-1)),IF(NOT(ISBLANK($N67)),$N67/$K67,$I67/$K67),0),0)</f>
        <v>0</v>
      </c>
      <c r="AC67" s="309">
        <f>IFERROR(IF(AND(AC$54&gt;=EOMONTH($J67,-1)+1,AC$54&lt;=EOMONTH(EOMONTH($J67,-1)+1,$K67-1)),IF(NOT(ISBLANK($N67)),$N67/$K67,$I67/$K67),0),0)</f>
        <v>0</v>
      </c>
      <c r="AD67" s="89">
        <f t="shared" si="25"/>
        <v>0</v>
      </c>
      <c r="AE67" s="309">
        <f>IFERROR(IF(AND(AE$54&gt;=EOMONTH($J67,-1)+1,AE$54&lt;=EOMONTH(EOMONTH($J67,-1)+1,$K67-1)),IF(NOT(ISBLANK($N67)),$N67/$K67,$I67/$K67),0),0)</f>
        <v>0</v>
      </c>
      <c r="AF67" s="309">
        <f>IFERROR(IF(AND(AF$54&gt;=EOMONTH($J67,-1)+1,AF$54&lt;=EOMONTH(EOMONTH($J67,-1)+1,$K67-1)),IF(NOT(ISBLANK($N67)),$N67/$K67,$I67/$K67),0),0)</f>
        <v>0</v>
      </c>
      <c r="AG67" s="309">
        <f>IFERROR(IF(AND(AG$54&gt;=EOMONTH($J67,-1)+1,AG$54&lt;=EOMONTH(EOMONTH($J67,-1)+1,$K67-1)),IF(NOT(ISBLANK($N67)),$N67/$K67,$I67/$K67),0),0)</f>
        <v>0</v>
      </c>
      <c r="AH67" s="89">
        <f t="shared" si="19"/>
        <v>0</v>
      </c>
      <c r="AI67" s="90">
        <f t="shared" si="15"/>
        <v>0</v>
      </c>
      <c r="AJ67" s="92" t="s">
        <v>323</v>
      </c>
      <c r="AK67" s="1040"/>
      <c r="AL67" s="1048"/>
      <c r="AM67" s="1046">
        <f t="shared" ref="AM67" si="31">N67*AL67</f>
        <v>0</v>
      </c>
      <c r="AN67" s="62" t="str">
        <f>C67</f>
        <v xml:space="preserve"> 07 - Consumo de água</v>
      </c>
      <c r="AO67" s="62" t="s">
        <v>289</v>
      </c>
      <c r="AP67" s="543" t="str" cm="1">
        <f t="array" aca="1" ref="AP67" ca="1">IF(OR(AN67="",AN67=0),"",IF(SUMPRODUCT(($C$55:$C$175=AN67)*(S$54:$AG$54&lt;EOMONTH(TODAY(),-1)+1)*(ISNUMBER(S$55:$AG$175)),S$55:$AG$175)=0,"",SUMPRODUCT(($C$55:$C$175=AN67)*(S$54:$AG$54&lt;EOMONTH(TODAY(),-1)+1)*(ISNUMBER(S$55:$AG$175)),S$55:$AG$175)))</f>
        <v/>
      </c>
    </row>
    <row r="68" spans="1:42" ht="29.1" customHeight="1" x14ac:dyDescent="0.3">
      <c r="A68" s="1037"/>
      <c r="B68" s="1300"/>
      <c r="C68" s="1114"/>
      <c r="D68" s="1116"/>
      <c r="E68" s="1304"/>
      <c r="F68" s="1041"/>
      <c r="G68" s="1118"/>
      <c r="H68" s="1118"/>
      <c r="I68" s="1075"/>
      <c r="J68" s="1159"/>
      <c r="K68" s="1122"/>
      <c r="L68" s="1075"/>
      <c r="M68" s="1345"/>
      <c r="N68" s="1347"/>
      <c r="O68" s="1075"/>
      <c r="P68" s="1058"/>
      <c r="Q68" s="87" t="s">
        <v>107</v>
      </c>
      <c r="R68" s="825">
        <v>0.95</v>
      </c>
      <c r="S68" s="309"/>
      <c r="T68" s="309"/>
      <c r="U68" s="309"/>
      <c r="V68" s="310">
        <f t="shared" si="27"/>
        <v>0</v>
      </c>
      <c r="W68" s="309"/>
      <c r="X68" s="309"/>
      <c r="Y68" s="309"/>
      <c r="Z68" s="310">
        <f t="shared" si="24"/>
        <v>0</v>
      </c>
      <c r="AA68" s="309"/>
      <c r="AB68" s="309"/>
      <c r="AC68" s="309"/>
      <c r="AD68" s="310">
        <f t="shared" si="25"/>
        <v>0</v>
      </c>
      <c r="AE68" s="309"/>
      <c r="AF68" s="309"/>
      <c r="AG68" s="309"/>
      <c r="AH68" s="310">
        <f t="shared" si="19"/>
        <v>0</v>
      </c>
      <c r="AI68" s="311">
        <f t="shared" si="15"/>
        <v>0</v>
      </c>
      <c r="AJ68" s="92"/>
      <c r="AK68" s="1041"/>
      <c r="AL68" s="1049"/>
      <c r="AM68" s="1047"/>
      <c r="AN68" s="62" t="str">
        <f>C67</f>
        <v xml:space="preserve"> 07 - Consumo de água</v>
      </c>
      <c r="AO68" s="62" t="s">
        <v>291</v>
      </c>
      <c r="AP68" s="543" t="str" cm="1">
        <f t="array" aca="1" ref="AP68" ca="1">IF(OR(AN68="",AN68=0),"",IF(SUMPRODUCT(($C$55:$C$175=AN68)*($S$54:AG$54&lt;=TODAY())*(ISNUMBER($S$56:AG$176)),$S$56:AG$176)=0,"",SUMPRODUCT(($C$55:$C$175=AN68)*($S$54:AG$54&lt;=TODAY())*(ISNUMBER($S$56:AG$176)),$S$56:AG$176)))</f>
        <v/>
      </c>
    </row>
    <row r="69" spans="1:42" ht="29.1" customHeight="1" x14ac:dyDescent="0.3">
      <c r="A69" s="1361" t="s">
        <v>85</v>
      </c>
      <c r="B69" s="1038" t="s">
        <v>90</v>
      </c>
      <c r="C69" s="1095" t="s">
        <v>324</v>
      </c>
      <c r="D69" s="1097" t="s">
        <v>325</v>
      </c>
      <c r="E69" s="1363" t="s">
        <v>326</v>
      </c>
      <c r="F69" s="1099" t="s">
        <v>286</v>
      </c>
      <c r="G69" s="1101">
        <v>46036</v>
      </c>
      <c r="H69" s="1101">
        <v>46142</v>
      </c>
      <c r="I69" s="1152">
        <v>44400</v>
      </c>
      <c r="J69" s="1109">
        <v>46143</v>
      </c>
      <c r="K69" s="1213">
        <f t="shared" ref="K69" si="32">IF(J69="", "", 12 - MONTH(J69) + 1)</f>
        <v>8</v>
      </c>
      <c r="L69" s="1076"/>
      <c r="M69" s="1320" t="s">
        <v>287</v>
      </c>
      <c r="N69" s="1331">
        <v>13137.64</v>
      </c>
      <c r="O69" s="1042" t="s">
        <v>80</v>
      </c>
      <c r="P69" s="1042">
        <v>0.5</v>
      </c>
      <c r="Q69" s="93" t="s">
        <v>106</v>
      </c>
      <c r="R69" s="826">
        <v>0.97</v>
      </c>
      <c r="S69" s="532">
        <f>IFERROR(IF(AND(S$54&gt;=EOMONTH($J69,-1)+1,S$54&lt;=EOMONTH(EOMONTH($J69,-1)+1,$K69-1)),IF(NOT(ISBLANK($N69)),$N69/$K69,$I69/$K69),0),0)</f>
        <v>0</v>
      </c>
      <c r="T69" s="532">
        <f>IFERROR(IF(AND(T$54&gt;=EOMONTH($J69,-1)+1,T$54&lt;=EOMONTH(EOMONTH($J69,-1)+1,$K69-1)),IF(NOT(ISBLANK($N69)),$N69/$K69,$I69/$K69),0),0)</f>
        <v>0</v>
      </c>
      <c r="U69" s="532">
        <f>IFERROR(IF(AND(U$54&gt;=EOMONTH($J69,-1)+1,U$54&lt;=EOMONTH(EOMONTH($J69,-1)+1,$K69-1)),IF(NOT(ISBLANK($N69)),$N69/$K69,$I69/$K69),0),0)</f>
        <v>0</v>
      </c>
      <c r="V69" s="89">
        <f t="shared" si="27"/>
        <v>0</v>
      </c>
      <c r="W69" s="532">
        <f>IFERROR(IF(AND(W$54&gt;=EOMONTH($J69,-1)+1,W$54&lt;=EOMONTH(EOMONTH($J69,-1)+1,$K69-1)),IF(NOT(ISBLANK($N69)),$N69/$K69,$I69/$K69),0),0)</f>
        <v>0</v>
      </c>
      <c r="X69" s="532">
        <f>IFERROR(IF(AND(X$54&gt;=EOMONTH($J69,-1)+1,X$54&lt;=EOMONTH(EOMONTH($J69,-1)+1,$K69-1)),IF(NOT(ISBLANK($N69)),$N69/$K69,$I69/$K69),0),0)</f>
        <v>1642.2049999999999</v>
      </c>
      <c r="Y69" s="532">
        <f>IFERROR(IF(AND(Y$54&gt;=EOMONTH($J69,-1)+1,Y$54&lt;=EOMONTH(EOMONTH($J69,-1)+1,$K69-1)),IF(NOT(ISBLANK($N69)),$N69/$K69,$I69/$K69),0),0)</f>
        <v>1642.2049999999999</v>
      </c>
      <c r="Z69" s="89">
        <f t="shared" si="24"/>
        <v>3284.41</v>
      </c>
      <c r="AA69" s="532">
        <f>IFERROR(IF(AND(AA$54&gt;=EOMONTH($J69,-1)+1,AA$54&lt;=EOMONTH(EOMONTH($J69,-1)+1,$K69-1)),IF(NOT(ISBLANK($N69)),$N69/$K69,$I69/$K69),0),0)</f>
        <v>1642.2049999999999</v>
      </c>
      <c r="AB69" s="532">
        <f>IFERROR(IF(AND(AB$54&gt;=EOMONTH($J69,-1)+1,AB$54&lt;=EOMONTH(EOMONTH($J69,-1)+1,$K69-1)),IF(NOT(ISBLANK($N69)),$N69/$K69,$I69/$K69),0),0)</f>
        <v>1642.2049999999999</v>
      </c>
      <c r="AC69" s="532">
        <f>IFERROR(IF(AND(AC$54&gt;=EOMONTH($J69,-1)+1,AC$54&lt;=EOMONTH(EOMONTH($J69,-1)+1,$K69-1)),IF(NOT(ISBLANK($N69)),$N69/$K69,$I69/$K69),0),0)</f>
        <v>1642.2049999999999</v>
      </c>
      <c r="AD69" s="89">
        <f t="shared" si="25"/>
        <v>4926.6149999999998</v>
      </c>
      <c r="AE69" s="532">
        <f>IFERROR(IF(AND(AE$54&gt;=EOMONTH($J69,-1)+1,AE$54&lt;=EOMONTH(EOMONTH($J69,-1)+1,$K69-1)),IF(NOT(ISBLANK($N69)),$N69/$K69,$I69/$K69),0),0)</f>
        <v>1642.2049999999999</v>
      </c>
      <c r="AF69" s="532">
        <f>IFERROR(IF(AND(AF$54&gt;=EOMONTH($J69,-1)+1,AF$54&lt;=EOMONTH(EOMONTH($J69,-1)+1,$K69-1)),IF(NOT(ISBLANK($N69)),$N69/$K69,$I69/$K69),0),0)</f>
        <v>1642.2049999999999</v>
      </c>
      <c r="AG69" s="532">
        <f>IFERROR(IF(AND(AG$54&gt;=EOMONTH($J69,-1)+1,AG$54&lt;=EOMONTH(EOMONTH($J69,-1)+1,$K69-1)),IF(NOT(ISBLANK($N69)),$N69/$K69,$I69/$K69),0),0)</f>
        <v>1642.2049999999999</v>
      </c>
      <c r="AH69" s="89">
        <f t="shared" ref="AH69:AH80" si="33">SUM(AE69:AG69)</f>
        <v>4926.6149999999998</v>
      </c>
      <c r="AI69" s="95">
        <f t="shared" si="15"/>
        <v>13137.64</v>
      </c>
      <c r="AJ69" s="97" t="s">
        <v>327</v>
      </c>
      <c r="AK69" s="1038"/>
      <c r="AL69" s="1042"/>
      <c r="AM69" s="1044">
        <f t="shared" ref="AM69" si="34">N69*AL69</f>
        <v>0</v>
      </c>
      <c r="AN69" s="62" t="str">
        <f>C69</f>
        <v>08 - Redução de peso bruto MB002446LA / MB003670LA / MB003671LA</v>
      </c>
      <c r="AO69" s="62" t="s">
        <v>289</v>
      </c>
      <c r="AP69" s="543" cm="1">
        <f t="array" aca="1" ref="AP69" ca="1">IF(OR(AN69="",AN69=0),"",IF(SUMPRODUCT(($C$55:$C$175=AN69)*(S$54:$AG$54&lt;EOMONTH(TODAY(),-1)+1)*(ISNUMBER(S$55:$AG$175)),S$55:$AG$175)=0,"",SUMPRODUCT(($C$55:$C$175=AN69)*(S$54:$AG$54&lt;EOMONTH(TODAY(),-1)+1)*(ISNUMBER(S$55:$AG$175)),S$55:$AG$175)))</f>
        <v>1642.2049999999999</v>
      </c>
    </row>
    <row r="70" spans="1:42" ht="29.1" customHeight="1" x14ac:dyDescent="0.3">
      <c r="A70" s="1362"/>
      <c r="B70" s="1039"/>
      <c r="C70" s="1096"/>
      <c r="D70" s="1360"/>
      <c r="E70" s="1364"/>
      <c r="F70" s="1100"/>
      <c r="G70" s="1102"/>
      <c r="H70" s="1102"/>
      <c r="I70" s="1151"/>
      <c r="J70" s="1110"/>
      <c r="K70" s="1214"/>
      <c r="L70" s="1077"/>
      <c r="M70" s="1321"/>
      <c r="N70" s="1332"/>
      <c r="O70" s="1043"/>
      <c r="P70" s="1043"/>
      <c r="Q70" s="93" t="s">
        <v>107</v>
      </c>
      <c r="R70" s="826">
        <v>0.8</v>
      </c>
      <c r="S70" s="312"/>
      <c r="T70" s="312"/>
      <c r="U70" s="312"/>
      <c r="V70" s="310">
        <f t="shared" si="27"/>
        <v>0</v>
      </c>
      <c r="W70" s="312"/>
      <c r="X70" s="636">
        <v>3901.66</v>
      </c>
      <c r="Y70" s="312"/>
      <c r="Z70" s="310">
        <f t="shared" si="24"/>
        <v>3901.66</v>
      </c>
      <c r="AA70" s="312"/>
      <c r="AB70" s="312"/>
      <c r="AC70" s="312"/>
      <c r="AD70" s="310">
        <f t="shared" si="25"/>
        <v>0</v>
      </c>
      <c r="AE70" s="312"/>
      <c r="AF70" s="312"/>
      <c r="AG70" s="312"/>
      <c r="AH70" s="310">
        <f t="shared" si="33"/>
        <v>0</v>
      </c>
      <c r="AI70" s="313">
        <f t="shared" si="15"/>
        <v>3901.66</v>
      </c>
      <c r="AJ70" s="361" t="s">
        <v>328</v>
      </c>
      <c r="AK70" s="1039"/>
      <c r="AL70" s="1043"/>
      <c r="AM70" s="1045"/>
      <c r="AN70" s="62" t="str">
        <f>C69</f>
        <v>08 - Redução de peso bruto MB002446LA / MB003670LA / MB003671LA</v>
      </c>
      <c r="AO70" s="62" t="s">
        <v>291</v>
      </c>
      <c r="AP70" s="543" cm="1">
        <f t="array" aca="1" ref="AP70" ca="1">IF(OR(AN70="",AN70=0),"",IF(SUMPRODUCT(($C$55:$C$175=AN70)*($S$54:AG$54&lt;=TODAY())*(ISNUMBER($S$56:AG$176)),$S$56:AG$176)=0,"",SUMPRODUCT(($C$55:$C$175=AN70)*($S$54:AG$54&lt;=TODAY())*(ISNUMBER($S$56:AG$176)),$S$56:AG$176)))</f>
        <v>3901.66</v>
      </c>
    </row>
    <row r="71" spans="1:42" ht="29.1" customHeight="1" x14ac:dyDescent="0.3">
      <c r="A71" s="1036" t="s">
        <v>310</v>
      </c>
      <c r="B71" s="1299" t="s">
        <v>91</v>
      </c>
      <c r="C71" s="1113" t="s">
        <v>329</v>
      </c>
      <c r="D71" s="1115" t="s">
        <v>330</v>
      </c>
      <c r="E71" s="1303" t="s">
        <v>331</v>
      </c>
      <c r="F71" s="1040" t="s">
        <v>295</v>
      </c>
      <c r="G71" s="1117">
        <v>46082</v>
      </c>
      <c r="H71" s="1117">
        <v>46203</v>
      </c>
      <c r="I71" s="1074">
        <f>1513*6</f>
        <v>9078</v>
      </c>
      <c r="J71" s="1158"/>
      <c r="K71" s="1121" t="str">
        <f t="shared" ref="K71" si="35">IF(J71="", "", 12 - MONTH(J71) + 1)</f>
        <v/>
      </c>
      <c r="L71" s="1074"/>
      <c r="M71" s="1344"/>
      <c r="N71" s="1346"/>
      <c r="O71" s="1342" t="s">
        <v>80</v>
      </c>
      <c r="P71" s="1057">
        <v>1</v>
      </c>
      <c r="Q71" s="87" t="s">
        <v>106</v>
      </c>
      <c r="R71" s="825">
        <v>0.48</v>
      </c>
      <c r="S71" s="309">
        <f>IFERROR(IF(AND(S$54&gt;=EOMONTH($J71,-1)+1,S$54&lt;=EOMONTH(EOMONTH($J71,-1)+1,$K71-1)),IF(NOT(ISBLANK($N71)),$N71/$K71,$I71/$K71),0),0)</f>
        <v>0</v>
      </c>
      <c r="T71" s="309">
        <f>IFERROR(IF(AND(T$54&gt;=EOMONTH($J71,-1)+1,T$54&lt;=EOMONTH(EOMONTH($J71,-1)+1,$K71-1)),IF(NOT(ISBLANK($N71)),$N71/$K71,$I71/$K71),0),0)</f>
        <v>0</v>
      </c>
      <c r="U71" s="309">
        <f>IFERROR(IF(AND(U$54&gt;=EOMONTH($J71,-1)+1,U$54&lt;=EOMONTH(EOMONTH($J71,-1)+1,$K71-1)),IF(NOT(ISBLANK($N71)),$N71/$K71,$I71/$K71),0),0)</f>
        <v>0</v>
      </c>
      <c r="V71" s="89">
        <f t="shared" si="27"/>
        <v>0</v>
      </c>
      <c r="W71" s="309">
        <f>IFERROR(IF(AND(W$54&gt;=EOMONTH($J71,-1)+1,W$54&lt;=EOMONTH(EOMONTH($J71,-1)+1,$K71-1)),IF(NOT(ISBLANK($N71)),$N71/$K71,$I71/$K71),0),0)</f>
        <v>0</v>
      </c>
      <c r="X71" s="309">
        <f>IFERROR(IF(AND(X$54&gt;=EOMONTH($J71,-1)+1,X$54&lt;=EOMONTH(EOMONTH($J71,-1)+1,$K71-1)),IF(NOT(ISBLANK($N71)),$N71/$K71,$I71/$K71),0),0)</f>
        <v>0</v>
      </c>
      <c r="Y71" s="309">
        <f>IFERROR(IF(AND(Y$54&gt;=EOMONTH($J71,-1)+1,Y$54&lt;=EOMONTH(EOMONTH($J71,-1)+1,$K71-1)),IF(NOT(ISBLANK($N71)),$N71/$K71,$I71/$K71),0),0)</f>
        <v>0</v>
      </c>
      <c r="Z71" s="89">
        <f t="shared" si="24"/>
        <v>0</v>
      </c>
      <c r="AA71" s="309">
        <f>IFERROR(IF(AND(AA$54&gt;=EOMONTH($J71,-1)+1,AA$54&lt;=EOMONTH(EOMONTH($J71,-1)+1,$K71-1)),IF(NOT(ISBLANK($N71)),$N71/$K71,$I71/$K71),0),0)</f>
        <v>0</v>
      </c>
      <c r="AB71" s="309">
        <f>IFERROR(IF(AND(AB$54&gt;=EOMONTH($J71,-1)+1,AB$54&lt;=EOMONTH(EOMONTH($J71,-1)+1,$K71-1)),IF(NOT(ISBLANK($N71)),$N71/$K71,$I71/$K71),0),0)</f>
        <v>0</v>
      </c>
      <c r="AC71" s="309">
        <f>IFERROR(IF(AND(AC$54&gt;=EOMONTH($J71,-1)+1,AC$54&lt;=EOMONTH(EOMONTH($J71,-1)+1,$K71-1)),IF(NOT(ISBLANK($N71)),$N71/$K71,$I71/$K71),0),0)</f>
        <v>0</v>
      </c>
      <c r="AD71" s="89">
        <f t="shared" si="25"/>
        <v>0</v>
      </c>
      <c r="AE71" s="309">
        <f>IFERROR(IF(AND(AE$54&gt;=EOMONTH($J71,-1)+1,AE$54&lt;=EOMONTH(EOMONTH($J71,-1)+1,$K71-1)),IF(NOT(ISBLANK($N71)),$N71/$K71,$I71/$K71),0),0)</f>
        <v>0</v>
      </c>
      <c r="AF71" s="309">
        <f>IFERROR(IF(AND(AF$54&gt;=EOMONTH($J71,-1)+1,AF$54&lt;=EOMONTH(EOMONTH($J71,-1)+1,$K71-1)),IF(NOT(ISBLANK($N71)),$N71/$K71,$I71/$K71),0),0)</f>
        <v>0</v>
      </c>
      <c r="AG71" s="309">
        <f>IFERROR(IF(AND(AG$54&gt;=EOMONTH($J71,-1)+1,AG$54&lt;=EOMONTH(EOMONTH($J71,-1)+1,$K71-1)),IF(NOT(ISBLANK($N71)),$N71/$K71,$I71/$K71),0),0)</f>
        <v>0</v>
      </c>
      <c r="AH71" s="89">
        <f t="shared" si="33"/>
        <v>0</v>
      </c>
      <c r="AI71" s="90">
        <f t="shared" si="15"/>
        <v>0</v>
      </c>
      <c r="AJ71" s="92" t="s">
        <v>332</v>
      </c>
      <c r="AK71" s="1040"/>
      <c r="AL71" s="1048"/>
      <c r="AM71" s="1046">
        <f t="shared" ref="AM71" si="36">N71*AL71</f>
        <v>0</v>
      </c>
      <c r="AN71" s="62" t="str">
        <f>C71</f>
        <v>09 - Taxa de Esgoto</v>
      </c>
      <c r="AO71" s="62" t="s">
        <v>289</v>
      </c>
      <c r="AP71" s="543" t="str" cm="1">
        <f t="array" aca="1" ref="AP71" ca="1">IF(OR(AN71="",AN71=0),"",IF(SUMPRODUCT(($C$55:$C$175=AN71)*(S$54:$AG$54&lt;EOMONTH(TODAY(),-1)+1)*(ISNUMBER(S$55:$AG$175)),S$55:$AG$175)=0,"",SUMPRODUCT(($C$55:$C$175=AN71)*(S$54:$AG$54&lt;EOMONTH(TODAY(),-1)+1)*(ISNUMBER(S$55:$AG$175)),S$55:$AG$175)))</f>
        <v/>
      </c>
    </row>
    <row r="72" spans="1:42" ht="29.1" customHeight="1" x14ac:dyDescent="0.3">
      <c r="A72" s="1037"/>
      <c r="B72" s="1300"/>
      <c r="C72" s="1114"/>
      <c r="D72" s="1116"/>
      <c r="E72" s="1304"/>
      <c r="F72" s="1041"/>
      <c r="G72" s="1118"/>
      <c r="H72" s="1118"/>
      <c r="I72" s="1075"/>
      <c r="J72" s="1159"/>
      <c r="K72" s="1122"/>
      <c r="L72" s="1075"/>
      <c r="M72" s="1345"/>
      <c r="N72" s="1347"/>
      <c r="O72" s="1343"/>
      <c r="P72" s="1058"/>
      <c r="Q72" s="87" t="s">
        <v>107</v>
      </c>
      <c r="R72" s="825">
        <v>0.56000000000000005</v>
      </c>
      <c r="S72" s="309"/>
      <c r="T72" s="309"/>
      <c r="U72" s="309"/>
      <c r="V72" s="310">
        <f t="shared" si="27"/>
        <v>0</v>
      </c>
      <c r="W72" s="309"/>
      <c r="X72" s="309"/>
      <c r="Y72" s="309"/>
      <c r="Z72" s="310">
        <f t="shared" si="24"/>
        <v>0</v>
      </c>
      <c r="AA72" s="309"/>
      <c r="AB72" s="309"/>
      <c r="AC72" s="309"/>
      <c r="AD72" s="310">
        <f t="shared" si="25"/>
        <v>0</v>
      </c>
      <c r="AE72" s="309"/>
      <c r="AF72" s="309"/>
      <c r="AG72" s="309"/>
      <c r="AH72" s="310">
        <f t="shared" si="33"/>
        <v>0</v>
      </c>
      <c r="AI72" s="311">
        <f t="shared" si="15"/>
        <v>0</v>
      </c>
      <c r="AJ72" s="92"/>
      <c r="AK72" s="1041"/>
      <c r="AL72" s="1049"/>
      <c r="AM72" s="1047"/>
      <c r="AN72" s="62" t="str">
        <f>C71</f>
        <v>09 - Taxa de Esgoto</v>
      </c>
      <c r="AO72" s="62" t="s">
        <v>291</v>
      </c>
      <c r="AP72" s="543" t="str" cm="1">
        <f t="array" aca="1" ref="AP72" ca="1">IF(OR(AN72="",AN72=0),"",IF(SUMPRODUCT(($C$55:$C$175=AN72)*($S$54:AG$54&lt;=TODAY())*(ISNUMBER($S$56:AG$176)),$S$56:AG$176)=0,"",SUMPRODUCT(($C$55:$C$175=AN72)*($S$54:AG$54&lt;=TODAY())*(ISNUMBER($S$56:AG$176)),$S$56:AG$176)))</f>
        <v/>
      </c>
    </row>
    <row r="73" spans="1:42" ht="29.1" customHeight="1" x14ac:dyDescent="0.3">
      <c r="A73" s="1038" t="s">
        <v>76</v>
      </c>
      <c r="B73" s="1038" t="s">
        <v>91</v>
      </c>
      <c r="C73" s="1095" t="s">
        <v>333</v>
      </c>
      <c r="D73" s="1097" t="s">
        <v>334</v>
      </c>
      <c r="E73" s="1363" t="s">
        <v>335</v>
      </c>
      <c r="F73" s="1099" t="s">
        <v>336</v>
      </c>
      <c r="G73" s="1101">
        <v>46042</v>
      </c>
      <c r="H73" s="1101">
        <v>46142</v>
      </c>
      <c r="I73" s="1076">
        <v>2928</v>
      </c>
      <c r="J73" s="1109">
        <v>46143</v>
      </c>
      <c r="K73" s="1213">
        <f t="shared" ref="K73" si="37">IF(J73="", "", 12 - MONTH(J73) + 1)</f>
        <v>8</v>
      </c>
      <c r="L73" s="1076"/>
      <c r="M73" s="1072"/>
      <c r="N73" s="1055"/>
      <c r="O73" s="1042" t="s">
        <v>80</v>
      </c>
      <c r="P73" s="1042">
        <v>1</v>
      </c>
      <c r="Q73" s="93" t="s">
        <v>106</v>
      </c>
      <c r="R73" s="826">
        <v>0.97</v>
      </c>
      <c r="S73" s="532">
        <f>IFERROR(IF(AND(S$54&gt;=EOMONTH($J73,-1)+1,S$54&lt;=EOMONTH(EOMONTH($J73,-1)+1,$K73-1)),IF(NOT(ISBLANK($N73)),$N73/$K73,$I73/$K73),0),0)</f>
        <v>0</v>
      </c>
      <c r="T73" s="532">
        <f>IFERROR(IF(AND(T$54&gt;=EOMONTH($J73,-1)+1,T$54&lt;=EOMONTH(EOMONTH($J73,-1)+1,$K73-1)),IF(NOT(ISBLANK($N73)),$N73/$K73,$I73/$K73),0),0)</f>
        <v>0</v>
      </c>
      <c r="U73" s="532">
        <f>IFERROR(IF(AND(U$54&gt;=EOMONTH($J73,-1)+1,U$54&lt;=EOMONTH(EOMONTH($J73,-1)+1,$K73-1)),IF(NOT(ISBLANK($N73)),$N73/$K73,$I73/$K73),0),0)</f>
        <v>0</v>
      </c>
      <c r="V73" s="89">
        <f t="shared" si="27"/>
        <v>0</v>
      </c>
      <c r="W73" s="532">
        <f>IFERROR(IF(AND(W$54&gt;=EOMONTH($J73,-1)+1,W$54&lt;=EOMONTH(EOMONTH($J73,-1)+1,$K73-1)),IF(NOT(ISBLANK($N73)),$N73/$K73,$I73/$K73),0),0)</f>
        <v>0</v>
      </c>
      <c r="X73" s="532">
        <f>IFERROR(IF(AND(X$54&gt;=EOMONTH($J73,-1)+1,X$54&lt;=EOMONTH(EOMONTH($J73,-1)+1,$K73-1)),IF(NOT(ISBLANK($N73)),$N73/$K73,$I73/$K73),0),0)</f>
        <v>366</v>
      </c>
      <c r="Y73" s="532">
        <f>IFERROR(IF(AND(Y$54&gt;=EOMONTH($J73,-1)+1,Y$54&lt;=EOMONTH(EOMONTH($J73,-1)+1,$K73-1)),IF(NOT(ISBLANK($N73)),$N73/$K73,$I73/$K73),0),0)</f>
        <v>366</v>
      </c>
      <c r="Z73" s="89">
        <f t="shared" si="24"/>
        <v>732</v>
      </c>
      <c r="AA73" s="532">
        <f>IFERROR(IF(AND(AA$54&gt;=EOMONTH($J73,-1)+1,AA$54&lt;=EOMONTH(EOMONTH($J73,-1)+1,$K73-1)),IF(NOT(ISBLANK($N73)),$N73/$K73,$I73/$K73),0),0)</f>
        <v>366</v>
      </c>
      <c r="AB73" s="532">
        <f>IFERROR(IF(AND(AB$54&gt;=EOMONTH($J73,-1)+1,AB$54&lt;=EOMONTH(EOMONTH($J73,-1)+1,$K73-1)),IF(NOT(ISBLANK($N73)),$N73/$K73,$I73/$K73),0),0)</f>
        <v>366</v>
      </c>
      <c r="AC73" s="532">
        <f>IFERROR(IF(AND(AC$54&gt;=EOMONTH($J73,-1)+1,AC$54&lt;=EOMONTH(EOMONTH($J73,-1)+1,$K73-1)),IF(NOT(ISBLANK($N73)),$N73/$K73,$I73/$K73),0),0)</f>
        <v>366</v>
      </c>
      <c r="AD73" s="89">
        <f t="shared" si="25"/>
        <v>1098</v>
      </c>
      <c r="AE73" s="532">
        <f>IFERROR(IF(AND(AE$54&gt;=EOMONTH($J73,-1)+1,AE$54&lt;=EOMONTH(EOMONTH($J73,-1)+1,$K73-1)),IF(NOT(ISBLANK($N73)),$N73/$K73,$I73/$K73),0),0)</f>
        <v>366</v>
      </c>
      <c r="AF73" s="532">
        <f>IFERROR(IF(AND(AF$54&gt;=EOMONTH($J73,-1)+1,AF$54&lt;=EOMONTH(EOMONTH($J73,-1)+1,$K73-1)),IF(NOT(ISBLANK($N73)),$N73/$K73,$I73/$K73),0),0)</f>
        <v>366</v>
      </c>
      <c r="AG73" s="532">
        <f>IFERROR(IF(AND(AG$54&gt;=EOMONTH($J73,-1)+1,AG$54&lt;=EOMONTH(EOMONTH($J73,-1)+1,$K73-1)),IF(NOT(ISBLANK($N73)),$N73/$K73,$I73/$K73),0),0)</f>
        <v>366</v>
      </c>
      <c r="AH73" s="89">
        <f t="shared" si="33"/>
        <v>1098</v>
      </c>
      <c r="AI73" s="95">
        <f t="shared" si="15"/>
        <v>2928</v>
      </c>
      <c r="AJ73" s="361" t="s">
        <v>337</v>
      </c>
      <c r="AK73" s="1038"/>
      <c r="AL73" s="1042"/>
      <c r="AM73" s="1044">
        <f t="shared" ref="AM73" si="38">N73*AL73</f>
        <v>0</v>
      </c>
      <c r="AN73" s="62" t="str">
        <f>C73</f>
        <v>10 - Padronização de arame de solda</v>
      </c>
      <c r="AO73" s="62" t="s">
        <v>289</v>
      </c>
      <c r="AP73" s="543" cm="1">
        <f t="array" aca="1" ref="AP73" ca="1">IF(OR(AN73="",AN73=0),"",IF(SUMPRODUCT(($C$55:$C$175=AN73)*(S$54:$AG$54&lt;EOMONTH(TODAY(),-1)+1)*(ISNUMBER(S$55:$AG$175)),S$55:$AG$175)=0,"",SUMPRODUCT(($C$55:$C$175=AN73)*(S$54:$AG$54&lt;EOMONTH(TODAY(),-1)+1)*(ISNUMBER(S$55:$AG$175)),S$55:$AG$175)))</f>
        <v>366</v>
      </c>
    </row>
    <row r="74" spans="1:42" ht="29.1" customHeight="1" x14ac:dyDescent="0.3">
      <c r="A74" s="1039"/>
      <c r="B74" s="1039"/>
      <c r="C74" s="1096"/>
      <c r="D74" s="1360"/>
      <c r="E74" s="1364"/>
      <c r="F74" s="1100"/>
      <c r="G74" s="1102"/>
      <c r="H74" s="1102"/>
      <c r="I74" s="1077"/>
      <c r="J74" s="1110"/>
      <c r="K74" s="1214"/>
      <c r="L74" s="1077"/>
      <c r="M74" s="1073"/>
      <c r="N74" s="1056"/>
      <c r="O74" s="1043"/>
      <c r="P74" s="1043"/>
      <c r="Q74" s="93" t="s">
        <v>107</v>
      </c>
      <c r="R74" s="826">
        <v>0.95</v>
      </c>
      <c r="S74" s="312"/>
      <c r="T74" s="312"/>
      <c r="U74" s="312"/>
      <c r="V74" s="310">
        <f t="shared" si="27"/>
        <v>0</v>
      </c>
      <c r="W74" s="312"/>
      <c r="X74" s="312"/>
      <c r="Y74" s="312"/>
      <c r="Z74" s="310">
        <f t="shared" si="24"/>
        <v>0</v>
      </c>
      <c r="AA74" s="312"/>
      <c r="AB74" s="312"/>
      <c r="AC74" s="312"/>
      <c r="AD74" s="310">
        <f t="shared" si="25"/>
        <v>0</v>
      </c>
      <c r="AE74" s="312"/>
      <c r="AF74" s="312"/>
      <c r="AG74" s="312"/>
      <c r="AH74" s="310">
        <f t="shared" si="33"/>
        <v>0</v>
      </c>
      <c r="AI74" s="313">
        <f t="shared" si="15"/>
        <v>0</v>
      </c>
      <c r="AJ74" s="97"/>
      <c r="AK74" s="1039"/>
      <c r="AL74" s="1043"/>
      <c r="AM74" s="1045"/>
      <c r="AN74" s="62" t="str">
        <f>C73</f>
        <v>10 - Padronização de arame de solda</v>
      </c>
      <c r="AO74" s="62" t="s">
        <v>291</v>
      </c>
      <c r="AP74" s="543" t="str" cm="1">
        <f t="array" aca="1" ref="AP74" ca="1">IF(OR(AN74="",AN74=0),"",IF(SUMPRODUCT(($C$55:$C$175=AN74)*($S$54:AG$54&lt;=TODAY())*(ISNUMBER($S$56:AG$176)),$S$56:AG$176)=0,"",SUMPRODUCT(($C$55:$C$175=AN74)*($S$54:AG$54&lt;=TODAY())*(ISNUMBER($S$56:AG$176)),$S$56:AG$176)))</f>
        <v/>
      </c>
    </row>
    <row r="75" spans="1:42" ht="29.1" customHeight="1" x14ac:dyDescent="0.3">
      <c r="A75" s="1036" t="s">
        <v>310</v>
      </c>
      <c r="B75" s="1299" t="s">
        <v>91</v>
      </c>
      <c r="C75" s="1113" t="s">
        <v>338</v>
      </c>
      <c r="D75" s="1389"/>
      <c r="E75" s="1303" t="s">
        <v>339</v>
      </c>
      <c r="F75" s="1040" t="s">
        <v>295</v>
      </c>
      <c r="G75" s="1117">
        <v>46113</v>
      </c>
      <c r="H75" s="1117">
        <v>46113</v>
      </c>
      <c r="I75" s="1390">
        <f>3.071/2</f>
        <v>1.5355000000000001</v>
      </c>
      <c r="J75" s="1158" t="s">
        <v>340</v>
      </c>
      <c r="K75" s="1121" t="str">
        <f t="shared" ref="K75" si="39">IF(J75="", "", 12 - MONTH(J75) + 1)</f>
        <v/>
      </c>
      <c r="L75" s="1074"/>
      <c r="M75" s="1305"/>
      <c r="N75" s="1307"/>
      <c r="O75" s="1074" t="s">
        <v>83</v>
      </c>
      <c r="P75" s="1057">
        <v>1</v>
      </c>
      <c r="Q75" s="87" t="s">
        <v>106</v>
      </c>
      <c r="R75" s="825">
        <v>1</v>
      </c>
      <c r="S75" s="309">
        <f>IFERROR(IF(AND(S$54&gt;=EOMONTH($J75,-1)+1,S$54&lt;=EOMONTH(EOMONTH($J75,-1)+1,$K75-1)),IF(NOT(ISBLANK($N75)),$N75/$K75,$I75/$K75),0),0)</f>
        <v>0</v>
      </c>
      <c r="T75" s="309">
        <f>IFERROR(IF(AND(T$54&gt;=EOMONTH($J75,-1)+1,T$54&lt;=EOMONTH(EOMONTH($J75,-1)+1,$K75-1)),IF(NOT(ISBLANK($N75)),$N75/$K75,$I75/$K75),0),0)</f>
        <v>0</v>
      </c>
      <c r="U75" s="309">
        <f>IFERROR(IF(AND(U$54&gt;=EOMONTH($J75,-1)+1,U$54&lt;=EOMONTH(EOMONTH($J75,-1)+1,$K75-1)),IF(NOT(ISBLANK($N75)),$N75/$K75,$I75/$K75),0),0)</f>
        <v>0</v>
      </c>
      <c r="V75" s="89">
        <f t="shared" si="27"/>
        <v>0</v>
      </c>
      <c r="W75" s="309">
        <f>IFERROR(IF(AND(W$54&gt;=EOMONTH($J75,-1)+1,W$54&lt;=EOMONTH(EOMONTH($J75,-1)+1,$K75-1)),IF(NOT(ISBLANK($N75)),$N75/$K75,$I75/$K75),0),0)</f>
        <v>0</v>
      </c>
      <c r="X75" s="309">
        <f>IFERROR(IF(AND(X$54&gt;=EOMONTH($J75,-1)+1,X$54&lt;=EOMONTH(EOMONTH($J75,-1)+1,$K75-1)),IF(NOT(ISBLANK($N75)),$N75/$K75,$I75/$K75),0),0)</f>
        <v>0</v>
      </c>
      <c r="Y75" s="309">
        <f>IFERROR(IF(AND(Y$54&gt;=EOMONTH($J75,-1)+1,Y$54&lt;=EOMONTH(EOMONTH($J75,-1)+1,$K75-1)),IF(NOT(ISBLANK($N75)),$N75/$K75,$I75/$K75),0),0)</f>
        <v>0</v>
      </c>
      <c r="Z75" s="89">
        <f t="shared" si="24"/>
        <v>0</v>
      </c>
      <c r="AA75" s="309">
        <f>IFERROR(IF(AND(AA$54&gt;=EOMONTH($J75,-1)+1,AA$54&lt;=EOMONTH(EOMONTH($J75,-1)+1,$K75-1)),IF(NOT(ISBLANK($N75)),$N75/$K75,$I75/$K75),0),0)</f>
        <v>0</v>
      </c>
      <c r="AB75" s="309">
        <f>IFERROR(IF(AND(AB$54&gt;=EOMONTH($J75,-1)+1,AB$54&lt;=EOMONTH(EOMONTH($J75,-1)+1,$K75-1)),IF(NOT(ISBLANK($N75)),$N75/$K75,$I75/$K75),0),0)</f>
        <v>0</v>
      </c>
      <c r="AC75" s="309">
        <f>IFERROR(IF(AND(AC$54&gt;=EOMONTH($J75,-1)+1,AC$54&lt;=EOMONTH(EOMONTH($J75,-1)+1,$K75-1)),IF(NOT(ISBLANK($N75)),$N75/$K75,$I75/$K75),0),0)</f>
        <v>0</v>
      </c>
      <c r="AD75" s="89">
        <f t="shared" si="25"/>
        <v>0</v>
      </c>
      <c r="AE75" s="309">
        <f>IFERROR(IF(AND(AE$54&gt;=EOMONTH($J75,-1)+1,AE$54&lt;=EOMONTH(EOMONTH($J75,-1)+1,$K75-1)),IF(NOT(ISBLANK($N75)),$N75/$K75,$I75/$K75),0),0)</f>
        <v>0</v>
      </c>
      <c r="AF75" s="309">
        <f>IFERROR(IF(AND(AF$54&gt;=EOMONTH($J75,-1)+1,AF$54&lt;=EOMONTH(EOMONTH($J75,-1)+1,$K75-1)),IF(NOT(ISBLANK($N75)),$N75/$K75,$I75/$K75),0),0)</f>
        <v>0</v>
      </c>
      <c r="AG75" s="309">
        <f>IFERROR(IF(AND(AG$54&gt;=EOMONTH($J75,-1)+1,AG$54&lt;=EOMONTH(EOMONTH($J75,-1)+1,$K75-1)),IF(NOT(ISBLANK($N75)),$N75/$K75,$I75/$K75),0),0)</f>
        <v>0</v>
      </c>
      <c r="AH75" s="89">
        <f t="shared" si="33"/>
        <v>0</v>
      </c>
      <c r="AI75" s="90">
        <f t="shared" si="15"/>
        <v>0</v>
      </c>
      <c r="AJ75" s="92"/>
      <c r="AK75" s="1040"/>
      <c r="AL75" s="1048"/>
      <c r="AM75" s="1046">
        <f t="shared" ref="AM75" si="40">N75*AL75</f>
        <v>0</v>
      </c>
      <c r="AN75" s="62" t="str">
        <f>C75</f>
        <v>11 - Resourcing de DSL para DD</v>
      </c>
      <c r="AO75" s="62" t="s">
        <v>289</v>
      </c>
      <c r="AP75" s="543" t="str" cm="1">
        <f t="array" aca="1" ref="AP75" ca="1">IF(OR(AN75="",AN75=0),"",IF(SUMPRODUCT(($C$55:$C$175=AN75)*(S$54:$AG$54&lt;EOMONTH(TODAY(),-1)+1)*(ISNUMBER(S$55:$AG$175)),S$55:$AG$175)=0,"",SUMPRODUCT(($C$55:$C$175=AN75)*(S$54:$AG$54&lt;EOMONTH(TODAY(),-1)+1)*(ISNUMBER(S$55:$AG$175)),S$55:$AG$175)))</f>
        <v/>
      </c>
    </row>
    <row r="76" spans="1:42" ht="29.1" customHeight="1" x14ac:dyDescent="0.3">
      <c r="A76" s="1037"/>
      <c r="B76" s="1300"/>
      <c r="C76" s="1114"/>
      <c r="D76" s="1116"/>
      <c r="E76" s="1304"/>
      <c r="F76" s="1041"/>
      <c r="G76" s="1118"/>
      <c r="H76" s="1118"/>
      <c r="I76" s="1391"/>
      <c r="J76" s="1159"/>
      <c r="K76" s="1122"/>
      <c r="L76" s="1075"/>
      <c r="M76" s="1306"/>
      <c r="N76" s="1054"/>
      <c r="O76" s="1075"/>
      <c r="P76" s="1058"/>
      <c r="Q76" s="87" t="s">
        <v>107</v>
      </c>
      <c r="R76" s="825">
        <v>0</v>
      </c>
      <c r="S76" s="309"/>
      <c r="T76" s="309"/>
      <c r="U76" s="309"/>
      <c r="V76" s="310">
        <f t="shared" si="27"/>
        <v>0</v>
      </c>
      <c r="W76" s="309"/>
      <c r="X76" s="309"/>
      <c r="Y76" s="309"/>
      <c r="Z76" s="310">
        <f t="shared" si="24"/>
        <v>0</v>
      </c>
      <c r="AA76" s="309"/>
      <c r="AB76" s="309"/>
      <c r="AC76" s="309"/>
      <c r="AD76" s="310">
        <f t="shared" si="25"/>
        <v>0</v>
      </c>
      <c r="AE76" s="309"/>
      <c r="AF76" s="309"/>
      <c r="AG76" s="309"/>
      <c r="AH76" s="310">
        <f t="shared" si="33"/>
        <v>0</v>
      </c>
      <c r="AI76" s="311">
        <f t="shared" si="15"/>
        <v>0</v>
      </c>
      <c r="AJ76" s="92"/>
      <c r="AK76" s="1041"/>
      <c r="AL76" s="1049"/>
      <c r="AM76" s="1047"/>
      <c r="AN76" s="62" t="str">
        <f>C75</f>
        <v>11 - Resourcing de DSL para DD</v>
      </c>
      <c r="AO76" s="62" t="s">
        <v>291</v>
      </c>
      <c r="AP76" s="543" t="str" cm="1">
        <f t="array" aca="1" ref="AP76" ca="1">IF(OR(AN76="",AN76=0),"",IF(SUMPRODUCT(($C$55:$C$175=AN76)*($S$54:AG$54&lt;=TODAY())*(ISNUMBER($S$56:AG$176)),$S$56:AG$176)=0,"",SUMPRODUCT(($C$55:$C$175=AN76)*($S$54:AG$54&lt;=TODAY())*(ISNUMBER($S$56:AG$176)),$S$56:AG$176)))</f>
        <v/>
      </c>
    </row>
    <row r="77" spans="1:42" ht="29.1" customHeight="1" x14ac:dyDescent="0.3">
      <c r="A77" s="1361" t="s">
        <v>76</v>
      </c>
      <c r="B77" s="1038" t="s">
        <v>91</v>
      </c>
      <c r="C77" s="1095" t="s">
        <v>341</v>
      </c>
      <c r="D77" s="1097" t="s">
        <v>342</v>
      </c>
      <c r="E77" s="1363" t="s">
        <v>343</v>
      </c>
      <c r="F77" s="1099" t="s">
        <v>301</v>
      </c>
      <c r="G77" s="1101">
        <v>46023</v>
      </c>
      <c r="H77" s="1101">
        <v>46053</v>
      </c>
      <c r="I77" s="1152">
        <v>38583</v>
      </c>
      <c r="J77" s="1109">
        <v>46023</v>
      </c>
      <c r="K77" s="1213">
        <v>1</v>
      </c>
      <c r="L77" s="1076"/>
      <c r="M77" s="1329" t="s">
        <v>287</v>
      </c>
      <c r="N77" s="1331">
        <v>37746.6</v>
      </c>
      <c r="O77" s="1420" t="s">
        <v>77</v>
      </c>
      <c r="P77" s="1323">
        <v>1</v>
      </c>
      <c r="Q77" s="571" t="s">
        <v>106</v>
      </c>
      <c r="R77" s="827">
        <v>1</v>
      </c>
      <c r="S77" s="532">
        <f>IFERROR(IF(AND(S$54&gt;=EOMONTH($J77,-1)+1,S$54&lt;=EOMONTH(EOMONTH($J77,-1)+1,$K77-1)),IF(NOT(ISBLANK($N77)),$N77/$K77,$I77/$K77),0),0)</f>
        <v>37746.6</v>
      </c>
      <c r="T77" s="532">
        <f>IFERROR(IF(AND(T$54&gt;=EOMONTH($J77,-1)+1,T$54&lt;=EOMONTH(EOMONTH($J77,-1)+1,$K77-1)),IF(NOT(ISBLANK($N77)),$N77/$K77,$I77/$K77),0),0)</f>
        <v>0</v>
      </c>
      <c r="U77" s="532">
        <f>IFERROR(IF(AND(U$54&gt;=EOMONTH($J77,-1)+1,U$54&lt;=EOMONTH(EOMONTH($J77,-1)+1,$K77-1)),IF(NOT(ISBLANK($N77)),$N77/$K77,$I77/$K77),0),0)</f>
        <v>0</v>
      </c>
      <c r="V77" s="89">
        <f t="shared" ref="V77" si="41">SUM(S77:U77)</f>
        <v>37746.6</v>
      </c>
      <c r="W77" s="532">
        <f>IFERROR(IF(AND(W$54&gt;=EOMONTH($J77,-1)+1,W$54&lt;=EOMONTH(EOMONTH($J77,-1)+1,$K77-1)),IF(NOT(ISBLANK($N77)),$N77/$K77,$I77/$K77),0),0)</f>
        <v>0</v>
      </c>
      <c r="X77" s="532">
        <f>IFERROR(IF(AND(X$54&gt;=EOMONTH($J77,-1)+1,X$54&lt;=EOMONTH(EOMONTH($J77,-1)+1,$K77-1)),IF(NOT(ISBLANK($N77)),$N77/$K77,$I77/$K77),0),0)</f>
        <v>0</v>
      </c>
      <c r="Y77" s="532">
        <f>IFERROR(IF(AND(Y$54&gt;=EOMONTH($J77,-1)+1,Y$54&lt;=EOMONTH(EOMONTH($J77,-1)+1,$K77-1)),IF(NOT(ISBLANK($N77)),$N77/$K77,$I77/$K77),0),0)</f>
        <v>0</v>
      </c>
      <c r="Z77" s="89">
        <f t="shared" ref="Z77" si="42">SUM(W77:Y77)</f>
        <v>0</v>
      </c>
      <c r="AA77" s="532">
        <f>IFERROR(IF(AND(AA$54&gt;=EOMONTH($J77,-1)+1,AA$54&lt;=EOMONTH(EOMONTH($J77,-1)+1,$K77-1)),IF(NOT(ISBLANK($N77)),$N77/$K77,$I77/$K77),0),0)</f>
        <v>0</v>
      </c>
      <c r="AB77" s="532">
        <f>IFERROR(IF(AND(AB$54&gt;=EOMONTH($J77,-1)+1,AB$54&lt;=EOMONTH(EOMONTH($J77,-1)+1,$K77-1)),IF(NOT(ISBLANK($N77)),$N77/$K77,$I77/$K77),0),0)</f>
        <v>0</v>
      </c>
      <c r="AC77" s="532">
        <f>IFERROR(IF(AND(AC$54&gt;=EOMONTH($J77,-1)+1,AC$54&lt;=EOMONTH(EOMONTH($J77,-1)+1,$K77-1)),IF(NOT(ISBLANK($N77)),$N77/$K77,$I77/$K77),0),0)</f>
        <v>0</v>
      </c>
      <c r="AD77" s="89">
        <f t="shared" ref="AD77" si="43">SUM(AA77:AC77)</f>
        <v>0</v>
      </c>
      <c r="AE77" s="532">
        <f>IFERROR(IF(AND(AE$54&gt;=EOMONTH($J77,-1)+1,AE$54&lt;=EOMONTH(EOMONTH($J77,-1)+1,$K77-1)),IF(NOT(ISBLANK($N77)),$N77/$K77,$I77/$K77),0),0)</f>
        <v>0</v>
      </c>
      <c r="AF77" s="532">
        <f>IFERROR(IF(AND(AF$54&gt;=EOMONTH($J77,-1)+1,AF$54&lt;=EOMONTH(EOMONTH($J77,-1)+1,$K77-1)),IF(NOT(ISBLANK($N77)),$N77/$K77,$I77/$K77),0),0)</f>
        <v>0</v>
      </c>
      <c r="AG77" s="532">
        <f>IFERROR(IF(AND(AG$54&gt;=EOMONTH($J77,-1)+1,AG$54&lt;=EOMONTH(EOMONTH($J77,-1)+1,$K77-1)),IF(NOT(ISBLANK($N77)),$N77/$K77,$I77/$K77),0),0)</f>
        <v>0</v>
      </c>
      <c r="AH77" s="89">
        <f t="shared" si="33"/>
        <v>0</v>
      </c>
      <c r="AI77" s="95">
        <f t="shared" si="15"/>
        <v>37746.6</v>
      </c>
      <c r="AJ77" s="150" t="s">
        <v>344</v>
      </c>
      <c r="AK77" s="1038"/>
      <c r="AL77" s="1042"/>
      <c r="AM77" s="1044">
        <f t="shared" ref="AM77" si="44">N77*AL77</f>
        <v>0</v>
      </c>
      <c r="AN77" s="62" t="str">
        <f>C77</f>
        <v>12 - Aproveitamento de peças Obsoletas - A9583176540</v>
      </c>
      <c r="AO77" s="62" t="s">
        <v>289</v>
      </c>
      <c r="AP77" s="543" cm="1">
        <f t="array" aca="1" ref="AP77" ca="1">IF(OR(AN77="",AN77=0),"",IF(SUMPRODUCT(($C$55:$C$175=AN77)*(S$54:$AG$54&lt;EOMONTH(TODAY(),-1)+1)*(ISNUMBER(S$55:$AG$175)),S$55:$AG$175)=0,"",SUMPRODUCT(($C$55:$C$175=AN77)*(S$54:$AG$54&lt;EOMONTH(TODAY(),-1)+1)*(ISNUMBER(S$55:$AG$175)),S$55:$AG$175)))</f>
        <v>37746.6</v>
      </c>
    </row>
    <row r="78" spans="1:42" ht="29.1" customHeight="1" x14ac:dyDescent="0.3">
      <c r="A78" s="1362"/>
      <c r="B78" s="1039"/>
      <c r="C78" s="1096"/>
      <c r="D78" s="1098"/>
      <c r="E78" s="1364"/>
      <c r="F78" s="1100"/>
      <c r="G78" s="1102"/>
      <c r="H78" s="1102"/>
      <c r="I78" s="1151"/>
      <c r="J78" s="1110"/>
      <c r="K78" s="1214"/>
      <c r="L78" s="1077"/>
      <c r="M78" s="1330"/>
      <c r="N78" s="1332"/>
      <c r="O78" s="1421"/>
      <c r="P78" s="1324"/>
      <c r="Q78" s="571" t="s">
        <v>107</v>
      </c>
      <c r="R78" s="827">
        <v>1</v>
      </c>
      <c r="S78" s="532">
        <f>N77</f>
        <v>37746.6</v>
      </c>
      <c r="T78" s="532">
        <v>0</v>
      </c>
      <c r="U78" s="312">
        <v>0</v>
      </c>
      <c r="V78" s="310">
        <f t="shared" ref="V78:V81" si="45">SUM(S78:U78)</f>
        <v>37746.6</v>
      </c>
      <c r="W78" s="312">
        <v>0</v>
      </c>
      <c r="X78" s="312"/>
      <c r="Y78" s="312"/>
      <c r="Z78" s="310">
        <f t="shared" ref="Z78:Z81" si="46">SUM(W78:Y78)</f>
        <v>0</v>
      </c>
      <c r="AA78" s="312"/>
      <c r="AB78" s="312"/>
      <c r="AC78" s="312"/>
      <c r="AD78" s="310">
        <f t="shared" ref="AD78:AD81" si="47">SUM(AA78:AC78)</f>
        <v>0</v>
      </c>
      <c r="AE78" s="312"/>
      <c r="AF78" s="312"/>
      <c r="AG78" s="312"/>
      <c r="AH78" s="310">
        <f t="shared" si="33"/>
        <v>0</v>
      </c>
      <c r="AI78" s="313">
        <f t="shared" si="15"/>
        <v>37746.6</v>
      </c>
      <c r="AJ78" s="125" t="s">
        <v>345</v>
      </c>
      <c r="AK78" s="1039"/>
      <c r="AL78" s="1043"/>
      <c r="AM78" s="1045"/>
      <c r="AN78" s="62" t="str">
        <f>C77</f>
        <v>12 - Aproveitamento de peças Obsoletas - A9583176540</v>
      </c>
      <c r="AO78" s="62" t="s">
        <v>291</v>
      </c>
      <c r="AP78" s="543" cm="1">
        <f t="array" aca="1" ref="AP78" ca="1">IF(OR(AN78="",AN78=0),"",IF(SUMPRODUCT(($C$55:$C$175=AN78)*($S$54:AG$54&lt;=TODAY())*(ISNUMBER($S$56:AG$176)),$S$56:AG$176)=0,"",SUMPRODUCT(($C$55:$C$175=AN78)*($S$54:AG$54&lt;=TODAY())*(ISNUMBER($S$56:AG$176)),$S$56:AG$176)))</f>
        <v>37746.6</v>
      </c>
    </row>
    <row r="79" spans="1:42" ht="29.1" customHeight="1" x14ac:dyDescent="0.3">
      <c r="A79" s="1299" t="s">
        <v>76</v>
      </c>
      <c r="B79" s="1299" t="s">
        <v>91</v>
      </c>
      <c r="C79" s="1113" t="s">
        <v>346</v>
      </c>
      <c r="D79" s="1115" t="s">
        <v>347</v>
      </c>
      <c r="E79" s="1303" t="s">
        <v>348</v>
      </c>
      <c r="F79" s="1040" t="s">
        <v>301</v>
      </c>
      <c r="G79" s="1117">
        <v>46023</v>
      </c>
      <c r="H79" s="1117">
        <v>46127</v>
      </c>
      <c r="I79" s="1342">
        <v>1890</v>
      </c>
      <c r="J79" s="1158">
        <v>46113</v>
      </c>
      <c r="K79" s="1121">
        <f t="shared" ref="K79" si="48">IF(J79="", "", 12 - MONTH(J79) + 1)</f>
        <v>9</v>
      </c>
      <c r="L79" s="1074"/>
      <c r="M79" s="1312" t="s">
        <v>287</v>
      </c>
      <c r="N79" s="1053">
        <v>1962.46</v>
      </c>
      <c r="O79" s="1339" t="s">
        <v>80</v>
      </c>
      <c r="P79" s="1057">
        <v>1</v>
      </c>
      <c r="Q79" s="87" t="s">
        <v>106</v>
      </c>
      <c r="R79" s="825">
        <v>1</v>
      </c>
      <c r="S79" s="309">
        <f>IFERROR(IF(AND(S$54&gt;=EOMONTH($J79,-1)+1,S$54&lt;=EOMONTH(EOMONTH($J79,-1)+1,$K79-1)),IF(NOT(ISBLANK($N79)),$N79/$K79,$I79/$K79),0),0)</f>
        <v>0</v>
      </c>
      <c r="T79" s="309">
        <f>IFERROR(IF(AND(T$54&gt;=EOMONTH($J79,-1)+1,T$54&lt;=EOMONTH(EOMONTH($J79,-1)+1,$K79-1)),IF(NOT(ISBLANK($N79)),$N79/$K79,$I79/$K79),0),0)</f>
        <v>0</v>
      </c>
      <c r="U79" s="309">
        <f>IFERROR(IF(AND(U$54&gt;=EOMONTH($J79,-1)+1,U$54&lt;=EOMONTH(EOMONTH($J79,-1)+1,$K79-1)),IF(NOT(ISBLANK($N79)),$N79/$K79,$I79/$K79),0),0)</f>
        <v>0</v>
      </c>
      <c r="V79" s="89">
        <f t="shared" si="45"/>
        <v>0</v>
      </c>
      <c r="W79" s="569">
        <f>IFERROR(IF(AND(W$54&gt;=EOMONTH($J79,-1)+1,W$54&lt;=EOMONTH(EOMONTH($J79,-1)+1,$K79-1)),IF(NOT(ISBLANK($N79)),$N79/$K79,$I79/$K79),0),0)</f>
        <v>218.05111111111111</v>
      </c>
      <c r="X79" s="309">
        <f>IFERROR(IF(AND(X$54&gt;=EOMONTH($J79,-1)+1,X$54&lt;=EOMONTH(EOMONTH($J79,-1)+1,$K79-1)),IF(NOT(ISBLANK($N79)),$N79/$K79,$I79/$K79),0),0)</f>
        <v>218.05111111111111</v>
      </c>
      <c r="Y79" s="309">
        <f>IFERROR(IF(AND(Y$54&gt;=EOMONTH($J79,-1)+1,Y$54&lt;=EOMONTH(EOMONTH($J79,-1)+1,$K79-1)),IF(NOT(ISBLANK($N79)),$N79/$K79,$I79/$K79),0),0)</f>
        <v>218.05111111111111</v>
      </c>
      <c r="Z79" s="89">
        <f t="shared" si="46"/>
        <v>654.15333333333331</v>
      </c>
      <c r="AA79" s="309">
        <f>IFERROR(IF(AND(AA$54&gt;=EOMONTH($J79,-1)+1,AA$54&lt;=EOMONTH(EOMONTH($J79,-1)+1,$K79-1)),IF(NOT(ISBLANK($N79)),$N79/$K79,$I79/$K79),0),0)</f>
        <v>218.05111111111111</v>
      </c>
      <c r="AB79" s="309">
        <f>IFERROR(IF(AND(AB$54&gt;=EOMONTH($J79,-1)+1,AB$54&lt;=EOMONTH(EOMONTH($J79,-1)+1,$K79-1)),IF(NOT(ISBLANK($N79)),$N79/$K79,$I79/$K79),0),0)</f>
        <v>218.05111111111111</v>
      </c>
      <c r="AC79" s="309">
        <f>IFERROR(IF(AND(AC$54&gt;=EOMONTH($J79,-1)+1,AC$54&lt;=EOMONTH(EOMONTH($J79,-1)+1,$K79-1)),IF(NOT(ISBLANK($N79)),$N79/$K79,$I79/$K79),0),0)</f>
        <v>218.05111111111111</v>
      </c>
      <c r="AD79" s="89">
        <f t="shared" si="47"/>
        <v>654.15333333333331</v>
      </c>
      <c r="AE79" s="309">
        <f>IFERROR(IF(AND(AE$54&gt;=EOMONTH($J79,-1)+1,AE$54&lt;=EOMONTH(EOMONTH($J79,-1)+1,$K79-1)),IF(NOT(ISBLANK($N79)),$N79/$K79,$I79/$K79),0),0)</f>
        <v>218.05111111111111</v>
      </c>
      <c r="AF79" s="309">
        <f>IFERROR(IF(AND(AF$54&gt;=EOMONTH($J79,-1)+1,AF$54&lt;=EOMONTH(EOMONTH($J79,-1)+1,$K79-1)),IF(NOT(ISBLANK($N79)),$N79/$K79,$I79/$K79),0),0)</f>
        <v>218.05111111111111</v>
      </c>
      <c r="AG79" s="309">
        <f>IFERROR(IF(AND(AG$54&gt;=EOMONTH($J79,-1)+1,AG$54&lt;=EOMONTH(EOMONTH($J79,-1)+1,$K79-1)),IF(NOT(ISBLANK($N79)),$N79/$K79,$I79/$K79),0),0)</f>
        <v>218.05111111111111</v>
      </c>
      <c r="AH79" s="89">
        <f t="shared" si="33"/>
        <v>654.15333333333331</v>
      </c>
      <c r="AI79" s="90">
        <f t="shared" si="15"/>
        <v>1962.46</v>
      </c>
      <c r="AJ79" s="92" t="s">
        <v>349</v>
      </c>
      <c r="AK79" s="1040"/>
      <c r="AL79" s="1048"/>
      <c r="AM79" s="1046">
        <f t="shared" ref="AM79" si="49">N79*AL79</f>
        <v>0</v>
      </c>
      <c r="AN79" s="62" t="str">
        <f>C79</f>
        <v>13 - Redução de Componente - 4065 de 6 para 4</v>
      </c>
      <c r="AO79" s="62" t="s">
        <v>289</v>
      </c>
      <c r="AP79" s="543" cm="1">
        <f t="array" aca="1" ref="AP79" ca="1">IF(OR(AN79="",AN79=0),"",IF(SUMPRODUCT(($C$55:$C$175=AN79)*(S$54:$AG$54&lt;EOMONTH(TODAY(),-1)+1)*(ISNUMBER(S$55:$AG$175)),S$55:$AG$175)=0,"",SUMPRODUCT(($C$55:$C$175=AN79)*(S$54:$AG$54&lt;EOMONTH(TODAY(),-1)+1)*(ISNUMBER(S$55:$AG$175)),S$55:$AG$175)))</f>
        <v>436.10222222222222</v>
      </c>
    </row>
    <row r="80" spans="1:42" ht="29.1" customHeight="1" x14ac:dyDescent="0.3">
      <c r="A80" s="1300"/>
      <c r="B80" s="1300"/>
      <c r="C80" s="1114"/>
      <c r="D80" s="1116"/>
      <c r="E80" s="1304"/>
      <c r="F80" s="1041"/>
      <c r="G80" s="1118"/>
      <c r="H80" s="1118"/>
      <c r="I80" s="1343"/>
      <c r="J80" s="1159"/>
      <c r="K80" s="1122"/>
      <c r="L80" s="1075"/>
      <c r="M80" s="1313"/>
      <c r="N80" s="1417"/>
      <c r="O80" s="1075"/>
      <c r="P80" s="1058"/>
      <c r="Q80" s="87" t="s">
        <v>107</v>
      </c>
      <c r="R80" s="825">
        <v>0.95</v>
      </c>
      <c r="S80" s="309"/>
      <c r="T80" s="309"/>
      <c r="U80" s="309"/>
      <c r="V80" s="310">
        <f t="shared" si="45"/>
        <v>0</v>
      </c>
      <c r="W80" s="636"/>
      <c r="X80" s="636"/>
      <c r="Y80" s="309"/>
      <c r="Z80" s="310">
        <f t="shared" si="46"/>
        <v>0</v>
      </c>
      <c r="AA80" s="309"/>
      <c r="AB80" s="309"/>
      <c r="AC80" s="309"/>
      <c r="AD80" s="310">
        <f t="shared" si="47"/>
        <v>0</v>
      </c>
      <c r="AE80" s="309"/>
      <c r="AF80" s="309"/>
      <c r="AG80" s="309"/>
      <c r="AH80" s="310">
        <f t="shared" si="33"/>
        <v>0</v>
      </c>
      <c r="AI80" s="311">
        <f t="shared" si="15"/>
        <v>0</v>
      </c>
      <c r="AJ80" s="92"/>
      <c r="AK80" s="1041"/>
      <c r="AL80" s="1049"/>
      <c r="AM80" s="1047"/>
      <c r="AN80" s="62" t="str">
        <f>C79</f>
        <v>13 - Redução de Componente - 4065 de 6 para 4</v>
      </c>
      <c r="AO80" s="62" t="s">
        <v>291</v>
      </c>
      <c r="AP80" s="543" t="str" cm="1">
        <f t="array" aca="1" ref="AP80" ca="1">IF(OR(AN80="",AN80=0),"",IF(SUMPRODUCT(($C$55:$C$175=AN80)*($S$54:AG$54&lt;=TODAY())*(ISNUMBER($S$56:AG$176)),$S$56:AG$176)=0,"",SUMPRODUCT(($C$55:$C$175=AN80)*($S$54:AG$54&lt;=TODAY())*(ISNUMBER($S$56:AG$176)),$S$56:AG$176)))</f>
        <v/>
      </c>
    </row>
    <row r="81" spans="1:42" ht="29.1" customHeight="1" x14ac:dyDescent="0.3">
      <c r="A81" s="1361" t="s">
        <v>85</v>
      </c>
      <c r="B81" s="1038" t="s">
        <v>90</v>
      </c>
      <c r="C81" s="1095" t="s">
        <v>350</v>
      </c>
      <c r="D81" s="1097" t="s">
        <v>351</v>
      </c>
      <c r="E81" s="1363" t="s">
        <v>352</v>
      </c>
      <c r="F81" s="1099" t="s">
        <v>353</v>
      </c>
      <c r="G81" s="1101">
        <v>46023</v>
      </c>
      <c r="H81" s="1101">
        <v>46054</v>
      </c>
      <c r="I81" s="1152">
        <v>39996</v>
      </c>
      <c r="J81" s="1109">
        <v>46054</v>
      </c>
      <c r="K81" s="1213">
        <f t="shared" ref="K81" si="50">IF(J81="", "", 12 - MONTH(J81) + 1)</f>
        <v>11</v>
      </c>
      <c r="L81" s="1076"/>
      <c r="M81" s="1320" t="s">
        <v>287</v>
      </c>
      <c r="N81" s="1331">
        <v>46996.932073171294</v>
      </c>
      <c r="O81" s="1340" t="s">
        <v>77</v>
      </c>
      <c r="P81" s="1418">
        <v>1</v>
      </c>
      <c r="Q81" s="628" t="s">
        <v>106</v>
      </c>
      <c r="R81" s="826">
        <v>1</v>
      </c>
      <c r="S81" s="630">
        <f>IFERROR(IF(AND(S$54&gt;=EOMONTH($J81,-1)+1,S$54&lt;=EOMONTH(EOMONTH($J81,-1)+1,$K81-1)),IF(NOT(ISBLANK($N81)),$N81/$K81,$I81/$K81),0),0)</f>
        <v>0</v>
      </c>
      <c r="T81" s="630">
        <f>IFERROR(IF(AND(T$54&gt;=EOMONTH($J81,-1)+1,T$54&lt;=EOMONTH(EOMONTH($J81,-1)+1,$K81-1)),IF(NOT(ISBLANK($N81)),$N81/$K81,$I81/$K81),0),0)</f>
        <v>4272.4483702882999</v>
      </c>
      <c r="U81" s="944">
        <f>IFERROR(IF(AND(U$54&gt;=EOMONTH($J81,-1)+1,U$54&lt;=EOMONTH(EOMONTH($J81,-1)+1,$K81-1)),IF(NOT(ISBLANK($N81)),$N81/$K81,$I81/$K81),0),0)</f>
        <v>4272.4483702882999</v>
      </c>
      <c r="V81" s="89">
        <f t="shared" si="45"/>
        <v>8544.8967405765998</v>
      </c>
      <c r="W81" s="944">
        <f>IFERROR(IF(AND(W$54&gt;=EOMONTH($J81,-1)+1,W$54&lt;=EOMONTH(EOMONTH($J81,-1)+1,$K81-1)),IF(NOT(ISBLANK($N81)),$N81/$K81,$I81/$K81),0),0)</f>
        <v>4272.4483702882999</v>
      </c>
      <c r="X81" s="532">
        <f>IFERROR(IF(AND(X$54&gt;=EOMONTH($J81,-1)+1,X$54&lt;=EOMONTH(EOMONTH($J81,-1)+1,$K81-1)),IF(NOT(ISBLANK($N81)),$N81/$K81,$I81/$K81),0),0)</f>
        <v>4272.4483702882999</v>
      </c>
      <c r="Y81" s="532">
        <f>IFERROR(IF(AND(Y$54&gt;=EOMONTH($J81,-1)+1,Y$54&lt;=EOMONTH(EOMONTH($J81,-1)+1,$K81-1)),IF(NOT(ISBLANK($N81)),$N81/$K81,$I81/$K81),0),0)</f>
        <v>4272.4483702882999</v>
      </c>
      <c r="Z81" s="89">
        <f t="shared" si="46"/>
        <v>12817.345110864899</v>
      </c>
      <c r="AA81" s="532">
        <f>IFERROR(IF(AND(AA$54&gt;=EOMONTH($J81,-1)+1,AA$54&lt;=EOMONTH(EOMONTH($J81,-1)+1,$K81-1)),IF(NOT(ISBLANK($N81)),$N81/$K81,$I81/$K81),0),0)</f>
        <v>4272.4483702882999</v>
      </c>
      <c r="AB81" s="532">
        <f>IFERROR(IF(AND(AB$54&gt;=EOMONTH($J81,-1)+1,AB$54&lt;=EOMONTH(EOMONTH($J81,-1)+1,$K81-1)),IF(NOT(ISBLANK($N81)),$N81/$K81,$I81/$K81),0),0)</f>
        <v>4272.4483702882999</v>
      </c>
      <c r="AC81" s="532">
        <f>IFERROR(IF(AND(AC$54&gt;=EOMONTH($J81,-1)+1,AC$54&lt;=EOMONTH(EOMONTH($J81,-1)+1,$K81-1)),IF(NOT(ISBLANK($N81)),$N81/$K81,$I81/$K81),0),0)</f>
        <v>4272.4483702882999</v>
      </c>
      <c r="AD81" s="89">
        <f t="shared" si="47"/>
        <v>12817.345110864899</v>
      </c>
      <c r="AE81" s="532">
        <f>IFERROR(IF(AND(AE$54&gt;=EOMONTH($J81,-1)+1,AE$54&lt;=EOMONTH(EOMONTH($J81,-1)+1,$K81-1)),IF(NOT(ISBLANK($N81)),$N81/$K81,$I81/$K81),0),0)</f>
        <v>4272.4483702882999</v>
      </c>
      <c r="AF81" s="532">
        <f>IFERROR(IF(AND(AF$54&gt;=EOMONTH($J81,-1)+1,AF$54&lt;=EOMONTH(EOMONTH($J81,-1)+1,$K81-1)),IF(NOT(ISBLANK($N81)),$N81/$K81,$I81/$K81),0),0)</f>
        <v>4272.4483702882999</v>
      </c>
      <c r="AG81" s="532">
        <f>IFERROR(IF(AND(AG$54&gt;=EOMONTH($J81,-1)+1,AG$54&lt;=EOMONTH(EOMONTH($J81,-1)+1,$K81-1)),IF(NOT(ISBLANK($N81)),$N81/$K81,$I81/$K81),0),0)</f>
        <v>4272.4483702882999</v>
      </c>
      <c r="AH81" s="89">
        <f t="shared" ref="AH81:AH94" si="51">SUM(AE81:AG81)</f>
        <v>12817.345110864899</v>
      </c>
      <c r="AI81" s="95">
        <f t="shared" si="15"/>
        <v>46996.932073171294</v>
      </c>
      <c r="AJ81" s="97" t="s">
        <v>354</v>
      </c>
      <c r="AK81" s="1038"/>
      <c r="AL81" s="1042"/>
      <c r="AM81" s="1044">
        <f t="shared" ref="AM81" si="52">N81*AL81</f>
        <v>0</v>
      </c>
      <c r="AN81" s="62" t="str">
        <f>C81</f>
        <v>14 - REDUÇÃO DE MP DA000518Z (Anchieta) Código DD - VB000324Z</v>
      </c>
      <c r="AO81" s="62" t="s">
        <v>289</v>
      </c>
      <c r="AP81" s="543" cm="1">
        <f t="array" aca="1" ref="AP81" ca="1">IF(OR(AN81="",AN81=0),"",IF(SUMPRODUCT(($C$55:$C$175=AN81)*(S$54:$AG$54&lt;EOMONTH(TODAY(),-1)+1)*(ISNUMBER(S$55:$AG$175)),S$55:$AG$175)=0,"",SUMPRODUCT(($C$55:$C$175=AN81)*(S$54:$AG$54&lt;EOMONTH(TODAY(),-1)+1)*(ISNUMBER(S$55:$AG$175)),S$55:$AG$175)))</f>
        <v>17089.7934811532</v>
      </c>
    </row>
    <row r="82" spans="1:42" ht="29.1" customHeight="1" x14ac:dyDescent="0.3">
      <c r="A82" s="1362"/>
      <c r="B82" s="1039"/>
      <c r="C82" s="1096"/>
      <c r="D82" s="1360"/>
      <c r="E82" s="1364"/>
      <c r="F82" s="1100"/>
      <c r="G82" s="1102"/>
      <c r="H82" s="1102"/>
      <c r="I82" s="1151"/>
      <c r="J82" s="1110"/>
      <c r="K82" s="1214"/>
      <c r="L82" s="1077"/>
      <c r="M82" s="1321"/>
      <c r="N82" s="1332"/>
      <c r="O82" s="1341"/>
      <c r="P82" s="1419"/>
      <c r="Q82" s="628" t="s">
        <v>107</v>
      </c>
      <c r="R82" s="826">
        <v>1</v>
      </c>
      <c r="S82" s="630"/>
      <c r="T82" s="630">
        <v>4586.7548434203618</v>
      </c>
      <c r="U82" s="312">
        <v>4262.5124438457688</v>
      </c>
      <c r="V82" s="310">
        <f t="shared" ref="V82:V94" si="53">SUM(S82:U82)</f>
        <v>8849.2672872661315</v>
      </c>
      <c r="W82" s="312">
        <v>6339.1210703347333</v>
      </c>
      <c r="X82" s="312">
        <v>4808.99</v>
      </c>
      <c r="Y82" s="312"/>
      <c r="Z82" s="310">
        <f t="shared" ref="Z82:Z94" si="54">SUM(W82:Y82)</f>
        <v>11148.111070334733</v>
      </c>
      <c r="AA82" s="312"/>
      <c r="AB82" s="312"/>
      <c r="AC82" s="312"/>
      <c r="AD82" s="310">
        <f t="shared" ref="AD82:AD95" si="55">SUM(AA82:AC82)</f>
        <v>0</v>
      </c>
      <c r="AE82" s="312"/>
      <c r="AF82" s="312"/>
      <c r="AG82" s="312"/>
      <c r="AH82" s="310">
        <f t="shared" si="51"/>
        <v>0</v>
      </c>
      <c r="AI82" s="313">
        <f t="shared" si="15"/>
        <v>19997.378357600865</v>
      </c>
      <c r="AJ82" s="97" t="s">
        <v>355</v>
      </c>
      <c r="AK82" s="1039"/>
      <c r="AL82" s="1043"/>
      <c r="AM82" s="1045"/>
      <c r="AN82" s="62" t="str">
        <f>C81</f>
        <v>14 - REDUÇÃO DE MP DA000518Z (Anchieta) Código DD - VB000324Z</v>
      </c>
      <c r="AO82" s="62" t="s">
        <v>291</v>
      </c>
      <c r="AP82" s="543" cm="1">
        <f t="array" aca="1" ref="AP82" ca="1">IF(OR(AN82="",AN82=0),"",IF(SUMPRODUCT(($C$55:$C$175=AN82)*($S$54:AG$54&lt;=TODAY())*(ISNUMBER($S$56:AG$176)),$S$56:AG$176)=0,"",SUMPRODUCT(($C$55:$C$175=AN82)*($S$54:AG$54&lt;=TODAY())*(ISNUMBER($S$56:AG$176)),$S$56:AG$176)))</f>
        <v>19997.378357600865</v>
      </c>
    </row>
    <row r="83" spans="1:42" ht="29.1" customHeight="1" x14ac:dyDescent="0.3">
      <c r="A83" s="1299" t="s">
        <v>76</v>
      </c>
      <c r="B83" s="1299" t="s">
        <v>91</v>
      </c>
      <c r="C83" s="1113" t="s">
        <v>356</v>
      </c>
      <c r="D83" s="1115" t="s">
        <v>357</v>
      </c>
      <c r="E83" s="1303" t="s">
        <v>358</v>
      </c>
      <c r="F83" s="1040" t="s">
        <v>359</v>
      </c>
      <c r="G83" s="1117">
        <v>46023</v>
      </c>
      <c r="H83" s="1117">
        <v>46053</v>
      </c>
      <c r="I83" s="1074">
        <v>3279.77</v>
      </c>
      <c r="J83" s="1158">
        <v>46023</v>
      </c>
      <c r="K83" s="1121">
        <v>1</v>
      </c>
      <c r="L83" s="1074"/>
      <c r="M83" s="1312" t="s">
        <v>287</v>
      </c>
      <c r="N83" s="1314">
        <v>3656.94</v>
      </c>
      <c r="O83" s="1325" t="s">
        <v>77</v>
      </c>
      <c r="P83" s="1057">
        <v>1</v>
      </c>
      <c r="Q83" s="87" t="s">
        <v>106</v>
      </c>
      <c r="R83" s="825">
        <v>1</v>
      </c>
      <c r="S83" s="309">
        <f>IFERROR(IF(AND(S$54&gt;=EOMONTH($J83,-1)+1,S$54&lt;=EOMONTH(EOMONTH($J83,-1)+1,$K83-1)),IF(NOT(ISBLANK($N83)),$N83/$K83,$I83/$K83),0),0)</f>
        <v>3656.94</v>
      </c>
      <c r="T83" s="309">
        <f>IFERROR(IF(AND(T$54&gt;=EOMONTH($J83,-1)+1,T$54&lt;=EOMONTH(EOMONTH($J83,-1)+1,$K83-1)),IF(NOT(ISBLANK($N83)),$N83/$K83,$I83/$K83),0),0)</f>
        <v>0</v>
      </c>
      <c r="U83" s="309">
        <f>IFERROR(IF(AND(U$54&gt;=EOMONTH($J83,-1)+1,U$54&lt;=EOMONTH(EOMONTH($J83,-1)+1,$K83-1)),IF(NOT(ISBLANK($N83)),$N83/$K83,$I83/$K83),0),0)</f>
        <v>0</v>
      </c>
      <c r="V83" s="89">
        <f t="shared" ref="V83" si="56">SUM(S83:U83)</f>
        <v>3656.94</v>
      </c>
      <c r="W83" s="309">
        <f>IFERROR(IF(AND(W$54&gt;=EOMONTH($J83,-1)+1,W$54&lt;=EOMONTH(EOMONTH($J83,-1)+1,$K83-1)),IF(NOT(ISBLANK($N83)),$N83/$K83,$I83/$K83),0),0)</f>
        <v>0</v>
      </c>
      <c r="X83" s="309">
        <f>IFERROR(IF(AND(X$54&gt;=EOMONTH($J83,-1)+1,X$54&lt;=EOMONTH(EOMONTH($J83,-1)+1,$K83-1)),IF(NOT(ISBLANK($N83)),$N83/$K83,$I83/$K83),0),0)</f>
        <v>0</v>
      </c>
      <c r="Y83" s="309">
        <f>IFERROR(IF(AND(Y$54&gt;=EOMONTH($J83,-1)+1,Y$54&lt;=EOMONTH(EOMONTH($J83,-1)+1,$K83-1)),IF(NOT(ISBLANK($N83)),$N83/$K83,$I83/$K83),0),0)</f>
        <v>0</v>
      </c>
      <c r="Z83" s="89">
        <f t="shared" ref="Z83" si="57">SUM(W83:Y83)</f>
        <v>0</v>
      </c>
      <c r="AA83" s="309">
        <f>IFERROR(IF(AND(AA$54&gt;=EOMONTH($J83,-1)+1,AA$54&lt;=EOMONTH(EOMONTH($J83,-1)+1,$K83-1)),IF(NOT(ISBLANK($N83)),$N83/$K83,$I83/$K83),0),0)</f>
        <v>0</v>
      </c>
      <c r="AB83" s="309">
        <f>IFERROR(IF(AND(AB$54&gt;=EOMONTH($J83,-1)+1,AB$54&lt;=EOMONTH(EOMONTH($J83,-1)+1,$K83-1)),IF(NOT(ISBLANK($N83)),$N83/$K83,$I83/$K83),0),0)</f>
        <v>0</v>
      </c>
      <c r="AC83" s="309">
        <f>IFERROR(IF(AND(AC$54&gt;=EOMONTH($J83,-1)+1,AC$54&lt;=EOMONTH(EOMONTH($J83,-1)+1,$K83-1)),IF(NOT(ISBLANK($N83)),$N83/$K83,$I83/$K83),0),0)</f>
        <v>0</v>
      </c>
      <c r="AD83" s="89">
        <f t="shared" si="55"/>
        <v>0</v>
      </c>
      <c r="AE83" s="309">
        <f>IFERROR(IF(AND(AE$54&gt;=EOMONTH($J83,-1)+1,AE$54&lt;=EOMONTH(EOMONTH($J83,-1)+1,$K83-1)),IF(NOT(ISBLANK($N83)),$N83/$K83,$I83/$K83),0),0)</f>
        <v>0</v>
      </c>
      <c r="AF83" s="309">
        <f>IFERROR(IF(AND(AF$54&gt;=EOMONTH($J83,-1)+1,AF$54&lt;=EOMONTH(EOMONTH($J83,-1)+1,$K83-1)),IF(NOT(ISBLANK($N83)),$N83/$K83,$I83/$K83),0),0)</f>
        <v>0</v>
      </c>
      <c r="AG83" s="309">
        <f>IFERROR(IF(AND(AG$54&gt;=EOMONTH($J83,-1)+1,AG$54&lt;=EOMONTH(EOMONTH($J83,-1)+1,$K83-1)),IF(NOT(ISBLANK($N83)),$N83/$K83,$I83/$K83),0),0)</f>
        <v>0</v>
      </c>
      <c r="AH83" s="89">
        <f t="shared" si="51"/>
        <v>0</v>
      </c>
      <c r="AI83" s="90">
        <f t="shared" si="15"/>
        <v>3656.94</v>
      </c>
      <c r="AJ83" s="92" t="s">
        <v>360</v>
      </c>
      <c r="AK83" s="1040"/>
      <c r="AL83" s="1048"/>
      <c r="AM83" s="1046">
        <f t="shared" ref="AM83" si="58">N83*AL83</f>
        <v>0</v>
      </c>
      <c r="AN83" s="62" t="str">
        <f>C83</f>
        <v>15 - Kaizem - Botões BI - MANUAL</v>
      </c>
      <c r="AO83" s="62" t="s">
        <v>289</v>
      </c>
      <c r="AP83" s="543" cm="1">
        <f t="array" aca="1" ref="AP83" ca="1">IF(OR(AN83="",AN83=0),"",IF(SUMPRODUCT(($C$55:$C$175=AN83)*(S$54:$AG$54&lt;EOMONTH(TODAY(),-1)+1)*(ISNUMBER(S$55:$AG$175)),S$55:$AG$175)=0,"",SUMPRODUCT(($C$55:$C$175=AN83)*(S$54:$AG$54&lt;EOMONTH(TODAY(),-1)+1)*(ISNUMBER(S$55:$AG$175)),S$55:$AG$175)))</f>
        <v>3656.94</v>
      </c>
    </row>
    <row r="84" spans="1:42" ht="29.1" customHeight="1" x14ac:dyDescent="0.3">
      <c r="A84" s="1300"/>
      <c r="B84" s="1300"/>
      <c r="C84" s="1114"/>
      <c r="D84" s="1359"/>
      <c r="E84" s="1304"/>
      <c r="F84" s="1041"/>
      <c r="G84" s="1118"/>
      <c r="H84" s="1118"/>
      <c r="I84" s="1075"/>
      <c r="J84" s="1159"/>
      <c r="K84" s="1122"/>
      <c r="L84" s="1075"/>
      <c r="M84" s="1313"/>
      <c r="N84" s="1315"/>
      <c r="O84" s="1326"/>
      <c r="P84" s="1058"/>
      <c r="Q84" s="87" t="s">
        <v>107</v>
      </c>
      <c r="R84" s="825">
        <v>1</v>
      </c>
      <c r="S84" s="309">
        <v>3656.94</v>
      </c>
      <c r="T84" s="309"/>
      <c r="U84" s="309"/>
      <c r="V84" s="310">
        <f t="shared" si="53"/>
        <v>3656.94</v>
      </c>
      <c r="W84" s="309"/>
      <c r="X84" s="309"/>
      <c r="Y84" s="309"/>
      <c r="Z84" s="310">
        <f t="shared" si="54"/>
        <v>0</v>
      </c>
      <c r="AA84" s="309"/>
      <c r="AB84" s="309"/>
      <c r="AC84" s="309"/>
      <c r="AD84" s="310">
        <f t="shared" si="55"/>
        <v>0</v>
      </c>
      <c r="AE84" s="309"/>
      <c r="AF84" s="309"/>
      <c r="AG84" s="309"/>
      <c r="AH84" s="310">
        <f t="shared" si="51"/>
        <v>0</v>
      </c>
      <c r="AI84" s="311">
        <f t="shared" si="15"/>
        <v>3656.94</v>
      </c>
      <c r="AJ84" s="92" t="s">
        <v>361</v>
      </c>
      <c r="AK84" s="1041"/>
      <c r="AL84" s="1049"/>
      <c r="AM84" s="1047"/>
      <c r="AN84" s="62" t="str">
        <f>C83</f>
        <v>15 - Kaizem - Botões BI - MANUAL</v>
      </c>
      <c r="AO84" s="62" t="s">
        <v>291</v>
      </c>
      <c r="AP84" s="543" cm="1">
        <f t="array" aca="1" ref="AP84" ca="1">IF(OR(AN84="",AN84=0),"",IF(SUMPRODUCT(($C$55:$C$175=AN84)*($S$54:AG$54&lt;=TODAY())*(ISNUMBER($S$56:AG$176)),$S$56:AG$176)=0,"",SUMPRODUCT(($C$55:$C$175=AN84)*($S$54:AG$54&lt;=TODAY())*(ISNUMBER($S$56:AG$176)),$S$56:AG$176)))</f>
        <v>3656.94</v>
      </c>
    </row>
    <row r="85" spans="1:42" ht="29.1" customHeight="1" x14ac:dyDescent="0.3">
      <c r="A85" s="1361" t="s">
        <v>76</v>
      </c>
      <c r="B85" s="1038" t="s">
        <v>91</v>
      </c>
      <c r="C85" s="1095" t="s">
        <v>362</v>
      </c>
      <c r="D85" s="1097" t="s">
        <v>363</v>
      </c>
      <c r="E85" s="1363" t="s">
        <v>364</v>
      </c>
      <c r="F85" s="1099" t="s">
        <v>365</v>
      </c>
      <c r="G85" s="1101">
        <v>46027</v>
      </c>
      <c r="H85" s="1101">
        <v>46112</v>
      </c>
      <c r="I85" s="1350">
        <v>228000</v>
      </c>
      <c r="J85" s="1109">
        <v>46082</v>
      </c>
      <c r="K85" s="1213">
        <f t="shared" ref="K85" si="59">IF(J85="", "", 12 - MONTH(J85) + 1)</f>
        <v>10</v>
      </c>
      <c r="L85" s="1076"/>
      <c r="M85" s="1320" t="s">
        <v>287</v>
      </c>
      <c r="N85" s="1331">
        <v>124710.19</v>
      </c>
      <c r="O85" s="1316" t="s">
        <v>77</v>
      </c>
      <c r="P85" s="1042">
        <v>1</v>
      </c>
      <c r="Q85" s="93" t="s">
        <v>106</v>
      </c>
      <c r="R85" s="826">
        <v>1</v>
      </c>
      <c r="S85" s="532">
        <f>IFERROR(IF(AND(S$54&gt;=EOMONTH($J85,-1)+1,S$54&lt;=EOMONTH(EOMONTH($J85,-1)+1,$K85-1)),IF(NOT(ISBLANK($N85)),$N85/$K85,$I85/$K85),0),0)</f>
        <v>0</v>
      </c>
      <c r="T85" s="532">
        <f>IFERROR(IF(AND(T$54&gt;=EOMONTH($J85,-1)+1,T$54&lt;=EOMONTH(EOMONTH($J85,-1)+1,$K85-1)),IF(NOT(ISBLANK($N85)),$N85/$K85,$I85/$K85),0),0)</f>
        <v>0</v>
      </c>
      <c r="U85" s="944">
        <f>IFERROR(IF(AND(U$54&gt;=EOMONTH($J85,-1)+1,U$54&lt;=EOMONTH(EOMONTH($J85,-1)+1,$K85-1)),IF(NOT(ISBLANK($N85)),$N85/$K85,$I85/$K85),0),0)</f>
        <v>12471.019</v>
      </c>
      <c r="V85" s="89">
        <f t="shared" ref="V85" si="60">SUM(S85:U85)</f>
        <v>12471.019</v>
      </c>
      <c r="W85" s="944">
        <f>IFERROR(IF(AND(W$54&gt;=EOMONTH($J85,-1)+1,W$54&lt;=EOMONTH(EOMONTH($J85,-1)+1,$K85-1)),IF(NOT(ISBLANK($N85)),$N85/$K85,$I85/$K85),0),0)</f>
        <v>12471.019</v>
      </c>
      <c r="X85" s="532">
        <f>IFERROR(IF(AND(X$54&gt;=EOMONTH($J85,-1)+1,X$54&lt;=EOMONTH(EOMONTH($J85,-1)+1,$K85-1)),IF(NOT(ISBLANK($N85)),$N85/$K85,$I85/$K85),0),0)</f>
        <v>12471.019</v>
      </c>
      <c r="Y85" s="532">
        <f>IFERROR(IF(AND(Y$54&gt;=EOMONTH($J85,-1)+1,Y$54&lt;=EOMONTH(EOMONTH($J85,-1)+1,$K85-1)),IF(NOT(ISBLANK($N85)),$N85/$K85,$I85/$K85),0),0)</f>
        <v>12471.019</v>
      </c>
      <c r="Z85" s="89">
        <f t="shared" ref="Z85" si="61">SUM(W85:Y85)</f>
        <v>37413.057000000001</v>
      </c>
      <c r="AA85" s="532">
        <f>IFERROR(IF(AND(AA$54&gt;=EOMONTH($J85,-1)+1,AA$54&lt;=EOMONTH(EOMONTH($J85,-1)+1,$K85-1)),IF(NOT(ISBLANK($N85)),$N85/$K85,$I85/$K85),0),0)</f>
        <v>12471.019</v>
      </c>
      <c r="AB85" s="532">
        <f>IFERROR(IF(AND(AB$54&gt;=EOMONTH($J85,-1)+1,AB$54&lt;=EOMONTH(EOMONTH($J85,-1)+1,$K85-1)),IF(NOT(ISBLANK($N85)),$N85/$K85,$I85/$K85),0),0)</f>
        <v>12471.019</v>
      </c>
      <c r="AC85" s="532">
        <f>IFERROR(IF(AND(AC$54&gt;=EOMONTH($J85,-1)+1,AC$54&lt;=EOMONTH(EOMONTH($J85,-1)+1,$K85-1)),IF(NOT(ISBLANK($N85)),$N85/$K85,$I85/$K85),0),0)</f>
        <v>12471.019</v>
      </c>
      <c r="AD85" s="89">
        <f t="shared" si="55"/>
        <v>37413.057000000001</v>
      </c>
      <c r="AE85" s="532">
        <f>IFERROR(IF(AND(AE$54&gt;=EOMONTH($J85,-1)+1,AE$54&lt;=EOMONTH(EOMONTH($J85,-1)+1,$K85-1)),IF(NOT(ISBLANK($N85)),$N85/$K85,$I85/$K85),0),0)</f>
        <v>12471.019</v>
      </c>
      <c r="AF85" s="532">
        <f>IFERROR(IF(AND(AF$54&gt;=EOMONTH($J85,-1)+1,AF$54&lt;=EOMONTH(EOMONTH($J85,-1)+1,$K85-1)),IF(NOT(ISBLANK($N85)),$N85/$K85,$I85/$K85),0),0)</f>
        <v>12471.019</v>
      </c>
      <c r="AG85" s="532">
        <f>IFERROR(IF(AND(AG$54&gt;=EOMONTH($J85,-1)+1,AG$54&lt;=EOMONTH(EOMONTH($J85,-1)+1,$K85-1)),IF(NOT(ISBLANK($N85)),$N85/$K85,$I85/$K85),0),0)</f>
        <v>12471.019</v>
      </c>
      <c r="AH85" s="89">
        <f t="shared" si="51"/>
        <v>37413.057000000001</v>
      </c>
      <c r="AI85" s="95">
        <f t="shared" si="15"/>
        <v>124710.19</v>
      </c>
      <c r="AJ85" s="97" t="s">
        <v>366</v>
      </c>
      <c r="AK85" s="1038"/>
      <c r="AL85" s="1042"/>
      <c r="AM85" s="1044">
        <f t="shared" ref="AM85" si="62">N85*AL85</f>
        <v>0</v>
      </c>
      <c r="AN85" s="62" t="str">
        <f>C85</f>
        <v>16 - Eficiência de MO na linha de Solda e Montagem</v>
      </c>
      <c r="AO85" s="62" t="s">
        <v>289</v>
      </c>
      <c r="AP85" s="543" cm="1">
        <f t="array" aca="1" ref="AP85" ca="1">IF(OR(AN85="",AN85=0),"",IF(SUMPRODUCT(($C$55:$C$175=AN85)*(S$54:$AG$54&lt;EOMONTH(TODAY(),-1)+1)*(ISNUMBER(S$55:$AG$175)),S$55:$AG$175)=0,"",SUMPRODUCT(($C$55:$C$175=AN85)*(S$54:$AG$54&lt;EOMONTH(TODAY(),-1)+1)*(ISNUMBER(S$55:$AG$175)),S$55:$AG$175)))</f>
        <v>37413.057000000001</v>
      </c>
    </row>
    <row r="86" spans="1:42" ht="29.1" customHeight="1" x14ac:dyDescent="0.3">
      <c r="A86" s="1362"/>
      <c r="B86" s="1039"/>
      <c r="C86" s="1096"/>
      <c r="D86" s="1098"/>
      <c r="E86" s="1364"/>
      <c r="F86" s="1100"/>
      <c r="G86" s="1102"/>
      <c r="H86" s="1102"/>
      <c r="I86" s="1351"/>
      <c r="J86" s="1110"/>
      <c r="K86" s="1214"/>
      <c r="L86" s="1077"/>
      <c r="M86" s="1321"/>
      <c r="N86" s="1332"/>
      <c r="O86" s="1317"/>
      <c r="P86" s="1043"/>
      <c r="Q86" s="93" t="s">
        <v>107</v>
      </c>
      <c r="R86" s="826">
        <v>1</v>
      </c>
      <c r="S86" s="312">
        <v>0</v>
      </c>
      <c r="T86" s="312">
        <v>0</v>
      </c>
      <c r="U86" s="312">
        <v>-19064.810000000001</v>
      </c>
      <c r="V86" s="310">
        <f t="shared" si="53"/>
        <v>-19064.810000000001</v>
      </c>
      <c r="W86" s="312">
        <v>15975</v>
      </c>
      <c r="X86" s="312">
        <v>15975</v>
      </c>
      <c r="Y86" s="312">
        <v>0</v>
      </c>
      <c r="Z86" s="310">
        <f t="shared" si="54"/>
        <v>31950</v>
      </c>
      <c r="AA86" s="312"/>
      <c r="AB86" s="312"/>
      <c r="AC86" s="312"/>
      <c r="AD86" s="310">
        <f t="shared" si="55"/>
        <v>0</v>
      </c>
      <c r="AE86" s="312"/>
      <c r="AF86" s="312"/>
      <c r="AG86" s="312"/>
      <c r="AH86" s="310">
        <f t="shared" si="51"/>
        <v>0</v>
      </c>
      <c r="AI86" s="313">
        <f t="shared" si="15"/>
        <v>12885.189999999999</v>
      </c>
      <c r="AJ86" s="97" t="s">
        <v>367</v>
      </c>
      <c r="AK86" s="1039"/>
      <c r="AL86" s="1043"/>
      <c r="AM86" s="1045"/>
      <c r="AN86" s="62" t="str">
        <f>C85</f>
        <v>16 - Eficiência de MO na linha de Solda e Montagem</v>
      </c>
      <c r="AO86" s="62" t="s">
        <v>291</v>
      </c>
      <c r="AP86" s="543" cm="1">
        <f t="array" aca="1" ref="AP86" ca="1">IF(OR(AN86="",AN86=0),"",IF(SUMPRODUCT(($C$55:$C$175=AN86)*($S$54:AG$54&lt;=TODAY())*(ISNUMBER($S$56:AG$176)),$S$56:AG$176)=0,"",SUMPRODUCT(($C$55:$C$175=AN86)*($S$54:AG$54&lt;=TODAY())*(ISNUMBER($S$56:AG$176)),$S$56:AG$176)))</f>
        <v>12885.189999999999</v>
      </c>
    </row>
    <row r="87" spans="1:42" ht="29.1" customHeight="1" x14ac:dyDescent="0.3">
      <c r="A87" s="1299" t="s">
        <v>85</v>
      </c>
      <c r="B87" s="1299" t="s">
        <v>90</v>
      </c>
      <c r="C87" s="1113" t="s">
        <v>368</v>
      </c>
      <c r="D87" s="1115" t="s">
        <v>369</v>
      </c>
      <c r="E87" s="1303" t="s">
        <v>370</v>
      </c>
      <c r="F87" s="1040" t="s">
        <v>286</v>
      </c>
      <c r="G87" s="1117">
        <v>46054</v>
      </c>
      <c r="H87" s="1117">
        <v>46112</v>
      </c>
      <c r="I87" s="1074">
        <v>51480</v>
      </c>
      <c r="J87" s="1158">
        <v>46082</v>
      </c>
      <c r="K87" s="1121">
        <f t="shared" ref="K87" si="63">IF(J87="", "", 12 - MONTH(J87) + 1)</f>
        <v>10</v>
      </c>
      <c r="L87" s="1074"/>
      <c r="M87" s="1312" t="s">
        <v>287</v>
      </c>
      <c r="N87" s="1314">
        <v>33838.06</v>
      </c>
      <c r="O87" s="1325" t="s">
        <v>77</v>
      </c>
      <c r="P87" s="1057">
        <v>1</v>
      </c>
      <c r="Q87" s="87" t="s">
        <v>106</v>
      </c>
      <c r="R87" s="825">
        <v>1</v>
      </c>
      <c r="S87" s="309">
        <f>IFERROR(IF(AND(S$54&gt;=EOMONTH($J87,-1)+1,S$54&lt;=EOMONTH(EOMONTH($J87,-1)+1,$K87-1)),IF(NOT(ISBLANK($N87)),$N87/$K87,$I87/$K87),0),0)</f>
        <v>0</v>
      </c>
      <c r="T87" s="309">
        <f>IFERROR(IF(AND(T$54&gt;=EOMONTH($J87,-1)+1,T$54&lt;=EOMONTH(EOMONTH($J87,-1)+1,$K87-1)),IF(NOT(ISBLANK($N87)),$N87/$K87,$I87/$K87),0),0)</f>
        <v>0</v>
      </c>
      <c r="U87" s="943">
        <f>IFERROR(IF(AND(U$54&gt;=EOMONTH($J87,-1)+1,U$54&lt;=EOMONTH(EOMONTH($J87,-1)+1,$K87-1)),IF(NOT(ISBLANK($N87)),$N87/$K87,$I87/$K87),0),0)</f>
        <v>3383.8059999999996</v>
      </c>
      <c r="V87" s="89">
        <f t="shared" ref="V87" si="64">SUM(S87:U87)</f>
        <v>3383.8059999999996</v>
      </c>
      <c r="W87" s="943">
        <f>IFERROR(IF(AND(W$54&gt;=EOMONTH($J87,-1)+1,W$54&lt;=EOMONTH(EOMONTH($J87,-1)+1,$K87-1)),IF(NOT(ISBLANK($N87)),$N87/$K87,$I87/$K87),0),0)</f>
        <v>3383.8059999999996</v>
      </c>
      <c r="X87" s="309">
        <f>IFERROR(IF(AND(X$54&gt;=EOMONTH($J87,-1)+1,X$54&lt;=EOMONTH(EOMONTH($J87,-1)+1,$K87-1)),IF(NOT(ISBLANK($N87)),$N87/$K87,$I87/$K87),0),0)</f>
        <v>3383.8059999999996</v>
      </c>
      <c r="Y87" s="309">
        <f>IFERROR(IF(AND(Y$54&gt;=EOMONTH($J87,-1)+1,Y$54&lt;=EOMONTH(EOMONTH($J87,-1)+1,$K87-1)),IF(NOT(ISBLANK($N87)),$N87/$K87,$I87/$K87),0),0)</f>
        <v>3383.8059999999996</v>
      </c>
      <c r="Z87" s="89">
        <f t="shared" ref="Z87" si="65">SUM(W87:Y87)</f>
        <v>10151.417999999998</v>
      </c>
      <c r="AA87" s="309">
        <f>IFERROR(IF(AND(AA$54&gt;=EOMONTH($J87,-1)+1,AA$54&lt;=EOMONTH(EOMONTH($J87,-1)+1,$K87-1)),IF(NOT(ISBLANK($N87)),$N87/$K87,$I87/$K87),0),0)</f>
        <v>3383.8059999999996</v>
      </c>
      <c r="AB87" s="309">
        <f>IFERROR(IF(AND(AB$54&gt;=EOMONTH($J87,-1)+1,AB$54&lt;=EOMONTH(EOMONTH($J87,-1)+1,$K87-1)),IF(NOT(ISBLANK($N87)),$N87/$K87,$I87/$K87),0),0)</f>
        <v>3383.8059999999996</v>
      </c>
      <c r="AC87" s="309">
        <f>IFERROR(IF(AND(AC$54&gt;=EOMONTH($J87,-1)+1,AC$54&lt;=EOMONTH(EOMONTH($J87,-1)+1,$K87-1)),IF(NOT(ISBLANK($N87)),$N87/$K87,$I87/$K87),0),0)</f>
        <v>3383.8059999999996</v>
      </c>
      <c r="AD87" s="89">
        <f t="shared" ref="AD87" si="66">SUM(AA87:AC87)</f>
        <v>10151.417999999998</v>
      </c>
      <c r="AE87" s="309">
        <f>IFERROR(IF(AND(AE$54&gt;=EOMONTH($J87,-1)+1,AE$54&lt;=EOMONTH(EOMONTH($J87,-1)+1,$K87-1)),IF(NOT(ISBLANK($N87)),$N87/$K87,$I87/$K87),0),0)</f>
        <v>3383.8059999999996</v>
      </c>
      <c r="AF87" s="309">
        <f>IFERROR(IF(AND(AF$54&gt;=EOMONTH($J87,-1)+1,AF$54&lt;=EOMONTH(EOMONTH($J87,-1)+1,$K87-1)),IF(NOT(ISBLANK($N87)),$N87/$K87,$I87/$K87),0),0)</f>
        <v>3383.8059999999996</v>
      </c>
      <c r="AG87" s="309">
        <f>IFERROR(IF(AND(AG$54&gt;=EOMONTH($J87,-1)+1,AG$54&lt;=EOMONTH(EOMONTH($J87,-1)+1,$K87-1)),IF(NOT(ISBLANK($N87)),$N87/$K87,$I87/$K87),0),0)</f>
        <v>3383.8059999999996</v>
      </c>
      <c r="AH87" s="89">
        <f t="shared" si="51"/>
        <v>10151.417999999998</v>
      </c>
      <c r="AI87" s="90">
        <f t="shared" si="15"/>
        <v>33838.06</v>
      </c>
      <c r="AJ87" s="92" t="s">
        <v>371</v>
      </c>
      <c r="AK87" s="1040"/>
      <c r="AL87" s="1048"/>
      <c r="AM87" s="1046">
        <f t="shared" ref="AM87" si="67">N87*AL87</f>
        <v>0</v>
      </c>
      <c r="AN87" s="62" t="str">
        <f>C87</f>
        <v>17 - MB003537LB_MB003538LB</v>
      </c>
      <c r="AO87" s="62" t="s">
        <v>289</v>
      </c>
      <c r="AP87" s="543" cm="1">
        <f t="array" aca="1" ref="AP87" ca="1">IF(OR(AN87="",AN87=0),"",IF(SUMPRODUCT(($C$55:$C$175=AN87)*(S$54:$AG$54&lt;EOMONTH(TODAY(),-1)+1)*(ISNUMBER(S$55:$AG$175)),S$55:$AG$175)=0,"",SUMPRODUCT(($C$55:$C$175=AN87)*(S$54:$AG$54&lt;EOMONTH(TODAY(),-1)+1)*(ISNUMBER(S$55:$AG$175)),S$55:$AG$175)))</f>
        <v>10151.417999999998</v>
      </c>
    </row>
    <row r="88" spans="1:42" ht="29.1" customHeight="1" x14ac:dyDescent="0.3">
      <c r="A88" s="1300"/>
      <c r="B88" s="1300"/>
      <c r="C88" s="1114"/>
      <c r="D88" s="1359"/>
      <c r="E88" s="1304"/>
      <c r="F88" s="1041"/>
      <c r="G88" s="1118"/>
      <c r="H88" s="1118"/>
      <c r="I88" s="1075"/>
      <c r="J88" s="1159"/>
      <c r="K88" s="1122"/>
      <c r="L88" s="1075"/>
      <c r="M88" s="1313"/>
      <c r="N88" s="1315"/>
      <c r="O88" s="1326"/>
      <c r="P88" s="1058"/>
      <c r="Q88" s="87" t="s">
        <v>107</v>
      </c>
      <c r="R88" s="825">
        <v>1</v>
      </c>
      <c r="S88" s="309"/>
      <c r="T88" s="309"/>
      <c r="U88" s="309">
        <v>3976.6832407890852</v>
      </c>
      <c r="V88" s="310">
        <f t="shared" si="53"/>
        <v>3976.6832407890852</v>
      </c>
      <c r="W88" s="309">
        <v>3849.058103958509</v>
      </c>
      <c r="X88" s="309">
        <v>2730.8878710451668</v>
      </c>
      <c r="Y88" s="309"/>
      <c r="Z88" s="310">
        <f t="shared" si="54"/>
        <v>6579.9459750036758</v>
      </c>
      <c r="AA88" s="309"/>
      <c r="AB88" s="309"/>
      <c r="AC88" s="309"/>
      <c r="AD88" s="310">
        <f t="shared" si="55"/>
        <v>0</v>
      </c>
      <c r="AE88" s="309"/>
      <c r="AF88" s="309"/>
      <c r="AG88" s="309"/>
      <c r="AH88" s="310">
        <f t="shared" si="51"/>
        <v>0</v>
      </c>
      <c r="AI88" s="311">
        <f t="shared" si="15"/>
        <v>10556.62921579276</v>
      </c>
      <c r="AJ88" s="92" t="s">
        <v>372</v>
      </c>
      <c r="AK88" s="1041"/>
      <c r="AL88" s="1049"/>
      <c r="AM88" s="1047"/>
      <c r="AN88" s="62" t="str">
        <f>C87</f>
        <v>17 - MB003537LB_MB003538LB</v>
      </c>
      <c r="AO88" s="62" t="s">
        <v>291</v>
      </c>
      <c r="AP88" s="543" cm="1">
        <f t="array" aca="1" ref="AP88" ca="1">IF(OR(AN88="",AN88=0),"",IF(SUMPRODUCT(($C$55:$C$175=AN88)*($S$54:AG$54&lt;=TODAY())*(ISNUMBER($S$56:AG$176)),$S$56:AG$176)=0,"",SUMPRODUCT(($C$55:$C$175=AN88)*($S$54:AG$54&lt;=TODAY())*(ISNUMBER($S$56:AG$176)),$S$56:AG$176)))</f>
        <v>10556.62921579276</v>
      </c>
    </row>
    <row r="89" spans="1:42" ht="29.1" customHeight="1" x14ac:dyDescent="0.3">
      <c r="A89" s="1038" t="s">
        <v>310</v>
      </c>
      <c r="B89" s="1038" t="s">
        <v>94</v>
      </c>
      <c r="C89" s="1095" t="s">
        <v>373</v>
      </c>
      <c r="D89" s="1097" t="s">
        <v>374</v>
      </c>
      <c r="E89" s="1363" t="s">
        <v>375</v>
      </c>
      <c r="F89" s="1099" t="s">
        <v>376</v>
      </c>
      <c r="G89" s="1101">
        <v>46058</v>
      </c>
      <c r="H89" s="1101">
        <v>46147</v>
      </c>
      <c r="I89" s="1152">
        <f>20000+26052</f>
        <v>46052</v>
      </c>
      <c r="J89" s="1109"/>
      <c r="K89" s="1213" t="str">
        <f t="shared" ref="K89" si="68">IF(J89="", "", 12 - MONTH(J89) + 1)</f>
        <v/>
      </c>
      <c r="L89" s="1076"/>
      <c r="M89" s="1072" t="s">
        <v>287</v>
      </c>
      <c r="N89" s="1055"/>
      <c r="O89" s="1042" t="s">
        <v>80</v>
      </c>
      <c r="P89" s="1042"/>
      <c r="Q89" s="93" t="s">
        <v>106</v>
      </c>
      <c r="R89" s="826">
        <v>0.91</v>
      </c>
      <c r="S89" s="532">
        <f>IFERROR(IF(AND(S$54&gt;=EOMONTH($J89,-1)+1,S$54&lt;=EOMONTH(EOMONTH($J89,-1)+1,$K89-1)),IF(NOT(ISBLANK($N89)),$N89/$K89,$I89/$K89),0),0)</f>
        <v>0</v>
      </c>
      <c r="T89" s="532">
        <f>IFERROR(IF(AND(T$54&gt;=EOMONTH($J89,-1)+1,T$54&lt;=EOMONTH(EOMONTH($J89,-1)+1,$K89-1)),IF(NOT(ISBLANK($N89)),$N89/$K89,$I89/$K89),0),0)</f>
        <v>0</v>
      </c>
      <c r="U89" s="532">
        <f>IFERROR(IF(AND(U$54&gt;=EOMONTH($J89,-1)+1,U$54&lt;=EOMONTH(EOMONTH($J89,-1)+1,$K89-1)),IF(NOT(ISBLANK($N89)),$N89/$K89,$I89/$K89),0),0)</f>
        <v>0</v>
      </c>
      <c r="V89" s="89">
        <f t="shared" ref="V89" si="69">SUM(S89:U89)</f>
        <v>0</v>
      </c>
      <c r="W89" s="532">
        <f>IFERROR(IF(AND(W$54&gt;=EOMONTH($J89,-1)+1,W$54&lt;=EOMONTH(EOMONTH($J89,-1)+1,$K89-1)),IF(NOT(ISBLANK($N89)),$N89/$K89,$I89/$K89),0),0)</f>
        <v>0</v>
      </c>
      <c r="X89" s="532">
        <f>IFERROR(IF(AND(X$54&gt;=EOMONTH($J89,-1)+1,X$54&lt;=EOMONTH(EOMONTH($J89,-1)+1,$K89-1)),IF(NOT(ISBLANK($N89)),$N89/$K89,$I89/$K89),0),0)</f>
        <v>0</v>
      </c>
      <c r="Y89" s="532">
        <f>20000+26052</f>
        <v>46052</v>
      </c>
      <c r="Z89" s="89">
        <f t="shared" ref="Z89" si="70">SUM(W89:Y89)</f>
        <v>46052</v>
      </c>
      <c r="AA89" s="532">
        <f>IFERROR(IF(AND(AA$54&gt;=EOMONTH($J89,-1)+1,AA$54&lt;=EOMONTH(EOMONTH($J89,-1)+1,$K89-1)),IF(NOT(ISBLANK($N89)),$N89/$K89,$I89/$K89),0),0)</f>
        <v>0</v>
      </c>
      <c r="AB89" s="532">
        <f>IFERROR(IF(AND(AB$54&gt;=EOMONTH($J89,-1)+1,AB$54&lt;=EOMONTH(EOMONTH($J89,-1)+1,$K89-1)),IF(NOT(ISBLANK($N89)),$N89/$K89,$I89/$K89),0),0)</f>
        <v>0</v>
      </c>
      <c r="AC89" s="532">
        <f>IFERROR(IF(AND(AC$54&gt;=EOMONTH($J89,-1)+1,AC$54&lt;=EOMONTH(EOMONTH($J89,-1)+1,$K89-1)),IF(NOT(ISBLANK($N89)),$N89/$K89,$I89/$K89),0),0)</f>
        <v>0</v>
      </c>
      <c r="AD89" s="89">
        <f t="shared" ref="AD89:AD93" si="71">SUM(AA89:AC89)</f>
        <v>0</v>
      </c>
      <c r="AE89" s="532">
        <f>IFERROR(IF(AND(AE$54&gt;=EOMONTH($J89,-1)+1,AE$54&lt;=EOMONTH(EOMONTH($J89,-1)+1,$K89-1)),IF(NOT(ISBLANK($N89)),$N89/$K89,$I89/$K89),0),0)</f>
        <v>0</v>
      </c>
      <c r="AF89" s="532">
        <f>IFERROR(IF(AND(AF$54&gt;=EOMONTH($J89,-1)+1,AF$54&lt;=EOMONTH(EOMONTH($J89,-1)+1,$K89-1)),IF(NOT(ISBLANK($N89)),$N89/$K89,$I89/$K89),0),0)</f>
        <v>0</v>
      </c>
      <c r="AG89" s="532">
        <f>IFERROR(IF(AND(AG$54&gt;=EOMONTH($J89,-1)+1,AG$54&lt;=EOMONTH(EOMONTH($J89,-1)+1,$K89-1)),IF(NOT(ISBLANK($N89)),$N89/$K89,$I89/$K89),0),0)</f>
        <v>0</v>
      </c>
      <c r="AH89" s="89">
        <f t="shared" si="51"/>
        <v>0</v>
      </c>
      <c r="AI89" s="95">
        <f t="shared" si="15"/>
        <v>46052</v>
      </c>
      <c r="AJ89" s="97" t="s">
        <v>377</v>
      </c>
      <c r="AK89" s="1038"/>
      <c r="AL89" s="1042"/>
      <c r="AM89" s="1044">
        <f t="shared" ref="AM89" si="72">N89*AL89</f>
        <v>0</v>
      </c>
      <c r="AN89" s="62" t="str">
        <f>C89</f>
        <v>18 - Venda de Embalagens, ativos e sucatas</v>
      </c>
      <c r="AO89" s="62" t="s">
        <v>289</v>
      </c>
      <c r="AP89" s="543" t="str" cm="1">
        <f t="array" aca="1" ref="AP89" ca="1">IF(OR(AN89="",AN89=0),"",IF(SUMPRODUCT(($C$55:$C$175=AN89)*(S$54:$AG$54&lt;EOMONTH(TODAY(),-1)+1)*(ISNUMBER(S$55:$AG$175)),S$55:$AG$175)=0,"",SUMPRODUCT(($C$55:$C$175=AN89)*(S$54:$AG$54&lt;EOMONTH(TODAY(),-1)+1)*(ISNUMBER(S$55:$AG$175)),S$55:$AG$175)))</f>
        <v/>
      </c>
    </row>
    <row r="90" spans="1:42" ht="29.1" customHeight="1" x14ac:dyDescent="0.3">
      <c r="A90" s="1039"/>
      <c r="B90" s="1039"/>
      <c r="C90" s="1096"/>
      <c r="D90" s="1098"/>
      <c r="E90" s="1364"/>
      <c r="F90" s="1100"/>
      <c r="G90" s="1102"/>
      <c r="H90" s="1102"/>
      <c r="I90" s="1151"/>
      <c r="J90" s="1110"/>
      <c r="K90" s="1214"/>
      <c r="L90" s="1077"/>
      <c r="M90" s="1073"/>
      <c r="N90" s="1056"/>
      <c r="O90" s="1043"/>
      <c r="P90" s="1043"/>
      <c r="Q90" s="93" t="s">
        <v>107</v>
      </c>
      <c r="R90" s="826">
        <v>0.7</v>
      </c>
      <c r="S90" s="312"/>
      <c r="T90" s="312"/>
      <c r="U90" s="312"/>
      <c r="V90" s="310">
        <f t="shared" ref="V90" si="73">SUM(S90:U90)</f>
        <v>0</v>
      </c>
      <c r="W90" s="312"/>
      <c r="X90" s="312"/>
      <c r="Y90" s="312"/>
      <c r="Z90" s="310">
        <f t="shared" ref="Z90" si="74">SUM(W90:Y90)</f>
        <v>0</v>
      </c>
      <c r="AA90" s="312"/>
      <c r="AB90" s="312"/>
      <c r="AC90" s="312"/>
      <c r="AD90" s="310">
        <f t="shared" si="71"/>
        <v>0</v>
      </c>
      <c r="AE90" s="312"/>
      <c r="AF90" s="312"/>
      <c r="AG90" s="312"/>
      <c r="AH90" s="310">
        <f t="shared" si="51"/>
        <v>0</v>
      </c>
      <c r="AI90" s="313">
        <f t="shared" si="15"/>
        <v>0</v>
      </c>
      <c r="AJ90" s="97"/>
      <c r="AK90" s="1039"/>
      <c r="AL90" s="1043"/>
      <c r="AM90" s="1045"/>
      <c r="AN90" s="62" t="str">
        <f>C89</f>
        <v>18 - Venda de Embalagens, ativos e sucatas</v>
      </c>
      <c r="AO90" s="62" t="s">
        <v>291</v>
      </c>
      <c r="AP90" s="543" t="str" cm="1">
        <f t="array" aca="1" ref="AP90" ca="1">IF(OR(AN90="",AN90=0),"",IF(SUMPRODUCT(($C$55:$C$175=AN90)*($S$54:AG$54&lt;=TODAY())*(ISNUMBER($S$56:AG$176)),$S$56:AG$176)=0,"",SUMPRODUCT(($C$55:$C$175=AN90)*($S$54:AG$54&lt;=TODAY())*(ISNUMBER($S$56:AG$176)),$S$56:AG$176)))</f>
        <v/>
      </c>
    </row>
    <row r="91" spans="1:42" ht="29.1" customHeight="1" x14ac:dyDescent="0.3">
      <c r="A91" s="1036" t="s">
        <v>76</v>
      </c>
      <c r="B91" s="1299" t="s">
        <v>91</v>
      </c>
      <c r="C91" s="1113" t="s">
        <v>378</v>
      </c>
      <c r="D91" s="1115" t="s">
        <v>379</v>
      </c>
      <c r="E91" s="1303" t="s">
        <v>380</v>
      </c>
      <c r="F91" s="1040" t="s">
        <v>381</v>
      </c>
      <c r="G91" s="1117">
        <v>46027</v>
      </c>
      <c r="H91" s="1117">
        <v>46081</v>
      </c>
      <c r="I91" s="1342">
        <v>54000</v>
      </c>
      <c r="J91" s="1158">
        <v>46082</v>
      </c>
      <c r="K91" s="1121">
        <f t="shared" ref="K91" si="75">IF(J91="", "", 12 - MONTH(J91) + 1)</f>
        <v>10</v>
      </c>
      <c r="L91" s="1074"/>
      <c r="M91" s="1305"/>
      <c r="N91" s="1307"/>
      <c r="O91" s="1325" t="s">
        <v>77</v>
      </c>
      <c r="P91" s="1057">
        <v>1</v>
      </c>
      <c r="Q91" s="87" t="s">
        <v>106</v>
      </c>
      <c r="R91" s="825">
        <v>1</v>
      </c>
      <c r="S91" s="309">
        <f>IFERROR(IF(AND(S$54&gt;=EOMONTH($J91,-1)+1,S$54&lt;=EOMONTH(EOMONTH($J91,-1)+1,$K91-1)),IF(NOT(ISBLANK($N91)),$N91/$K91,$I91/$K91),0),0)</f>
        <v>0</v>
      </c>
      <c r="T91" s="309">
        <f>IFERROR(IF(AND(T$54&gt;=EOMONTH($J91,-1)+1,T$54&lt;=EOMONTH(EOMONTH($J91,-1)+1,$K91-1)),IF(NOT(ISBLANK($N91)),$N91/$K91,$I91/$K91),0),0)</f>
        <v>0</v>
      </c>
      <c r="U91" s="642">
        <f>IFERROR(IF(AND(U$54&gt;=EOMONTH($J91,-1)+1,U$54&lt;=EOMONTH(EOMONTH($J91,-1)+1,$K91-1)),IF(NOT(ISBLANK($N91)),$N91/$K91,$I91/$K91),0),0)</f>
        <v>5400</v>
      </c>
      <c r="V91" s="89">
        <f t="shared" ref="V91" si="76">SUM(S91:U91)</f>
        <v>5400</v>
      </c>
      <c r="W91" s="642">
        <f>IFERROR(IF(AND(W$54&gt;=EOMONTH($J91,-1)+1,W$54&lt;=EOMONTH(EOMONTH($J91,-1)+1,$K91-1)),IF(NOT(ISBLANK($N91)),$N91/$K91,$I91/$K91),0),0)</f>
        <v>5400</v>
      </c>
      <c r="X91" s="309">
        <f>IFERROR(IF(AND(X$54&gt;=EOMONTH($J91,-1)+1,X$54&lt;=EOMONTH(EOMONTH($J91,-1)+1,$K91-1)),IF(NOT(ISBLANK($N91)),$N91/$K91,$I91/$K91),0),0)</f>
        <v>5400</v>
      </c>
      <c r="Y91" s="309">
        <f>IFERROR(IF(AND(Y$54&gt;=EOMONTH($J91,-1)+1,Y$54&lt;=EOMONTH(EOMONTH($J91,-1)+1,$K91-1)),IF(NOT(ISBLANK($N91)),$N91/$K91,$I91/$K91),0),0)</f>
        <v>5400</v>
      </c>
      <c r="Z91" s="89">
        <f t="shared" ref="Z91" si="77">SUM(W91:Y91)</f>
        <v>16200</v>
      </c>
      <c r="AA91" s="309">
        <f>IFERROR(IF(AND(AA$54&gt;=EOMONTH($J91,-1)+1,AA$54&lt;=EOMONTH(EOMONTH($J91,-1)+1,$K91-1)),IF(NOT(ISBLANK($N91)),$N91/$K91,$I91/$K91),0),0)</f>
        <v>5400</v>
      </c>
      <c r="AB91" s="309">
        <f>IFERROR(IF(AND(AB$54&gt;=EOMONTH($J91,-1)+1,AB$54&lt;=EOMONTH(EOMONTH($J91,-1)+1,$K91-1)),IF(NOT(ISBLANK($N91)),$N91/$K91,$I91/$K91),0),0)</f>
        <v>5400</v>
      </c>
      <c r="AC91" s="309">
        <f>IFERROR(IF(AND(AC$54&gt;=EOMONTH($J91,-1)+1,AC$54&lt;=EOMONTH(EOMONTH($J91,-1)+1,$K91-1)),IF(NOT(ISBLANK($N91)),$N91/$K91,$I91/$K91),0),0)</f>
        <v>5400</v>
      </c>
      <c r="AD91" s="89">
        <f t="shared" si="71"/>
        <v>16200</v>
      </c>
      <c r="AE91" s="309">
        <f>IFERROR(IF(AND(AE$54&gt;=EOMONTH($J91,-1)+1,AE$54&lt;=EOMONTH(EOMONTH($J91,-1)+1,$K91-1)),IF(NOT(ISBLANK($N91)),$N91/$K91,$I91/$K91),0),0)</f>
        <v>5400</v>
      </c>
      <c r="AF91" s="309">
        <f>IFERROR(IF(AND(AF$54&gt;=EOMONTH($J91,-1)+1,AF$54&lt;=EOMONTH(EOMONTH($J91,-1)+1,$K91-1)),IF(NOT(ISBLANK($N91)),$N91/$K91,$I91/$K91),0),0)</f>
        <v>5400</v>
      </c>
      <c r="AG91" s="309">
        <f>IFERROR(IF(AND(AG$54&gt;=EOMONTH($J91,-1)+1,AG$54&lt;=EOMONTH(EOMONTH($J91,-1)+1,$K91-1)),IF(NOT(ISBLANK($N91)),$N91/$K91,$I91/$K91),0),0)</f>
        <v>5400</v>
      </c>
      <c r="AH91" s="89">
        <f t="shared" si="51"/>
        <v>16200</v>
      </c>
      <c r="AI91" s="90">
        <f t="shared" si="15"/>
        <v>54000</v>
      </c>
      <c r="AJ91" s="92" t="s">
        <v>382</v>
      </c>
      <c r="AK91" s="1040"/>
      <c r="AL91" s="1048"/>
      <c r="AM91" s="1046">
        <f t="shared" ref="AM91" si="78">N91*AL91</f>
        <v>0</v>
      </c>
      <c r="AN91" s="62" t="str">
        <f>C91</f>
        <v>19 - Kaizen Facão. DA000481Z - PRODUTIVIDADE</v>
      </c>
      <c r="AO91" s="62" t="s">
        <v>289</v>
      </c>
      <c r="AP91" s="543" cm="1">
        <f t="array" aca="1" ref="AP91" ca="1">IF(OR(AN91="",AN91=0),"",IF(SUMPRODUCT(($C$55:$C$175=AN91)*(S$54:$AG$54&lt;EOMONTH(TODAY(),-1)+1)*(ISNUMBER(S$55:$AG$175)),S$55:$AG$175)=0,"",SUMPRODUCT(($C$55:$C$175=AN91)*(S$54:$AG$54&lt;EOMONTH(TODAY(),-1)+1)*(ISNUMBER(S$55:$AG$175)),S$55:$AG$175)))</f>
        <v>16200</v>
      </c>
    </row>
    <row r="92" spans="1:42" ht="29.1" customHeight="1" x14ac:dyDescent="0.3">
      <c r="A92" s="1037"/>
      <c r="B92" s="1300"/>
      <c r="C92" s="1114"/>
      <c r="D92" s="1359"/>
      <c r="E92" s="1304"/>
      <c r="F92" s="1041"/>
      <c r="G92" s="1118"/>
      <c r="H92" s="1118"/>
      <c r="I92" s="1343"/>
      <c r="J92" s="1159"/>
      <c r="K92" s="1122"/>
      <c r="L92" s="1075"/>
      <c r="M92" s="1306"/>
      <c r="N92" s="1054"/>
      <c r="O92" s="1326"/>
      <c r="P92" s="1058"/>
      <c r="Q92" s="87" t="s">
        <v>107</v>
      </c>
      <c r="R92" s="825">
        <v>1</v>
      </c>
      <c r="S92" s="309"/>
      <c r="T92" s="309"/>
      <c r="U92" s="309"/>
      <c r="V92" s="310">
        <f t="shared" ref="V92" si="79">SUM(S92:U92)</f>
        <v>0</v>
      </c>
      <c r="W92" s="309"/>
      <c r="X92" s="309"/>
      <c r="Y92" s="309"/>
      <c r="Z92" s="310">
        <f t="shared" ref="Z92" si="80">SUM(W92:Y92)</f>
        <v>0</v>
      </c>
      <c r="AA92" s="309"/>
      <c r="AB92" s="309"/>
      <c r="AC92" s="309"/>
      <c r="AD92" s="310">
        <f t="shared" si="71"/>
        <v>0</v>
      </c>
      <c r="AE92" s="309"/>
      <c r="AF92" s="309"/>
      <c r="AG92" s="309"/>
      <c r="AH92" s="310">
        <f t="shared" si="51"/>
        <v>0</v>
      </c>
      <c r="AI92" s="311">
        <f t="shared" si="15"/>
        <v>0</v>
      </c>
      <c r="AJ92" s="92" t="s">
        <v>383</v>
      </c>
      <c r="AK92" s="1041"/>
      <c r="AL92" s="1049"/>
      <c r="AM92" s="1047"/>
      <c r="AN92" s="62" t="str">
        <f>C91</f>
        <v>19 - Kaizen Facão. DA000481Z - PRODUTIVIDADE</v>
      </c>
      <c r="AO92" s="62" t="s">
        <v>291</v>
      </c>
      <c r="AP92" s="543" t="str" cm="1">
        <f t="array" aca="1" ref="AP92" ca="1">IF(OR(AN92="",AN92=0),"",IF(SUMPRODUCT(($C$55:$C$175=AN92)*($S$54:AG$54&lt;=TODAY())*(ISNUMBER($S$56:AG$176)),$S$56:AG$176)=0,"",SUMPRODUCT(($C$55:$C$175=AN92)*($S$54:AG$54&lt;=TODAY())*(ISNUMBER($S$56:AG$176)),$S$56:AG$176)))</f>
        <v/>
      </c>
    </row>
    <row r="93" spans="1:42" ht="29.1" customHeight="1" x14ac:dyDescent="0.3">
      <c r="A93" s="1382" t="s">
        <v>310</v>
      </c>
      <c r="B93" s="1038"/>
      <c r="C93" s="1369" t="s">
        <v>384</v>
      </c>
      <c r="D93" s="1378" t="s">
        <v>385</v>
      </c>
      <c r="E93" s="1371" t="s">
        <v>386</v>
      </c>
      <c r="F93" s="1373" t="s">
        <v>387</v>
      </c>
      <c r="G93" s="1352">
        <v>46027</v>
      </c>
      <c r="H93" s="1352">
        <v>46387</v>
      </c>
      <c r="I93" s="1354"/>
      <c r="J93" s="1433">
        <v>46023</v>
      </c>
      <c r="K93" s="1435">
        <f t="shared" ref="K93" si="81">IF(J93="", "", 12 - MONTH(J93) + 1)</f>
        <v>12</v>
      </c>
      <c r="L93" s="1327"/>
      <c r="M93" s="1308" t="s">
        <v>388</v>
      </c>
      <c r="N93" s="1310"/>
      <c r="O93" s="1318"/>
      <c r="P93" s="1318">
        <v>1</v>
      </c>
      <c r="Q93" s="93" t="s">
        <v>106</v>
      </c>
      <c r="R93" s="826">
        <v>0.31</v>
      </c>
      <c r="S93" s="532">
        <f>IFERROR(IF(AND(S$54&gt;=EOMONTH($J93,-1)+1,S$54&lt;=EOMONTH(EOMONTH($J93,-1)+1,$K93-1)),IF(NOT(ISBLANK($N93)),$N93/$K93,$I93/$K93),0),0)</f>
        <v>0</v>
      </c>
      <c r="T93" s="532">
        <f>IFERROR(IF(AND(T$54&gt;=EOMONTH($J93,-1)+1,T$54&lt;=EOMONTH(EOMONTH($J93,-1)+1,$K93-1)),IF(NOT(ISBLANK($N93)),$N93/$K93,$I93/$K93),0),0)</f>
        <v>0</v>
      </c>
      <c r="U93" s="532">
        <f>IFERROR(IF(AND(U$54&gt;=EOMONTH($J93,-1)+1,U$54&lt;=EOMONTH(EOMONTH($J93,-1)+1,$K93-1)),IF(NOT(ISBLANK($N93)),$N93/$K93,$I93/$K93),0),0)</f>
        <v>0</v>
      </c>
      <c r="V93" s="89">
        <f t="shared" ref="V93" si="82">SUM(S93:U93)</f>
        <v>0</v>
      </c>
      <c r="W93" s="532">
        <f>IFERROR(IF(AND(W$54&gt;=EOMONTH($J93,-1)+1,W$54&lt;=EOMONTH(EOMONTH($J93,-1)+1,$K93-1)),IF(NOT(ISBLANK($N93)),$N93/$K93,$I93/$K93),0),0)</f>
        <v>0</v>
      </c>
      <c r="X93" s="532">
        <f>IFERROR(IF(AND(X$54&gt;=EOMONTH($J93,-1)+1,X$54&lt;=EOMONTH(EOMONTH($J93,-1)+1,$K93-1)),IF(NOT(ISBLANK($N93)),$N93/$K93,$I93/$K93),0),0)</f>
        <v>0</v>
      </c>
      <c r="Y93" s="532">
        <f>IFERROR(IF(AND(Y$54&gt;=EOMONTH($J93,-1)+1,Y$54&lt;=EOMONTH(EOMONTH($J93,-1)+1,$K93-1)),IF(NOT(ISBLANK($N93)),$N93/$K93,$I93/$K93),0),0)</f>
        <v>0</v>
      </c>
      <c r="Z93" s="89">
        <f t="shared" ref="Z93" si="83">SUM(W93:Y93)</f>
        <v>0</v>
      </c>
      <c r="AA93" s="532">
        <f>IFERROR(IF(AND(AA$54&gt;=EOMONTH($J93,-1)+1,AA$54&lt;=EOMONTH(EOMONTH($J93,-1)+1,$K93-1)),IF(NOT(ISBLANK($N93)),$N93/$K93,$I93/$K93),0),0)</f>
        <v>0</v>
      </c>
      <c r="AB93" s="532">
        <f>IFERROR(IF(AND(AB$54&gt;=EOMONTH($J93,-1)+1,AB$54&lt;=EOMONTH(EOMONTH($J93,-1)+1,$K93-1)),IF(NOT(ISBLANK($N93)),$N93/$K93,$I93/$K93),0),0)</f>
        <v>0</v>
      </c>
      <c r="AC93" s="532">
        <f>IFERROR(IF(AND(AC$54&gt;=EOMONTH($J93,-1)+1,AC$54&lt;=EOMONTH(EOMONTH($J93,-1)+1,$K93-1)),IF(NOT(ISBLANK($N93)),$N93/$K93,$I93/$K93),0),0)</f>
        <v>0</v>
      </c>
      <c r="AD93" s="89">
        <f t="shared" si="71"/>
        <v>0</v>
      </c>
      <c r="AE93" s="532">
        <f>IFERROR(IF(AND(AE$54&gt;=EOMONTH($J93,-1)+1,AE$54&lt;=EOMONTH(EOMONTH($J93,-1)+1,$K93-1)),IF(NOT(ISBLANK($N93)),$N93/$K93,$I93/$K93),0),0)</f>
        <v>0</v>
      </c>
      <c r="AF93" s="532">
        <f>IFERROR(IF(AND(AF$54&gt;=EOMONTH($J93,-1)+1,AF$54&lt;=EOMONTH(EOMONTH($J93,-1)+1,$K93-1)),IF(NOT(ISBLANK($N93)),$N93/$K93,$I93/$K93),0),0)</f>
        <v>0</v>
      </c>
      <c r="AG93" s="532">
        <f>IFERROR(IF(AND(AG$54&gt;=EOMONTH($J93,-1)+1,AG$54&lt;=EOMONTH(EOMONTH($J93,-1)+1,$K93-1)),IF(NOT(ISBLANK($N93)),$N93/$K93,$I93/$K93),0),0)</f>
        <v>0</v>
      </c>
      <c r="AH93" s="89">
        <f t="shared" si="51"/>
        <v>0</v>
      </c>
      <c r="AI93" s="95">
        <f t="shared" si="15"/>
        <v>0</v>
      </c>
      <c r="AJ93" s="97" t="s">
        <v>389</v>
      </c>
      <c r="AK93" s="1038"/>
      <c r="AL93" s="1042"/>
      <c r="AM93" s="1044">
        <f t="shared" ref="AM93" si="84">N93*AL93</f>
        <v>0</v>
      </c>
      <c r="AN93" s="62" t="str">
        <f>C93</f>
        <v>20 - Redução refugo em relação ao budget</v>
      </c>
      <c r="AO93" s="62" t="s">
        <v>289</v>
      </c>
      <c r="AP93" s="543" t="str" cm="1">
        <f t="array" aca="1" ref="AP93" ca="1">IF(OR(AN93="",AN93=0),"",IF(SUMPRODUCT(($C$55:$C$175=AN93)*(S$54:$AG$54&lt;EOMONTH(TODAY(),-1)+1)*(ISNUMBER(S$55:$AG$175)),S$55:$AG$175)=0,"",SUMPRODUCT(($C$55:$C$175=AN93)*(S$54:$AG$54&lt;EOMONTH(TODAY(),-1)+1)*(ISNUMBER(S$55:$AG$175)),S$55:$AG$175)))</f>
        <v/>
      </c>
    </row>
    <row r="94" spans="1:42" ht="29.1" customHeight="1" x14ac:dyDescent="0.3">
      <c r="A94" s="1383"/>
      <c r="B94" s="1039"/>
      <c r="C94" s="1370"/>
      <c r="D94" s="1379"/>
      <c r="E94" s="1372"/>
      <c r="F94" s="1374"/>
      <c r="G94" s="1353"/>
      <c r="H94" s="1353"/>
      <c r="I94" s="1355"/>
      <c r="J94" s="1434"/>
      <c r="K94" s="1436"/>
      <c r="L94" s="1328"/>
      <c r="M94" s="1309"/>
      <c r="N94" s="1311"/>
      <c r="O94" s="1319"/>
      <c r="P94" s="1319"/>
      <c r="Q94" s="93" t="s">
        <v>107</v>
      </c>
      <c r="R94" s="828" t="s">
        <v>390</v>
      </c>
      <c r="S94" s="663">
        <v>0</v>
      </c>
      <c r="T94" s="663">
        <v>0</v>
      </c>
      <c r="U94" s="312"/>
      <c r="V94" s="310">
        <f t="shared" si="53"/>
        <v>0</v>
      </c>
      <c r="W94" s="312"/>
      <c r="X94" s="312"/>
      <c r="Y94" s="312"/>
      <c r="Z94" s="310">
        <f t="shared" si="54"/>
        <v>0</v>
      </c>
      <c r="AA94" s="312"/>
      <c r="AB94" s="312"/>
      <c r="AC94" s="312"/>
      <c r="AD94" s="310">
        <f t="shared" si="55"/>
        <v>0</v>
      </c>
      <c r="AE94" s="312"/>
      <c r="AF94" s="312"/>
      <c r="AG94" s="312"/>
      <c r="AH94" s="310">
        <f t="shared" si="51"/>
        <v>0</v>
      </c>
      <c r="AI94" s="313">
        <f t="shared" si="15"/>
        <v>0</v>
      </c>
      <c r="AJ94" s="97" t="s">
        <v>391</v>
      </c>
      <c r="AK94" s="1039"/>
      <c r="AL94" s="1043"/>
      <c r="AM94" s="1045"/>
      <c r="AN94" s="62" t="str">
        <f>C93</f>
        <v>20 - Redução refugo em relação ao budget</v>
      </c>
      <c r="AO94" s="62" t="s">
        <v>291</v>
      </c>
      <c r="AP94" s="543" t="str" cm="1">
        <f t="array" aca="1" ref="AP94" ca="1">IF(OR(AN94="",AN94=0),"",IF(SUMPRODUCT(($C$55:$C$175=AN94)*($S$54:AG$54&lt;=TODAY())*(ISNUMBER($S$56:AG$176)),$S$56:AG$176)=0,"",SUMPRODUCT(($C$55:$C$175=AN94)*($S$54:AG$54&lt;=TODAY())*(ISNUMBER($S$56:AG$176)),$S$56:AG$176)))</f>
        <v/>
      </c>
    </row>
    <row r="95" spans="1:42" ht="29.1" customHeight="1" x14ac:dyDescent="0.3">
      <c r="A95" s="1299" t="s">
        <v>85</v>
      </c>
      <c r="B95" s="1299" t="s">
        <v>90</v>
      </c>
      <c r="C95" s="1113" t="s">
        <v>392</v>
      </c>
      <c r="D95" s="1115" t="s">
        <v>393</v>
      </c>
      <c r="E95" s="1303" t="s">
        <v>394</v>
      </c>
      <c r="F95" s="1040" t="s">
        <v>286</v>
      </c>
      <c r="G95" s="1117">
        <v>46054</v>
      </c>
      <c r="H95" s="1117">
        <v>46112</v>
      </c>
      <c r="I95" s="1074">
        <v>56826</v>
      </c>
      <c r="J95" s="1158">
        <v>46082</v>
      </c>
      <c r="K95" s="1121">
        <f t="shared" ref="K95" si="85">IF(J95="", "", 12 - MONTH(J95) + 1)</f>
        <v>10</v>
      </c>
      <c r="L95" s="1074"/>
      <c r="M95" s="1312" t="s">
        <v>287</v>
      </c>
      <c r="N95" s="1314">
        <v>37365.58</v>
      </c>
      <c r="O95" s="1325" t="s">
        <v>77</v>
      </c>
      <c r="P95" s="1057">
        <v>1</v>
      </c>
      <c r="Q95" s="87" t="s">
        <v>106</v>
      </c>
      <c r="R95" s="825">
        <v>1</v>
      </c>
      <c r="S95" s="309">
        <f>IFERROR(IF(AND(S$54&gt;=EOMONTH($J95,-1)+1,S$54&lt;=EOMONTH(EOMONTH($J95,-1)+1,$K95-1)),IF(NOT(ISBLANK($N95)),$N95/$K95,$I95/$K95),0),0)</f>
        <v>0</v>
      </c>
      <c r="T95" s="309">
        <f>IFERROR(IF(AND(T$54&gt;=EOMONTH($J95,-1)+1,T$54&lt;=EOMONTH(EOMONTH($J95,-1)+1,$K95-1)),IF(NOT(ISBLANK($N95)),$N95/$K95,$I95/$K95),0),0)</f>
        <v>0</v>
      </c>
      <c r="U95" s="943">
        <f>IFERROR(IF(AND(U$54&gt;=EOMONTH($J95,-1)+1,U$54&lt;=EOMONTH(EOMONTH($J95,-1)+1,$K95-1)),IF(NOT(ISBLANK($N95)),$N95/$K95,$I95/$K95),0),0)</f>
        <v>3736.558</v>
      </c>
      <c r="V95" s="89">
        <f t="shared" ref="V95" si="86">SUM(S95:U95)</f>
        <v>3736.558</v>
      </c>
      <c r="W95" s="943">
        <f>IFERROR(IF(AND(W$54&gt;=EOMONTH($J95,-1)+1,W$54&lt;=EOMONTH(EOMONTH($J95,-1)+1,$K95-1)),IF(NOT(ISBLANK($N95)),$N95/$K95,$I95/$K95),0),0)</f>
        <v>3736.558</v>
      </c>
      <c r="X95" s="309">
        <f>IFERROR(IF(AND(X$54&gt;=EOMONTH($J95,-1)+1,X$54&lt;=EOMONTH(EOMONTH($J95,-1)+1,$K95-1)),IF(NOT(ISBLANK($N95)),$N95/$K95,$I95/$K95),0),0)</f>
        <v>3736.558</v>
      </c>
      <c r="Y95" s="309">
        <f>IFERROR(IF(AND(Y$54&gt;=EOMONTH($J95,-1)+1,Y$54&lt;=EOMONTH(EOMONTH($J95,-1)+1,$K95-1)),IF(NOT(ISBLANK($N95)),$N95/$K95,$I95/$K95),0),0)</f>
        <v>3736.558</v>
      </c>
      <c r="Z95" s="89">
        <f t="shared" ref="Z95" si="87">SUM(W95:Y95)</f>
        <v>11209.673999999999</v>
      </c>
      <c r="AA95" s="309">
        <f>IFERROR(IF(AND(AA$54&gt;=EOMONTH($J95,-1)+1,AA$54&lt;=EOMONTH(EOMONTH($J95,-1)+1,$K95-1)),IF(NOT(ISBLANK($N95)),$N95/$K95,$I95/$K95),0),0)</f>
        <v>3736.558</v>
      </c>
      <c r="AB95" s="309">
        <f>IFERROR(IF(AND(AB$54&gt;=EOMONTH($J95,-1)+1,AB$54&lt;=EOMONTH(EOMONTH($J95,-1)+1,$K95-1)),IF(NOT(ISBLANK($N95)),$N95/$K95,$I95/$K95),0),0)</f>
        <v>3736.558</v>
      </c>
      <c r="AC95" s="309">
        <f>IFERROR(IF(AND(AC$54&gt;=EOMONTH($J95,-1)+1,AC$54&lt;=EOMONTH(EOMONTH($J95,-1)+1,$K95-1)),IF(NOT(ISBLANK($N95)),$N95/$K95,$I95/$K95),0),0)</f>
        <v>3736.558</v>
      </c>
      <c r="AD95" s="89">
        <f t="shared" si="55"/>
        <v>11209.673999999999</v>
      </c>
      <c r="AE95" s="309">
        <f>IFERROR(IF(AND(AE$54&gt;=EOMONTH($J95,-1)+1,AE$54&lt;=EOMONTH(EOMONTH($J95,-1)+1,$K95-1)),IF(NOT(ISBLANK($N95)),$N95/$K95,$I95/$K95),0),0)</f>
        <v>3736.558</v>
      </c>
      <c r="AF95" s="309">
        <f>IFERROR(IF(AND(AF$54&gt;=EOMONTH($J95,-1)+1,AF$54&lt;=EOMONTH(EOMONTH($J95,-1)+1,$K95-1)),IF(NOT(ISBLANK($N95)),$N95/$K95,$I95/$K95),0),0)</f>
        <v>3736.558</v>
      </c>
      <c r="AG95" s="309">
        <f>IFERROR(IF(AND(AG$54&gt;=EOMONTH($J95,-1)+1,AG$54&lt;=EOMONTH(EOMONTH($J95,-1)+1,$K95-1)),IF(NOT(ISBLANK($N95)),$N95/$K95,$I95/$K95),0),0)</f>
        <v>3736.558</v>
      </c>
      <c r="AH95" s="89">
        <f t="shared" ref="AH95:AH176" si="88">SUM(AE95:AG95)</f>
        <v>11209.673999999999</v>
      </c>
      <c r="AI95" s="90">
        <f t="shared" si="15"/>
        <v>37365.58</v>
      </c>
      <c r="AJ95" s="92" t="s">
        <v>395</v>
      </c>
      <c r="AK95" s="1040"/>
      <c r="AL95" s="1048"/>
      <c r="AM95" s="1046">
        <f t="shared" ref="AM95" si="89">N95*AL95</f>
        <v>0</v>
      </c>
      <c r="AN95" s="62" t="str">
        <f>C95</f>
        <v>21 - Kaizen_Redução de peso bruto MB003537LA_MB003538LA</v>
      </c>
      <c r="AO95" s="62" t="s">
        <v>289</v>
      </c>
      <c r="AP95" s="543" cm="1">
        <f t="array" aca="1" ref="AP95" ca="1">IF(OR(AN95="",AN95=0),"",IF(SUMPRODUCT(($C$55:$C$175=AN95)*(S$54:$AG$54&lt;EOMONTH(TODAY(),-1)+1)*(ISNUMBER(S$55:$AG$175)),S$55:$AG$175)=0,"",SUMPRODUCT(($C$55:$C$175=AN95)*(S$54:$AG$54&lt;EOMONTH(TODAY(),-1)+1)*(ISNUMBER(S$55:$AG$175)),S$55:$AG$175)))</f>
        <v>11209.673999999999</v>
      </c>
    </row>
    <row r="96" spans="1:42" ht="29.1" customHeight="1" x14ac:dyDescent="0.3">
      <c r="A96" s="1300"/>
      <c r="B96" s="1300"/>
      <c r="C96" s="1114"/>
      <c r="D96" s="1359"/>
      <c r="E96" s="1304"/>
      <c r="F96" s="1041"/>
      <c r="G96" s="1118"/>
      <c r="H96" s="1118"/>
      <c r="I96" s="1075"/>
      <c r="J96" s="1159"/>
      <c r="K96" s="1122"/>
      <c r="L96" s="1075"/>
      <c r="M96" s="1313"/>
      <c r="N96" s="1315"/>
      <c r="O96" s="1326"/>
      <c r="P96" s="1058"/>
      <c r="Q96" s="87" t="s">
        <v>107</v>
      </c>
      <c r="R96" s="825">
        <v>1</v>
      </c>
      <c r="S96" s="309"/>
      <c r="T96" s="309"/>
      <c r="U96" s="309">
        <v>4391.2409531493349</v>
      </c>
      <c r="V96" s="310">
        <f t="shared" ref="V96" si="90">SUM(S96:U96)</f>
        <v>4391.2409531493349</v>
      </c>
      <c r="W96" s="309">
        <v>4250.3112653750313</v>
      </c>
      <c r="X96" s="309">
        <v>3015.5750236251633</v>
      </c>
      <c r="Y96" s="309"/>
      <c r="Z96" s="310">
        <f t="shared" ref="Z96" si="91">SUM(W96:Y96)</f>
        <v>7265.8862890001947</v>
      </c>
      <c r="AA96" s="309"/>
      <c r="AB96" s="309"/>
      <c r="AC96" s="309"/>
      <c r="AD96" s="310">
        <f t="shared" ref="AD96:AD134" si="92">SUM(AA96:AC96)</f>
        <v>0</v>
      </c>
      <c r="AE96" s="309"/>
      <c r="AF96" s="309"/>
      <c r="AG96" s="309"/>
      <c r="AH96" s="310">
        <f t="shared" si="88"/>
        <v>0</v>
      </c>
      <c r="AI96" s="311">
        <f t="shared" si="15"/>
        <v>11657.127242149531</v>
      </c>
      <c r="AJ96" s="92" t="s">
        <v>396</v>
      </c>
      <c r="AK96" s="1041"/>
      <c r="AL96" s="1049"/>
      <c r="AM96" s="1047"/>
      <c r="AN96" s="62" t="str">
        <f>C95</f>
        <v>21 - Kaizen_Redução de peso bruto MB003537LA_MB003538LA</v>
      </c>
      <c r="AO96" s="62" t="s">
        <v>291</v>
      </c>
      <c r="AP96" s="543" cm="1">
        <f t="array" aca="1" ref="AP96" ca="1">IF(OR(AN96="",AN96=0),"",IF(SUMPRODUCT(($C$55:$C$175=AN96)*($S$54:AG$54&lt;=TODAY())*(ISNUMBER($S$56:AG$176)),$S$56:AG$176)=0,"",SUMPRODUCT(($C$55:$C$175=AN96)*($S$54:AG$54&lt;=TODAY())*(ISNUMBER($S$56:AG$176)),$S$56:AG$176)))</f>
        <v>11657.127242149531</v>
      </c>
    </row>
    <row r="97" spans="1:42" ht="29.1" customHeight="1" x14ac:dyDescent="0.3">
      <c r="A97" s="1038" t="s">
        <v>85</v>
      </c>
      <c r="B97" s="1038" t="s">
        <v>90</v>
      </c>
      <c r="C97" s="1113" t="s">
        <v>397</v>
      </c>
      <c r="D97" s="1097" t="s">
        <v>398</v>
      </c>
      <c r="E97" s="1363" t="s">
        <v>399</v>
      </c>
      <c r="F97" s="1367" t="s">
        <v>286</v>
      </c>
      <c r="G97" s="1101">
        <v>46054</v>
      </c>
      <c r="H97" s="1101">
        <v>46082</v>
      </c>
      <c r="I97" s="1152">
        <v>36000</v>
      </c>
      <c r="J97" s="1109">
        <v>46113</v>
      </c>
      <c r="K97" s="1213">
        <f t="shared" ref="K97" si="93">IF(J97="", "", 12 - MONTH(J97) + 1)</f>
        <v>9</v>
      </c>
      <c r="L97" s="1076"/>
      <c r="M97" s="1320" t="s">
        <v>388</v>
      </c>
      <c r="N97" s="1322"/>
      <c r="O97" s="1316" t="s">
        <v>77</v>
      </c>
      <c r="P97" s="1042">
        <v>1</v>
      </c>
      <c r="Q97" s="93" t="s">
        <v>106</v>
      </c>
      <c r="R97" s="826">
        <v>1</v>
      </c>
      <c r="S97" s="532">
        <f>IFERROR(IF(AND(S$54&gt;=EOMONTH($J97,-1)+1,S$54&lt;=EOMONTH(EOMONTH($J97,-1)+1,$K97-1)),IF(NOT(ISBLANK($N97)),$N97/$K97,$I97/$K97),0),0)</f>
        <v>0</v>
      </c>
      <c r="T97" s="532">
        <f>IFERROR(IF(AND(T$54&gt;=EOMONTH($J97,-1)+1,T$54&lt;=EOMONTH(EOMONTH($J97,-1)+1,$K97-1)),IF(NOT(ISBLANK($N97)),$N97/$K97,$I97/$K97),0),0)</f>
        <v>0</v>
      </c>
      <c r="U97" s="532">
        <f>IFERROR(IF(AND(U$54&gt;=EOMONTH($J97,-1)+1,U$54&lt;=EOMONTH(EOMONTH($J97,-1)+1,$K97-1)),IF(NOT(ISBLANK($N97)),$N97/$K97,$I97/$K97),0),0)</f>
        <v>0</v>
      </c>
      <c r="V97" s="89">
        <f t="shared" ref="V97" si="94">SUM(S97:U97)</f>
        <v>0</v>
      </c>
      <c r="W97" s="717">
        <f>IFERROR(IF(AND(W$54&gt;=EOMONTH($J97,-1)+1,W$54&lt;=EOMONTH(EOMONTH($J97,-1)+1,$K97-1)),IF(NOT(ISBLANK($N97)),$N97/$K97,$I97/$K97),0),0)</f>
        <v>4000</v>
      </c>
      <c r="X97" s="532">
        <f>IFERROR(IF(AND(X$54&gt;=EOMONTH($J97,-1)+1,X$54&lt;=EOMONTH(EOMONTH($J97,-1)+1,$K97-1)),IF(NOT(ISBLANK($N97)),$N97/$K97,$I97/$K97),0),0)</f>
        <v>4000</v>
      </c>
      <c r="Y97" s="532">
        <f>IFERROR(IF(AND(Y$54&gt;=EOMONTH($J97,-1)+1,Y$54&lt;=EOMONTH(EOMONTH($J97,-1)+1,$K97-1)),IF(NOT(ISBLANK($N97)),$N97/$K97,$I97/$K97),0),0)</f>
        <v>4000</v>
      </c>
      <c r="Z97" s="89">
        <f t="shared" ref="Z97" si="95">SUM(W97:Y97)</f>
        <v>12000</v>
      </c>
      <c r="AA97" s="532">
        <f>IFERROR(IF(AND(AA$54&gt;=EOMONTH($J97,-1)+1,AA$54&lt;=EOMONTH(EOMONTH($J97,-1)+1,$K97-1)),IF(NOT(ISBLANK($N97)),$N97/$K97,$I97/$K97),0),0)</f>
        <v>4000</v>
      </c>
      <c r="AB97" s="532">
        <f>IFERROR(IF(AND(AB$54&gt;=EOMONTH($J97,-1)+1,AB$54&lt;=EOMONTH(EOMONTH($J97,-1)+1,$K97-1)),IF(NOT(ISBLANK($N97)),$N97/$K97,$I97/$K97),0),0)</f>
        <v>4000</v>
      </c>
      <c r="AC97" s="532">
        <f>IFERROR(IF(AND(AC$54&gt;=EOMONTH($J97,-1)+1,AC$54&lt;=EOMONTH(EOMONTH($J97,-1)+1,$K97-1)),IF(NOT(ISBLANK($N97)),$N97/$K97,$I97/$K97),0),0)</f>
        <v>4000</v>
      </c>
      <c r="AD97" s="89">
        <f t="shared" si="92"/>
        <v>12000</v>
      </c>
      <c r="AE97" s="532">
        <f>IFERROR(IF(AND(AE$54&gt;=EOMONTH($J97,-1)+1,AE$54&lt;=EOMONTH(EOMONTH($J97,-1)+1,$K97-1)),IF(NOT(ISBLANK($N97)),$N97/$K97,$I97/$K97),0),0)</f>
        <v>4000</v>
      </c>
      <c r="AF97" s="532">
        <f>IFERROR(IF(AND(AF$54&gt;=EOMONTH($J97,-1)+1,AF$54&lt;=EOMONTH(EOMONTH($J97,-1)+1,$K97-1)),IF(NOT(ISBLANK($N97)),$N97/$K97,$I97/$K97),0),0)</f>
        <v>4000</v>
      </c>
      <c r="AG97" s="532">
        <f>IFERROR(IF(AND(AG$54&gt;=EOMONTH($J97,-1)+1,AG$54&lt;=EOMONTH(EOMONTH($J97,-1)+1,$K97-1)),IF(NOT(ISBLANK($N97)),$N97/$K97,$I97/$K97),0),0)</f>
        <v>4000</v>
      </c>
      <c r="AH97" s="89">
        <f t="shared" si="88"/>
        <v>12000</v>
      </c>
      <c r="AI97" s="95">
        <f t="shared" si="15"/>
        <v>36000</v>
      </c>
      <c r="AJ97" s="97" t="s">
        <v>400</v>
      </c>
      <c r="AK97" s="1038"/>
      <c r="AL97" s="1042"/>
      <c r="AM97" s="1044">
        <f t="shared" ref="AM97" si="96">N97*AL97</f>
        <v>0</v>
      </c>
      <c r="AN97" s="62" t="str">
        <f>C97</f>
        <v>22 - Aproveitamento de Retalho do corte laser - MB002316LA_MB003533LA_MB003673LC</v>
      </c>
      <c r="AO97" s="62" t="s">
        <v>289</v>
      </c>
      <c r="AP97" s="543" cm="1">
        <f t="array" aca="1" ref="AP97" ca="1">IF(OR(AN97="",AN97=0),"",IF(SUMPRODUCT(($C$55:$C$175=AN97)*(S$54:$AG$54&lt;EOMONTH(TODAY(),-1)+1)*(ISNUMBER(S$55:$AG$175)),S$55:$AG$175)=0,"",SUMPRODUCT(($C$55:$C$175=AN97)*(S$54:$AG$54&lt;EOMONTH(TODAY(),-1)+1)*(ISNUMBER(S$55:$AG$175)),S$55:$AG$175)))</f>
        <v>8000</v>
      </c>
    </row>
    <row r="98" spans="1:42" ht="29.1" customHeight="1" x14ac:dyDescent="0.3">
      <c r="A98" s="1039"/>
      <c r="B98" s="1039"/>
      <c r="C98" s="1114"/>
      <c r="D98" s="1098"/>
      <c r="E98" s="1364"/>
      <c r="F98" s="1368"/>
      <c r="G98" s="1102"/>
      <c r="H98" s="1102"/>
      <c r="I98" s="1151"/>
      <c r="J98" s="1110"/>
      <c r="K98" s="1214"/>
      <c r="L98" s="1077"/>
      <c r="M98" s="1321"/>
      <c r="N98" s="1207"/>
      <c r="O98" s="1317"/>
      <c r="P98" s="1043"/>
      <c r="Q98" s="93" t="s">
        <v>107</v>
      </c>
      <c r="R98" s="826">
        <v>1</v>
      </c>
      <c r="S98" s="312"/>
      <c r="T98" s="312"/>
      <c r="U98" s="312"/>
      <c r="V98" s="310">
        <f t="shared" ref="V98" si="97">SUM(S98:U98)</f>
        <v>0</v>
      </c>
      <c r="W98" s="832"/>
      <c r="X98" s="312"/>
      <c r="Y98" s="312"/>
      <c r="Z98" s="310">
        <f t="shared" ref="Z98" si="98">SUM(W98:Y98)</f>
        <v>0</v>
      </c>
      <c r="AA98" s="312"/>
      <c r="AB98" s="312"/>
      <c r="AC98" s="312"/>
      <c r="AD98" s="310">
        <f t="shared" si="92"/>
        <v>0</v>
      </c>
      <c r="AE98" s="312"/>
      <c r="AF98" s="312"/>
      <c r="AG98" s="312"/>
      <c r="AH98" s="310">
        <f t="shared" si="88"/>
        <v>0</v>
      </c>
      <c r="AI98" s="313">
        <f t="shared" si="15"/>
        <v>0</v>
      </c>
      <c r="AJ98" s="97"/>
      <c r="AK98" s="1039"/>
      <c r="AL98" s="1043"/>
      <c r="AM98" s="1045"/>
      <c r="AN98" s="62" t="str">
        <f>C97</f>
        <v>22 - Aproveitamento de Retalho do corte laser - MB002316LA_MB003533LA_MB003673LC</v>
      </c>
      <c r="AO98" s="62" t="s">
        <v>291</v>
      </c>
      <c r="AP98" s="543" t="str" cm="1">
        <f t="array" aca="1" ref="AP98" ca="1">IF(OR(AN98="",AN98=0),"",IF(SUMPRODUCT(($C$55:$C$175=AN98)*($S$54:AG$54&lt;=TODAY())*(ISNUMBER($S$56:AG$176)),$S$56:AG$176)=0,"",SUMPRODUCT(($C$55:$C$175=AN98)*($S$54:AG$54&lt;=TODAY())*(ISNUMBER($S$56:AG$176)),$S$56:AG$176)))</f>
        <v/>
      </c>
    </row>
    <row r="99" spans="1:42" ht="29.1" customHeight="1" x14ac:dyDescent="0.3">
      <c r="A99" s="1299" t="s">
        <v>85</v>
      </c>
      <c r="B99" s="1299" t="s">
        <v>90</v>
      </c>
      <c r="C99" s="1113" t="s">
        <v>401</v>
      </c>
      <c r="D99" s="1115" t="s">
        <v>402</v>
      </c>
      <c r="E99" s="1303" t="s">
        <v>403</v>
      </c>
      <c r="F99" s="1040" t="s">
        <v>286</v>
      </c>
      <c r="G99" s="1117">
        <v>46069</v>
      </c>
      <c r="H99" s="1117">
        <v>46111</v>
      </c>
      <c r="I99" s="1074">
        <v>270000</v>
      </c>
      <c r="J99" s="1158">
        <v>46174</v>
      </c>
      <c r="K99" s="1121">
        <f t="shared" ref="K99" si="99">IF(J99="", "", 12 - MONTH(J99) + 1)</f>
        <v>7</v>
      </c>
      <c r="L99" s="1074"/>
      <c r="M99" s="1312" t="s">
        <v>287</v>
      </c>
      <c r="N99" s="1314">
        <v>128107.04</v>
      </c>
      <c r="O99" s="1339" t="s">
        <v>80</v>
      </c>
      <c r="P99" s="1057">
        <v>0.8</v>
      </c>
      <c r="Q99" s="87" t="s">
        <v>106</v>
      </c>
      <c r="R99" s="825">
        <v>0.2</v>
      </c>
      <c r="S99" s="309">
        <f>IFERROR(IF(AND(S$54&gt;=EOMONTH($J99,-1)+1,S$54&lt;=EOMONTH(EOMONTH($J99,-1)+1,$K99-1)),IF(NOT(ISBLANK($N99)),$N99/$K99,$I99/$K99),0),0)</f>
        <v>0</v>
      </c>
      <c r="T99" s="309">
        <f>IFERROR(IF(AND(T$54&gt;=EOMONTH($J99,-1)+1,T$54&lt;=EOMONTH(EOMONTH($J99,-1)+1,$K99-1)),IF(NOT(ISBLANK($N99)),$N99/$K99,$I99/$K99),0),0)</f>
        <v>0</v>
      </c>
      <c r="U99" s="309">
        <f>IFERROR(IF(AND(U$54&gt;=EOMONTH($J99,-1)+1,U$54&lt;=EOMONTH(EOMONTH($J99,-1)+1,$K99-1)),IF(NOT(ISBLANK($N99)),$N99/$K99,$I99/$K99),0),0)</f>
        <v>0</v>
      </c>
      <c r="V99" s="89">
        <f t="shared" ref="V99" si="100">SUM(S99:U99)</f>
        <v>0</v>
      </c>
      <c r="W99" s="309">
        <f>IFERROR(IF(AND(W$54&gt;=EOMONTH($J99,-1)+1,W$54&lt;=EOMONTH(EOMONTH($J99,-1)+1,$K99-1)),IF(NOT(ISBLANK($N99)),$N99/$K99,$I99/$K99),0),0)</f>
        <v>0</v>
      </c>
      <c r="X99" s="309">
        <f>IFERROR(IF(AND(X$54&gt;=EOMONTH($J99,-1)+1,X$54&lt;=EOMONTH(EOMONTH($J99,-1)+1,$K99-1)),IF(NOT(ISBLANK($N99)),$N99/$K99,$I99/$K99),0),0)</f>
        <v>0</v>
      </c>
      <c r="Y99" s="309">
        <f>IFERROR(IF(AND(Y$54&gt;=EOMONTH($J99,-1)+1,Y$54&lt;=EOMONTH(EOMONTH($J99,-1)+1,$K99-1)),IF(NOT(ISBLANK($N99)),$N99/$K99,$I99/$K99),0),0)</f>
        <v>18301.005714285715</v>
      </c>
      <c r="Z99" s="89">
        <f t="shared" ref="Z99" si="101">SUM(W99:Y99)</f>
        <v>18301.005714285715</v>
      </c>
      <c r="AA99" s="309">
        <f>IFERROR(IF(AND(AA$54&gt;=EOMONTH($J99,-1)+1,AA$54&lt;=EOMONTH(EOMONTH($J99,-1)+1,$K99-1)),IF(NOT(ISBLANK($N99)),$N99/$K99,$I99/$K99),0),0)</f>
        <v>18301.005714285715</v>
      </c>
      <c r="AB99" s="309">
        <f>IFERROR(IF(AND(AB$54&gt;=EOMONTH($J99,-1)+1,AB$54&lt;=EOMONTH(EOMONTH($J99,-1)+1,$K99-1)),IF(NOT(ISBLANK($N99)),$N99/$K99,$I99/$K99),0),0)</f>
        <v>18301.005714285715</v>
      </c>
      <c r="AC99" s="309">
        <f>IFERROR(IF(AND(AC$54&gt;=EOMONTH($J99,-1)+1,AC$54&lt;=EOMONTH(EOMONTH($J99,-1)+1,$K99-1)),IF(NOT(ISBLANK($N99)),$N99/$K99,$I99/$K99),0),0)</f>
        <v>18301.005714285715</v>
      </c>
      <c r="AD99" s="89">
        <f t="shared" si="92"/>
        <v>54903.017142857148</v>
      </c>
      <c r="AE99" s="309">
        <f>IFERROR(IF(AND(AE$54&gt;=EOMONTH($J99,-1)+1,AE$54&lt;=EOMONTH(EOMONTH($J99,-1)+1,$K99-1)),IF(NOT(ISBLANK($N99)),$N99/$K99,$I99/$K99),0),0)</f>
        <v>18301.005714285715</v>
      </c>
      <c r="AF99" s="309">
        <f>IFERROR(IF(AND(AF$54&gt;=EOMONTH($J99,-1)+1,AF$54&lt;=EOMONTH(EOMONTH($J99,-1)+1,$K99-1)),IF(NOT(ISBLANK($N99)),$N99/$K99,$I99/$K99),0),0)</f>
        <v>18301.005714285715</v>
      </c>
      <c r="AG99" s="309">
        <f>IFERROR(IF(AND(AG$54&gt;=EOMONTH($J99,-1)+1,AG$54&lt;=EOMONTH(EOMONTH($J99,-1)+1,$K99-1)),IF(NOT(ISBLANK($N99)),$N99/$K99,$I99/$K99),0),0)</f>
        <v>18301.005714285715</v>
      </c>
      <c r="AH99" s="89">
        <f t="shared" si="88"/>
        <v>54903.017142857148</v>
      </c>
      <c r="AI99" s="90">
        <f t="shared" si="15"/>
        <v>128107.04000000001</v>
      </c>
      <c r="AJ99" s="92" t="s">
        <v>404</v>
      </c>
      <c r="AK99" s="1040"/>
      <c r="AL99" s="1048"/>
      <c r="AM99" s="1046">
        <f t="shared" ref="AM99" si="102">N99*AL99</f>
        <v>0</v>
      </c>
      <c r="AN99" s="62" t="str">
        <f>C99</f>
        <v>23 - Redução do peso bruto VW000581Z / VW000582Z</v>
      </c>
      <c r="AO99" s="62" t="s">
        <v>289</v>
      </c>
      <c r="AP99" s="543" t="str" cm="1">
        <f t="array" aca="1" ref="AP99" ca="1">IF(OR(AN99="",AN99=0),"",IF(SUMPRODUCT(($C$55:$C$175=AN99)*(S$54:$AG$54&lt;EOMONTH(TODAY(),-1)+1)*(ISNUMBER(S$55:$AG$175)),S$55:$AG$175)=0,"",SUMPRODUCT(($C$55:$C$175=AN99)*(S$54:$AG$54&lt;EOMONTH(TODAY(),-1)+1)*(ISNUMBER(S$55:$AG$175)),S$55:$AG$175)))</f>
        <v/>
      </c>
    </row>
    <row r="100" spans="1:42" ht="29.1" customHeight="1" x14ac:dyDescent="0.3">
      <c r="A100" s="1300"/>
      <c r="B100" s="1300"/>
      <c r="C100" s="1114"/>
      <c r="D100" s="1359"/>
      <c r="E100" s="1304"/>
      <c r="F100" s="1041"/>
      <c r="G100" s="1118"/>
      <c r="H100" s="1118"/>
      <c r="I100" s="1075"/>
      <c r="J100" s="1159"/>
      <c r="K100" s="1122"/>
      <c r="L100" s="1075"/>
      <c r="M100" s="1313"/>
      <c r="N100" s="1315"/>
      <c r="O100" s="1075"/>
      <c r="P100" s="1058"/>
      <c r="Q100" s="87" t="s">
        <v>107</v>
      </c>
      <c r="R100" s="825">
        <v>0.25</v>
      </c>
      <c r="S100" s="309"/>
      <c r="T100" s="309"/>
      <c r="U100" s="309"/>
      <c r="V100" s="310">
        <f t="shared" ref="V100" si="103">SUM(S100:U100)</f>
        <v>0</v>
      </c>
      <c r="W100" s="309"/>
      <c r="X100" s="309"/>
      <c r="Y100" s="309"/>
      <c r="Z100" s="310">
        <f t="shared" ref="Z100" si="104">SUM(W100:Y100)</f>
        <v>0</v>
      </c>
      <c r="AA100" s="309"/>
      <c r="AB100" s="309"/>
      <c r="AC100" s="309"/>
      <c r="AD100" s="310">
        <f t="shared" si="92"/>
        <v>0</v>
      </c>
      <c r="AE100" s="309"/>
      <c r="AF100" s="309"/>
      <c r="AG100" s="309"/>
      <c r="AH100" s="310">
        <f t="shared" si="88"/>
        <v>0</v>
      </c>
      <c r="AI100" s="311">
        <f t="shared" si="15"/>
        <v>0</v>
      </c>
      <c r="AJ100" s="92" t="s">
        <v>405</v>
      </c>
      <c r="AK100" s="1041"/>
      <c r="AL100" s="1049"/>
      <c r="AM100" s="1047"/>
      <c r="AN100" s="62" t="str">
        <f>C99</f>
        <v>23 - Redução do peso bruto VW000581Z / VW000582Z</v>
      </c>
      <c r="AO100" s="62" t="s">
        <v>291</v>
      </c>
      <c r="AP100" s="543" t="str" cm="1">
        <f t="array" aca="1" ref="AP100" ca="1">IF(OR(AN100="",AN100=0),"",IF(SUMPRODUCT(($C$55:$C$175=AN100)*($S$54:AG$54&lt;=TODAY())*(ISNUMBER($S$56:AG$176)),$S$56:AG$176)=0,"",SUMPRODUCT(($C$55:$C$175=AN100)*($S$54:AG$54&lt;=TODAY())*(ISNUMBER($S$56:AG$176)),$S$56:AG$176)))</f>
        <v/>
      </c>
    </row>
    <row r="101" spans="1:42" ht="29.1" customHeight="1" x14ac:dyDescent="0.3">
      <c r="A101" s="1361" t="s">
        <v>85</v>
      </c>
      <c r="B101" s="1038" t="s">
        <v>90</v>
      </c>
      <c r="C101" s="1095" t="s">
        <v>406</v>
      </c>
      <c r="D101" s="1097" t="s">
        <v>407</v>
      </c>
      <c r="E101" s="1363" t="s">
        <v>408</v>
      </c>
      <c r="F101" s="1099" t="s">
        <v>286</v>
      </c>
      <c r="G101" s="1101">
        <v>46076</v>
      </c>
      <c r="H101" s="1101">
        <v>46122</v>
      </c>
      <c r="I101" s="1152">
        <v>33600</v>
      </c>
      <c r="J101" s="1109">
        <v>46143</v>
      </c>
      <c r="K101" s="1213">
        <f t="shared" ref="K101" si="105">IF(J101="", "", 12 - MONTH(J101) + 1)</f>
        <v>8</v>
      </c>
      <c r="L101" s="1076"/>
      <c r="M101" s="1329" t="s">
        <v>287</v>
      </c>
      <c r="N101" s="1206">
        <v>29532.29</v>
      </c>
      <c r="O101" s="1316" t="s">
        <v>77</v>
      </c>
      <c r="P101" s="1042">
        <v>0.8</v>
      </c>
      <c r="Q101" s="93" t="s">
        <v>106</v>
      </c>
      <c r="R101" s="826">
        <v>1</v>
      </c>
      <c r="S101" s="532">
        <f>IFERROR(IF(AND(S$54&gt;=EOMONTH($J101,-1)+1,S$54&lt;=EOMONTH(EOMONTH($J101,-1)+1,$K101-1)),IF(NOT(ISBLANK($N101)),$N101/$K101,$I101/$K101),0),0)</f>
        <v>0</v>
      </c>
      <c r="T101" s="532">
        <f>IFERROR(IF(AND(T$54&gt;=EOMONTH($J101,-1)+1,T$54&lt;=EOMONTH(EOMONTH($J101,-1)+1,$K101-1)),IF(NOT(ISBLANK($N101)),$N101/$K101,$I101/$K101),0),0)</f>
        <v>0</v>
      </c>
      <c r="U101" s="532">
        <f>IFERROR(IF(AND(U$54&gt;=EOMONTH($J101,-1)+1,U$54&lt;=EOMONTH(EOMONTH($J101,-1)+1,$K101-1)),IF(NOT(ISBLANK($N101)),$N101/$K101,$I101/$K101),0),0)</f>
        <v>0</v>
      </c>
      <c r="V101" s="89">
        <f t="shared" ref="V101" si="106">SUM(S101:U101)</f>
        <v>0</v>
      </c>
      <c r="W101" s="532">
        <f>IFERROR(IF(AND(W$54&gt;=EOMONTH($J101,-1)+1,W$54&lt;=EOMONTH(EOMONTH($J101,-1)+1,$K101-1)),IF(NOT(ISBLANK($N101)),$N101/$K101,$I101/$K101),0),0)</f>
        <v>0</v>
      </c>
      <c r="X101" s="532">
        <f>IFERROR(IF(AND(X$54&gt;=EOMONTH($J101,-1)+1,X$54&lt;=EOMONTH(EOMONTH($J101,-1)+1,$K101-1)),IF(NOT(ISBLANK($N101)),$N101/$K101,$I101/$K101),0),0)</f>
        <v>3691.5362500000001</v>
      </c>
      <c r="Y101" s="532">
        <f>IFERROR(IF(AND(Y$54&gt;=EOMONTH($J101,-1)+1,Y$54&lt;=EOMONTH(EOMONTH($J101,-1)+1,$K101-1)),IF(NOT(ISBLANK($N101)),$N101/$K101,$I101/$K101),0),0)</f>
        <v>3691.5362500000001</v>
      </c>
      <c r="Z101" s="89">
        <f t="shared" ref="Z101" si="107">SUM(W101:Y101)</f>
        <v>7383.0725000000002</v>
      </c>
      <c r="AA101" s="532">
        <f>IFERROR(IF(AND(AA$54&gt;=EOMONTH($J101,-1)+1,AA$54&lt;=EOMONTH(EOMONTH($J101,-1)+1,$K101-1)),IF(NOT(ISBLANK($N101)),$N101/$K101,$I101/$K101),0),0)</f>
        <v>3691.5362500000001</v>
      </c>
      <c r="AB101" s="532">
        <f>IFERROR(IF(AND(AB$54&gt;=EOMONTH($J101,-1)+1,AB$54&lt;=EOMONTH(EOMONTH($J101,-1)+1,$K101-1)),IF(NOT(ISBLANK($N101)),$N101/$K101,$I101/$K101),0),0)</f>
        <v>3691.5362500000001</v>
      </c>
      <c r="AC101" s="532">
        <f>IFERROR(IF(AND(AC$54&gt;=EOMONTH($J101,-1)+1,AC$54&lt;=EOMONTH(EOMONTH($J101,-1)+1,$K101-1)),IF(NOT(ISBLANK($N101)),$N101/$K101,$I101/$K101),0),0)</f>
        <v>3691.5362500000001</v>
      </c>
      <c r="AD101" s="89">
        <f t="shared" si="92"/>
        <v>11074.608749999999</v>
      </c>
      <c r="AE101" s="532">
        <f>IFERROR(IF(AND(AE$54&gt;=EOMONTH($J101,-1)+1,AE$54&lt;=EOMONTH(EOMONTH($J101,-1)+1,$K101-1)),IF(NOT(ISBLANK($N101)),$N101/$K101,$I101/$K101),0),0)</f>
        <v>3691.5362500000001</v>
      </c>
      <c r="AF101" s="532">
        <f>IFERROR(IF(AND(AF$54&gt;=EOMONTH($J101,-1)+1,AF$54&lt;=EOMONTH(EOMONTH($J101,-1)+1,$K101-1)),IF(NOT(ISBLANK($N101)),$N101/$K101,$I101/$K101),0),0)</f>
        <v>3691.5362500000001</v>
      </c>
      <c r="AG101" s="532">
        <f>IFERROR(IF(AND(AG$54&gt;=EOMONTH($J101,-1)+1,AG$54&lt;=EOMONTH(EOMONTH($J101,-1)+1,$K101-1)),IF(NOT(ISBLANK($N101)),$N101/$K101,$I101/$K101),0),0)</f>
        <v>3691.5362500000001</v>
      </c>
      <c r="AH101" s="89">
        <f t="shared" si="88"/>
        <v>11074.608749999999</v>
      </c>
      <c r="AI101" s="95">
        <f t="shared" si="15"/>
        <v>29532.29</v>
      </c>
      <c r="AJ101" s="97" t="s">
        <v>409</v>
      </c>
      <c r="AK101" s="1038"/>
      <c r="AL101" s="1042"/>
      <c r="AM101" s="1044">
        <f t="shared" ref="AM101" si="108">N101*AL101</f>
        <v>0</v>
      </c>
      <c r="AN101" s="62" t="str">
        <f>C101</f>
        <v>24 - KAIZEN - Redução de peso bruto_MB002289LA_MB002290LA_Rev00_Bruno Manachini</v>
      </c>
      <c r="AO101" s="62" t="s">
        <v>289</v>
      </c>
      <c r="AP101" s="543" cm="1">
        <f t="array" aca="1" ref="AP101" ca="1">IF(OR(AN101="",AN101=0),"",IF(SUMPRODUCT(($C$55:$C$175=AN101)*(S$54:$AG$54&lt;EOMONTH(TODAY(),-1)+1)*(ISNUMBER(S$55:$AG$175)),S$55:$AG$175)=0,"",SUMPRODUCT(($C$55:$C$175=AN101)*(S$54:$AG$54&lt;EOMONTH(TODAY(),-1)+1)*(ISNUMBER(S$55:$AG$175)),S$55:$AG$175)))</f>
        <v>3691.5362500000001</v>
      </c>
    </row>
    <row r="102" spans="1:42" ht="29.1" customHeight="1" x14ac:dyDescent="0.3">
      <c r="A102" s="1362"/>
      <c r="B102" s="1039"/>
      <c r="C102" s="1096"/>
      <c r="D102" s="1098"/>
      <c r="E102" s="1364"/>
      <c r="F102" s="1100"/>
      <c r="G102" s="1102"/>
      <c r="H102" s="1102"/>
      <c r="I102" s="1151"/>
      <c r="J102" s="1110"/>
      <c r="K102" s="1214"/>
      <c r="L102" s="1077"/>
      <c r="M102" s="1330"/>
      <c r="N102" s="1208"/>
      <c r="O102" s="1317"/>
      <c r="P102" s="1043"/>
      <c r="Q102" s="93" t="s">
        <v>107</v>
      </c>
      <c r="R102" s="826">
        <v>1</v>
      </c>
      <c r="S102" s="312"/>
      <c r="T102" s="312"/>
      <c r="U102" s="312"/>
      <c r="V102" s="310">
        <f t="shared" ref="V102" si="109">SUM(S102:U102)</f>
        <v>0</v>
      </c>
      <c r="W102" s="312"/>
      <c r="X102" s="312">
        <v>3320.2090956719312</v>
      </c>
      <c r="Y102" s="312"/>
      <c r="Z102" s="310">
        <f t="shared" ref="Z102" si="110">SUM(W102:Y102)</f>
        <v>3320.2090956719312</v>
      </c>
      <c r="AA102" s="312"/>
      <c r="AB102" s="312"/>
      <c r="AC102" s="312"/>
      <c r="AD102" s="310">
        <f t="shared" si="92"/>
        <v>0</v>
      </c>
      <c r="AE102" s="312"/>
      <c r="AF102" s="312"/>
      <c r="AG102" s="312"/>
      <c r="AH102" s="310">
        <f t="shared" si="88"/>
        <v>0</v>
      </c>
      <c r="AI102" s="313">
        <f t="shared" si="15"/>
        <v>3320.2090956719312</v>
      </c>
      <c r="AJ102" s="625" t="s">
        <v>410</v>
      </c>
      <c r="AK102" s="1039"/>
      <c r="AL102" s="1043"/>
      <c r="AM102" s="1045"/>
      <c r="AN102" s="62" t="str">
        <f>C101</f>
        <v>24 - KAIZEN - Redução de peso bruto_MB002289LA_MB002290LA_Rev00_Bruno Manachini</v>
      </c>
      <c r="AO102" s="62" t="s">
        <v>291</v>
      </c>
      <c r="AP102" s="543" cm="1">
        <f t="array" aca="1" ref="AP102" ca="1">IF(OR(AN102="",AN102=0),"",IF(SUMPRODUCT(($C$55:$C$175=AN102)*($S$54:AG$54&lt;=TODAY())*(ISNUMBER($S$56:AG$176)),$S$56:AG$176)=0,"",SUMPRODUCT(($C$55:$C$175=AN102)*($S$54:AG$54&lt;=TODAY())*(ISNUMBER($S$56:AG$176)),$S$56:AG$176)))</f>
        <v>3320.2090956719312</v>
      </c>
    </row>
    <row r="103" spans="1:42" ht="29.1" customHeight="1" x14ac:dyDescent="0.3">
      <c r="A103" s="1299" t="s">
        <v>85</v>
      </c>
      <c r="B103" s="1299" t="s">
        <v>90</v>
      </c>
      <c r="C103" s="1365" t="s">
        <v>411</v>
      </c>
      <c r="D103" s="1115" t="s">
        <v>412</v>
      </c>
      <c r="E103" s="1303" t="s">
        <v>413</v>
      </c>
      <c r="F103" s="1040" t="s">
        <v>286</v>
      </c>
      <c r="G103" s="1117">
        <v>46076</v>
      </c>
      <c r="H103" s="1117">
        <v>46122</v>
      </c>
      <c r="I103" s="1074">
        <v>26000</v>
      </c>
      <c r="J103" s="1158">
        <v>46143</v>
      </c>
      <c r="K103" s="1121">
        <f t="shared" ref="K103" si="111">IF(J103="", "", 12 - MONTH(J103) + 1)</f>
        <v>8</v>
      </c>
      <c r="L103" s="1074"/>
      <c r="M103" s="1312" t="s">
        <v>287</v>
      </c>
      <c r="N103" s="1314">
        <v>17427.61</v>
      </c>
      <c r="O103" s="1325" t="s">
        <v>77</v>
      </c>
      <c r="P103" s="1057">
        <v>0.8</v>
      </c>
      <c r="Q103" s="87" t="s">
        <v>106</v>
      </c>
      <c r="R103" s="825">
        <v>1</v>
      </c>
      <c r="S103" s="309">
        <f>IFERROR(IF(AND(S$54&gt;=EOMONTH($J103,-1)+1,S$54&lt;=EOMONTH(EOMONTH($J103,-1)+1,$K103-1)),IF(NOT(ISBLANK($N103)),$N103/$K103,$I103/$K103),0),0)</f>
        <v>0</v>
      </c>
      <c r="T103" s="309">
        <f>IFERROR(IF(AND(T$54&gt;=EOMONTH($J103,-1)+1,T$54&lt;=EOMONTH(EOMONTH($J103,-1)+1,$K103-1)),IF(NOT(ISBLANK($N103)),$N103/$K103,$I103/$K103),0),0)</f>
        <v>0</v>
      </c>
      <c r="U103" s="309">
        <f>IFERROR(IF(AND(U$54&gt;=EOMONTH($J103,-1)+1,U$54&lt;=EOMONTH(EOMONTH($J103,-1)+1,$K103-1)),IF(NOT(ISBLANK($N103)),$N103/$K103,$I103/$K103),0),0)</f>
        <v>0</v>
      </c>
      <c r="V103" s="89">
        <f t="shared" ref="V103" si="112">SUM(S103:U103)</f>
        <v>0</v>
      </c>
      <c r="W103" s="309">
        <f>IFERROR(IF(AND(W$54&gt;=EOMONTH($J103,-1)+1,W$54&lt;=EOMONTH(EOMONTH($J103,-1)+1,$K103-1)),IF(NOT(ISBLANK($N103)),$N103/$K103,$I103/$K103),0),0)</f>
        <v>0</v>
      </c>
      <c r="X103" s="309">
        <f>IFERROR(IF(AND(X$54&gt;=EOMONTH($J103,-1)+1,X$54&lt;=EOMONTH(EOMONTH($J103,-1)+1,$K103-1)),IF(NOT(ISBLANK($N103)),$N103/$K103,$I103/$K103),0),0)</f>
        <v>2178.4512500000001</v>
      </c>
      <c r="Y103" s="309">
        <f>IFERROR(IF(AND(Y$54&gt;=EOMONTH($J103,-1)+1,Y$54&lt;=EOMONTH(EOMONTH($J103,-1)+1,$K103-1)),IF(NOT(ISBLANK($N103)),$N103/$K103,$I103/$K103),0),0)</f>
        <v>2178.4512500000001</v>
      </c>
      <c r="Z103" s="89">
        <f t="shared" ref="Z103" si="113">SUM(W103:Y103)</f>
        <v>4356.9025000000001</v>
      </c>
      <c r="AA103" s="309">
        <f>IFERROR(IF(AND(AA$54&gt;=EOMONTH($J103,-1)+1,AA$54&lt;=EOMONTH(EOMONTH($J103,-1)+1,$K103-1)),IF(NOT(ISBLANK($N103)),$N103/$K103,$I103/$K103),0),0)</f>
        <v>2178.4512500000001</v>
      </c>
      <c r="AB103" s="309">
        <f>IFERROR(IF(AND(AB$54&gt;=EOMONTH($J103,-1)+1,AB$54&lt;=EOMONTH(EOMONTH($J103,-1)+1,$K103-1)),IF(NOT(ISBLANK($N103)),$N103/$K103,$I103/$K103),0),0)</f>
        <v>2178.4512500000001</v>
      </c>
      <c r="AC103" s="309">
        <f>IFERROR(IF(AND(AC$54&gt;=EOMONTH($J103,-1)+1,AC$54&lt;=EOMONTH(EOMONTH($J103,-1)+1,$K103-1)),IF(NOT(ISBLANK($N103)),$N103/$K103,$I103/$K103),0),0)</f>
        <v>2178.4512500000001</v>
      </c>
      <c r="AD103" s="89">
        <f t="shared" si="92"/>
        <v>6535.3537500000002</v>
      </c>
      <c r="AE103" s="309">
        <f>IFERROR(IF(AND(AE$54&gt;=EOMONTH($J103,-1)+1,AE$54&lt;=EOMONTH(EOMONTH($J103,-1)+1,$K103-1)),IF(NOT(ISBLANK($N103)),$N103/$K103,$I103/$K103),0),0)</f>
        <v>2178.4512500000001</v>
      </c>
      <c r="AF103" s="309">
        <f>IFERROR(IF(AND(AF$54&gt;=EOMONTH($J103,-1)+1,AF$54&lt;=EOMONTH(EOMONTH($J103,-1)+1,$K103-1)),IF(NOT(ISBLANK($N103)),$N103/$K103,$I103/$K103),0),0)</f>
        <v>2178.4512500000001</v>
      </c>
      <c r="AG103" s="309">
        <f>IFERROR(IF(AND(AG$54&gt;=EOMONTH($J103,-1)+1,AG$54&lt;=EOMONTH(EOMONTH($J103,-1)+1,$K103-1)),IF(NOT(ISBLANK($N103)),$N103/$K103,$I103/$K103),0),0)</f>
        <v>2178.4512500000001</v>
      </c>
      <c r="AH103" s="89">
        <f t="shared" si="88"/>
        <v>6535.3537500000002</v>
      </c>
      <c r="AI103" s="90">
        <f t="shared" si="15"/>
        <v>17427.61</v>
      </c>
      <c r="AJ103" s="92" t="s">
        <v>414</v>
      </c>
      <c r="AK103" s="1040"/>
      <c r="AL103" s="1048"/>
      <c r="AM103" s="1046">
        <f t="shared" ref="AM103" si="114">N103*AL103</f>
        <v>0</v>
      </c>
      <c r="AN103" s="62" t="str">
        <f>C103</f>
        <v>25 - KAIZEN - Redução de peso bruto_MB003601LA_Rev00_Bruno Manachini</v>
      </c>
      <c r="AO103" s="62" t="s">
        <v>289</v>
      </c>
      <c r="AP103" s="543" cm="1">
        <f t="array" aca="1" ref="AP103" ca="1">IF(OR(AN103="",AN103=0),"",IF(SUMPRODUCT(($C$55:$C$175=AN103)*(S$54:$AG$54&lt;EOMONTH(TODAY(),-1)+1)*(ISNUMBER(S$55:$AG$175)),S$55:$AG$175)=0,"",SUMPRODUCT(($C$55:$C$175=AN103)*(S$54:$AG$54&lt;EOMONTH(TODAY(),-1)+1)*(ISNUMBER(S$55:$AG$175)),S$55:$AG$175)))</f>
        <v>2178.4512500000001</v>
      </c>
    </row>
    <row r="104" spans="1:42" ht="29.1" customHeight="1" x14ac:dyDescent="0.3">
      <c r="A104" s="1300"/>
      <c r="B104" s="1300"/>
      <c r="C104" s="1366"/>
      <c r="D104" s="1384"/>
      <c r="E104" s="1304"/>
      <c r="F104" s="1041"/>
      <c r="G104" s="1118"/>
      <c r="H104" s="1118"/>
      <c r="I104" s="1075"/>
      <c r="J104" s="1159"/>
      <c r="K104" s="1122"/>
      <c r="L104" s="1075"/>
      <c r="M104" s="1313"/>
      <c r="N104" s="1315"/>
      <c r="O104" s="1326"/>
      <c r="P104" s="1058"/>
      <c r="Q104" s="87" t="s">
        <v>107</v>
      </c>
      <c r="R104" s="825">
        <v>1</v>
      </c>
      <c r="S104" s="309"/>
      <c r="T104" s="309"/>
      <c r="U104" s="309"/>
      <c r="V104" s="310">
        <f t="shared" ref="V104" si="115">SUM(S104:U104)</f>
        <v>0</v>
      </c>
      <c r="W104" s="309"/>
      <c r="X104" s="309">
        <v>1877.693999999994</v>
      </c>
      <c r="Y104" s="309"/>
      <c r="Z104" s="310">
        <f t="shared" ref="Z104" si="116">SUM(W104:Y104)</f>
        <v>1877.693999999994</v>
      </c>
      <c r="AA104" s="309"/>
      <c r="AB104" s="309"/>
      <c r="AC104" s="309"/>
      <c r="AD104" s="310">
        <f t="shared" si="92"/>
        <v>0</v>
      </c>
      <c r="AE104" s="309"/>
      <c r="AF104" s="309"/>
      <c r="AG104" s="309"/>
      <c r="AH104" s="310">
        <f t="shared" si="88"/>
        <v>0</v>
      </c>
      <c r="AI104" s="311">
        <f t="shared" si="15"/>
        <v>1877.693999999994</v>
      </c>
      <c r="AJ104" s="92" t="s">
        <v>415</v>
      </c>
      <c r="AK104" s="1041"/>
      <c r="AL104" s="1049"/>
      <c r="AM104" s="1047"/>
      <c r="AN104" s="62" t="str">
        <f>C103</f>
        <v>25 - KAIZEN - Redução de peso bruto_MB003601LA_Rev00_Bruno Manachini</v>
      </c>
      <c r="AO104" s="62" t="s">
        <v>291</v>
      </c>
      <c r="AP104" s="543" cm="1">
        <f t="array" aca="1" ref="AP104" ca="1">IF(OR(AN104="",AN104=0),"",IF(SUMPRODUCT(($C$55:$C$175=AN104)*($S$54:AG$54&lt;=TODAY())*(ISNUMBER($S$56:AG$176)),$S$56:AG$176)=0,"",SUMPRODUCT(($C$55:$C$175=AN104)*($S$54:AG$54&lt;=TODAY())*(ISNUMBER($S$56:AG$176)),$S$56:AG$176)))</f>
        <v>1877.693999999994</v>
      </c>
    </row>
    <row r="105" spans="1:42" ht="29.1" customHeight="1" x14ac:dyDescent="0.3">
      <c r="A105" s="1361" t="s">
        <v>85</v>
      </c>
      <c r="B105" s="1038" t="s">
        <v>90</v>
      </c>
      <c r="C105" s="1095" t="s">
        <v>416</v>
      </c>
      <c r="D105" s="1097" t="s">
        <v>417</v>
      </c>
      <c r="E105" s="1363" t="s">
        <v>418</v>
      </c>
      <c r="F105" s="1099" t="s">
        <v>301</v>
      </c>
      <c r="G105" s="1101">
        <v>46080</v>
      </c>
      <c r="H105" s="1101">
        <v>46142</v>
      </c>
      <c r="I105" s="1152">
        <v>288000</v>
      </c>
      <c r="J105" s="1109">
        <v>46143</v>
      </c>
      <c r="K105" s="1213">
        <f t="shared" ref="K105" si="117">IF(J105="", "", 12 - MONTH(J105) + 1)</f>
        <v>8</v>
      </c>
      <c r="L105" s="1076"/>
      <c r="M105" s="1320" t="s">
        <v>287</v>
      </c>
      <c r="N105" s="1331">
        <v>175018.02</v>
      </c>
      <c r="O105" s="1316" t="s">
        <v>77</v>
      </c>
      <c r="P105" s="1042">
        <v>1</v>
      </c>
      <c r="Q105" s="93" t="s">
        <v>106</v>
      </c>
      <c r="R105" s="826">
        <v>0.95</v>
      </c>
      <c r="S105" s="532">
        <f>IFERROR(IF(AND(S$54&gt;=EOMONTH($J105,-1)+1,S$54&lt;=EOMONTH(EOMONTH($J105,-1)+1,$K105-1)),IF(NOT(ISBLANK($N105)),$N105/$K105,$I105/$K105),0),0)</f>
        <v>0</v>
      </c>
      <c r="T105" s="532">
        <f>IFERROR(IF(AND(T$54&gt;=EOMONTH($J105,-1)+1,T$54&lt;=EOMONTH(EOMONTH($J105,-1)+1,$K105-1)),IF(NOT(ISBLANK($N105)),$N105/$K105,$I105/$K105),0),0)</f>
        <v>0</v>
      </c>
      <c r="U105" s="532">
        <f>IFERROR(IF(AND(U$54&gt;=EOMONTH($J105,-1)+1,U$54&lt;=EOMONTH(EOMONTH($J105,-1)+1,$K105-1)),IF(NOT(ISBLANK($N105)),$N105/$K105,$I105/$K105),0),0)</f>
        <v>0</v>
      </c>
      <c r="V105" s="89">
        <f t="shared" ref="V105" si="118">SUM(S105:U105)</f>
        <v>0</v>
      </c>
      <c r="W105" s="532">
        <f>IFERROR(IF(AND(W$54&gt;=EOMONTH($J105,-1)+1,W$54&lt;=EOMONTH(EOMONTH($J105,-1)+1,$K105-1)),IF(NOT(ISBLANK($N105)),$N105/$K105,$I105/$K105),0),0)</f>
        <v>0</v>
      </c>
      <c r="X105" s="532">
        <f>IFERROR(IF(AND(X$54&gt;=EOMONTH($J105,-1)+1,X$54&lt;=EOMONTH(EOMONTH($J105,-1)+1,$K105-1)),IF(NOT(ISBLANK($N105)),$N105/$K105,$I105/$K105),0),0)</f>
        <v>21877.252499999999</v>
      </c>
      <c r="Y105" s="532">
        <f>IFERROR(IF(AND(Y$54&gt;=EOMONTH($J105,-1)+1,Y$54&lt;=EOMONTH(EOMONTH($J105,-1)+1,$K105-1)),IF(NOT(ISBLANK($N105)),$N105/$K105,$I105/$K105),0),0)</f>
        <v>21877.252499999999</v>
      </c>
      <c r="Z105" s="89">
        <f t="shared" ref="Z105" si="119">SUM(W105:Y105)</f>
        <v>43754.504999999997</v>
      </c>
      <c r="AA105" s="532">
        <f>IFERROR(IF(AND(AA$54&gt;=EOMONTH($J105,-1)+1,AA$54&lt;=EOMONTH(EOMONTH($J105,-1)+1,$K105-1)),IF(NOT(ISBLANK($N105)),$N105/$K105,$I105/$K105),0),0)</f>
        <v>21877.252499999999</v>
      </c>
      <c r="AB105" s="532">
        <f>IFERROR(IF(AND(AB$54&gt;=EOMONTH($J105,-1)+1,AB$54&lt;=EOMONTH(EOMONTH($J105,-1)+1,$K105-1)),IF(NOT(ISBLANK($N105)),$N105/$K105,$I105/$K105),0),0)</f>
        <v>21877.252499999999</v>
      </c>
      <c r="AC105" s="532">
        <f>IFERROR(IF(AND(AC$54&gt;=EOMONTH($J105,-1)+1,AC$54&lt;=EOMONTH(EOMONTH($J105,-1)+1,$K105-1)),IF(NOT(ISBLANK($N105)),$N105/$K105,$I105/$K105),0),0)</f>
        <v>21877.252499999999</v>
      </c>
      <c r="AD105" s="89">
        <f t="shared" si="92"/>
        <v>65631.757499999992</v>
      </c>
      <c r="AE105" s="532">
        <f>IFERROR(IF(AND(AE$54&gt;=EOMONTH($J105,-1)+1,AE$54&lt;=EOMONTH(EOMONTH($J105,-1)+1,$K105-1)),IF(NOT(ISBLANK($N105)),$N105/$K105,$I105/$K105),0),0)</f>
        <v>21877.252499999999</v>
      </c>
      <c r="AF105" s="532">
        <f>IFERROR(IF(AND(AF$54&gt;=EOMONTH($J105,-1)+1,AF$54&lt;=EOMONTH(EOMONTH($J105,-1)+1,$K105-1)),IF(NOT(ISBLANK($N105)),$N105/$K105,$I105/$K105),0),0)</f>
        <v>21877.252499999999</v>
      </c>
      <c r="AG105" s="532">
        <f>IFERROR(IF(AND(AG$54&gt;=EOMONTH($J105,-1)+1,AG$54&lt;=EOMONTH(EOMONTH($J105,-1)+1,$K105-1)),IF(NOT(ISBLANK($N105)),$N105/$K105,$I105/$K105),0),0)</f>
        <v>21877.252499999999</v>
      </c>
      <c r="AH105" s="89">
        <f t="shared" ref="AH105:AH170" si="120">SUM(AE105:AG105)</f>
        <v>65631.757499999992</v>
      </c>
      <c r="AI105" s="95">
        <f t="shared" ref="AI105:AI170" si="121">SUM(V105,Z105,AD105,AH105)</f>
        <v>175018.01999999996</v>
      </c>
      <c r="AJ105" s="97" t="s">
        <v>419</v>
      </c>
      <c r="AK105" s="1038"/>
      <c r="AL105" s="1042"/>
      <c r="AM105" s="1044">
        <f t="shared" ref="AM105" si="122">N105*AL105</f>
        <v>0</v>
      </c>
      <c r="AN105" s="62" t="str">
        <f>C105</f>
        <v>26 - Redução_de_MP - DJ000059Z_DJ000060Z</v>
      </c>
      <c r="AO105" s="62" t="s">
        <v>289</v>
      </c>
      <c r="AP105" s="543" cm="1">
        <f t="array" aca="1" ref="AP105" ca="1">IF(OR(AN105="",AN105=0),"",IF(SUMPRODUCT(($C$55:$C$175=AN105)*(S$54:$AG$54&lt;EOMONTH(TODAY(),-1)+1)*(ISNUMBER(S$55:$AG$175)),S$55:$AG$175)=0,"",SUMPRODUCT(($C$55:$C$175=AN105)*(S$54:$AG$54&lt;EOMONTH(TODAY(),-1)+1)*(ISNUMBER(S$55:$AG$175)),S$55:$AG$175)))</f>
        <v>21877.252499999999</v>
      </c>
    </row>
    <row r="106" spans="1:42" ht="29.1" customHeight="1" x14ac:dyDescent="0.3">
      <c r="A106" s="1362"/>
      <c r="B106" s="1039"/>
      <c r="C106" s="1096"/>
      <c r="D106" s="1098"/>
      <c r="E106" s="1364"/>
      <c r="F106" s="1100"/>
      <c r="G106" s="1102"/>
      <c r="H106" s="1102"/>
      <c r="I106" s="1151"/>
      <c r="J106" s="1110"/>
      <c r="K106" s="1214"/>
      <c r="L106" s="1077"/>
      <c r="M106" s="1321"/>
      <c r="N106" s="1332"/>
      <c r="O106" s="1317"/>
      <c r="P106" s="1043"/>
      <c r="Q106" s="93" t="s">
        <v>107</v>
      </c>
      <c r="R106" s="826">
        <v>1</v>
      </c>
      <c r="S106" s="312"/>
      <c r="T106" s="312"/>
      <c r="U106" s="312"/>
      <c r="V106" s="310">
        <f t="shared" ref="V106" si="123">SUM(S106:U106)</f>
        <v>0</v>
      </c>
      <c r="W106" s="312"/>
      <c r="X106" s="312">
        <v>15968.797579189981</v>
      </c>
      <c r="Y106" s="312"/>
      <c r="Z106" s="310">
        <f t="shared" ref="Z106" si="124">SUM(W106:Y106)</f>
        <v>15968.797579189981</v>
      </c>
      <c r="AA106" s="312"/>
      <c r="AB106" s="312"/>
      <c r="AC106" s="312"/>
      <c r="AD106" s="310">
        <f t="shared" si="92"/>
        <v>0</v>
      </c>
      <c r="AE106" s="312"/>
      <c r="AF106" s="312"/>
      <c r="AG106" s="312"/>
      <c r="AH106" s="310">
        <f t="shared" si="120"/>
        <v>0</v>
      </c>
      <c r="AI106" s="313">
        <f t="shared" si="121"/>
        <v>15968.797579189981</v>
      </c>
      <c r="AJ106" s="97"/>
      <c r="AK106" s="1039"/>
      <c r="AL106" s="1043"/>
      <c r="AM106" s="1045"/>
      <c r="AN106" s="62" t="str">
        <f>C105</f>
        <v>26 - Redução_de_MP - DJ000059Z_DJ000060Z</v>
      </c>
      <c r="AO106" s="62" t="s">
        <v>291</v>
      </c>
      <c r="AP106" s="543" cm="1">
        <f t="array" aca="1" ref="AP106" ca="1">IF(OR(AN106="",AN106=0),"",IF(SUMPRODUCT(($C$55:$C$175=AN106)*($S$54:AG$54&lt;=TODAY())*(ISNUMBER($S$56:AG$176)),$S$56:AG$176)=0,"",SUMPRODUCT(($C$55:$C$175=AN106)*($S$54:AG$54&lt;=TODAY())*(ISNUMBER($S$56:AG$176)),$S$56:AG$176)))</f>
        <v>15968.797579189981</v>
      </c>
    </row>
    <row r="107" spans="1:42" ht="29.1" customHeight="1" x14ac:dyDescent="0.3">
      <c r="A107" s="1299" t="s">
        <v>85</v>
      </c>
      <c r="B107" s="1299" t="s">
        <v>90</v>
      </c>
      <c r="C107" s="1113" t="s">
        <v>420</v>
      </c>
      <c r="D107" s="1115" t="s">
        <v>421</v>
      </c>
      <c r="E107" s="1303" t="s">
        <v>422</v>
      </c>
      <c r="F107" s="1040" t="s">
        <v>359</v>
      </c>
      <c r="G107" s="1117">
        <v>46050</v>
      </c>
      <c r="H107" s="1117">
        <v>46173</v>
      </c>
      <c r="I107" s="1074">
        <v>90000.000000098997</v>
      </c>
      <c r="J107" s="1158">
        <v>46174</v>
      </c>
      <c r="K107" s="1121">
        <f t="shared" ref="K107" si="125">IF(J107="", "", 12 - MONTH(J107) + 1)</f>
        <v>7</v>
      </c>
      <c r="L107" s="1074"/>
      <c r="M107" s="1312" t="s">
        <v>287</v>
      </c>
      <c r="N107" s="1314">
        <v>41632.629999999997</v>
      </c>
      <c r="O107" s="1325" t="s">
        <v>77</v>
      </c>
      <c r="P107" s="1057">
        <v>1</v>
      </c>
      <c r="Q107" s="87" t="s">
        <v>106</v>
      </c>
      <c r="R107" s="825">
        <v>1</v>
      </c>
      <c r="S107" s="309">
        <f>IFERROR(IF(AND(S$54&gt;=EOMONTH($J107,-1)+1,S$54&lt;=EOMONTH(EOMONTH($J107,-1)+1,$K107-1)),IF(NOT(ISBLANK($N107)),$N107/$K107,$I107/$K107),0),0)</f>
        <v>0</v>
      </c>
      <c r="T107" s="309">
        <f>IFERROR(IF(AND(T$54&gt;=EOMONTH($J107,-1)+1,T$54&lt;=EOMONTH(EOMONTH($J107,-1)+1,$K107-1)),IF(NOT(ISBLANK($N107)),$N107/$K107,$I107/$K107),0),0)</f>
        <v>0</v>
      </c>
      <c r="U107" s="642">
        <f>IFERROR(IF(AND(U$54&gt;=EOMONTH($J107,-1)+1,U$54&lt;=EOMONTH(EOMONTH($J107,-1)+1,$K107-1)),IF(NOT(ISBLANK($N107)),$N107/$K107,$I107/$K107),0),0)</f>
        <v>0</v>
      </c>
      <c r="V107" s="89">
        <f t="shared" ref="V107" si="126">SUM(S107:U107)</f>
        <v>0</v>
      </c>
      <c r="W107" s="569">
        <f>IFERROR(IF(AND(W$54&gt;=EOMONTH($J107,-1)+1,W$54&lt;=EOMONTH(EOMONTH($J107,-1)+1,$K107-1)),IF(NOT(ISBLANK($N107)),$N107/$K107,$I107/$K107),0),0)</f>
        <v>0</v>
      </c>
      <c r="X107" s="309">
        <f>IFERROR(IF(AND(X$54&gt;=EOMONTH($J107,-1)+1,X$54&lt;=EOMONTH(EOMONTH($J107,-1)+1,$K107-1)),IF(NOT(ISBLANK($N107)),$N107/$K107,$I107/$K107),0),0)</f>
        <v>0</v>
      </c>
      <c r="Y107" s="309">
        <f>IFERROR(IF(AND(Y$54&gt;=EOMONTH($J107,-1)+1,Y$54&lt;=EOMONTH(EOMONTH($J107,-1)+1,$K107-1)),IF(NOT(ISBLANK($N107)),$N107/$K107,$I107/$K107),0),0)</f>
        <v>5947.5185714285708</v>
      </c>
      <c r="Z107" s="89">
        <f t="shared" ref="Z107" si="127">SUM(W107:Y107)</f>
        <v>5947.5185714285708</v>
      </c>
      <c r="AA107" s="309">
        <f>IFERROR(IF(AND(AA$54&gt;=EOMONTH($J107,-1)+1,AA$54&lt;=EOMONTH(EOMONTH($J107,-1)+1,$K107-1)),IF(NOT(ISBLANK($N107)),$N107/$K107,$I107/$K107),0),0)</f>
        <v>5947.5185714285708</v>
      </c>
      <c r="AB107" s="309">
        <f>IFERROR(IF(AND(AB$54&gt;=EOMONTH($J107,-1)+1,AB$54&lt;=EOMONTH(EOMONTH($J107,-1)+1,$K107-1)),IF(NOT(ISBLANK($N107)),$N107/$K107,$I107/$K107),0),0)</f>
        <v>5947.5185714285708</v>
      </c>
      <c r="AC107" s="309">
        <f>IFERROR(IF(AND(AC$54&gt;=EOMONTH($J107,-1)+1,AC$54&lt;=EOMONTH(EOMONTH($J107,-1)+1,$K107-1)),IF(NOT(ISBLANK($N107)),$N107/$K107,$I107/$K107),0),0)</f>
        <v>5947.5185714285708</v>
      </c>
      <c r="AD107" s="89">
        <f t="shared" si="92"/>
        <v>17842.555714285714</v>
      </c>
      <c r="AE107" s="309">
        <f>IFERROR(IF(AND(AE$54&gt;=EOMONTH($J107,-1)+1,AE$54&lt;=EOMONTH(EOMONTH($J107,-1)+1,$K107-1)),IF(NOT(ISBLANK($N107)),$N107/$K107,$I107/$K107),0),0)</f>
        <v>5947.5185714285708</v>
      </c>
      <c r="AF107" s="309">
        <f>IFERROR(IF(AND(AF$54&gt;=EOMONTH($J107,-1)+1,AF$54&lt;=EOMONTH(EOMONTH($J107,-1)+1,$K107-1)),IF(NOT(ISBLANK($N107)),$N107/$K107,$I107/$K107),0),0)</f>
        <v>5947.5185714285708</v>
      </c>
      <c r="AG107" s="309">
        <f>IFERROR(IF(AND(AG$54&gt;=EOMONTH($J107,-1)+1,AG$54&lt;=EOMONTH(EOMONTH($J107,-1)+1,$K107-1)),IF(NOT(ISBLANK($N107)),$N107/$K107,$I107/$K107),0),0)</f>
        <v>5947.5185714285708</v>
      </c>
      <c r="AH107" s="89">
        <f t="shared" si="120"/>
        <v>17842.555714285714</v>
      </c>
      <c r="AI107" s="90">
        <f t="shared" si="121"/>
        <v>41632.629999999997</v>
      </c>
      <c r="AJ107" s="92" t="s">
        <v>423</v>
      </c>
      <c r="AK107" s="1040"/>
      <c r="AL107" s="1048"/>
      <c r="AM107" s="1046">
        <f t="shared" ref="AM107" si="128">N107*AL107</f>
        <v>0</v>
      </c>
      <c r="AN107" s="62" t="str">
        <f>C107</f>
        <v>27 - DA000459AA - STC Volvo_</v>
      </c>
      <c r="AO107" s="62" t="s">
        <v>289</v>
      </c>
      <c r="AP107" s="543" t="str" cm="1">
        <f t="array" aca="1" ref="AP107" ca="1">IF(OR(AN107="",AN107=0),"",IF(SUMPRODUCT(($C$55:$C$175=AN107)*(S$54:$AG$54&lt;EOMONTH(TODAY(),-1)+1)*(ISNUMBER(S$55:$AG$175)),S$55:$AG$175)=0,"",SUMPRODUCT(($C$55:$C$175=AN107)*(S$54:$AG$54&lt;EOMONTH(TODAY(),-1)+1)*(ISNUMBER(S$55:$AG$175)),S$55:$AG$175)))</f>
        <v/>
      </c>
    </row>
    <row r="108" spans="1:42" ht="29.1" customHeight="1" x14ac:dyDescent="0.3">
      <c r="A108" s="1300"/>
      <c r="B108" s="1300"/>
      <c r="C108" s="1114"/>
      <c r="D108" s="1116"/>
      <c r="E108" s="1304"/>
      <c r="F108" s="1041"/>
      <c r="G108" s="1118"/>
      <c r="H108" s="1118"/>
      <c r="I108" s="1075"/>
      <c r="J108" s="1159"/>
      <c r="K108" s="1122"/>
      <c r="L108" s="1075"/>
      <c r="M108" s="1313"/>
      <c r="N108" s="1315"/>
      <c r="O108" s="1326"/>
      <c r="P108" s="1058"/>
      <c r="Q108" s="87" t="s">
        <v>107</v>
      </c>
      <c r="R108" s="825">
        <v>1</v>
      </c>
      <c r="S108" s="309"/>
      <c r="T108" s="309"/>
      <c r="U108" s="309"/>
      <c r="V108" s="310">
        <f t="shared" ref="V108" si="129">SUM(S108:U108)</f>
        <v>0</v>
      </c>
      <c r="W108" s="309"/>
      <c r="X108" s="309"/>
      <c r="Y108" s="309"/>
      <c r="Z108" s="310">
        <f t="shared" ref="Z108" si="130">SUM(W108:Y108)</f>
        <v>0</v>
      </c>
      <c r="AA108" s="309"/>
      <c r="AB108" s="309"/>
      <c r="AC108" s="309"/>
      <c r="AD108" s="310">
        <f t="shared" si="92"/>
        <v>0</v>
      </c>
      <c r="AE108" s="309"/>
      <c r="AF108" s="309"/>
      <c r="AG108" s="309"/>
      <c r="AH108" s="310">
        <f t="shared" si="120"/>
        <v>0</v>
      </c>
      <c r="AI108" s="311">
        <f t="shared" si="121"/>
        <v>0</v>
      </c>
      <c r="AJ108" s="92"/>
      <c r="AK108" s="1041"/>
      <c r="AL108" s="1049"/>
      <c r="AM108" s="1047"/>
      <c r="AN108" s="62" t="str">
        <f>C107</f>
        <v>27 - DA000459AA - STC Volvo_</v>
      </c>
      <c r="AO108" s="62" t="s">
        <v>291</v>
      </c>
      <c r="AP108" s="543" t="str" cm="1">
        <f t="array" aca="1" ref="AP108" ca="1">IF(OR(AN108="",AN108=0),"",IF(SUMPRODUCT(($C$55:$C$175=AN108)*($S$54:AG$54&lt;=TODAY())*(ISNUMBER($S$56:AG$176)),$S$56:AG$176)=0,"",SUMPRODUCT(($C$55:$C$175=AN108)*($S$54:AG$54&lt;=TODAY())*(ISNUMBER($S$56:AG$176)),$S$56:AG$176)))</f>
        <v/>
      </c>
    </row>
    <row r="109" spans="1:42" ht="29.1" customHeight="1" x14ac:dyDescent="0.3">
      <c r="A109" s="1093" t="s">
        <v>85</v>
      </c>
      <c r="B109" s="1038" t="s">
        <v>90</v>
      </c>
      <c r="C109" s="1138" t="s">
        <v>424</v>
      </c>
      <c r="D109" s="1140" t="s">
        <v>425</v>
      </c>
      <c r="E109" s="1424" t="s">
        <v>426</v>
      </c>
      <c r="F109" s="1142" t="s">
        <v>359</v>
      </c>
      <c r="G109" s="1427">
        <v>46092</v>
      </c>
      <c r="H109" s="1427">
        <v>46097</v>
      </c>
      <c r="I109" s="1333">
        <v>4200.0006659999999</v>
      </c>
      <c r="J109" s="1154">
        <v>46174</v>
      </c>
      <c r="K109" s="1213">
        <f t="shared" ref="K109" si="131">IF(J109="", "", 12 - MONTH(J109) + 1)</f>
        <v>7</v>
      </c>
      <c r="L109" s="1076"/>
      <c r="M109" s="1428" t="s">
        <v>388</v>
      </c>
      <c r="N109" s="1430"/>
      <c r="O109" s="1042" t="s">
        <v>80</v>
      </c>
      <c r="P109" s="1042">
        <v>1</v>
      </c>
      <c r="Q109" s="93" t="s">
        <v>106</v>
      </c>
      <c r="R109" s="826">
        <v>1</v>
      </c>
      <c r="S109" s="532">
        <f>IFERROR(IF(AND(S$54&gt;=EOMONTH($J109,-1)+1,S$54&lt;=EOMONTH(EOMONTH($J109,-1)+1,$K109-1)),IF(NOT(ISBLANK($N109)),$N109/$K109,$I109/$K109),0),0)</f>
        <v>0</v>
      </c>
      <c r="T109" s="532">
        <f>IFERROR(IF(AND(T$54&gt;=EOMONTH($J109,-1)+1,T$54&lt;=EOMONTH(EOMONTH($J109,-1)+1,$K109-1)),IF(NOT(ISBLANK($N109)),$N109/$K109,$I109/$K109),0),0)</f>
        <v>0</v>
      </c>
      <c r="U109" s="717">
        <f>IFERROR(IF(AND(U$54&gt;=EOMONTH($J109,-1)+1,U$54&lt;=EOMONTH(EOMONTH($J109,-1)+1,$K109-1)),IF(NOT(ISBLANK($N109)),$N109/$K109,$I109/$K109),0),0)</f>
        <v>0</v>
      </c>
      <c r="V109" s="89">
        <f t="shared" ref="V109" si="132">SUM(S109:U109)</f>
        <v>0</v>
      </c>
      <c r="W109" s="641">
        <f>IFERROR(IF(AND(W$54&gt;=EOMONTH($J109,-1)+1,W$54&lt;=EOMONTH(EOMONTH($J109,-1)+1,$K109-1)),IF(NOT(ISBLANK($N109)),$N109/$K109,$I109/$K109),0),0)</f>
        <v>0</v>
      </c>
      <c r="X109" s="532">
        <f>IFERROR(IF(AND(X$54&gt;=EOMONTH($J109,-1)+1,X$54&lt;=EOMONTH(EOMONTH($J109,-1)+1,$K109-1)),IF(NOT(ISBLANK($N109)),$N109/$K109,$I109/$K109),0),0)</f>
        <v>0</v>
      </c>
      <c r="Y109" s="532">
        <f>IFERROR(IF(AND(Y$54&gt;=EOMONTH($J109,-1)+1,Y$54&lt;=EOMONTH(EOMONTH($J109,-1)+1,$K109-1)),IF(NOT(ISBLANK($N109)),$N109/$K109,$I109/$K109),0),0)</f>
        <v>600.00009514285716</v>
      </c>
      <c r="Z109" s="89">
        <f t="shared" ref="Z109" si="133">SUM(W109:Y109)</f>
        <v>600.00009514285716</v>
      </c>
      <c r="AA109" s="532">
        <f>IFERROR(IF(AND(AA$54&gt;=EOMONTH($J109,-1)+1,AA$54&lt;=EOMONTH(EOMONTH($J109,-1)+1,$K109-1)),IF(NOT(ISBLANK($N109)),$N109/$K109,$I109/$K109),0),0)</f>
        <v>600.00009514285716</v>
      </c>
      <c r="AB109" s="532">
        <f>IFERROR(IF(AND(AB$54&gt;=EOMONTH($J109,-1)+1,AB$54&lt;=EOMONTH(EOMONTH($J109,-1)+1,$K109-1)),IF(NOT(ISBLANK($N109)),$N109/$K109,$I109/$K109),0),0)</f>
        <v>600.00009514285716</v>
      </c>
      <c r="AC109" s="532">
        <f>IFERROR(IF(AND(AC$54&gt;=EOMONTH($J109,-1)+1,AC$54&lt;=EOMONTH(EOMONTH($J109,-1)+1,$K109-1)),IF(NOT(ISBLANK($N109)),$N109/$K109,$I109/$K109),0),0)</f>
        <v>600.00009514285716</v>
      </c>
      <c r="AD109" s="89">
        <f t="shared" si="92"/>
        <v>1800.0002854285715</v>
      </c>
      <c r="AE109" s="532">
        <f>IFERROR(IF(AND(AE$54&gt;=EOMONTH($J109,-1)+1,AE$54&lt;=EOMONTH(EOMONTH($J109,-1)+1,$K109-1)),IF(NOT(ISBLANK($N109)),$N109/$K109,$I109/$K109),0),0)</f>
        <v>600.00009514285716</v>
      </c>
      <c r="AF109" s="532">
        <f>IFERROR(IF(AND(AF$54&gt;=EOMONTH($J109,-1)+1,AF$54&lt;=EOMONTH(EOMONTH($J109,-1)+1,$K109-1)),IF(NOT(ISBLANK($N109)),$N109/$K109,$I109/$K109),0),0)</f>
        <v>600.00009514285716</v>
      </c>
      <c r="AG109" s="532">
        <f>IFERROR(IF(AND(AG$54&gt;=EOMONTH($J109,-1)+1,AG$54&lt;=EOMONTH(EOMONTH($J109,-1)+1,$K109-1)),IF(NOT(ISBLANK($N109)),$N109/$K109,$I109/$K109),0),0)</f>
        <v>600.00009514285716</v>
      </c>
      <c r="AH109" s="89">
        <f t="shared" ref="AH109:AH128" si="134">SUM(AE109:AG109)</f>
        <v>1800.0002854285715</v>
      </c>
      <c r="AI109" s="95">
        <f t="shared" ref="AI109:AI128" si="135">SUM(V109,Z109,AD109,AH109)</f>
        <v>4200.0006659999999</v>
      </c>
      <c r="AJ109" s="97" t="s">
        <v>427</v>
      </c>
      <c r="AK109" s="1038"/>
      <c r="AL109" s="1042"/>
      <c r="AM109" s="1044">
        <f t="shared" ref="AM109" si="136">N109*AL109</f>
        <v>0</v>
      </c>
      <c r="AN109" s="62" t="str">
        <f>C109</f>
        <v>28 - DA000487Z_DA000488Z - STC Scania P</v>
      </c>
      <c r="AO109" s="62" t="s">
        <v>289</v>
      </c>
      <c r="AP109" s="543" t="str" cm="1">
        <f t="array" aca="1" ref="AP109" ca="1">IF(OR(AN109="",AN109=0),"",IF(SUMPRODUCT(($C$55:$C$175=AN109)*(S$54:$AG$54&lt;EOMONTH(TODAY(),-1)+1)*(ISNUMBER(S$55:$AG$175)),S$55:$AG$175)=0,"",SUMPRODUCT(($C$55:$C$175=AN109)*(S$54:$AG$54&lt;EOMONTH(TODAY(),-1)+1)*(ISNUMBER(S$55:$AG$175)),S$55:$AG$175)))</f>
        <v/>
      </c>
    </row>
    <row r="110" spans="1:42" ht="29.1" customHeight="1" x14ac:dyDescent="0.3">
      <c r="A110" s="1094"/>
      <c r="B110" s="1039"/>
      <c r="C110" s="1139"/>
      <c r="D110" s="1141"/>
      <c r="E110" s="1425"/>
      <c r="F110" s="1143"/>
      <c r="G110" s="1077"/>
      <c r="H110" s="1077"/>
      <c r="I110" s="1334"/>
      <c r="J110" s="1155"/>
      <c r="K110" s="1214"/>
      <c r="L110" s="1077"/>
      <c r="M110" s="1429"/>
      <c r="N110" s="1431"/>
      <c r="O110" s="1043"/>
      <c r="P110" s="1043"/>
      <c r="Q110" s="93" t="s">
        <v>107</v>
      </c>
      <c r="R110" s="826">
        <v>1</v>
      </c>
      <c r="S110" s="312"/>
      <c r="T110" s="312"/>
      <c r="U110" s="312"/>
      <c r="V110" s="310">
        <f t="shared" ref="V110" si="137">SUM(S110:U110)</f>
        <v>0</v>
      </c>
      <c r="W110" s="312"/>
      <c r="X110" s="312"/>
      <c r="Y110" s="312"/>
      <c r="Z110" s="310">
        <f t="shared" ref="Z110" si="138">SUM(W110:Y110)</f>
        <v>0</v>
      </c>
      <c r="AA110" s="312"/>
      <c r="AB110" s="312"/>
      <c r="AC110" s="312"/>
      <c r="AD110" s="310">
        <f t="shared" si="92"/>
        <v>0</v>
      </c>
      <c r="AE110" s="312"/>
      <c r="AF110" s="312"/>
      <c r="AG110" s="312"/>
      <c r="AH110" s="310">
        <f t="shared" si="134"/>
        <v>0</v>
      </c>
      <c r="AI110" s="313">
        <f t="shared" si="135"/>
        <v>0</v>
      </c>
      <c r="AJ110" s="97"/>
      <c r="AK110" s="1039"/>
      <c r="AL110" s="1043"/>
      <c r="AM110" s="1045"/>
      <c r="AN110" s="62" t="str">
        <f>C109</f>
        <v>28 - DA000487Z_DA000488Z - STC Scania P</v>
      </c>
      <c r="AO110" s="62" t="s">
        <v>291</v>
      </c>
      <c r="AP110" s="543" t="str" cm="1">
        <f t="array" aca="1" ref="AP110" ca="1">IF(OR(AN110="",AN110=0),"",IF(SUMPRODUCT(($C$55:$C$175=AN110)*($S$54:AG$54&lt;=TODAY())*(ISNUMBER($S$56:AG$176)),$S$56:AG$176)=0,"",SUMPRODUCT(($C$55:$C$175=AN110)*($S$54:AG$54&lt;=TODAY())*(ISNUMBER($S$56:AG$176)),$S$56:AG$176)))</f>
        <v/>
      </c>
    </row>
    <row r="111" spans="1:42" ht="29.1" customHeight="1" x14ac:dyDescent="0.3">
      <c r="A111" s="1299" t="s">
        <v>85</v>
      </c>
      <c r="B111" s="1299" t="s">
        <v>90</v>
      </c>
      <c r="C111" s="1113" t="s">
        <v>428</v>
      </c>
      <c r="D111" s="1115" t="s">
        <v>429</v>
      </c>
      <c r="E111" s="1303" t="s">
        <v>430</v>
      </c>
      <c r="F111" s="1040" t="s">
        <v>359</v>
      </c>
      <c r="G111" s="1117">
        <v>46092</v>
      </c>
      <c r="H111" s="1117">
        <v>46097</v>
      </c>
      <c r="I111" s="1074">
        <v>450000.00900000002</v>
      </c>
      <c r="J111" s="1158">
        <v>46082</v>
      </c>
      <c r="K111" s="1121">
        <f t="shared" ref="K111" si="139">IF(J111="", "", 12 - MONTH(J111) + 1)</f>
        <v>10</v>
      </c>
      <c r="L111" s="1074"/>
      <c r="M111" s="1119" t="s">
        <v>287</v>
      </c>
      <c r="N111" s="1314">
        <v>446423.79</v>
      </c>
      <c r="O111" s="1336" t="s">
        <v>77</v>
      </c>
      <c r="P111" s="1057">
        <v>1</v>
      </c>
      <c r="Q111" s="87" t="s">
        <v>106</v>
      </c>
      <c r="R111" s="825">
        <v>1</v>
      </c>
      <c r="S111" s="309">
        <f>IFERROR(IF(AND(S$54&gt;=EOMONTH($J111,-1)+1,S$54&lt;=EOMONTH(EOMONTH($J111,-1)+1,$K111-1)),IF(NOT(ISBLANK($N111)),$N111/$K111,$I111/$K111),0),0)</f>
        <v>0</v>
      </c>
      <c r="T111" s="309">
        <f>IFERROR(IF(AND(T$54&gt;=EOMONTH($J111,-1)+1,T$54&lt;=EOMONTH(EOMONTH($J111,-1)+1,$K111-1)),IF(NOT(ISBLANK($N111)),$N111/$K111,$I111/$K111),0),0)</f>
        <v>0</v>
      </c>
      <c r="U111" s="943">
        <f>IFERROR(IF(AND(U$54&gt;=EOMONTH($J111,-1)+1,U$54&lt;=EOMONTH(EOMONTH($J111,-1)+1,$K111-1)),IF(NOT(ISBLANK($N111)),$N111/$K111,$I111/$K111),0),0)</f>
        <v>44642.379000000001</v>
      </c>
      <c r="V111" s="89">
        <f t="shared" ref="V111" si="140">SUM(S111:U111)</f>
        <v>44642.379000000001</v>
      </c>
      <c r="W111" s="943">
        <f>IFERROR(IF(AND(W$54&gt;=EOMONTH($J111,-1)+1,W$54&lt;=EOMONTH(EOMONTH($J111,-1)+1,$K111-1)),IF(NOT(ISBLANK($N111)),$N111/$K111,$I111/$K111),0),0)</f>
        <v>44642.379000000001</v>
      </c>
      <c r="X111" s="309">
        <f>IFERROR(IF(AND(X$54&gt;=EOMONTH($J111,-1)+1,X$54&lt;=EOMONTH(EOMONTH($J111,-1)+1,$K111-1)),IF(NOT(ISBLANK($N111)),$N111/$K111,$I111/$K111),0),0)</f>
        <v>44642.379000000001</v>
      </c>
      <c r="Y111" s="309">
        <f>IFERROR(IF(AND(Y$54&gt;=EOMONTH($J111,-1)+1,Y$54&lt;=EOMONTH(EOMONTH($J111,-1)+1,$K111-1)),IF(NOT(ISBLANK($N111)),$N111/$K111,$I111/$K111),0),0)</f>
        <v>44642.379000000001</v>
      </c>
      <c r="Z111" s="89">
        <f t="shared" ref="Z111" si="141">SUM(W111:Y111)</f>
        <v>133927.13699999999</v>
      </c>
      <c r="AA111" s="309">
        <f>IFERROR(IF(AND(AA$54&gt;=EOMONTH($J111,-1)+1,AA$54&lt;=EOMONTH(EOMONTH($J111,-1)+1,$K111-1)),IF(NOT(ISBLANK($N111)),$N111/$K111,$I111/$K111),0),0)</f>
        <v>44642.379000000001</v>
      </c>
      <c r="AB111" s="309">
        <f>IFERROR(IF(AND(AB$54&gt;=EOMONTH($J111,-1)+1,AB$54&lt;=EOMONTH(EOMONTH($J111,-1)+1,$K111-1)),IF(NOT(ISBLANK($N111)),$N111/$K111,$I111/$K111),0),0)</f>
        <v>44642.379000000001</v>
      </c>
      <c r="AC111" s="309">
        <f>IFERROR(IF(AND(AC$54&gt;=EOMONTH($J111,-1)+1,AC$54&lt;=EOMONTH(EOMONTH($J111,-1)+1,$K111-1)),IF(NOT(ISBLANK($N111)),$N111/$K111,$I111/$K111),0),0)</f>
        <v>44642.379000000001</v>
      </c>
      <c r="AD111" s="89">
        <f t="shared" si="92"/>
        <v>133927.13699999999</v>
      </c>
      <c r="AE111" s="309">
        <f>IFERROR(IF(AND(AE$54&gt;=EOMONTH($J111,-1)+1,AE$54&lt;=EOMONTH(EOMONTH($J111,-1)+1,$K111-1)),IF(NOT(ISBLANK($N111)),$N111/$K111,$I111/$K111),0),0)</f>
        <v>44642.379000000001</v>
      </c>
      <c r="AF111" s="309">
        <f>IFERROR(IF(AND(AF$54&gt;=EOMONTH($J111,-1)+1,AF$54&lt;=EOMONTH(EOMONTH($J111,-1)+1,$K111-1)),IF(NOT(ISBLANK($N111)),$N111/$K111,$I111/$K111),0),0)</f>
        <v>44642.379000000001</v>
      </c>
      <c r="AG111" s="309">
        <f>IFERROR(IF(AND(AG$54&gt;=EOMONTH($J111,-1)+1,AG$54&lt;=EOMONTH(EOMONTH($J111,-1)+1,$K111-1)),IF(NOT(ISBLANK($N111)),$N111/$K111,$I111/$K111),0),0)</f>
        <v>44642.379000000001</v>
      </c>
      <c r="AH111" s="89">
        <f t="shared" si="134"/>
        <v>133927.13699999999</v>
      </c>
      <c r="AI111" s="90">
        <f t="shared" si="135"/>
        <v>446423.79</v>
      </c>
      <c r="AJ111" s="92" t="s">
        <v>431</v>
      </c>
      <c r="AK111" s="1040"/>
      <c r="AL111" s="1048"/>
      <c r="AM111" s="1046">
        <f t="shared" ref="AM111" si="142">N111*AL111</f>
        <v>0</v>
      </c>
      <c r="AN111" s="62" t="str">
        <f>C111</f>
        <v>29 - DA000489Z_DA000490Z - STC Scania M_</v>
      </c>
      <c r="AO111" s="62" t="s">
        <v>289</v>
      </c>
      <c r="AP111" s="543" cm="1">
        <f t="array" aca="1" ref="AP111" ca="1">IF(OR(AN111="",AN111=0),"",IF(SUMPRODUCT(($C$55:$C$175=AN111)*(S$54:$AG$54&lt;EOMONTH(TODAY(),-1)+1)*(ISNUMBER(S$55:$AG$175)),S$55:$AG$175)=0,"",SUMPRODUCT(($C$55:$C$175=AN111)*(S$54:$AG$54&lt;EOMONTH(TODAY(),-1)+1)*(ISNUMBER(S$55:$AG$175)),S$55:$AG$175)))</f>
        <v>133927.13699999999</v>
      </c>
    </row>
    <row r="112" spans="1:42" ht="29.1" customHeight="1" x14ac:dyDescent="0.3">
      <c r="A112" s="1300"/>
      <c r="B112" s="1300"/>
      <c r="C112" s="1114"/>
      <c r="D112" s="1116"/>
      <c r="E112" s="1304"/>
      <c r="F112" s="1041"/>
      <c r="G112" s="1118"/>
      <c r="H112" s="1118"/>
      <c r="I112" s="1075"/>
      <c r="J112" s="1159"/>
      <c r="K112" s="1122"/>
      <c r="L112" s="1075"/>
      <c r="M112" s="1120"/>
      <c r="N112" s="1375"/>
      <c r="O112" s="1337"/>
      <c r="P112" s="1058"/>
      <c r="Q112" s="87" t="s">
        <v>107</v>
      </c>
      <c r="R112" s="825">
        <v>1</v>
      </c>
      <c r="S112" s="309"/>
      <c r="T112" s="309"/>
      <c r="U112" s="309">
        <v>56402.800535081878</v>
      </c>
      <c r="V112" s="310">
        <f t="shared" ref="V112" si="143">SUM(S112:U112)</f>
        <v>56402.800535081878</v>
      </c>
      <c r="W112" s="309">
        <v>53560.79895773279</v>
      </c>
      <c r="X112" s="309">
        <v>73017.578987276545</v>
      </c>
      <c r="Y112" s="309"/>
      <c r="Z112" s="310">
        <f t="shared" ref="Z112" si="144">SUM(W112:Y112)</f>
        <v>126578.37794500933</v>
      </c>
      <c r="AA112" s="309"/>
      <c r="AB112" s="309"/>
      <c r="AC112" s="309"/>
      <c r="AD112" s="310">
        <f t="shared" si="92"/>
        <v>0</v>
      </c>
      <c r="AE112" s="309"/>
      <c r="AF112" s="309"/>
      <c r="AG112" s="309"/>
      <c r="AH112" s="310">
        <f t="shared" si="134"/>
        <v>0</v>
      </c>
      <c r="AI112" s="311">
        <f t="shared" si="135"/>
        <v>182981.17848009121</v>
      </c>
      <c r="AJ112" s="360"/>
      <c r="AK112" s="1041"/>
      <c r="AL112" s="1049"/>
      <c r="AM112" s="1047"/>
      <c r="AN112" s="62" t="str">
        <f>C111</f>
        <v>29 - DA000489Z_DA000490Z - STC Scania M_</v>
      </c>
      <c r="AO112" s="62" t="s">
        <v>291</v>
      </c>
      <c r="AP112" s="543" cm="1">
        <f t="array" aca="1" ref="AP112" ca="1">IF(OR(AN112="",AN112=0),"",IF(SUMPRODUCT(($C$55:$C$175=AN112)*($S$54:AG$54&lt;=TODAY())*(ISNUMBER($S$56:AG$176)),$S$56:AG$176)=0,"",SUMPRODUCT(($C$55:$C$175=AN112)*($S$54:AG$54&lt;=TODAY())*(ISNUMBER($S$56:AG$176)),$S$56:AG$176)))</f>
        <v>182981.17848009121</v>
      </c>
    </row>
    <row r="113" spans="1:42" ht="29.1" customHeight="1" x14ac:dyDescent="0.3">
      <c r="A113" s="1380" t="s">
        <v>85</v>
      </c>
      <c r="B113" s="1038" t="s">
        <v>90</v>
      </c>
      <c r="C113" s="1138" t="s">
        <v>432</v>
      </c>
      <c r="D113" s="1140" t="s">
        <v>433</v>
      </c>
      <c r="E113" s="1424" t="s">
        <v>434</v>
      </c>
      <c r="F113" s="1142" t="s">
        <v>359</v>
      </c>
      <c r="G113" s="1427">
        <v>46092</v>
      </c>
      <c r="H113" s="1427">
        <v>46132</v>
      </c>
      <c r="I113" s="1076">
        <v>115000</v>
      </c>
      <c r="J113" s="1154">
        <v>46174</v>
      </c>
      <c r="K113" s="1213">
        <f t="shared" ref="K113" si="145">IF(J113="", "", 12 - MONTH(J113) + 1)</f>
        <v>7</v>
      </c>
      <c r="L113" s="1076"/>
      <c r="M113" s="1329" t="s">
        <v>287</v>
      </c>
      <c r="N113" s="1331">
        <v>39111.769999999997</v>
      </c>
      <c r="O113" s="1426" t="s">
        <v>80</v>
      </c>
      <c r="P113" s="1042">
        <v>1</v>
      </c>
      <c r="Q113" s="93" t="s">
        <v>106</v>
      </c>
      <c r="R113" s="826">
        <v>1</v>
      </c>
      <c r="S113" s="532">
        <f>IFERROR(IF(AND(S$54&gt;=EOMONTH($J113,-1)+1,S$54&lt;=EOMONTH(EOMONTH($J113,-1)+1,$K113-1)),IF(NOT(ISBLANK($N113)),$N113/$K113,$I113/$K113),0),0)</f>
        <v>0</v>
      </c>
      <c r="T113" s="532">
        <f>IFERROR(IF(AND(T$54&gt;=EOMONTH($J113,-1)+1,T$54&lt;=EOMONTH(EOMONTH($J113,-1)+1,$K113-1)),IF(NOT(ISBLANK($N113)),$N113/$K113,$I113/$K113),0),0)</f>
        <v>0</v>
      </c>
      <c r="U113" s="532">
        <f>IFERROR(IF(AND(U$54&gt;=EOMONTH($J113,-1)+1,U$54&lt;=EOMONTH(EOMONTH($J113,-1)+1,$K113-1)),IF(NOT(ISBLANK($N113)),$N113/$K113,$I113/$K113),0),0)</f>
        <v>0</v>
      </c>
      <c r="V113" s="89">
        <f t="shared" ref="V113" si="146">SUM(S113:U113)</f>
        <v>0</v>
      </c>
      <c r="W113" s="641">
        <f>IFERROR(IF(AND(W$54&gt;=EOMONTH($J113,-1)+1,W$54&lt;=EOMONTH(EOMONTH($J113,-1)+1,$K113-1)),IF(NOT(ISBLANK($N113)),$N113/$K113,$I113/$K113),0),0)</f>
        <v>0</v>
      </c>
      <c r="X113" s="532">
        <f>IFERROR(IF(AND(X$54&gt;=EOMONTH($J113,-1)+1,X$54&lt;=EOMONTH(EOMONTH($J113,-1)+1,$K113-1)),IF(NOT(ISBLANK($N113)),$N113/$K113,$I113/$K113),0),0)</f>
        <v>0</v>
      </c>
      <c r="Y113" s="532">
        <f>IFERROR(IF(AND(Y$54&gt;=EOMONTH($J113,-1)+1,Y$54&lt;=EOMONTH(EOMONTH($J113,-1)+1,$K113-1)),IF(NOT(ISBLANK($N113)),$N113/$K113,$I113/$K113),0),0)</f>
        <v>5587.3957142857134</v>
      </c>
      <c r="Z113" s="89">
        <f t="shared" ref="Z113" si="147">SUM(W113:Y113)</f>
        <v>5587.3957142857134</v>
      </c>
      <c r="AA113" s="532">
        <f>IFERROR(IF(AND(AA$54&gt;=EOMONTH($J113,-1)+1,AA$54&lt;=EOMONTH(EOMONTH($J113,-1)+1,$K113-1)),IF(NOT(ISBLANK($N113)),$N113/$K113,$I113/$K113),0),0)</f>
        <v>5587.3957142857134</v>
      </c>
      <c r="AB113" s="532">
        <f>IFERROR(IF(AND(AB$54&gt;=EOMONTH($J113,-1)+1,AB$54&lt;=EOMONTH(EOMONTH($J113,-1)+1,$K113-1)),IF(NOT(ISBLANK($N113)),$N113/$K113,$I113/$K113),0),0)</f>
        <v>5587.3957142857134</v>
      </c>
      <c r="AC113" s="532">
        <f>IFERROR(IF(AND(AC$54&gt;=EOMONTH($J113,-1)+1,AC$54&lt;=EOMONTH(EOMONTH($J113,-1)+1,$K113-1)),IF(NOT(ISBLANK($N113)),$N113/$K113,$I113/$K113),0),0)</f>
        <v>5587.3957142857134</v>
      </c>
      <c r="AD113" s="89">
        <f t="shared" si="92"/>
        <v>16762.187142857139</v>
      </c>
      <c r="AE113" s="532">
        <f>IFERROR(IF(AND(AE$54&gt;=EOMONTH($J113,-1)+1,AE$54&lt;=EOMONTH(EOMONTH($J113,-1)+1,$K113-1)),IF(NOT(ISBLANK($N113)),$N113/$K113,$I113/$K113),0),0)</f>
        <v>5587.3957142857134</v>
      </c>
      <c r="AF113" s="532">
        <f>IFERROR(IF(AND(AF$54&gt;=EOMONTH($J113,-1)+1,AF$54&lt;=EOMONTH(EOMONTH($J113,-1)+1,$K113-1)),IF(NOT(ISBLANK($N113)),$N113/$K113,$I113/$K113),0),0)</f>
        <v>5587.3957142857134</v>
      </c>
      <c r="AG113" s="532">
        <f>IFERROR(IF(AND(AG$54&gt;=EOMONTH($J113,-1)+1,AG$54&lt;=EOMONTH(EOMONTH($J113,-1)+1,$K113-1)),IF(NOT(ISBLANK($N113)),$N113/$K113,$I113/$K113),0),0)</f>
        <v>5587.3957142857134</v>
      </c>
      <c r="AH113" s="89">
        <f t="shared" si="134"/>
        <v>16762.187142857139</v>
      </c>
      <c r="AI113" s="95">
        <f t="shared" si="135"/>
        <v>39111.76999999999</v>
      </c>
      <c r="AJ113" s="97" t="s">
        <v>435</v>
      </c>
      <c r="AK113" s="1038"/>
      <c r="AL113" s="1042"/>
      <c r="AM113" s="1044">
        <f t="shared" ref="AM113" si="148">N113*AL113</f>
        <v>0</v>
      </c>
      <c r="AN113" s="62" t="str">
        <f>C113</f>
        <v>30 - DA000491Z_DE000492Z - STC Scania G_</v>
      </c>
      <c r="AO113" s="62" t="s">
        <v>289</v>
      </c>
      <c r="AP113" s="543" t="str" cm="1">
        <f t="array" aca="1" ref="AP113" ca="1">IF(OR(AN113="",AN113=0),"",IF(SUMPRODUCT(($C$55:$C$175=AN113)*(S$54:$AG$54&lt;EOMONTH(TODAY(),-1)+1)*(ISNUMBER(S$55:$AG$175)),S$55:$AG$175)=0,"",SUMPRODUCT(($C$55:$C$175=AN113)*(S$54:$AG$54&lt;EOMONTH(TODAY(),-1)+1)*(ISNUMBER(S$55:$AG$175)),S$55:$AG$175)))</f>
        <v/>
      </c>
    </row>
    <row r="114" spans="1:42" ht="29.1" customHeight="1" x14ac:dyDescent="0.3">
      <c r="A114" s="1381"/>
      <c r="B114" s="1039"/>
      <c r="C114" s="1139"/>
      <c r="D114" s="1141"/>
      <c r="E114" s="1425"/>
      <c r="F114" s="1143"/>
      <c r="G114" s="1077"/>
      <c r="H114" s="1077"/>
      <c r="I114" s="1077"/>
      <c r="J114" s="1155"/>
      <c r="K114" s="1214"/>
      <c r="L114" s="1077"/>
      <c r="M114" s="1330"/>
      <c r="N114" s="1332"/>
      <c r="O114" s="1043"/>
      <c r="P114" s="1043"/>
      <c r="Q114" s="93" t="s">
        <v>107</v>
      </c>
      <c r="R114" s="826">
        <v>0.95</v>
      </c>
      <c r="S114" s="312"/>
      <c r="T114" s="312"/>
      <c r="U114" s="312"/>
      <c r="V114" s="310">
        <f t="shared" ref="V114" si="149">SUM(S114:U114)</f>
        <v>0</v>
      </c>
      <c r="W114" s="312"/>
      <c r="X114" s="312"/>
      <c r="Y114" s="312"/>
      <c r="Z114" s="310">
        <f t="shared" ref="Z114" si="150">SUM(W114:Y114)</f>
        <v>0</v>
      </c>
      <c r="AA114" s="312"/>
      <c r="AB114" s="312"/>
      <c r="AC114" s="312"/>
      <c r="AD114" s="310">
        <f t="shared" si="92"/>
        <v>0</v>
      </c>
      <c r="AE114" s="312"/>
      <c r="AF114" s="312"/>
      <c r="AG114" s="312"/>
      <c r="AH114" s="310">
        <f t="shared" si="134"/>
        <v>0</v>
      </c>
      <c r="AI114" s="313">
        <f t="shared" si="135"/>
        <v>0</v>
      </c>
      <c r="AJ114" s="97"/>
      <c r="AK114" s="1039"/>
      <c r="AL114" s="1043"/>
      <c r="AM114" s="1045"/>
      <c r="AN114" s="62" t="str">
        <f>C113</f>
        <v>30 - DA000491Z_DE000492Z - STC Scania G_</v>
      </c>
      <c r="AO114" s="62" t="s">
        <v>291</v>
      </c>
      <c r="AP114" s="543" t="str" cm="1">
        <f t="array" aca="1" ref="AP114" ca="1">IF(OR(AN114="",AN114=0),"",IF(SUMPRODUCT(($C$55:$C$175=AN114)*($S$54:AG$54&lt;=TODAY())*(ISNUMBER($S$56:AG$176)),$S$56:AG$176)=0,"",SUMPRODUCT(($C$55:$C$175=AN114)*($S$54:AG$54&lt;=TODAY())*(ISNUMBER($S$56:AG$176)),$S$56:AG$176)))</f>
        <v/>
      </c>
    </row>
    <row r="115" spans="1:42" ht="33.75" customHeight="1" x14ac:dyDescent="0.3">
      <c r="A115" s="1299" t="s">
        <v>85</v>
      </c>
      <c r="B115" s="1299" t="s">
        <v>90</v>
      </c>
      <c r="C115" s="1113" t="s">
        <v>436</v>
      </c>
      <c r="D115" s="1115" t="s">
        <v>437</v>
      </c>
      <c r="E115" s="1422" t="s">
        <v>438</v>
      </c>
      <c r="F115" s="1040" t="s">
        <v>286</v>
      </c>
      <c r="G115" s="1117">
        <v>46083</v>
      </c>
      <c r="H115" s="1117">
        <v>46142</v>
      </c>
      <c r="I115" s="1074">
        <v>59800</v>
      </c>
      <c r="J115" s="1158">
        <v>46143</v>
      </c>
      <c r="K115" s="1121">
        <f t="shared" ref="K115" si="151">IF(J115="", "", 12 - MONTH(J115) + 1)</f>
        <v>8</v>
      </c>
      <c r="L115" s="1074"/>
      <c r="M115" s="1119" t="s">
        <v>287</v>
      </c>
      <c r="N115" s="1053">
        <v>114604.43</v>
      </c>
      <c r="O115" s="1336" t="s">
        <v>77</v>
      </c>
      <c r="P115" s="1057">
        <v>1</v>
      </c>
      <c r="Q115" s="87" t="s">
        <v>106</v>
      </c>
      <c r="R115" s="825">
        <v>0.95</v>
      </c>
      <c r="S115" s="309">
        <f>IFERROR(IF(AND(S$54&gt;=EOMONTH($J115,-1)+1,S$54&lt;=EOMONTH(EOMONTH($J115,-1)+1,$K115-1)),IF(NOT(ISBLANK($N115)),$N115/$K115,$I115/$K115),0),0)</f>
        <v>0</v>
      </c>
      <c r="T115" s="309">
        <f>IFERROR(IF(AND(T$54&gt;=EOMONTH($J115,-1)+1,T$54&lt;=EOMONTH(EOMONTH($J115,-1)+1,$K115-1)),IF(NOT(ISBLANK($N115)),$N115/$K115,$I115/$K115),0),0)</f>
        <v>0</v>
      </c>
      <c r="U115" s="309">
        <f>IFERROR(IF(AND(U$54&gt;=EOMONTH($J115,-1)+1,U$54&lt;=EOMONTH(EOMONTH($J115,-1)+1,$K115-1)),IF(NOT(ISBLANK($N115)),$N115/$K115,$I115/$K115),0),0)</f>
        <v>0</v>
      </c>
      <c r="V115" s="89">
        <f t="shared" ref="V115" si="152">SUM(S115:U115)</f>
        <v>0</v>
      </c>
      <c r="W115" s="309">
        <f>IFERROR(IF(AND(W$54&gt;=EOMONTH($J115,-1)+1,W$54&lt;=EOMONTH(EOMONTH($J115,-1)+1,$K115-1)),IF(NOT(ISBLANK($N115)),$N115/$K115,$I115/$K115),0),0)</f>
        <v>0</v>
      </c>
      <c r="X115" s="309">
        <f>IFERROR(IF(AND(X$54&gt;=EOMONTH($J115,-1)+1,X$54&lt;=EOMONTH(EOMONTH($J115,-1)+1,$K115-1)),IF(NOT(ISBLANK($N115)),$N115/$K115,$I115/$K115),0),0)</f>
        <v>14325.553749999999</v>
      </c>
      <c r="Y115" s="309">
        <f>IFERROR(IF(AND(Y$54&gt;=EOMONTH($J115,-1)+1,Y$54&lt;=EOMONTH(EOMONTH($J115,-1)+1,$K115-1)),IF(NOT(ISBLANK($N115)),$N115/$K115,$I115/$K115),0),0)</f>
        <v>14325.553749999999</v>
      </c>
      <c r="Z115" s="89">
        <f t="shared" ref="Z115" si="153">SUM(W115:Y115)</f>
        <v>28651.107499999998</v>
      </c>
      <c r="AA115" s="309">
        <f>IFERROR(IF(AND(AA$54&gt;=EOMONTH($J115,-1)+1,AA$54&lt;=EOMONTH(EOMONTH($J115,-1)+1,$K115-1)),IF(NOT(ISBLANK($N115)),$N115/$K115,$I115/$K115),0),0)</f>
        <v>14325.553749999999</v>
      </c>
      <c r="AB115" s="309">
        <f>IFERROR(IF(AND(AB$54&gt;=EOMONTH($J115,-1)+1,AB$54&lt;=EOMONTH(EOMONTH($J115,-1)+1,$K115-1)),IF(NOT(ISBLANK($N115)),$N115/$K115,$I115/$K115),0),0)</f>
        <v>14325.553749999999</v>
      </c>
      <c r="AC115" s="309">
        <f>IFERROR(IF(AND(AC$54&gt;=EOMONTH($J115,-1)+1,AC$54&lt;=EOMONTH(EOMONTH($J115,-1)+1,$K115-1)),IF(NOT(ISBLANK($N115)),$N115/$K115,$I115/$K115),0),0)</f>
        <v>14325.553749999999</v>
      </c>
      <c r="AD115" s="89">
        <f t="shared" si="92"/>
        <v>42976.661249999997</v>
      </c>
      <c r="AE115" s="309">
        <f>IFERROR(IF(AND(AE$54&gt;=EOMONTH($J115,-1)+1,AE$54&lt;=EOMONTH(EOMONTH($J115,-1)+1,$K115-1)),IF(NOT(ISBLANK($N115)),$N115/$K115,$I115/$K115),0),0)</f>
        <v>14325.553749999999</v>
      </c>
      <c r="AF115" s="309">
        <f>IFERROR(IF(AND(AF$54&gt;=EOMONTH($J115,-1)+1,AF$54&lt;=EOMONTH(EOMONTH($J115,-1)+1,$K115-1)),IF(NOT(ISBLANK($N115)),$N115/$K115,$I115/$K115),0),0)</f>
        <v>14325.553749999999</v>
      </c>
      <c r="AG115" s="309">
        <f>IFERROR(IF(AND(AG$54&gt;=EOMONTH($J115,-1)+1,AG$54&lt;=EOMONTH(EOMONTH($J115,-1)+1,$K115-1)),IF(NOT(ISBLANK($N115)),$N115/$K115,$I115/$K115),0),0)</f>
        <v>14325.553749999999</v>
      </c>
      <c r="AH115" s="89">
        <f t="shared" si="134"/>
        <v>42976.661249999997</v>
      </c>
      <c r="AI115" s="90">
        <f t="shared" si="135"/>
        <v>114604.43</v>
      </c>
      <c r="AJ115" s="92" t="s">
        <v>439</v>
      </c>
      <c r="AK115" s="1040"/>
      <c r="AL115" s="1048"/>
      <c r="AM115" s="1046">
        <f t="shared" ref="AM115" si="154">N115*AL115</f>
        <v>0</v>
      </c>
      <c r="AN115" s="62" t="str">
        <f>C115</f>
        <v>31 - Comunização da chapa CHQ0475ED12502650</v>
      </c>
      <c r="AO115" s="62" t="s">
        <v>289</v>
      </c>
      <c r="AP115" s="543" cm="1">
        <f t="array" aca="1" ref="AP115" ca="1">IF(OR(AN115="",AN115=0),"",IF(SUMPRODUCT(($C$55:$C$175=AN115)*(S$54:$AG$54&lt;EOMONTH(TODAY(),-1)+1)*(ISNUMBER(S$55:$AG$175)),S$55:$AG$175)=0,"",SUMPRODUCT(($C$55:$C$175=AN115)*(S$54:$AG$54&lt;EOMONTH(TODAY(),-1)+1)*(ISNUMBER(S$55:$AG$175)),S$55:$AG$175)))</f>
        <v>14325.553749999999</v>
      </c>
    </row>
    <row r="116" spans="1:42" ht="30.75" customHeight="1" x14ac:dyDescent="0.3">
      <c r="A116" s="1300"/>
      <c r="B116" s="1300"/>
      <c r="C116" s="1114"/>
      <c r="D116" s="1116"/>
      <c r="E116" s="1423"/>
      <c r="F116" s="1041"/>
      <c r="G116" s="1118"/>
      <c r="H116" s="1118"/>
      <c r="I116" s="1075"/>
      <c r="J116" s="1159"/>
      <c r="K116" s="1122"/>
      <c r="L116" s="1075"/>
      <c r="M116" s="1120"/>
      <c r="N116" s="1054"/>
      <c r="O116" s="1337"/>
      <c r="P116" s="1058"/>
      <c r="Q116" s="87" t="s">
        <v>107</v>
      </c>
      <c r="R116" s="825">
        <v>1</v>
      </c>
      <c r="S116" s="309"/>
      <c r="T116" s="309"/>
      <c r="U116" s="309"/>
      <c r="V116" s="310">
        <f t="shared" ref="V116" si="155">SUM(S116:U116)</f>
        <v>0</v>
      </c>
      <c r="W116" s="309"/>
      <c r="X116" s="309">
        <v>12941.975333084476</v>
      </c>
      <c r="Y116" s="309"/>
      <c r="Z116" s="310">
        <f t="shared" ref="Z116" si="156">SUM(W116:Y116)</f>
        <v>12941.975333084476</v>
      </c>
      <c r="AA116" s="309"/>
      <c r="AB116" s="309"/>
      <c r="AC116" s="309"/>
      <c r="AD116" s="310">
        <f t="shared" si="92"/>
        <v>0</v>
      </c>
      <c r="AE116" s="309"/>
      <c r="AF116" s="309"/>
      <c r="AG116" s="309"/>
      <c r="AH116" s="310">
        <f t="shared" si="134"/>
        <v>0</v>
      </c>
      <c r="AI116" s="311">
        <f t="shared" si="135"/>
        <v>12941.975333084476</v>
      </c>
      <c r="AJ116" s="360"/>
      <c r="AK116" s="1041"/>
      <c r="AL116" s="1049"/>
      <c r="AM116" s="1047"/>
      <c r="AN116" s="62" t="str">
        <f>C115</f>
        <v>31 - Comunização da chapa CHQ0475ED12502650</v>
      </c>
      <c r="AO116" s="62" t="s">
        <v>291</v>
      </c>
      <c r="AP116" s="543" cm="1">
        <f t="array" aca="1" ref="AP116" ca="1">IF(OR(AN116="",AN116=0),"",IF(SUMPRODUCT(($C$55:$C$175=AN116)*($S$54:AG$54&lt;=TODAY())*(ISNUMBER($S$56:AG$176)),$S$56:AG$176)=0,"",SUMPRODUCT(($C$55:$C$175=AN116)*($S$54:AG$54&lt;=TODAY())*(ISNUMBER($S$56:AG$176)),$S$56:AG$176)))</f>
        <v>12941.975333084476</v>
      </c>
    </row>
    <row r="117" spans="1:42" ht="29.1" customHeight="1" x14ac:dyDescent="0.3">
      <c r="A117" s="1361" t="s">
        <v>85</v>
      </c>
      <c r="B117" s="1038" t="s">
        <v>90</v>
      </c>
      <c r="C117" s="1376" t="s">
        <v>440</v>
      </c>
      <c r="D117" s="1432" t="s">
        <v>441</v>
      </c>
      <c r="E117" s="1363" t="s">
        <v>442</v>
      </c>
      <c r="F117" s="1099" t="s">
        <v>286</v>
      </c>
      <c r="G117" s="1150">
        <v>46083</v>
      </c>
      <c r="H117" s="1150">
        <v>46101</v>
      </c>
      <c r="I117" s="1350">
        <v>630.00015099999996</v>
      </c>
      <c r="J117" s="1109">
        <v>46082</v>
      </c>
      <c r="K117" s="1213">
        <f t="shared" ref="K117" si="157">IF(J117="", "", 12 - MONTH(J117) + 1)</f>
        <v>10</v>
      </c>
      <c r="L117" s="1076"/>
      <c r="M117" s="1320" t="s">
        <v>287</v>
      </c>
      <c r="N117" s="1331">
        <v>525.25</v>
      </c>
      <c r="O117" s="1316" t="s">
        <v>77</v>
      </c>
      <c r="P117" s="1042">
        <v>1</v>
      </c>
      <c r="Q117" s="93" t="s">
        <v>106</v>
      </c>
      <c r="R117" s="826">
        <v>1</v>
      </c>
      <c r="S117" s="532">
        <f>IFERROR(IF(AND(S$54&gt;=EOMONTH($J117,-1)+1,S$54&lt;=EOMONTH(EOMONTH($J117,-1)+1,$K117-1)),IF(NOT(ISBLANK($N117)),$N117/$K117,$I117/$K117),0),0)</f>
        <v>0</v>
      </c>
      <c r="T117" s="532">
        <f>IFERROR(IF(AND(T$54&gt;=EOMONTH($J117,-1)+1,T$54&lt;=EOMONTH(EOMONTH($J117,-1)+1,$K117-1)),IF(NOT(ISBLANK($N117)),$N117/$K117,$I117/$K117),0),0)</f>
        <v>0</v>
      </c>
      <c r="U117" s="944">
        <f>IFERROR(IF(AND(U$54&gt;=EOMONTH($J117,-1)+1,U$54&lt;=EOMONTH(EOMONTH($J117,-1)+1,$K117-1)),IF(NOT(ISBLANK($N117)),$N117/$K117,$I117/$K117),0),0)</f>
        <v>52.524999999999999</v>
      </c>
      <c r="V117" s="89">
        <f t="shared" ref="V117" si="158">SUM(S117:U117)</f>
        <v>52.524999999999999</v>
      </c>
      <c r="W117" s="944">
        <f>IFERROR(IF(AND(W$54&gt;=EOMONTH($J117,-1)+1,W$54&lt;=EOMONTH(EOMONTH($J117,-1)+1,$K117-1)),IF(NOT(ISBLANK($N117)),$N117/$K117,$I117/$K117),0),0)</f>
        <v>52.524999999999999</v>
      </c>
      <c r="X117" s="532">
        <f>IFERROR(IF(AND(X$54&gt;=EOMONTH($J117,-1)+1,X$54&lt;=EOMONTH(EOMONTH($J117,-1)+1,$K117-1)),IF(NOT(ISBLANK($N117)),$N117/$K117,$I117/$K117),0),0)</f>
        <v>52.524999999999999</v>
      </c>
      <c r="Y117" s="532">
        <f>IFERROR(IF(AND(Y$54&gt;=EOMONTH($J117,-1)+1,Y$54&lt;=EOMONTH(EOMONTH($J117,-1)+1,$K117-1)),IF(NOT(ISBLANK($N117)),$N117/$K117,$I117/$K117),0),0)</f>
        <v>52.524999999999999</v>
      </c>
      <c r="Z117" s="89">
        <f t="shared" ref="Z117" si="159">SUM(W117:Y117)</f>
        <v>157.57499999999999</v>
      </c>
      <c r="AA117" s="532">
        <f>IFERROR(IF(AND(AA$54&gt;=EOMONTH($J117,-1)+1,AA$54&lt;=EOMONTH(EOMONTH($J117,-1)+1,$K117-1)),IF(NOT(ISBLANK($N117)),$N117/$K117,$I117/$K117),0),0)</f>
        <v>52.524999999999999</v>
      </c>
      <c r="AB117" s="532">
        <f>IFERROR(IF(AND(AB$54&gt;=EOMONTH($J117,-1)+1,AB$54&lt;=EOMONTH(EOMONTH($J117,-1)+1,$K117-1)),IF(NOT(ISBLANK($N117)),$N117/$K117,$I117/$K117),0),0)</f>
        <v>52.524999999999999</v>
      </c>
      <c r="AC117" s="532">
        <f>IFERROR(IF(AND(AC$54&gt;=EOMONTH($J117,-1)+1,AC$54&lt;=EOMONTH(EOMONTH($J117,-1)+1,$K117-1)),IF(NOT(ISBLANK($N117)),$N117/$K117,$I117/$K117),0),0)</f>
        <v>52.524999999999999</v>
      </c>
      <c r="AD117" s="89">
        <f t="shared" si="92"/>
        <v>157.57499999999999</v>
      </c>
      <c r="AE117" s="532">
        <f>IFERROR(IF(AND(AE$54&gt;=EOMONTH($J117,-1)+1,AE$54&lt;=EOMONTH(EOMONTH($J117,-1)+1,$K117-1)),IF(NOT(ISBLANK($N117)),$N117/$K117,$I117/$K117),0),0)</f>
        <v>52.524999999999999</v>
      </c>
      <c r="AF117" s="532">
        <f>IFERROR(IF(AND(AF$54&gt;=EOMONTH($J117,-1)+1,AF$54&lt;=EOMONTH(EOMONTH($J117,-1)+1,$K117-1)),IF(NOT(ISBLANK($N117)),$N117/$K117,$I117/$K117),0),0)</f>
        <v>52.524999999999999</v>
      </c>
      <c r="AG117" s="532">
        <f>IFERROR(IF(AND(AG$54&gt;=EOMONTH($J117,-1)+1,AG$54&lt;=EOMONTH(EOMONTH($J117,-1)+1,$K117-1)),IF(NOT(ISBLANK($N117)),$N117/$K117,$I117/$K117),0),0)</f>
        <v>52.524999999999999</v>
      </c>
      <c r="AH117" s="89">
        <f t="shared" si="134"/>
        <v>157.57499999999999</v>
      </c>
      <c r="AI117" s="95">
        <f t="shared" si="135"/>
        <v>525.25</v>
      </c>
      <c r="AJ117" s="97" t="s">
        <v>443</v>
      </c>
      <c r="AK117" s="1038"/>
      <c r="AL117" s="1042"/>
      <c r="AM117" s="1044">
        <f t="shared" ref="AM117" si="160">N117*AL117</f>
        <v>0</v>
      </c>
      <c r="AN117" s="62" t="str">
        <f>C117</f>
        <v>32 - Redução de Peso Bruto do item MB003594LA</v>
      </c>
      <c r="AO117" s="62" t="s">
        <v>289</v>
      </c>
      <c r="AP117" s="543" cm="1">
        <f t="array" aca="1" ref="AP117" ca="1">IF(OR(AN117="",AN117=0),"",IF(SUMPRODUCT(($C$55:$C$175=AN117)*(S$54:$AG$54&lt;EOMONTH(TODAY(),-1)+1)*(ISNUMBER(S$55:$AG$175)),S$55:$AG$175)=0,"",SUMPRODUCT(($C$55:$C$175=AN117)*(S$54:$AG$54&lt;EOMONTH(TODAY(),-1)+1)*(ISNUMBER(S$55:$AG$175)),S$55:$AG$175)))</f>
        <v>157.57499999999999</v>
      </c>
    </row>
    <row r="118" spans="1:42" ht="29.1" customHeight="1" x14ac:dyDescent="0.3">
      <c r="A118" s="1362"/>
      <c r="B118" s="1039"/>
      <c r="C118" s="1377"/>
      <c r="D118" s="1360"/>
      <c r="E118" s="1364"/>
      <c r="F118" s="1100"/>
      <c r="G118" s="1151"/>
      <c r="H118" s="1151"/>
      <c r="I118" s="1351"/>
      <c r="J118" s="1110"/>
      <c r="K118" s="1214"/>
      <c r="L118" s="1077"/>
      <c r="M118" s="1321"/>
      <c r="N118" s="1332"/>
      <c r="O118" s="1317"/>
      <c r="P118" s="1043"/>
      <c r="Q118" s="93" t="s">
        <v>107</v>
      </c>
      <c r="R118" s="826">
        <v>1</v>
      </c>
      <c r="S118" s="312"/>
      <c r="T118" s="312"/>
      <c r="U118" s="312">
        <v>0</v>
      </c>
      <c r="V118" s="310">
        <f t="shared" ref="V118" si="161">SUM(S118:U118)</f>
        <v>0</v>
      </c>
      <c r="W118" s="312">
        <v>1107.4090784000005</v>
      </c>
      <c r="X118" s="312">
        <v>604.23524480000026</v>
      </c>
      <c r="Y118" s="312"/>
      <c r="Z118" s="310">
        <f t="shared" ref="Z118" si="162">SUM(W118:Y118)</f>
        <v>1711.6443232000006</v>
      </c>
      <c r="AA118" s="312"/>
      <c r="AB118" s="312"/>
      <c r="AC118" s="312"/>
      <c r="AD118" s="310">
        <f t="shared" si="92"/>
        <v>0</v>
      </c>
      <c r="AE118" s="312"/>
      <c r="AF118" s="312"/>
      <c r="AG118" s="312"/>
      <c r="AH118" s="310">
        <f t="shared" si="134"/>
        <v>0</v>
      </c>
      <c r="AI118" s="313">
        <f t="shared" si="135"/>
        <v>1711.6443232000006</v>
      </c>
      <c r="AJ118" s="97"/>
      <c r="AK118" s="1039"/>
      <c r="AL118" s="1043"/>
      <c r="AM118" s="1045"/>
      <c r="AN118" s="62" t="str">
        <f>C117</f>
        <v>32 - Redução de Peso Bruto do item MB003594LA</v>
      </c>
      <c r="AO118" s="62" t="s">
        <v>291</v>
      </c>
      <c r="AP118" s="543" cm="1">
        <f t="array" aca="1" ref="AP118" ca="1">IF(OR(AN118="",AN118=0),"",IF(SUMPRODUCT(($C$55:$C$175=AN118)*($S$54:AG$54&lt;=TODAY())*(ISNUMBER($S$56:AG$176)),$S$56:AG$176)=0,"",SUMPRODUCT(($C$55:$C$175=AN118)*($S$54:AG$54&lt;=TODAY())*(ISNUMBER($S$56:AG$176)),$S$56:AG$176)))</f>
        <v>1711.6443232000006</v>
      </c>
    </row>
    <row r="119" spans="1:42" ht="29.1" customHeight="1" x14ac:dyDescent="0.3">
      <c r="A119" s="1299" t="s">
        <v>85</v>
      </c>
      <c r="B119" s="1299" t="s">
        <v>90</v>
      </c>
      <c r="C119" s="1365" t="s">
        <v>444</v>
      </c>
      <c r="D119" s="1115" t="s">
        <v>445</v>
      </c>
      <c r="E119" s="1422" t="s">
        <v>446</v>
      </c>
      <c r="F119" s="1040" t="s">
        <v>286</v>
      </c>
      <c r="G119" s="1117">
        <v>46083</v>
      </c>
      <c r="H119" s="1117">
        <v>46101</v>
      </c>
      <c r="I119" s="1074">
        <v>13608</v>
      </c>
      <c r="J119" s="1158">
        <v>46082</v>
      </c>
      <c r="K119" s="1121">
        <f t="shared" ref="K119" si="163">IF(J119="", "", 12 - MONTH(J119) + 1)</f>
        <v>10</v>
      </c>
      <c r="L119" s="1074"/>
      <c r="M119" s="1119" t="s">
        <v>287</v>
      </c>
      <c r="N119" s="1314">
        <v>11223.44</v>
      </c>
      <c r="O119" s="1336" t="s">
        <v>77</v>
      </c>
      <c r="P119" s="1057">
        <v>1</v>
      </c>
      <c r="Q119" s="87" t="s">
        <v>106</v>
      </c>
      <c r="R119" s="825">
        <v>1</v>
      </c>
      <c r="S119" s="309">
        <f>IFERROR(IF(AND(S$54&gt;=EOMONTH($J119,-1)+1,S$54&lt;=EOMONTH(EOMONTH($J119,-1)+1,$K119-1)),IF(NOT(ISBLANK($N119)),$N119/$K119,$I119/$K119),0),0)</f>
        <v>0</v>
      </c>
      <c r="T119" s="309">
        <f>IFERROR(IF(AND(T$54&gt;=EOMONTH($J119,-1)+1,T$54&lt;=EOMONTH(EOMONTH($J119,-1)+1,$K119-1)),IF(NOT(ISBLANK($N119)),$N119/$K119,$I119/$K119),0),0)</f>
        <v>0</v>
      </c>
      <c r="U119" s="943">
        <f>IFERROR(IF(AND(U$54&gt;=EOMONTH($J119,-1)+1,U$54&lt;=EOMONTH(EOMONTH($J119,-1)+1,$K119-1)),IF(NOT(ISBLANK($N119)),$N119/$K119,$I119/$K119),0),0)</f>
        <v>1122.3440000000001</v>
      </c>
      <c r="V119" s="89">
        <f t="shared" ref="V119" si="164">SUM(S119:U119)</f>
        <v>1122.3440000000001</v>
      </c>
      <c r="W119" s="943">
        <f>IFERROR(IF(AND(W$54&gt;=EOMONTH($J119,-1)+1,W$54&lt;=EOMONTH(EOMONTH($J119,-1)+1,$K119-1)),IF(NOT(ISBLANK($N119)),$N119/$K119,$I119/$K119),0),0)</f>
        <v>1122.3440000000001</v>
      </c>
      <c r="X119" s="309">
        <f>IFERROR(IF(AND(X$54&gt;=EOMONTH($J119,-1)+1,X$54&lt;=EOMONTH(EOMONTH($J119,-1)+1,$K119-1)),IF(NOT(ISBLANK($N119)),$N119/$K119,$I119/$K119),0),0)</f>
        <v>1122.3440000000001</v>
      </c>
      <c r="Y119" s="309">
        <f>IFERROR(IF(AND(Y$54&gt;=EOMONTH($J119,-1)+1,Y$54&lt;=EOMONTH(EOMONTH($J119,-1)+1,$K119-1)),IF(NOT(ISBLANK($N119)),$N119/$K119,$I119/$K119),0),0)</f>
        <v>1122.3440000000001</v>
      </c>
      <c r="Z119" s="89">
        <f t="shared" ref="Z119" si="165">SUM(W119:Y119)</f>
        <v>3367.0320000000002</v>
      </c>
      <c r="AA119" s="309">
        <f>IFERROR(IF(AND(AA$54&gt;=EOMONTH($J119,-1)+1,AA$54&lt;=EOMONTH(EOMONTH($J119,-1)+1,$K119-1)),IF(NOT(ISBLANK($N119)),$N119/$K119,$I119/$K119),0),0)</f>
        <v>1122.3440000000001</v>
      </c>
      <c r="AB119" s="309">
        <f>IFERROR(IF(AND(AB$54&gt;=EOMONTH($J119,-1)+1,AB$54&lt;=EOMONTH(EOMONTH($J119,-1)+1,$K119-1)),IF(NOT(ISBLANK($N119)),$N119/$K119,$I119/$K119),0),0)</f>
        <v>1122.3440000000001</v>
      </c>
      <c r="AC119" s="309">
        <f>IFERROR(IF(AND(AC$54&gt;=EOMONTH($J119,-1)+1,AC$54&lt;=EOMONTH(EOMONTH($J119,-1)+1,$K119-1)),IF(NOT(ISBLANK($N119)),$N119/$K119,$I119/$K119),0),0)</f>
        <v>1122.3440000000001</v>
      </c>
      <c r="AD119" s="89">
        <f t="shared" si="92"/>
        <v>3367.0320000000002</v>
      </c>
      <c r="AE119" s="309">
        <f>IFERROR(IF(AND(AE$54&gt;=EOMONTH($J119,-1)+1,AE$54&lt;=EOMONTH(EOMONTH($J119,-1)+1,$K119-1)),IF(NOT(ISBLANK($N119)),$N119/$K119,$I119/$K119),0),0)</f>
        <v>1122.3440000000001</v>
      </c>
      <c r="AF119" s="309">
        <f>IFERROR(IF(AND(AF$54&gt;=EOMONTH($J119,-1)+1,AF$54&lt;=EOMONTH(EOMONTH($J119,-1)+1,$K119-1)),IF(NOT(ISBLANK($N119)),$N119/$K119,$I119/$K119),0),0)</f>
        <v>1122.3440000000001</v>
      </c>
      <c r="AG119" s="309">
        <f>IFERROR(IF(AND(AG$54&gt;=EOMONTH($J119,-1)+1,AG$54&lt;=EOMONTH(EOMONTH($J119,-1)+1,$K119-1)),IF(NOT(ISBLANK($N119)),$N119/$K119,$I119/$K119),0),0)</f>
        <v>1122.3440000000001</v>
      </c>
      <c r="AH119" s="89">
        <f t="shared" si="134"/>
        <v>3367.0320000000002</v>
      </c>
      <c r="AI119" s="90">
        <f t="shared" si="135"/>
        <v>11223.44</v>
      </c>
      <c r="AJ119" s="360" t="s">
        <v>447</v>
      </c>
      <c r="AK119" s="1040"/>
      <c r="AL119" s="1048"/>
      <c r="AM119" s="1046">
        <f t="shared" ref="AM119" si="166">N119*AL119</f>
        <v>0</v>
      </c>
      <c r="AN119" s="62" t="str">
        <f>C119</f>
        <v>33 - Redução de Peso Bruto do item MB003610LA</v>
      </c>
      <c r="AO119" s="62" t="s">
        <v>289</v>
      </c>
      <c r="AP119" s="543" cm="1">
        <f t="array" aca="1" ref="AP119" ca="1">IF(OR(AN119="",AN119=0),"",IF(SUMPRODUCT(($C$55:$C$175=AN119)*(S$54:$AG$54&lt;EOMONTH(TODAY(),-1)+1)*(ISNUMBER(S$55:$AG$175)),S$55:$AG$175)=0,"",SUMPRODUCT(($C$55:$C$175=AN119)*(S$54:$AG$54&lt;EOMONTH(TODAY(),-1)+1)*(ISNUMBER(S$55:$AG$175)),S$55:$AG$175)))</f>
        <v>3367.0320000000002</v>
      </c>
    </row>
    <row r="120" spans="1:42" ht="29.1" customHeight="1" x14ac:dyDescent="0.3">
      <c r="A120" s="1300"/>
      <c r="B120" s="1300"/>
      <c r="C120" s="1366"/>
      <c r="D120" s="1384"/>
      <c r="E120" s="1423"/>
      <c r="F120" s="1041"/>
      <c r="G120" s="1118"/>
      <c r="H120" s="1118"/>
      <c r="I120" s="1075"/>
      <c r="J120" s="1159"/>
      <c r="K120" s="1122"/>
      <c r="L120" s="1075"/>
      <c r="M120" s="1120"/>
      <c r="N120" s="1375"/>
      <c r="O120" s="1337"/>
      <c r="P120" s="1058"/>
      <c r="Q120" s="87" t="s">
        <v>107</v>
      </c>
      <c r="R120" s="825">
        <v>0.3</v>
      </c>
      <c r="S120" s="309"/>
      <c r="T120" s="309"/>
      <c r="U120" s="309">
        <v>0</v>
      </c>
      <c r="V120" s="310">
        <f t="shared" ref="V120" si="167">SUM(S120:U120)</f>
        <v>0</v>
      </c>
      <c r="W120" s="309">
        <v>1350.4782892876806</v>
      </c>
      <c r="X120" s="309">
        <v>1422.8253404995205</v>
      </c>
      <c r="Y120" s="309"/>
      <c r="Z120" s="310">
        <f t="shared" ref="Z120" si="168">SUM(W120:Y120)</f>
        <v>2773.3036297872013</v>
      </c>
      <c r="AA120" s="309"/>
      <c r="AB120" s="309"/>
      <c r="AC120" s="309"/>
      <c r="AD120" s="310">
        <f t="shared" si="92"/>
        <v>0</v>
      </c>
      <c r="AE120" s="309"/>
      <c r="AF120" s="309"/>
      <c r="AG120" s="309"/>
      <c r="AH120" s="310">
        <f t="shared" si="134"/>
        <v>0</v>
      </c>
      <c r="AI120" s="311">
        <f t="shared" si="135"/>
        <v>2773.3036297872013</v>
      </c>
      <c r="AJ120" s="360"/>
      <c r="AK120" s="1041"/>
      <c r="AL120" s="1049"/>
      <c r="AM120" s="1047"/>
      <c r="AN120" s="62" t="str">
        <f>C119</f>
        <v>33 - Redução de Peso Bruto do item MB003610LA</v>
      </c>
      <c r="AO120" s="62" t="s">
        <v>291</v>
      </c>
      <c r="AP120" s="543" cm="1">
        <f t="array" aca="1" ref="AP120" ca="1">IF(OR(AN120="",AN120=0),"",IF(SUMPRODUCT(($C$55:$C$175=AN120)*($S$54:AG$54&lt;=TODAY())*(ISNUMBER($S$56:AG$176)),$S$56:AG$176)=0,"",SUMPRODUCT(($C$55:$C$175=AN120)*($S$54:AG$54&lt;=TODAY())*(ISNUMBER($S$56:AG$176)),$S$56:AG$176)))</f>
        <v>2773.3036297872013</v>
      </c>
    </row>
    <row r="121" spans="1:42" ht="29.1" customHeight="1" x14ac:dyDescent="0.3">
      <c r="A121" s="1361" t="s">
        <v>85</v>
      </c>
      <c r="B121" s="1038" t="s">
        <v>90</v>
      </c>
      <c r="C121" s="1376" t="s">
        <v>448</v>
      </c>
      <c r="D121" s="1097" t="s">
        <v>449</v>
      </c>
      <c r="E121" s="1363" t="s">
        <v>450</v>
      </c>
      <c r="F121" s="1099" t="s">
        <v>286</v>
      </c>
      <c r="G121" s="1150">
        <v>46083</v>
      </c>
      <c r="H121" s="1150">
        <v>46101</v>
      </c>
      <c r="I121" s="1350">
        <v>3262</v>
      </c>
      <c r="J121" s="1109">
        <v>46082</v>
      </c>
      <c r="K121" s="1213">
        <f t="shared" ref="K121" si="169">IF(J121="", "", 12 - MONTH(J121) + 1)</f>
        <v>10</v>
      </c>
      <c r="L121" s="1076"/>
      <c r="M121" s="1320" t="s">
        <v>287</v>
      </c>
      <c r="N121" s="1331">
        <v>2387.0700000000002</v>
      </c>
      <c r="O121" s="1316" t="s">
        <v>77</v>
      </c>
      <c r="P121" s="1042">
        <v>1</v>
      </c>
      <c r="Q121" s="93" t="s">
        <v>106</v>
      </c>
      <c r="R121" s="826">
        <v>1</v>
      </c>
      <c r="S121" s="532">
        <f>IFERROR(IF(AND(S$54&gt;=EOMONTH($J121,-1)+1,S$54&lt;=EOMONTH(EOMONTH($J121,-1)+1,$K121-1)),IF(NOT(ISBLANK($N121)),$N121/$K121,$I121/$K121),0),0)</f>
        <v>0</v>
      </c>
      <c r="T121" s="532">
        <f>IFERROR(IF(AND(T$54&gt;=EOMONTH($J121,-1)+1,T$54&lt;=EOMONTH(EOMONTH($J121,-1)+1,$K121-1)),IF(NOT(ISBLANK($N121)),$N121/$K121,$I121/$K121),0),0)</f>
        <v>0</v>
      </c>
      <c r="U121" s="944">
        <f>IFERROR(IF(AND(U$54&gt;=EOMONTH($J121,-1)+1,U$54&lt;=EOMONTH(EOMONTH($J121,-1)+1,$K121-1)),IF(NOT(ISBLANK($N121)),$N121/$K121,$I121/$K121),0),0)</f>
        <v>238.70700000000002</v>
      </c>
      <c r="V121" s="89">
        <f t="shared" ref="V121" si="170">SUM(S121:U121)</f>
        <v>238.70700000000002</v>
      </c>
      <c r="W121" s="944">
        <f>IFERROR(IF(AND(W$54&gt;=EOMONTH($J121,-1)+1,W$54&lt;=EOMONTH(EOMONTH($J121,-1)+1,$K121-1)),IF(NOT(ISBLANK($N121)),$N121/$K121,$I121/$K121),0),0)</f>
        <v>238.70700000000002</v>
      </c>
      <c r="X121" s="532">
        <f>IFERROR(IF(AND(X$54&gt;=EOMONTH($J121,-1)+1,X$54&lt;=EOMONTH(EOMONTH($J121,-1)+1,$K121-1)),IF(NOT(ISBLANK($N121)),$N121/$K121,$I121/$K121),0),0)</f>
        <v>238.70700000000002</v>
      </c>
      <c r="Y121" s="532">
        <f>IFERROR(IF(AND(Y$54&gt;=EOMONTH($J121,-1)+1,Y$54&lt;=EOMONTH(EOMONTH($J121,-1)+1,$K121-1)),IF(NOT(ISBLANK($N121)),$N121/$K121,$I121/$K121),0),0)</f>
        <v>238.70700000000002</v>
      </c>
      <c r="Z121" s="89">
        <f t="shared" ref="Z121" si="171">SUM(W121:Y121)</f>
        <v>716.12100000000009</v>
      </c>
      <c r="AA121" s="532">
        <f>IFERROR(IF(AND(AA$54&gt;=EOMONTH($J121,-1)+1,AA$54&lt;=EOMONTH(EOMONTH($J121,-1)+1,$K121-1)),IF(NOT(ISBLANK($N121)),$N121/$K121,$I121/$K121),0),0)</f>
        <v>238.70700000000002</v>
      </c>
      <c r="AB121" s="532">
        <f>IFERROR(IF(AND(AB$54&gt;=EOMONTH($J121,-1)+1,AB$54&lt;=EOMONTH(EOMONTH($J121,-1)+1,$K121-1)),IF(NOT(ISBLANK($N121)),$N121/$K121,$I121/$K121),0),0)</f>
        <v>238.70700000000002</v>
      </c>
      <c r="AC121" s="532">
        <f>IFERROR(IF(AND(AC$54&gt;=EOMONTH($J121,-1)+1,AC$54&lt;=EOMONTH(EOMONTH($J121,-1)+1,$K121-1)),IF(NOT(ISBLANK($N121)),$N121/$K121,$I121/$K121),0),0)</f>
        <v>238.70700000000002</v>
      </c>
      <c r="AD121" s="89">
        <f t="shared" si="92"/>
        <v>716.12100000000009</v>
      </c>
      <c r="AE121" s="532">
        <f>IFERROR(IF(AND(AE$54&gt;=EOMONTH($J121,-1)+1,AE$54&lt;=EOMONTH(EOMONTH($J121,-1)+1,$K121-1)),IF(NOT(ISBLANK($N121)),$N121/$K121,$I121/$K121),0),0)</f>
        <v>238.70700000000002</v>
      </c>
      <c r="AF121" s="532">
        <f>IFERROR(IF(AND(AF$54&gt;=EOMONTH($J121,-1)+1,AF$54&lt;=EOMONTH(EOMONTH($J121,-1)+1,$K121-1)),IF(NOT(ISBLANK($N121)),$N121/$K121,$I121/$K121),0),0)</f>
        <v>238.70700000000002</v>
      </c>
      <c r="AG121" s="532">
        <f>IFERROR(IF(AND(AG$54&gt;=EOMONTH($J121,-1)+1,AG$54&lt;=EOMONTH(EOMONTH($J121,-1)+1,$K121-1)),IF(NOT(ISBLANK($N121)),$N121/$K121,$I121/$K121),0),0)</f>
        <v>238.70700000000002</v>
      </c>
      <c r="AH121" s="89">
        <f t="shared" si="134"/>
        <v>716.12100000000009</v>
      </c>
      <c r="AI121" s="95">
        <f t="shared" si="135"/>
        <v>2387.0700000000002</v>
      </c>
      <c r="AJ121" s="361" t="s">
        <v>451</v>
      </c>
      <c r="AK121" s="1038"/>
      <c r="AL121" s="1042"/>
      <c r="AM121" s="1044">
        <f t="shared" ref="AM121" si="172">N121*AL121</f>
        <v>0</v>
      </c>
      <c r="AN121" s="62" t="str">
        <f>C121</f>
        <v>34 - Redução de Peso Bruto do item MB003554LA</v>
      </c>
      <c r="AO121" s="62" t="s">
        <v>289</v>
      </c>
      <c r="AP121" s="543" cm="1">
        <f t="array" aca="1" ref="AP121" ca="1">IF(OR(AN121="",AN121=0),"",IF(SUMPRODUCT(($C$55:$C$175=AN121)*(S$54:$AG$54&lt;EOMONTH(TODAY(),-1)+1)*(ISNUMBER(S$55:$AG$175)),S$55:$AG$175)=0,"",SUMPRODUCT(($C$55:$C$175=AN121)*(S$54:$AG$54&lt;EOMONTH(TODAY(),-1)+1)*(ISNUMBER(S$55:$AG$175)),S$55:$AG$175)))</f>
        <v>716.12100000000009</v>
      </c>
    </row>
    <row r="122" spans="1:42" ht="29.1" customHeight="1" x14ac:dyDescent="0.3">
      <c r="A122" s="1362"/>
      <c r="B122" s="1039"/>
      <c r="C122" s="1377"/>
      <c r="D122" s="1098"/>
      <c r="E122" s="1364"/>
      <c r="F122" s="1100"/>
      <c r="G122" s="1151"/>
      <c r="H122" s="1151"/>
      <c r="I122" s="1351"/>
      <c r="J122" s="1110"/>
      <c r="K122" s="1214"/>
      <c r="L122" s="1077"/>
      <c r="M122" s="1321"/>
      <c r="N122" s="1332"/>
      <c r="O122" s="1317"/>
      <c r="P122" s="1043"/>
      <c r="Q122" s="93" t="s">
        <v>107</v>
      </c>
      <c r="R122" s="826">
        <v>1</v>
      </c>
      <c r="S122" s="312"/>
      <c r="T122" s="312"/>
      <c r="U122" s="312">
        <v>0</v>
      </c>
      <c r="V122" s="310">
        <f t="shared" ref="V122" si="173">SUM(S122:U122)</f>
        <v>0</v>
      </c>
      <c r="W122" s="312">
        <v>330.52335722999953</v>
      </c>
      <c r="X122" s="312">
        <v>255.40441240499965</v>
      </c>
      <c r="Y122" s="312"/>
      <c r="Z122" s="310">
        <f t="shared" ref="Z122" si="174">SUM(W122:Y122)</f>
        <v>585.92776963499921</v>
      </c>
      <c r="AA122" s="312"/>
      <c r="AB122" s="312"/>
      <c r="AC122" s="312"/>
      <c r="AD122" s="310">
        <f t="shared" si="92"/>
        <v>0</v>
      </c>
      <c r="AE122" s="312"/>
      <c r="AF122" s="312"/>
      <c r="AG122" s="312"/>
      <c r="AH122" s="310">
        <f t="shared" si="134"/>
        <v>0</v>
      </c>
      <c r="AI122" s="313">
        <f t="shared" si="135"/>
        <v>585.92776963499921</v>
      </c>
      <c r="AJ122" s="97"/>
      <c r="AK122" s="1039"/>
      <c r="AL122" s="1043"/>
      <c r="AM122" s="1045"/>
      <c r="AN122" s="62" t="str">
        <f>C121</f>
        <v>34 - Redução de Peso Bruto do item MB003554LA</v>
      </c>
      <c r="AO122" s="62" t="s">
        <v>291</v>
      </c>
      <c r="AP122" s="543" cm="1">
        <f t="array" aca="1" ref="AP122" ca="1">IF(OR(AN122="",AN122=0),"",IF(SUMPRODUCT(($C$55:$C$175=AN122)*($S$54:AG$54&lt;=TODAY())*(ISNUMBER($S$56:AG$176)),$S$56:AG$176)=0,"",SUMPRODUCT(($C$55:$C$175=AN122)*($S$54:AG$54&lt;=TODAY())*(ISNUMBER($S$56:AG$176)),$S$56:AG$176)))</f>
        <v>585.92776963499921</v>
      </c>
    </row>
    <row r="123" spans="1:42" ht="29.1" customHeight="1" x14ac:dyDescent="0.3">
      <c r="A123" s="1299" t="s">
        <v>85</v>
      </c>
      <c r="B123" s="1299" t="s">
        <v>90</v>
      </c>
      <c r="C123" s="1365" t="s">
        <v>452</v>
      </c>
      <c r="D123" s="1115" t="s">
        <v>453</v>
      </c>
      <c r="E123" s="1303" t="s">
        <v>454</v>
      </c>
      <c r="F123" s="1040" t="s">
        <v>286</v>
      </c>
      <c r="G123" s="1117">
        <v>46083</v>
      </c>
      <c r="H123" s="1117">
        <v>46101</v>
      </c>
      <c r="I123" s="1074">
        <v>14256</v>
      </c>
      <c r="J123" s="1158">
        <v>46082</v>
      </c>
      <c r="K123" s="1121">
        <f t="shared" ref="K123" si="175">IF(J123="", "", 12 - MONTH(J123) + 1)</f>
        <v>10</v>
      </c>
      <c r="L123" s="1074"/>
      <c r="M123" s="1119" t="s">
        <v>287</v>
      </c>
      <c r="N123" s="1314">
        <v>14341.05</v>
      </c>
      <c r="O123" s="1336" t="s">
        <v>77</v>
      </c>
      <c r="P123" s="1057">
        <v>1</v>
      </c>
      <c r="Q123" s="87" t="s">
        <v>106</v>
      </c>
      <c r="R123" s="825">
        <v>1</v>
      </c>
      <c r="S123" s="309">
        <f>IFERROR(IF(AND(S$54&gt;=EOMONTH($J123,-1)+1,S$54&lt;=EOMONTH(EOMONTH($J123,-1)+1,$K123-1)),IF(NOT(ISBLANK($N123)),$N123/$K123,$I123/$K123),0),0)</f>
        <v>0</v>
      </c>
      <c r="T123" s="309">
        <f>IFERROR(IF(AND(T$54&gt;=EOMONTH($J123,-1)+1,T$54&lt;=EOMONTH(EOMONTH($J123,-1)+1,$K123-1)),IF(NOT(ISBLANK($N123)),$N123/$K123,$I123/$K123),0),0)</f>
        <v>0</v>
      </c>
      <c r="U123" s="943">
        <f>IFERROR(IF(AND(U$54&gt;=EOMONTH($J123,-1)+1,U$54&lt;=EOMONTH(EOMONTH($J123,-1)+1,$K123-1)),IF(NOT(ISBLANK($N123)),$N123/$K123,$I123/$K123),0),0)</f>
        <v>1434.105</v>
      </c>
      <c r="V123" s="89">
        <f t="shared" ref="V123" si="176">SUM(S123:U123)</f>
        <v>1434.105</v>
      </c>
      <c r="W123" s="943">
        <f>IFERROR(IF(AND(W$54&gt;=EOMONTH($J123,-1)+1,W$54&lt;=EOMONTH(EOMONTH($J123,-1)+1,$K123-1)),IF(NOT(ISBLANK($N123)),$N123/$K123,$I123/$K123),0),0)</f>
        <v>1434.105</v>
      </c>
      <c r="X123" s="309">
        <f>IFERROR(IF(AND(X$54&gt;=EOMONTH($J123,-1)+1,X$54&lt;=EOMONTH(EOMONTH($J123,-1)+1,$K123-1)),IF(NOT(ISBLANK($N123)),$N123/$K123,$I123/$K123),0),0)</f>
        <v>1434.105</v>
      </c>
      <c r="Y123" s="309">
        <f>IFERROR(IF(AND(Y$54&gt;=EOMONTH($J123,-1)+1,Y$54&lt;=EOMONTH(EOMONTH($J123,-1)+1,$K123-1)),IF(NOT(ISBLANK($N123)),$N123/$K123,$I123/$K123),0),0)</f>
        <v>1434.105</v>
      </c>
      <c r="Z123" s="89">
        <f t="shared" ref="Z123" si="177">SUM(W123:Y123)</f>
        <v>4302.3150000000005</v>
      </c>
      <c r="AA123" s="309">
        <f>IFERROR(IF(AND(AA$54&gt;=EOMONTH($J123,-1)+1,AA$54&lt;=EOMONTH(EOMONTH($J123,-1)+1,$K123-1)),IF(NOT(ISBLANK($N123)),$N123/$K123,$I123/$K123),0),0)</f>
        <v>1434.105</v>
      </c>
      <c r="AB123" s="309">
        <f>IFERROR(IF(AND(AB$54&gt;=EOMONTH($J123,-1)+1,AB$54&lt;=EOMONTH(EOMONTH($J123,-1)+1,$K123-1)),IF(NOT(ISBLANK($N123)),$N123/$K123,$I123/$K123),0),0)</f>
        <v>1434.105</v>
      </c>
      <c r="AC123" s="309">
        <f>IFERROR(IF(AND(AC$54&gt;=EOMONTH($J123,-1)+1,AC$54&lt;=EOMONTH(EOMONTH($J123,-1)+1,$K123-1)),IF(NOT(ISBLANK($N123)),$N123/$K123,$I123/$K123),0),0)</f>
        <v>1434.105</v>
      </c>
      <c r="AD123" s="89">
        <f t="shared" si="92"/>
        <v>4302.3150000000005</v>
      </c>
      <c r="AE123" s="309">
        <f>IFERROR(IF(AND(AE$54&gt;=EOMONTH($J123,-1)+1,AE$54&lt;=EOMONTH(EOMONTH($J123,-1)+1,$K123-1)),IF(NOT(ISBLANK($N123)),$N123/$K123,$I123/$K123),0),0)</f>
        <v>1434.105</v>
      </c>
      <c r="AF123" s="309">
        <f>IFERROR(IF(AND(AF$54&gt;=EOMONTH($J123,-1)+1,AF$54&lt;=EOMONTH(EOMONTH($J123,-1)+1,$K123-1)),IF(NOT(ISBLANK($N123)),$N123/$K123,$I123/$K123),0),0)</f>
        <v>1434.105</v>
      </c>
      <c r="AG123" s="309">
        <f>IFERROR(IF(AND(AG$54&gt;=EOMONTH($J123,-1)+1,AG$54&lt;=EOMONTH(EOMONTH($J123,-1)+1,$K123-1)),IF(NOT(ISBLANK($N123)),$N123/$K123,$I123/$K123),0),0)</f>
        <v>1434.105</v>
      </c>
      <c r="AH123" s="89">
        <f t="shared" si="134"/>
        <v>4302.3150000000005</v>
      </c>
      <c r="AI123" s="90">
        <f t="shared" si="135"/>
        <v>14341.050000000001</v>
      </c>
      <c r="AJ123" s="360" t="s">
        <v>455</v>
      </c>
      <c r="AK123" s="1040"/>
      <c r="AL123" s="1048"/>
      <c r="AM123" s="1046">
        <f t="shared" ref="AM123" si="178">N123*AL123</f>
        <v>0</v>
      </c>
      <c r="AN123" s="62" t="str">
        <f>C123</f>
        <v>35 - Redução de Peso Bruto do item MB003597LA</v>
      </c>
      <c r="AO123" s="62" t="s">
        <v>289</v>
      </c>
      <c r="AP123" s="543" cm="1">
        <f t="array" aca="1" ref="AP123" ca="1">IF(OR(AN123="",AN123=0),"",IF(SUMPRODUCT(($C$55:$C$175=AN123)*(S$54:$AG$54&lt;EOMONTH(TODAY(),-1)+1)*(ISNUMBER(S$55:$AG$175)),S$55:$AG$175)=0,"",SUMPRODUCT(($C$55:$C$175=AN123)*(S$54:$AG$54&lt;EOMONTH(TODAY(),-1)+1)*(ISNUMBER(S$55:$AG$175)),S$55:$AG$175)))</f>
        <v>4302.3150000000005</v>
      </c>
    </row>
    <row r="124" spans="1:42" ht="29.1" customHeight="1" x14ac:dyDescent="0.3">
      <c r="A124" s="1300"/>
      <c r="B124" s="1300"/>
      <c r="C124" s="1366"/>
      <c r="D124" s="1116"/>
      <c r="E124" s="1304"/>
      <c r="F124" s="1041"/>
      <c r="G124" s="1118"/>
      <c r="H124" s="1118"/>
      <c r="I124" s="1075"/>
      <c r="J124" s="1159"/>
      <c r="K124" s="1122"/>
      <c r="L124" s="1075"/>
      <c r="M124" s="1120"/>
      <c r="N124" s="1375"/>
      <c r="O124" s="1337"/>
      <c r="P124" s="1058"/>
      <c r="Q124" s="87" t="s">
        <v>107</v>
      </c>
      <c r="R124" s="825">
        <v>1</v>
      </c>
      <c r="S124" s="309"/>
      <c r="T124" s="309"/>
      <c r="U124" s="309"/>
      <c r="V124" s="310">
        <f t="shared" ref="V124" si="179">SUM(S124:U124)</f>
        <v>0</v>
      </c>
      <c r="W124" s="309">
        <v>1064.8767698927998</v>
      </c>
      <c r="X124" s="309">
        <v>2256.0404330995198</v>
      </c>
      <c r="Y124" s="309"/>
      <c r="Z124" s="310">
        <f t="shared" ref="Z124" si="180">SUM(W124:Y124)</f>
        <v>3320.9172029923193</v>
      </c>
      <c r="AA124" s="309"/>
      <c r="AB124" s="309"/>
      <c r="AC124" s="309"/>
      <c r="AD124" s="310">
        <f t="shared" si="92"/>
        <v>0</v>
      </c>
      <c r="AE124" s="309"/>
      <c r="AF124" s="309"/>
      <c r="AG124" s="309"/>
      <c r="AH124" s="310">
        <f t="shared" si="134"/>
        <v>0</v>
      </c>
      <c r="AI124" s="311">
        <f t="shared" si="135"/>
        <v>3320.9172029923193</v>
      </c>
      <c r="AJ124" s="360"/>
      <c r="AK124" s="1041"/>
      <c r="AL124" s="1049"/>
      <c r="AM124" s="1047"/>
      <c r="AN124" s="62" t="str">
        <f>C123</f>
        <v>35 - Redução de Peso Bruto do item MB003597LA</v>
      </c>
      <c r="AO124" s="62" t="s">
        <v>291</v>
      </c>
      <c r="AP124" s="543" cm="1">
        <f t="array" aca="1" ref="AP124" ca="1">IF(OR(AN124="",AN124=0),"",IF(SUMPRODUCT(($C$55:$C$175=AN124)*($S$54:AG$54&lt;=TODAY())*(ISNUMBER($S$56:AG$176)),$S$56:AG$176)=0,"",SUMPRODUCT(($C$55:$C$175=AN124)*($S$54:AG$54&lt;=TODAY())*(ISNUMBER($S$56:AG$176)),$S$56:AG$176)))</f>
        <v>3320.9172029923193</v>
      </c>
    </row>
    <row r="125" spans="1:42" ht="29.1" customHeight="1" x14ac:dyDescent="0.3">
      <c r="A125" s="1361" t="s">
        <v>85</v>
      </c>
      <c r="B125" s="1038" t="s">
        <v>90</v>
      </c>
      <c r="C125" s="1376" t="s">
        <v>456</v>
      </c>
      <c r="D125" s="1097" t="s">
        <v>457</v>
      </c>
      <c r="E125" s="1363" t="s">
        <v>458</v>
      </c>
      <c r="F125" s="1099" t="s">
        <v>286</v>
      </c>
      <c r="G125" s="1150">
        <v>46083</v>
      </c>
      <c r="H125" s="1150">
        <v>46101</v>
      </c>
      <c r="I125" s="1350">
        <v>630</v>
      </c>
      <c r="J125" s="1109">
        <v>46082</v>
      </c>
      <c r="K125" s="1213">
        <f t="shared" ref="K125" si="181">IF(J125="", "", 12 - MONTH(J125) + 1)</f>
        <v>10</v>
      </c>
      <c r="L125" s="1076"/>
      <c r="M125" s="1320" t="s">
        <v>287</v>
      </c>
      <c r="N125" s="1331">
        <v>635.70000000000005</v>
      </c>
      <c r="O125" s="1316" t="s">
        <v>77</v>
      </c>
      <c r="P125" s="1042">
        <v>1</v>
      </c>
      <c r="Q125" s="93" t="s">
        <v>106</v>
      </c>
      <c r="R125" s="826">
        <v>1</v>
      </c>
      <c r="S125" s="532">
        <f>IFERROR(IF(AND(S$54&gt;=EOMONTH($J125,-1)+1,S$54&lt;=EOMONTH(EOMONTH($J125,-1)+1,$K125-1)),IF(NOT(ISBLANK($N125)),$N125/$K125,$I125/$K125),0),0)</f>
        <v>0</v>
      </c>
      <c r="T125" s="532">
        <f>IFERROR(IF(AND(T$54&gt;=EOMONTH($J125,-1)+1,T$54&lt;=EOMONTH(EOMONTH($J125,-1)+1,$K125-1)),IF(NOT(ISBLANK($N125)),$N125/$K125,$I125/$K125),0),0)</f>
        <v>0</v>
      </c>
      <c r="U125" s="944">
        <f>IFERROR(IF(AND(U$54&gt;=EOMONTH($J125,-1)+1,U$54&lt;=EOMONTH(EOMONTH($J125,-1)+1,$K125-1)),IF(NOT(ISBLANK($N125)),$N125/$K125,$I125/$K125),0),0)</f>
        <v>63.570000000000007</v>
      </c>
      <c r="V125" s="89">
        <f t="shared" ref="V125" si="182">SUM(S125:U125)</f>
        <v>63.570000000000007</v>
      </c>
      <c r="W125" s="944">
        <f>IFERROR(IF(AND(W$54&gt;=EOMONTH($J125,-1)+1,W$54&lt;=EOMONTH(EOMONTH($J125,-1)+1,$K125-1)),IF(NOT(ISBLANK($N125)),$N125/$K125,$I125/$K125),0),0)</f>
        <v>63.570000000000007</v>
      </c>
      <c r="X125" s="532">
        <f>IFERROR(IF(AND(X$54&gt;=EOMONTH($J125,-1)+1,X$54&lt;=EOMONTH(EOMONTH($J125,-1)+1,$K125-1)),IF(NOT(ISBLANK($N125)),$N125/$K125,$I125/$K125),0),0)</f>
        <v>63.570000000000007</v>
      </c>
      <c r="Y125" s="532">
        <f>IFERROR(IF(AND(Y$54&gt;=EOMONTH($J125,-1)+1,Y$54&lt;=EOMONTH(EOMONTH($J125,-1)+1,$K125-1)),IF(NOT(ISBLANK($N125)),$N125/$K125,$I125/$K125),0),0)</f>
        <v>63.570000000000007</v>
      </c>
      <c r="Z125" s="89">
        <f t="shared" ref="Z125" si="183">SUM(W125:Y125)</f>
        <v>190.71000000000004</v>
      </c>
      <c r="AA125" s="532">
        <f>IFERROR(IF(AND(AA$54&gt;=EOMONTH($J125,-1)+1,AA$54&lt;=EOMONTH(EOMONTH($J125,-1)+1,$K125-1)),IF(NOT(ISBLANK($N125)),$N125/$K125,$I125/$K125),0),0)</f>
        <v>63.570000000000007</v>
      </c>
      <c r="AB125" s="532">
        <f>IFERROR(IF(AND(AB$54&gt;=EOMONTH($J125,-1)+1,AB$54&lt;=EOMONTH(EOMONTH($J125,-1)+1,$K125-1)),IF(NOT(ISBLANK($N125)),$N125/$K125,$I125/$K125),0),0)</f>
        <v>63.570000000000007</v>
      </c>
      <c r="AC125" s="532">
        <f>IFERROR(IF(AND(AC$54&gt;=EOMONTH($J125,-1)+1,AC$54&lt;=EOMONTH(EOMONTH($J125,-1)+1,$K125-1)),IF(NOT(ISBLANK($N125)),$N125/$K125,$I125/$K125),0),0)</f>
        <v>63.570000000000007</v>
      </c>
      <c r="AD125" s="89">
        <f t="shared" si="92"/>
        <v>190.71000000000004</v>
      </c>
      <c r="AE125" s="532">
        <f>IFERROR(IF(AND(AE$54&gt;=EOMONTH($J125,-1)+1,AE$54&lt;=EOMONTH(EOMONTH($J125,-1)+1,$K125-1)),IF(NOT(ISBLANK($N125)),$N125/$K125,$I125/$K125),0),0)</f>
        <v>63.570000000000007</v>
      </c>
      <c r="AF125" s="532">
        <f>IFERROR(IF(AND(AF$54&gt;=EOMONTH($J125,-1)+1,AF$54&lt;=EOMONTH(EOMONTH($J125,-1)+1,$K125-1)),IF(NOT(ISBLANK($N125)),$N125/$K125,$I125/$K125),0),0)</f>
        <v>63.570000000000007</v>
      </c>
      <c r="AG125" s="532">
        <f>IFERROR(IF(AND(AG$54&gt;=EOMONTH($J125,-1)+1,AG$54&lt;=EOMONTH(EOMONTH($J125,-1)+1,$K125-1)),IF(NOT(ISBLANK($N125)),$N125/$K125,$I125/$K125),0),0)</f>
        <v>63.570000000000007</v>
      </c>
      <c r="AH125" s="89">
        <f t="shared" si="134"/>
        <v>190.71000000000004</v>
      </c>
      <c r="AI125" s="95">
        <f t="shared" si="135"/>
        <v>635.70000000000005</v>
      </c>
      <c r="AJ125" s="361" t="s">
        <v>459</v>
      </c>
      <c r="AK125" s="1038"/>
      <c r="AL125" s="1042"/>
      <c r="AM125" s="1044">
        <f t="shared" ref="AM125" si="184">N125*AL125</f>
        <v>0</v>
      </c>
      <c r="AN125" s="62" t="str">
        <f>C125</f>
        <v>36 - Redução de Peso Bruto do item MB003673LA</v>
      </c>
      <c r="AO125" s="62" t="s">
        <v>289</v>
      </c>
      <c r="AP125" s="543" cm="1">
        <f t="array" aca="1" ref="AP125" ca="1">IF(OR(AN125="",AN125=0),"",IF(SUMPRODUCT(($C$55:$C$175=AN125)*(S$54:$AG$54&lt;EOMONTH(TODAY(),-1)+1)*(ISNUMBER(S$55:$AG$175)),S$55:$AG$175)=0,"",SUMPRODUCT(($C$55:$C$175=AN125)*(S$54:$AG$54&lt;EOMONTH(TODAY(),-1)+1)*(ISNUMBER(S$55:$AG$175)),S$55:$AG$175)))</f>
        <v>190.71000000000004</v>
      </c>
    </row>
    <row r="126" spans="1:42" ht="29.1" customHeight="1" x14ac:dyDescent="0.3">
      <c r="A126" s="1362"/>
      <c r="B126" s="1039"/>
      <c r="C126" s="1377"/>
      <c r="D126" s="1098"/>
      <c r="E126" s="1364"/>
      <c r="F126" s="1100"/>
      <c r="G126" s="1151"/>
      <c r="H126" s="1151"/>
      <c r="I126" s="1351"/>
      <c r="J126" s="1110"/>
      <c r="K126" s="1214"/>
      <c r="L126" s="1077"/>
      <c r="M126" s="1321"/>
      <c r="N126" s="1332"/>
      <c r="O126" s="1317"/>
      <c r="P126" s="1043"/>
      <c r="Q126" s="93" t="s">
        <v>107</v>
      </c>
      <c r="R126" s="826">
        <v>1</v>
      </c>
      <c r="S126" s="312"/>
      <c r="T126" s="312"/>
      <c r="U126" s="312"/>
      <c r="V126" s="310">
        <f t="shared" ref="V126" si="185">SUM(S126:U126)</f>
        <v>0</v>
      </c>
      <c r="W126" s="312">
        <v>57.8510977500002</v>
      </c>
      <c r="X126" s="312">
        <v>47.894155000000168</v>
      </c>
      <c r="Y126" s="312"/>
      <c r="Z126" s="310">
        <f t="shared" ref="Z126" si="186">SUM(W126:Y126)</f>
        <v>105.74525275000036</v>
      </c>
      <c r="AA126" s="312"/>
      <c r="AB126" s="312"/>
      <c r="AC126" s="312"/>
      <c r="AD126" s="310">
        <f t="shared" si="92"/>
        <v>0</v>
      </c>
      <c r="AE126" s="312"/>
      <c r="AF126" s="312"/>
      <c r="AG126" s="312"/>
      <c r="AH126" s="310">
        <f t="shared" si="134"/>
        <v>0</v>
      </c>
      <c r="AI126" s="313">
        <f t="shared" si="135"/>
        <v>105.74525275000036</v>
      </c>
      <c r="AJ126" s="97"/>
      <c r="AK126" s="1039"/>
      <c r="AL126" s="1043"/>
      <c r="AM126" s="1045"/>
      <c r="AN126" s="62" t="str">
        <f>C125</f>
        <v>36 - Redução de Peso Bruto do item MB003673LA</v>
      </c>
      <c r="AO126" s="62" t="s">
        <v>291</v>
      </c>
      <c r="AP126" s="543" cm="1">
        <f t="array" aca="1" ref="AP126" ca="1">IF(OR(AN126="",AN126=0),"",IF(SUMPRODUCT(($C$55:$C$175=AN126)*($S$54:AG$54&lt;=TODAY())*(ISNUMBER($S$56:AG$176)),$S$56:AG$176)=0,"",SUMPRODUCT(($C$55:$C$175=AN126)*($S$54:AG$54&lt;=TODAY())*(ISNUMBER($S$56:AG$176)),$S$56:AG$176)))</f>
        <v>105.74525275000036</v>
      </c>
    </row>
    <row r="127" spans="1:42" ht="29.1" customHeight="1" x14ac:dyDescent="0.3">
      <c r="A127" s="1299" t="s">
        <v>85</v>
      </c>
      <c r="B127" s="1299" t="s">
        <v>90</v>
      </c>
      <c r="C127" s="1365" t="s">
        <v>460</v>
      </c>
      <c r="D127" s="1115" t="s">
        <v>461</v>
      </c>
      <c r="E127" s="1303" t="s">
        <v>462</v>
      </c>
      <c r="F127" s="1040" t="s">
        <v>286</v>
      </c>
      <c r="G127" s="1117">
        <v>46083</v>
      </c>
      <c r="H127" s="1117">
        <v>46101</v>
      </c>
      <c r="I127" s="1074">
        <v>2000</v>
      </c>
      <c r="J127" s="1158">
        <v>46082</v>
      </c>
      <c r="K127" s="1121">
        <f t="shared" ref="K127" si="187">IF(J127="", "", 12 - MONTH(J127) + 1)</f>
        <v>10</v>
      </c>
      <c r="L127" s="1074"/>
      <c r="M127" s="1119" t="s">
        <v>287</v>
      </c>
      <c r="N127" s="1053">
        <v>2241.91</v>
      </c>
      <c r="O127" s="1336" t="s">
        <v>77</v>
      </c>
      <c r="P127" s="1057">
        <v>1</v>
      </c>
      <c r="Q127" s="87" t="s">
        <v>106</v>
      </c>
      <c r="R127" s="825">
        <v>1</v>
      </c>
      <c r="S127" s="309">
        <f>IFERROR(IF(AND(S$54&gt;=EOMONTH($J127,-1)+1,S$54&lt;=EOMONTH(EOMONTH($J127,-1)+1,$K127-1)),IF(NOT(ISBLANK($N127)),$N127/$K127,$I127/$K127),0),0)</f>
        <v>0</v>
      </c>
      <c r="T127" s="309">
        <f>IFERROR(IF(AND(T$54&gt;=EOMONTH($J127,-1)+1,T$54&lt;=EOMONTH(EOMONTH($J127,-1)+1,$K127-1)),IF(NOT(ISBLANK($N127)),$N127/$K127,$I127/$K127),0),0)</f>
        <v>0</v>
      </c>
      <c r="U127" s="943">
        <f>IFERROR(IF(AND(U$54&gt;=EOMONTH($J127,-1)+1,U$54&lt;=EOMONTH(EOMONTH($J127,-1)+1,$K127-1)),IF(NOT(ISBLANK($N127)),$N127/$K127,$I127/$K127),0),0)</f>
        <v>224.19099999999997</v>
      </c>
      <c r="V127" s="89">
        <f t="shared" ref="V127" si="188">SUM(S127:U127)</f>
        <v>224.19099999999997</v>
      </c>
      <c r="W127" s="943">
        <f>IFERROR(IF(AND(W$54&gt;=EOMONTH($J127,-1)+1,W$54&lt;=EOMONTH(EOMONTH($J127,-1)+1,$K127-1)),IF(NOT(ISBLANK($N127)),$N127/$K127,$I127/$K127),0),0)</f>
        <v>224.19099999999997</v>
      </c>
      <c r="X127" s="309">
        <f>IFERROR(IF(AND(X$54&gt;=EOMONTH($J127,-1)+1,X$54&lt;=EOMONTH(EOMONTH($J127,-1)+1,$K127-1)),IF(NOT(ISBLANK($N127)),$N127/$K127,$I127/$K127),0),0)</f>
        <v>224.19099999999997</v>
      </c>
      <c r="Y127" s="309">
        <f>IFERROR(IF(AND(Y$54&gt;=EOMONTH($J127,-1)+1,Y$54&lt;=EOMONTH(EOMONTH($J127,-1)+1,$K127-1)),IF(NOT(ISBLANK($N127)),$N127/$K127,$I127/$K127),0),0)</f>
        <v>224.19099999999997</v>
      </c>
      <c r="Z127" s="89">
        <f t="shared" ref="Z127" si="189">SUM(W127:Y127)</f>
        <v>672.57299999999987</v>
      </c>
      <c r="AA127" s="309">
        <f>IFERROR(IF(AND(AA$54&gt;=EOMONTH($J127,-1)+1,AA$54&lt;=EOMONTH(EOMONTH($J127,-1)+1,$K127-1)),IF(NOT(ISBLANK($N127)),$N127/$K127,$I127/$K127),0),0)</f>
        <v>224.19099999999997</v>
      </c>
      <c r="AB127" s="309">
        <f>IFERROR(IF(AND(AB$54&gt;=EOMONTH($J127,-1)+1,AB$54&lt;=EOMONTH(EOMONTH($J127,-1)+1,$K127-1)),IF(NOT(ISBLANK($N127)),$N127/$K127,$I127/$K127),0),0)</f>
        <v>224.19099999999997</v>
      </c>
      <c r="AC127" s="309">
        <f>IFERROR(IF(AND(AC$54&gt;=EOMONTH($J127,-1)+1,AC$54&lt;=EOMONTH(EOMONTH($J127,-1)+1,$K127-1)),IF(NOT(ISBLANK($N127)),$N127/$K127,$I127/$K127),0),0)</f>
        <v>224.19099999999997</v>
      </c>
      <c r="AD127" s="89">
        <f t="shared" si="92"/>
        <v>672.57299999999987</v>
      </c>
      <c r="AE127" s="309">
        <f>IFERROR(IF(AND(AE$54&gt;=EOMONTH($J127,-1)+1,AE$54&lt;=EOMONTH(EOMONTH($J127,-1)+1,$K127-1)),IF(NOT(ISBLANK($N127)),$N127/$K127,$I127/$K127),0),0)</f>
        <v>224.19099999999997</v>
      </c>
      <c r="AF127" s="309">
        <f>IFERROR(IF(AND(AF$54&gt;=EOMONTH($J127,-1)+1,AF$54&lt;=EOMONTH(EOMONTH($J127,-1)+1,$K127-1)),IF(NOT(ISBLANK($N127)),$N127/$K127,$I127/$K127),0),0)</f>
        <v>224.19099999999997</v>
      </c>
      <c r="AG127" s="309">
        <f>IFERROR(IF(AND(AG$54&gt;=EOMONTH($J127,-1)+1,AG$54&lt;=EOMONTH(EOMONTH($J127,-1)+1,$K127-1)),IF(NOT(ISBLANK($N127)),$N127/$K127,$I127/$K127),0),0)</f>
        <v>224.19099999999997</v>
      </c>
      <c r="AH127" s="89">
        <f t="shared" si="134"/>
        <v>672.57299999999987</v>
      </c>
      <c r="AI127" s="90">
        <f t="shared" si="135"/>
        <v>2241.91</v>
      </c>
      <c r="AJ127" s="360" t="s">
        <v>463</v>
      </c>
      <c r="AK127" s="1040"/>
      <c r="AL127" s="1048"/>
      <c r="AM127" s="1046">
        <f t="shared" ref="AM127" si="190">N127*AL127</f>
        <v>0</v>
      </c>
      <c r="AN127" s="62" t="str">
        <f>C127</f>
        <v>37 - Redução de Peso Bruto do item MB003673LD</v>
      </c>
      <c r="AO127" s="62" t="s">
        <v>289</v>
      </c>
      <c r="AP127" s="543" cm="1">
        <f t="array" aca="1" ref="AP127" ca="1">IF(OR(AN127="",AN127=0),"",IF(SUMPRODUCT(($C$55:$C$175=AN127)*(S$54:$AG$54&lt;EOMONTH(TODAY(),-1)+1)*(ISNUMBER(S$55:$AG$175)),S$55:$AG$175)=0,"",SUMPRODUCT(($C$55:$C$175=AN127)*(S$54:$AG$54&lt;EOMONTH(TODAY(),-1)+1)*(ISNUMBER(S$55:$AG$175)),S$55:$AG$175)))</f>
        <v>672.57299999999987</v>
      </c>
    </row>
    <row r="128" spans="1:42" ht="29.1" customHeight="1" x14ac:dyDescent="0.3">
      <c r="A128" s="1300"/>
      <c r="B128" s="1300"/>
      <c r="C128" s="1366"/>
      <c r="D128" s="1116"/>
      <c r="E128" s="1304"/>
      <c r="F128" s="1041"/>
      <c r="G128" s="1118"/>
      <c r="H128" s="1118"/>
      <c r="I128" s="1075"/>
      <c r="J128" s="1159"/>
      <c r="K128" s="1122"/>
      <c r="L128" s="1075"/>
      <c r="M128" s="1120"/>
      <c r="N128" s="1054"/>
      <c r="O128" s="1337"/>
      <c r="P128" s="1058"/>
      <c r="Q128" s="87" t="s">
        <v>107</v>
      </c>
      <c r="R128" s="825">
        <v>1</v>
      </c>
      <c r="S128" s="309"/>
      <c r="T128" s="309"/>
      <c r="U128" s="309">
        <v>0</v>
      </c>
      <c r="V128" s="310">
        <f t="shared" ref="V128" si="191">SUM(S128:U128)</f>
        <v>0</v>
      </c>
      <c r="W128" s="309">
        <v>236.07149840999998</v>
      </c>
      <c r="X128" s="309">
        <v>195.4404562</v>
      </c>
      <c r="Y128" s="309"/>
      <c r="Z128" s="310">
        <f t="shared" ref="Z128" si="192">SUM(W128:Y128)</f>
        <v>431.51195460999998</v>
      </c>
      <c r="AA128" s="309"/>
      <c r="AB128" s="309"/>
      <c r="AC128" s="309"/>
      <c r="AD128" s="310">
        <f t="shared" si="92"/>
        <v>0</v>
      </c>
      <c r="AE128" s="309"/>
      <c r="AF128" s="309"/>
      <c r="AG128" s="309"/>
      <c r="AH128" s="310">
        <f t="shared" si="134"/>
        <v>0</v>
      </c>
      <c r="AI128" s="311">
        <f t="shared" si="135"/>
        <v>431.51195460999998</v>
      </c>
      <c r="AJ128" s="360"/>
      <c r="AK128" s="1041"/>
      <c r="AL128" s="1049"/>
      <c r="AM128" s="1047"/>
      <c r="AN128" s="62" t="str">
        <f>C127</f>
        <v>37 - Redução de Peso Bruto do item MB003673LD</v>
      </c>
      <c r="AO128" s="62" t="s">
        <v>291</v>
      </c>
      <c r="AP128" s="543" cm="1">
        <f t="array" aca="1" ref="AP128" ca="1">IF(OR(AN128="",AN128=0),"",IF(SUMPRODUCT(($C$55:$C$175=AN128)*($S$54:AG$54&lt;=TODAY())*(ISNUMBER($S$56:AG$176)),$S$56:AG$176)=0,"",SUMPRODUCT(($C$55:$C$175=AN128)*($S$54:AG$54&lt;=TODAY())*(ISNUMBER($S$56:AG$176)),$S$56:AG$176)))</f>
        <v>431.51195460999998</v>
      </c>
    </row>
    <row r="129" spans="1:42" ht="29.1" customHeight="1" x14ac:dyDescent="0.3">
      <c r="A129" s="1361" t="s">
        <v>85</v>
      </c>
      <c r="B129" s="1038" t="s">
        <v>90</v>
      </c>
      <c r="C129" s="1376" t="s">
        <v>464</v>
      </c>
      <c r="D129" s="1097" t="s">
        <v>465</v>
      </c>
      <c r="E129" s="1363" t="s">
        <v>466</v>
      </c>
      <c r="F129" s="1099" t="s">
        <v>286</v>
      </c>
      <c r="G129" s="1150">
        <v>46083</v>
      </c>
      <c r="H129" s="1150">
        <v>46101</v>
      </c>
      <c r="I129" s="1350">
        <v>4200</v>
      </c>
      <c r="J129" s="1109">
        <v>46082</v>
      </c>
      <c r="K129" s="1213">
        <f t="shared" ref="K129" si="193">IF(J129="", "", 12 - MONTH(J129) + 1)</f>
        <v>10</v>
      </c>
      <c r="L129" s="1076"/>
      <c r="M129" s="1320" t="s">
        <v>287</v>
      </c>
      <c r="N129" s="1206">
        <v>3546.84</v>
      </c>
      <c r="O129" s="1316" t="s">
        <v>77</v>
      </c>
      <c r="P129" s="1042">
        <v>1</v>
      </c>
      <c r="Q129" s="93" t="s">
        <v>106</v>
      </c>
      <c r="R129" s="826">
        <v>1</v>
      </c>
      <c r="S129" s="532">
        <f>IFERROR(IF(AND(S$54&gt;=EOMONTH($J129,-1)+1,S$54&lt;=EOMONTH(EOMONTH($J129,-1)+1,$K129-1)),IF(NOT(ISBLANK($N129)),$N129/$K129,$I129/$K129),0),0)</f>
        <v>0</v>
      </c>
      <c r="T129" s="532">
        <f>IFERROR(IF(AND(T$54&gt;=EOMONTH($J129,-1)+1,T$54&lt;=EOMONTH(EOMONTH($J129,-1)+1,$K129-1)),IF(NOT(ISBLANK($N129)),$N129/$K129,$I129/$K129),0),0)</f>
        <v>0</v>
      </c>
      <c r="U129" s="944">
        <f>IFERROR(IF(AND(U$54&gt;=EOMONTH($J129,-1)+1,U$54&lt;=EOMONTH(EOMONTH($J129,-1)+1,$K129-1)),IF(NOT(ISBLANK($N129)),$N129/$K129,$I129/$K129),0),0)</f>
        <v>354.68400000000003</v>
      </c>
      <c r="V129" s="89">
        <f t="shared" ref="V129" si="194">SUM(S129:U129)</f>
        <v>354.68400000000003</v>
      </c>
      <c r="W129" s="944">
        <f>IFERROR(IF(AND(W$54&gt;=EOMONTH($J129,-1)+1,W$54&lt;=EOMONTH(EOMONTH($J129,-1)+1,$K129-1)),IF(NOT(ISBLANK($N129)),$N129/$K129,$I129/$K129),0),0)</f>
        <v>354.68400000000003</v>
      </c>
      <c r="X129" s="532">
        <f>IFERROR(IF(AND(X$54&gt;=EOMONTH($J129,-1)+1,X$54&lt;=EOMONTH(EOMONTH($J129,-1)+1,$K129-1)),IF(NOT(ISBLANK($N129)),$N129/$K129,$I129/$K129),0),0)</f>
        <v>354.68400000000003</v>
      </c>
      <c r="Y129" s="532">
        <f>IFERROR(IF(AND(Y$54&gt;=EOMONTH($J129,-1)+1,Y$54&lt;=EOMONTH(EOMONTH($J129,-1)+1,$K129-1)),IF(NOT(ISBLANK($N129)),$N129/$K129,$I129/$K129),0),0)</f>
        <v>354.68400000000003</v>
      </c>
      <c r="Z129" s="89">
        <f t="shared" ref="Z129" si="195">SUM(W129:Y129)</f>
        <v>1064.0520000000001</v>
      </c>
      <c r="AA129" s="532">
        <f>IFERROR(IF(AND(AA$54&gt;=EOMONTH($J129,-1)+1,AA$54&lt;=EOMONTH(EOMONTH($J129,-1)+1,$K129-1)),IF(NOT(ISBLANK($N129)),$N129/$K129,$I129/$K129),0),0)</f>
        <v>354.68400000000003</v>
      </c>
      <c r="AB129" s="532">
        <f>IFERROR(IF(AND(AB$54&gt;=EOMONTH($J129,-1)+1,AB$54&lt;=EOMONTH(EOMONTH($J129,-1)+1,$K129-1)),IF(NOT(ISBLANK($N129)),$N129/$K129,$I129/$K129),0),0)</f>
        <v>354.68400000000003</v>
      </c>
      <c r="AC129" s="532">
        <f>IFERROR(IF(AND(AC$54&gt;=EOMONTH($J129,-1)+1,AC$54&lt;=EOMONTH(EOMONTH($J129,-1)+1,$K129-1)),IF(NOT(ISBLANK($N129)),$N129/$K129,$I129/$K129),0),0)</f>
        <v>354.68400000000003</v>
      </c>
      <c r="AD129" s="89">
        <f t="shared" si="92"/>
        <v>1064.0520000000001</v>
      </c>
      <c r="AE129" s="532">
        <f>IFERROR(IF(AND(AE$54&gt;=EOMONTH($J129,-1)+1,AE$54&lt;=EOMONTH(EOMONTH($J129,-1)+1,$K129-1)),IF(NOT(ISBLANK($N129)),$N129/$K129,$I129/$K129),0),0)</f>
        <v>354.68400000000003</v>
      </c>
      <c r="AF129" s="532">
        <f>IFERROR(IF(AND(AF$54&gt;=EOMONTH($J129,-1)+1,AF$54&lt;=EOMONTH(EOMONTH($J129,-1)+1,$K129-1)),IF(NOT(ISBLANK($N129)),$N129/$K129,$I129/$K129),0),0)</f>
        <v>354.68400000000003</v>
      </c>
      <c r="AG129" s="532">
        <f>IFERROR(IF(AND(AG$54&gt;=EOMONTH($J129,-1)+1,AG$54&lt;=EOMONTH(EOMONTH($J129,-1)+1,$K129-1)),IF(NOT(ISBLANK($N129)),$N129/$K129,$I129/$K129),0),0)</f>
        <v>354.68400000000003</v>
      </c>
      <c r="AH129" s="89">
        <f t="shared" si="120"/>
        <v>1064.0520000000001</v>
      </c>
      <c r="AI129" s="95">
        <f t="shared" si="121"/>
        <v>3546.8400000000006</v>
      </c>
      <c r="AJ129" s="361" t="s">
        <v>467</v>
      </c>
      <c r="AK129" s="1038"/>
      <c r="AL129" s="1042"/>
      <c r="AM129" s="1044">
        <f t="shared" ref="AM129" si="196">N129*AL129</f>
        <v>0</v>
      </c>
      <c r="AN129" s="62" t="str">
        <f>C129</f>
        <v>38 - Redução de Peso Bruto do item SV000205LB</v>
      </c>
      <c r="AO129" s="62" t="s">
        <v>289</v>
      </c>
      <c r="AP129" s="543" cm="1">
        <f t="array" aca="1" ref="AP129" ca="1">IF(OR(AN129="",AN129=0),"",IF(SUMPRODUCT(($C$55:$C$175=AN129)*(S$54:$AG$54&lt;EOMONTH(TODAY(),-1)+1)*(ISNUMBER(S$55:$AG$175)),S$55:$AG$175)=0,"",SUMPRODUCT(($C$55:$C$175=AN129)*(S$54:$AG$54&lt;EOMONTH(TODAY(),-1)+1)*(ISNUMBER(S$55:$AG$175)),S$55:$AG$175)))</f>
        <v>1064.0520000000001</v>
      </c>
    </row>
    <row r="130" spans="1:42" ht="29.1" customHeight="1" x14ac:dyDescent="0.3">
      <c r="A130" s="1362"/>
      <c r="B130" s="1039"/>
      <c r="C130" s="1377"/>
      <c r="D130" s="1098"/>
      <c r="E130" s="1364"/>
      <c r="F130" s="1100"/>
      <c r="G130" s="1151"/>
      <c r="H130" s="1151"/>
      <c r="I130" s="1351"/>
      <c r="J130" s="1110"/>
      <c r="K130" s="1214"/>
      <c r="L130" s="1077"/>
      <c r="M130" s="1321"/>
      <c r="N130" s="1208"/>
      <c r="O130" s="1317"/>
      <c r="P130" s="1043"/>
      <c r="Q130" s="93" t="s">
        <v>107</v>
      </c>
      <c r="R130" s="826">
        <v>1</v>
      </c>
      <c r="S130" s="312"/>
      <c r="T130" s="312"/>
      <c r="U130" s="312">
        <v>0</v>
      </c>
      <c r="V130" s="310">
        <f t="shared" ref="V130" si="197">SUM(S130:U130)</f>
        <v>0</v>
      </c>
      <c r="W130" s="312">
        <v>1019.21</v>
      </c>
      <c r="X130" s="312">
        <v>611.52404621999995</v>
      </c>
      <c r="Y130" s="312"/>
      <c r="Z130" s="310">
        <f t="shared" ref="Z130" si="198">SUM(W130:Y130)</f>
        <v>1630.73404622</v>
      </c>
      <c r="AA130" s="312"/>
      <c r="AB130" s="312"/>
      <c r="AC130" s="312"/>
      <c r="AD130" s="310">
        <f t="shared" si="92"/>
        <v>0</v>
      </c>
      <c r="AE130" s="312"/>
      <c r="AF130" s="312"/>
      <c r="AG130" s="312"/>
      <c r="AH130" s="310">
        <f t="shared" si="120"/>
        <v>0</v>
      </c>
      <c r="AI130" s="313">
        <f t="shared" si="121"/>
        <v>1630.73404622</v>
      </c>
      <c r="AJ130" s="97"/>
      <c r="AK130" s="1039"/>
      <c r="AL130" s="1043"/>
      <c r="AM130" s="1045"/>
      <c r="AN130" s="62" t="str">
        <f>C129</f>
        <v>38 - Redução de Peso Bruto do item SV000205LB</v>
      </c>
      <c r="AO130" s="62" t="s">
        <v>291</v>
      </c>
      <c r="AP130" s="543" cm="1">
        <f t="array" aca="1" ref="AP130" ca="1">IF(OR(AN130="",AN130=0),"",IF(SUMPRODUCT(($C$55:$C$175=AN130)*($S$54:AG$54&lt;=TODAY())*(ISNUMBER($S$56:AG$176)),$S$56:AG$176)=0,"",SUMPRODUCT(($C$55:$C$175=AN130)*($S$54:AG$54&lt;=TODAY())*(ISNUMBER($S$56:AG$176)),$S$56:AG$176)))</f>
        <v>1630.73404622</v>
      </c>
    </row>
    <row r="131" spans="1:42" ht="29.1" customHeight="1" x14ac:dyDescent="0.3">
      <c r="A131" s="1299" t="s">
        <v>85</v>
      </c>
      <c r="B131" s="1299" t="s">
        <v>90</v>
      </c>
      <c r="C131" s="1365" t="s">
        <v>468</v>
      </c>
      <c r="D131" s="1115" t="s">
        <v>469</v>
      </c>
      <c r="E131" s="1303" t="s">
        <v>470</v>
      </c>
      <c r="F131" s="1040" t="s">
        <v>286</v>
      </c>
      <c r="G131" s="1117">
        <v>46083</v>
      </c>
      <c r="H131" s="1117">
        <v>46101</v>
      </c>
      <c r="I131" s="1342">
        <v>1800</v>
      </c>
      <c r="J131" s="1158">
        <v>46082</v>
      </c>
      <c r="K131" s="1121">
        <f t="shared" ref="K131" si="199">IF(J131="", "", 12 - MONTH(J131) + 1)</f>
        <v>10</v>
      </c>
      <c r="L131" s="1074"/>
      <c r="M131" s="1119" t="s">
        <v>287</v>
      </c>
      <c r="N131" s="1314">
        <v>1584.87</v>
      </c>
      <c r="O131" s="1336" t="s">
        <v>77</v>
      </c>
      <c r="P131" s="1057">
        <v>1</v>
      </c>
      <c r="Q131" s="87" t="s">
        <v>106</v>
      </c>
      <c r="R131" s="825">
        <v>1</v>
      </c>
      <c r="S131" s="309">
        <f>IFERROR(IF(AND(S$54&gt;=EOMONTH($J131,-1)+1,S$54&lt;=EOMONTH(EOMONTH($J131,-1)+1,$K131-1)),IF(NOT(ISBLANK($N131)),$N131/$K131,$I131/$K131),0),0)</f>
        <v>0</v>
      </c>
      <c r="T131" s="309">
        <f>IFERROR(IF(AND(T$54&gt;=EOMONTH($J131,-1)+1,T$54&lt;=EOMONTH(EOMONTH($J131,-1)+1,$K131-1)),IF(NOT(ISBLANK($N131)),$N131/$K131,$I131/$K131),0),0)</f>
        <v>0</v>
      </c>
      <c r="U131" s="943">
        <f>IFERROR(IF(AND(U$54&gt;=EOMONTH($J131,-1)+1,U$54&lt;=EOMONTH(EOMONTH($J131,-1)+1,$K131-1)),IF(NOT(ISBLANK($N131)),$N131/$K131,$I131/$K131),0),0)</f>
        <v>158.48699999999999</v>
      </c>
      <c r="V131" s="89">
        <f t="shared" ref="V131" si="200">SUM(S131:U131)</f>
        <v>158.48699999999999</v>
      </c>
      <c r="W131" s="943">
        <f>IFERROR(IF(AND(W$54&gt;=EOMONTH($J131,-1)+1,W$54&lt;=EOMONTH(EOMONTH($J131,-1)+1,$K131-1)),IF(NOT(ISBLANK($N131)),$N131/$K131,$I131/$K131),0),0)</f>
        <v>158.48699999999999</v>
      </c>
      <c r="X131" s="309">
        <f>IFERROR(IF(AND(X$54&gt;=EOMONTH($J131,-1)+1,X$54&lt;=EOMONTH(EOMONTH($J131,-1)+1,$K131-1)),IF(NOT(ISBLANK($N131)),$N131/$K131,$I131/$K131),0),0)</f>
        <v>158.48699999999999</v>
      </c>
      <c r="Y131" s="309">
        <f>IFERROR(IF(AND(Y$54&gt;=EOMONTH($J131,-1)+1,Y$54&lt;=EOMONTH(EOMONTH($J131,-1)+1,$K131-1)),IF(NOT(ISBLANK($N131)),$N131/$K131,$I131/$K131),0),0)</f>
        <v>158.48699999999999</v>
      </c>
      <c r="Z131" s="89">
        <f t="shared" ref="Z131" si="201">SUM(W131:Y131)</f>
        <v>475.46100000000001</v>
      </c>
      <c r="AA131" s="309">
        <f>IFERROR(IF(AND(AA$54&gt;=EOMONTH($J131,-1)+1,AA$54&lt;=EOMONTH(EOMONTH($J131,-1)+1,$K131-1)),IF(NOT(ISBLANK($N131)),$N131/$K131,$I131/$K131),0),0)</f>
        <v>158.48699999999999</v>
      </c>
      <c r="AB131" s="309">
        <f>IFERROR(IF(AND(AB$54&gt;=EOMONTH($J131,-1)+1,AB$54&lt;=EOMONTH(EOMONTH($J131,-1)+1,$K131-1)),IF(NOT(ISBLANK($N131)),$N131/$K131,$I131/$K131),0),0)</f>
        <v>158.48699999999999</v>
      </c>
      <c r="AC131" s="309">
        <f>IFERROR(IF(AND(AC$54&gt;=EOMONTH($J131,-1)+1,AC$54&lt;=EOMONTH(EOMONTH($J131,-1)+1,$K131-1)),IF(NOT(ISBLANK($N131)),$N131/$K131,$I131/$K131),0),0)</f>
        <v>158.48699999999999</v>
      </c>
      <c r="AD131" s="89">
        <f t="shared" si="92"/>
        <v>475.46100000000001</v>
      </c>
      <c r="AE131" s="309">
        <f>IFERROR(IF(AND(AE$54&gt;=EOMONTH($J131,-1)+1,AE$54&lt;=EOMONTH(EOMONTH($J131,-1)+1,$K131-1)),IF(NOT(ISBLANK($N131)),$N131/$K131,$I131/$K131),0),0)</f>
        <v>158.48699999999999</v>
      </c>
      <c r="AF131" s="309">
        <f>IFERROR(IF(AND(AF$54&gt;=EOMONTH($J131,-1)+1,AF$54&lt;=EOMONTH(EOMONTH($J131,-1)+1,$K131-1)),IF(NOT(ISBLANK($N131)),$N131/$K131,$I131/$K131),0),0)</f>
        <v>158.48699999999999</v>
      </c>
      <c r="AG131" s="309">
        <f>IFERROR(IF(AND(AG$54&gt;=EOMONTH($J131,-1)+1,AG$54&lt;=EOMONTH(EOMONTH($J131,-1)+1,$K131-1)),IF(NOT(ISBLANK($N131)),$N131/$K131,$I131/$K131),0),0)</f>
        <v>158.48699999999999</v>
      </c>
      <c r="AH131" s="89">
        <f t="shared" si="120"/>
        <v>475.46100000000001</v>
      </c>
      <c r="AI131" s="90">
        <f t="shared" si="121"/>
        <v>1584.8700000000001</v>
      </c>
      <c r="AJ131" s="360" t="s">
        <v>471</v>
      </c>
      <c r="AK131" s="1040"/>
      <c r="AL131" s="1048"/>
      <c r="AM131" s="1046">
        <f t="shared" ref="AM131" si="202">N131*AL131</f>
        <v>0</v>
      </c>
      <c r="AN131" s="62" t="str">
        <f>C131</f>
        <v>39 - Redução de Peso Bruto do item VB000323LA</v>
      </c>
      <c r="AO131" s="62" t="s">
        <v>289</v>
      </c>
      <c r="AP131" s="543" cm="1">
        <f t="array" aca="1" ref="AP131" ca="1">IF(OR(AN131="",AN131=0),"",IF(SUMPRODUCT(($C$55:$C$175=AN131)*(S$54:$AG$54&lt;EOMONTH(TODAY(),-1)+1)*(ISNUMBER(S$55:$AG$175)),S$55:$AG$175)=0,"",SUMPRODUCT(($C$55:$C$175=AN131)*(S$54:$AG$54&lt;EOMONTH(TODAY(),-1)+1)*(ISNUMBER(S$55:$AG$175)),S$55:$AG$175)))</f>
        <v>475.46100000000001</v>
      </c>
    </row>
    <row r="132" spans="1:42" ht="29.1" customHeight="1" x14ac:dyDescent="0.3">
      <c r="A132" s="1300"/>
      <c r="B132" s="1300"/>
      <c r="C132" s="1366"/>
      <c r="D132" s="1116"/>
      <c r="E132" s="1304"/>
      <c r="F132" s="1041"/>
      <c r="G132" s="1118"/>
      <c r="H132" s="1118"/>
      <c r="I132" s="1343"/>
      <c r="J132" s="1159"/>
      <c r="K132" s="1122"/>
      <c r="L132" s="1075"/>
      <c r="M132" s="1120"/>
      <c r="N132" s="1375"/>
      <c r="O132" s="1337"/>
      <c r="P132" s="1058"/>
      <c r="Q132" s="87" t="s">
        <v>107</v>
      </c>
      <c r="R132" s="825">
        <v>0.3</v>
      </c>
      <c r="S132" s="309"/>
      <c r="T132" s="309"/>
      <c r="U132" s="309">
        <v>0</v>
      </c>
      <c r="V132" s="310">
        <f t="shared" ref="V132" si="203">SUM(S132:U132)</f>
        <v>0</v>
      </c>
      <c r="W132" s="309">
        <v>164.33889599999992</v>
      </c>
      <c r="X132" s="309">
        <v>109.55926399999996</v>
      </c>
      <c r="Y132" s="309"/>
      <c r="Z132" s="310">
        <f t="shared" ref="Z132" si="204">SUM(W132:Y132)</f>
        <v>273.89815999999985</v>
      </c>
      <c r="AA132" s="309"/>
      <c r="AB132" s="309"/>
      <c r="AC132" s="309"/>
      <c r="AD132" s="310">
        <f t="shared" si="92"/>
        <v>0</v>
      </c>
      <c r="AE132" s="309"/>
      <c r="AF132" s="309"/>
      <c r="AG132" s="309"/>
      <c r="AH132" s="310">
        <f t="shared" si="120"/>
        <v>0</v>
      </c>
      <c r="AI132" s="311">
        <f t="shared" si="121"/>
        <v>273.89815999999985</v>
      </c>
      <c r="AJ132" s="360"/>
      <c r="AK132" s="1041"/>
      <c r="AL132" s="1049"/>
      <c r="AM132" s="1047"/>
      <c r="AN132" s="62" t="str">
        <f>C131</f>
        <v>39 - Redução de Peso Bruto do item VB000323LA</v>
      </c>
      <c r="AO132" s="62" t="s">
        <v>291</v>
      </c>
      <c r="AP132" s="543" cm="1">
        <f t="array" aca="1" ref="AP132" ca="1">IF(OR(AN132="",AN132=0),"",IF(SUMPRODUCT(($C$55:$C$175=AN132)*($S$54:AG$54&lt;=TODAY())*(ISNUMBER($S$56:AG$176)),$S$56:AG$176)=0,"",SUMPRODUCT(($C$55:$C$175=AN132)*($S$54:AG$54&lt;=TODAY())*(ISNUMBER($S$56:AG$176)),$S$56:AG$176)))</f>
        <v>273.89815999999985</v>
      </c>
    </row>
    <row r="133" spans="1:42" ht="29.1" customHeight="1" x14ac:dyDescent="0.3">
      <c r="A133" s="1361" t="s">
        <v>85</v>
      </c>
      <c r="B133" s="1038" t="s">
        <v>90</v>
      </c>
      <c r="C133" s="1376" t="s">
        <v>472</v>
      </c>
      <c r="D133" s="1097" t="s">
        <v>473</v>
      </c>
      <c r="E133" s="1363" t="s">
        <v>474</v>
      </c>
      <c r="F133" s="1099" t="s">
        <v>286</v>
      </c>
      <c r="G133" s="1150">
        <v>46083</v>
      </c>
      <c r="H133" s="1150">
        <v>46101</v>
      </c>
      <c r="I133" s="1350">
        <v>1200</v>
      </c>
      <c r="J133" s="1109">
        <v>46082</v>
      </c>
      <c r="K133" s="1213">
        <f t="shared" ref="K133" si="205">IF(J133="", "", 12 - MONTH(J133) + 1)</f>
        <v>10</v>
      </c>
      <c r="L133" s="1076"/>
      <c r="M133" s="1320" t="s">
        <v>287</v>
      </c>
      <c r="N133" s="1206">
        <v>1896.52</v>
      </c>
      <c r="O133" s="1316" t="s">
        <v>77</v>
      </c>
      <c r="P133" s="1042">
        <v>1</v>
      </c>
      <c r="Q133" s="93" t="s">
        <v>106</v>
      </c>
      <c r="R133" s="826">
        <v>1</v>
      </c>
      <c r="S133" s="532">
        <f>IFERROR(IF(AND(S$54&gt;=EOMONTH($J133,-1)+1,S$54&lt;=EOMONTH(EOMONTH($J133,-1)+1,$K133-1)),IF(NOT(ISBLANK($N133)),$N133/$K133,$I133/$K133),0),0)</f>
        <v>0</v>
      </c>
      <c r="T133" s="532">
        <f>IFERROR(IF(AND(T$54&gt;=EOMONTH($J133,-1)+1,T$54&lt;=EOMONTH(EOMONTH($J133,-1)+1,$K133-1)),IF(NOT(ISBLANK($N133)),$N133/$K133,$I133/$K133),0),0)</f>
        <v>0</v>
      </c>
      <c r="U133" s="944">
        <f>IFERROR(IF(AND(U$54&gt;=EOMONTH($J133,-1)+1,U$54&lt;=EOMONTH(EOMONTH($J133,-1)+1,$K133-1)),IF(NOT(ISBLANK($N133)),$N133/$K133,$I133/$K133),0),0)</f>
        <v>189.65199999999999</v>
      </c>
      <c r="V133" s="89">
        <f t="shared" ref="V133" si="206">SUM(S133:U133)</f>
        <v>189.65199999999999</v>
      </c>
      <c r="W133" s="944">
        <f>IFERROR(IF(AND(W$54&gt;=EOMONTH($J133,-1)+1,W$54&lt;=EOMONTH(EOMONTH($J133,-1)+1,$K133-1)),IF(NOT(ISBLANK($N133)),$N133/$K133,$I133/$K133),0),0)</f>
        <v>189.65199999999999</v>
      </c>
      <c r="X133" s="532">
        <f>IFERROR(IF(AND(X$54&gt;=EOMONTH($J133,-1)+1,X$54&lt;=EOMONTH(EOMONTH($J133,-1)+1,$K133-1)),IF(NOT(ISBLANK($N133)),$N133/$K133,$I133/$K133),0),0)</f>
        <v>189.65199999999999</v>
      </c>
      <c r="Y133" s="532">
        <f>IFERROR(IF(AND(Y$54&gt;=EOMONTH($J133,-1)+1,Y$54&lt;=EOMONTH(EOMONTH($J133,-1)+1,$K133-1)),IF(NOT(ISBLANK($N133)),$N133/$K133,$I133/$K133),0),0)</f>
        <v>189.65199999999999</v>
      </c>
      <c r="Z133" s="89">
        <f t="shared" ref="Z133" si="207">SUM(W133:Y133)</f>
        <v>568.9559999999999</v>
      </c>
      <c r="AA133" s="532">
        <f>IFERROR(IF(AND(AA$54&gt;=EOMONTH($J133,-1)+1,AA$54&lt;=EOMONTH(EOMONTH($J133,-1)+1,$K133-1)),IF(NOT(ISBLANK($N133)),$N133/$K133,$I133/$K133),0),0)</f>
        <v>189.65199999999999</v>
      </c>
      <c r="AB133" s="532">
        <f>IFERROR(IF(AND(AB$54&gt;=EOMONTH($J133,-1)+1,AB$54&lt;=EOMONTH(EOMONTH($J133,-1)+1,$K133-1)),IF(NOT(ISBLANK($N133)),$N133/$K133,$I133/$K133),0),0)</f>
        <v>189.65199999999999</v>
      </c>
      <c r="AC133" s="532">
        <f>IFERROR(IF(AND(AC$54&gt;=EOMONTH($J133,-1)+1,AC$54&lt;=EOMONTH(EOMONTH($J133,-1)+1,$K133-1)),IF(NOT(ISBLANK($N133)),$N133/$K133,$I133/$K133),0),0)</f>
        <v>189.65199999999999</v>
      </c>
      <c r="AD133" s="89">
        <f t="shared" si="92"/>
        <v>568.9559999999999</v>
      </c>
      <c r="AE133" s="532">
        <f>IFERROR(IF(AND(AE$54&gt;=EOMONTH($J133,-1)+1,AE$54&lt;=EOMONTH(EOMONTH($J133,-1)+1,$K133-1)),IF(NOT(ISBLANK($N133)),$N133/$K133,$I133/$K133),0),0)</f>
        <v>189.65199999999999</v>
      </c>
      <c r="AF133" s="532">
        <f>IFERROR(IF(AND(AF$54&gt;=EOMONTH($J133,-1)+1,AF$54&lt;=EOMONTH(EOMONTH($J133,-1)+1,$K133-1)),IF(NOT(ISBLANK($N133)),$N133/$K133,$I133/$K133),0),0)</f>
        <v>189.65199999999999</v>
      </c>
      <c r="AG133" s="532">
        <f>IFERROR(IF(AND(AG$54&gt;=EOMONTH($J133,-1)+1,AG$54&lt;=EOMONTH(EOMONTH($J133,-1)+1,$K133-1)),IF(NOT(ISBLANK($N133)),$N133/$K133,$I133/$K133),0),0)</f>
        <v>189.65199999999999</v>
      </c>
      <c r="AH133" s="89">
        <f t="shared" si="120"/>
        <v>568.9559999999999</v>
      </c>
      <c r="AI133" s="95">
        <f t="shared" si="121"/>
        <v>1896.5199999999998</v>
      </c>
      <c r="AJ133" s="361" t="s">
        <v>475</v>
      </c>
      <c r="AK133" s="1038"/>
      <c r="AL133" s="1042"/>
      <c r="AM133" s="1044">
        <f t="shared" ref="AM133" si="208">N133*AL133</f>
        <v>0</v>
      </c>
      <c r="AN133" s="62" t="str">
        <f>C133</f>
        <v>40 - Redução de Peso Bruto do item VW001138LA</v>
      </c>
      <c r="AO133" s="62" t="s">
        <v>289</v>
      </c>
      <c r="AP133" s="543" cm="1">
        <f t="array" aca="1" ref="AP133" ca="1">IF(OR(AN133="",AN133=0),"",IF(SUMPRODUCT(($C$55:$C$175=AN133)*(S$54:$AG$54&lt;EOMONTH(TODAY(),-1)+1)*(ISNUMBER(S$55:$AG$175)),S$55:$AG$175)=0,"",SUMPRODUCT(($C$55:$C$175=AN133)*(S$54:$AG$54&lt;EOMONTH(TODAY(),-1)+1)*(ISNUMBER(S$55:$AG$175)),S$55:$AG$175)))</f>
        <v>568.9559999999999</v>
      </c>
    </row>
    <row r="134" spans="1:42" ht="29.1" customHeight="1" x14ac:dyDescent="0.3">
      <c r="A134" s="1362"/>
      <c r="B134" s="1039"/>
      <c r="C134" s="1377"/>
      <c r="D134" s="1098"/>
      <c r="E134" s="1364"/>
      <c r="F134" s="1100"/>
      <c r="G134" s="1151"/>
      <c r="H134" s="1151"/>
      <c r="I134" s="1351"/>
      <c r="J134" s="1110"/>
      <c r="K134" s="1214"/>
      <c r="L134" s="1077"/>
      <c r="M134" s="1321"/>
      <c r="N134" s="1208"/>
      <c r="O134" s="1317"/>
      <c r="P134" s="1043"/>
      <c r="Q134" s="93" t="s">
        <v>107</v>
      </c>
      <c r="R134" s="826">
        <v>1</v>
      </c>
      <c r="S134" s="312"/>
      <c r="T134" s="312"/>
      <c r="U134" s="312">
        <v>0</v>
      </c>
      <c r="V134" s="310">
        <f t="shared" ref="V134" si="209">SUM(S134:U134)</f>
        <v>0</v>
      </c>
      <c r="W134" s="312">
        <v>337.01599020000032</v>
      </c>
      <c r="X134" s="312">
        <v>678.64863780000064</v>
      </c>
      <c r="Y134" s="312"/>
      <c r="Z134" s="310">
        <f t="shared" ref="Z134" si="210">SUM(W134:Y134)</f>
        <v>1015.6646280000009</v>
      </c>
      <c r="AA134" s="312"/>
      <c r="AB134" s="312"/>
      <c r="AC134" s="312"/>
      <c r="AD134" s="310">
        <f t="shared" si="92"/>
        <v>0</v>
      </c>
      <c r="AE134" s="312"/>
      <c r="AF134" s="312"/>
      <c r="AG134" s="312"/>
      <c r="AH134" s="310">
        <f t="shared" si="120"/>
        <v>0</v>
      </c>
      <c r="AI134" s="313">
        <f t="shared" si="121"/>
        <v>1015.6646280000009</v>
      </c>
      <c r="AJ134" s="97"/>
      <c r="AK134" s="1039"/>
      <c r="AL134" s="1043"/>
      <c r="AM134" s="1045"/>
      <c r="AN134" s="62" t="str">
        <f>C133</f>
        <v>40 - Redução de Peso Bruto do item VW001138LA</v>
      </c>
      <c r="AO134" s="62" t="s">
        <v>291</v>
      </c>
      <c r="AP134" s="543" cm="1">
        <f t="array" aca="1" ref="AP134" ca="1">IF(OR(AN134="",AN134=0),"",IF(SUMPRODUCT(($C$55:$C$175=AN134)*($S$54:AG$54&lt;=TODAY())*(ISNUMBER($S$56:AG$176)),$S$56:AG$176)=0,"",SUMPRODUCT(($C$55:$C$175=AN134)*($S$54:AG$54&lt;=TODAY())*(ISNUMBER($S$56:AG$176)),$S$56:AG$176)))</f>
        <v>1015.6646280000009</v>
      </c>
    </row>
    <row r="135" spans="1:42" ht="29.1" customHeight="1" x14ac:dyDescent="0.3">
      <c r="A135" s="1299" t="s">
        <v>85</v>
      </c>
      <c r="B135" s="1299" t="s">
        <v>90</v>
      </c>
      <c r="C135" s="1365" t="s">
        <v>476</v>
      </c>
      <c r="D135" s="1115" t="s">
        <v>477</v>
      </c>
      <c r="E135" s="1303" t="s">
        <v>478</v>
      </c>
      <c r="F135" s="1040" t="s">
        <v>286</v>
      </c>
      <c r="G135" s="1117">
        <v>46083</v>
      </c>
      <c r="H135" s="1117">
        <v>46101</v>
      </c>
      <c r="I135" s="1074">
        <v>47160</v>
      </c>
      <c r="J135" s="1158">
        <v>46082</v>
      </c>
      <c r="K135" s="1121">
        <f t="shared" ref="K135" si="211">IF(J135="", "", 12 - MONTH(J135) + 1)</f>
        <v>10</v>
      </c>
      <c r="L135" s="1074"/>
      <c r="M135" s="1119" t="s">
        <v>287</v>
      </c>
      <c r="N135" s="1053">
        <v>41104.57</v>
      </c>
      <c r="O135" s="1336" t="s">
        <v>77</v>
      </c>
      <c r="P135" s="1057">
        <v>1</v>
      </c>
      <c r="Q135" s="87" t="s">
        <v>106</v>
      </c>
      <c r="R135" s="825">
        <v>1</v>
      </c>
      <c r="S135" s="309">
        <f>IFERROR(IF(AND(S$54&gt;=EOMONTH($J135,-1)+1,S$54&lt;=EOMONTH(EOMONTH($J135,-1)+1,$K135-1)),IF(NOT(ISBLANK($N135)),$N135/$K135,$I135/$K135),0),0)</f>
        <v>0</v>
      </c>
      <c r="T135" s="309">
        <f>IFERROR(IF(AND(T$54&gt;=EOMONTH($J135,-1)+1,T$54&lt;=EOMONTH(EOMONTH($J135,-1)+1,$K135-1)),IF(NOT(ISBLANK($N135)),$N135/$K135,$I135/$K135),0),0)</f>
        <v>0</v>
      </c>
      <c r="U135" s="943">
        <f>IFERROR(IF(AND(U$54&gt;=EOMONTH($J135,-1)+1,U$54&lt;=EOMONTH(EOMONTH($J135,-1)+1,$K135-1)),IF(NOT(ISBLANK($N135)),$N135/$K135,$I135/$K135),0),0)</f>
        <v>4110.4570000000003</v>
      </c>
      <c r="V135" s="89">
        <f t="shared" ref="V135" si="212">SUM(S135:U135)</f>
        <v>4110.4570000000003</v>
      </c>
      <c r="W135" s="943">
        <f>IFERROR(IF(AND(W$54&gt;=EOMONTH($J135,-1)+1,W$54&lt;=EOMONTH(EOMONTH($J135,-1)+1,$K135-1)),IF(NOT(ISBLANK($N135)),$N135/$K135,$I135/$K135),0),0)</f>
        <v>4110.4570000000003</v>
      </c>
      <c r="X135" s="309">
        <f>IFERROR(IF(AND(X$54&gt;=EOMONTH($J135,-1)+1,X$54&lt;=EOMONTH(EOMONTH($J135,-1)+1,$K135-1)),IF(NOT(ISBLANK($N135)),$N135/$K135,$I135/$K135),0),0)</f>
        <v>4110.4570000000003</v>
      </c>
      <c r="Y135" s="309">
        <f>IFERROR(IF(AND(Y$54&gt;=EOMONTH($J135,-1)+1,Y$54&lt;=EOMONTH(EOMONTH($J135,-1)+1,$K135-1)),IF(NOT(ISBLANK($N135)),$N135/$K135,$I135/$K135),0),0)</f>
        <v>4110.4570000000003</v>
      </c>
      <c r="Z135" s="89">
        <f t="shared" ref="Z135" si="213">SUM(W135:Y135)</f>
        <v>12331.371000000001</v>
      </c>
      <c r="AA135" s="309">
        <f>IFERROR(IF(AND(AA$54&gt;=EOMONTH($J135,-1)+1,AA$54&lt;=EOMONTH(EOMONTH($J135,-1)+1,$K135-1)),IF(NOT(ISBLANK($N135)),$N135/$K135,$I135/$K135),0),0)</f>
        <v>4110.4570000000003</v>
      </c>
      <c r="AB135" s="309">
        <f>IFERROR(IF(AND(AB$54&gt;=EOMONTH($J135,-1)+1,AB$54&lt;=EOMONTH(EOMONTH($J135,-1)+1,$K135-1)),IF(NOT(ISBLANK($N135)),$N135/$K135,$I135/$K135),0),0)</f>
        <v>4110.4570000000003</v>
      </c>
      <c r="AC135" s="309">
        <f>IFERROR(IF(AND(AC$54&gt;=EOMONTH($J135,-1)+1,AC$54&lt;=EOMONTH(EOMONTH($J135,-1)+1,$K135-1)),IF(NOT(ISBLANK($N135)),$N135/$K135,$I135/$K135),0),0)</f>
        <v>4110.4570000000003</v>
      </c>
      <c r="AD135" s="89">
        <f t="shared" ref="AD135:AD176" si="214">SUM(AA135:AC135)</f>
        <v>12331.371000000001</v>
      </c>
      <c r="AE135" s="309">
        <f>IFERROR(IF(AND(AE$54&gt;=EOMONTH($J135,-1)+1,AE$54&lt;=EOMONTH(EOMONTH($J135,-1)+1,$K135-1)),IF(NOT(ISBLANK($N135)),$N135/$K135,$I135/$K135),0),0)</f>
        <v>4110.4570000000003</v>
      </c>
      <c r="AF135" s="309">
        <f>IFERROR(IF(AND(AF$54&gt;=EOMONTH($J135,-1)+1,AF$54&lt;=EOMONTH(EOMONTH($J135,-1)+1,$K135-1)),IF(NOT(ISBLANK($N135)),$N135/$K135,$I135/$K135),0),0)</f>
        <v>4110.4570000000003</v>
      </c>
      <c r="AG135" s="309">
        <f>IFERROR(IF(AND(AG$54&gt;=EOMONTH($J135,-1)+1,AG$54&lt;=EOMONTH(EOMONTH($J135,-1)+1,$K135-1)),IF(NOT(ISBLANK($N135)),$N135/$K135,$I135/$K135),0),0)</f>
        <v>4110.4570000000003</v>
      </c>
      <c r="AH135" s="89">
        <f t="shared" si="120"/>
        <v>12331.371000000001</v>
      </c>
      <c r="AI135" s="90">
        <f t="shared" si="121"/>
        <v>41104.57</v>
      </c>
      <c r="AJ135" s="360" t="s">
        <v>479</v>
      </c>
      <c r="AK135" s="1040"/>
      <c r="AL135" s="1048"/>
      <c r="AM135" s="1046">
        <f t="shared" ref="AM135" si="215">N135*AL135</f>
        <v>0</v>
      </c>
      <c r="AN135" s="62" t="str">
        <f>C135</f>
        <v>41 - Redução de Peso Bruto do item SV001141LA</v>
      </c>
      <c r="AO135" s="62" t="s">
        <v>289</v>
      </c>
      <c r="AP135" s="543" cm="1">
        <f t="array" aca="1" ref="AP135" ca="1">IF(OR(AN135="",AN135=0),"",IF(SUMPRODUCT(($C$55:$C$175=AN135)*(S$54:$AG$54&lt;EOMONTH(TODAY(),-1)+1)*(ISNUMBER(S$55:$AG$175)),S$55:$AG$175)=0,"",SUMPRODUCT(($C$55:$C$175=AN135)*(S$54:$AG$54&lt;EOMONTH(TODAY(),-1)+1)*(ISNUMBER(S$55:$AG$175)),S$55:$AG$175)))</f>
        <v>12331.371000000001</v>
      </c>
    </row>
    <row r="136" spans="1:42" ht="29.1" customHeight="1" x14ac:dyDescent="0.3">
      <c r="A136" s="1300"/>
      <c r="B136" s="1300"/>
      <c r="C136" s="1366"/>
      <c r="D136" s="1116"/>
      <c r="E136" s="1304"/>
      <c r="F136" s="1041"/>
      <c r="G136" s="1118"/>
      <c r="H136" s="1118"/>
      <c r="I136" s="1075"/>
      <c r="J136" s="1159"/>
      <c r="K136" s="1122"/>
      <c r="L136" s="1075"/>
      <c r="M136" s="1120"/>
      <c r="N136" s="1054"/>
      <c r="O136" s="1337"/>
      <c r="P136" s="1058"/>
      <c r="Q136" s="87" t="s">
        <v>107</v>
      </c>
      <c r="R136" s="825">
        <v>1</v>
      </c>
      <c r="S136" s="309"/>
      <c r="T136" s="309"/>
      <c r="U136" s="309"/>
      <c r="V136" s="310">
        <f t="shared" ref="V136" si="216">SUM(S136:U136)</f>
        <v>0</v>
      </c>
      <c r="W136" s="309">
        <v>4524.1857720000016</v>
      </c>
      <c r="X136" s="636">
        <v>7185.0628800000022</v>
      </c>
      <c r="Y136" s="309"/>
      <c r="Z136" s="310">
        <f t="shared" ref="Z136" si="217">SUM(W136:Y136)</f>
        <v>11709.248652000004</v>
      </c>
      <c r="AA136" s="309"/>
      <c r="AB136" s="309"/>
      <c r="AC136" s="309"/>
      <c r="AD136" s="310">
        <f t="shared" si="214"/>
        <v>0</v>
      </c>
      <c r="AE136" s="309"/>
      <c r="AF136" s="309"/>
      <c r="AG136" s="309"/>
      <c r="AH136" s="310">
        <f t="shared" si="120"/>
        <v>0</v>
      </c>
      <c r="AI136" s="311">
        <f t="shared" si="121"/>
        <v>11709.248652000004</v>
      </c>
      <c r="AJ136" s="360"/>
      <c r="AK136" s="1041"/>
      <c r="AL136" s="1049"/>
      <c r="AM136" s="1047"/>
      <c r="AN136" s="62" t="str">
        <f>C135</f>
        <v>41 - Redução de Peso Bruto do item SV001141LA</v>
      </c>
      <c r="AO136" s="62" t="s">
        <v>291</v>
      </c>
      <c r="AP136" s="543" cm="1">
        <f t="array" aca="1" ref="AP136" ca="1">IF(OR(AN136="",AN136=0),"",IF(SUMPRODUCT(($C$55:$C$175=AN136)*($S$54:AG$54&lt;=TODAY())*(ISNUMBER($S$56:AG$176)),$S$56:AG$176)=0,"",SUMPRODUCT(($C$55:$C$175=AN136)*($S$54:AG$54&lt;=TODAY())*(ISNUMBER($S$56:AG$176)),$S$56:AG$176)))</f>
        <v>11709.248652000004</v>
      </c>
    </row>
    <row r="137" spans="1:42" ht="29.1" customHeight="1" x14ac:dyDescent="0.3">
      <c r="A137" s="1361" t="s">
        <v>310</v>
      </c>
      <c r="B137" s="1038" t="s">
        <v>91</v>
      </c>
      <c r="C137" s="1376" t="s">
        <v>480</v>
      </c>
      <c r="D137" s="1097" t="s">
        <v>481</v>
      </c>
      <c r="E137" s="1363" t="s">
        <v>482</v>
      </c>
      <c r="F137" s="1099" t="s">
        <v>483</v>
      </c>
      <c r="G137" s="1150">
        <v>46114</v>
      </c>
      <c r="H137" s="1150">
        <v>46173</v>
      </c>
      <c r="I137" s="1350">
        <f>(17500*12)-50000</f>
        <v>160000</v>
      </c>
      <c r="J137" s="1109">
        <v>46174</v>
      </c>
      <c r="K137" s="1213">
        <f t="shared" ref="K137" si="218">IF(J137="", "", 12 - MONTH(J137) + 1)</f>
        <v>7</v>
      </c>
      <c r="L137" s="1076"/>
      <c r="M137" s="1320" t="s">
        <v>287</v>
      </c>
      <c r="N137" s="1206">
        <v>72500</v>
      </c>
      <c r="O137" s="1316" t="s">
        <v>77</v>
      </c>
      <c r="P137" s="1042">
        <v>1</v>
      </c>
      <c r="Q137" s="93" t="s">
        <v>106</v>
      </c>
      <c r="R137" s="826">
        <v>0.43</v>
      </c>
      <c r="S137" s="532">
        <f>IFERROR(IF(AND(S$54&gt;=EOMONTH($J137,-1)+1,S$54&lt;=EOMONTH(EOMONTH($J137,-1)+1,$K137-1)),IF(NOT(ISBLANK($N137)),$N137/$K137,$I137/$K137),0),0)</f>
        <v>0</v>
      </c>
      <c r="T137" s="532">
        <f>IFERROR(IF(AND(T$54&gt;=EOMONTH($J137,-1)+1,T$54&lt;=EOMONTH(EOMONTH($J137,-1)+1,$K137-1)),IF(NOT(ISBLANK($N137)),$N137/$K137,$I137/$K137),0),0)</f>
        <v>0</v>
      </c>
      <c r="U137" s="532">
        <f>IFERROR(IF(AND(U$54&gt;=EOMONTH($J137,-1)+1,U$54&lt;=EOMONTH(EOMONTH($J137,-1)+1,$K137-1)),IF(NOT(ISBLANK($N137)),$N137/$K137,$I137/$K137),0),0)</f>
        <v>0</v>
      </c>
      <c r="V137" s="89">
        <f t="shared" ref="V137" si="219">SUM(S137:U137)</f>
        <v>0</v>
      </c>
      <c r="W137" s="532">
        <f>IFERROR(IF(AND(W$54&gt;=EOMONTH($J137,-1)+1,W$54&lt;=EOMONTH(EOMONTH($J137,-1)+1,$K137-1)),IF(NOT(ISBLANK($N137)),$N137/$K137,$I137/$K137),0),0)</f>
        <v>0</v>
      </c>
      <c r="X137" s="532">
        <f>IFERROR(IF(AND(X$54&gt;=EOMONTH($J137,-1)+1,X$54&lt;=EOMONTH(EOMONTH($J137,-1)+1,$K137-1)),IF(NOT(ISBLANK($N137)),$N137/$K137,$I137/$K137),0),0)</f>
        <v>0</v>
      </c>
      <c r="Y137" s="532">
        <f>IFERROR(IF(AND(Y$54&gt;=EOMONTH($J137,-1)+1,Y$54&lt;=EOMONTH(EOMONTH($J137,-1)+1,$K137-1)),IF(NOT(ISBLANK($N137)),$N137/$K137,$I137/$K137),0),0)</f>
        <v>10357.142857142857</v>
      </c>
      <c r="Z137" s="89">
        <f t="shared" ref="Z137" si="220">SUM(W137:Y137)</f>
        <v>10357.142857142857</v>
      </c>
      <c r="AA137" s="532">
        <f>IFERROR(IF(AND(AA$54&gt;=EOMONTH($J137,-1)+1,AA$54&lt;=EOMONTH(EOMONTH($J137,-1)+1,$K137-1)),IF(NOT(ISBLANK($N137)),$N137/$K137,$I137/$K137),0),0)</f>
        <v>10357.142857142857</v>
      </c>
      <c r="AB137" s="532">
        <f>IFERROR(IF(AND(AB$54&gt;=EOMONTH($J137,-1)+1,AB$54&lt;=EOMONTH(EOMONTH($J137,-1)+1,$K137-1)),IF(NOT(ISBLANK($N137)),$N137/$K137,$I137/$K137),0),0)</f>
        <v>10357.142857142857</v>
      </c>
      <c r="AC137" s="532">
        <f>IFERROR(IF(AND(AC$54&gt;=EOMONTH($J137,-1)+1,AC$54&lt;=EOMONTH(EOMONTH($J137,-1)+1,$K137-1)),IF(NOT(ISBLANK($N137)),$N137/$K137,$I137/$K137),0),0)</f>
        <v>10357.142857142857</v>
      </c>
      <c r="AD137" s="89">
        <f t="shared" si="214"/>
        <v>31071.428571428572</v>
      </c>
      <c r="AE137" s="532">
        <f>IFERROR(IF(AND(AE$54&gt;=EOMONTH($J137,-1)+1,AE$54&lt;=EOMONTH(EOMONTH($J137,-1)+1,$K137-1)),IF(NOT(ISBLANK($N137)),$N137/$K137,$I137/$K137),0),0)</f>
        <v>10357.142857142857</v>
      </c>
      <c r="AF137" s="532">
        <f>IFERROR(IF(AND(AF$54&gt;=EOMONTH($J137,-1)+1,AF$54&lt;=EOMONTH(EOMONTH($J137,-1)+1,$K137-1)),IF(NOT(ISBLANK($N137)),$N137/$K137,$I137/$K137),0),0)</f>
        <v>10357.142857142857</v>
      </c>
      <c r="AG137" s="532">
        <f>IFERROR(IF(AND(AG$54&gt;=EOMONTH($J137,-1)+1,AG$54&lt;=EOMONTH(EOMONTH($J137,-1)+1,$K137-1)),IF(NOT(ISBLANK($N137)),$N137/$K137,$I137/$K137),0),0)</f>
        <v>10357.142857142857</v>
      </c>
      <c r="AH137" s="89">
        <f t="shared" si="120"/>
        <v>31071.428571428572</v>
      </c>
      <c r="AI137" s="95">
        <f t="shared" si="121"/>
        <v>72500</v>
      </c>
      <c r="AJ137" s="361" t="s">
        <v>484</v>
      </c>
      <c r="AK137" s="1038"/>
      <c r="AL137" s="1042"/>
      <c r="AM137" s="1044">
        <f t="shared" ref="AM137" si="221">N137*AL137</f>
        <v>0</v>
      </c>
      <c r="AN137" s="62" t="str">
        <f>C137</f>
        <v>42 - Aluguel de Compressor</v>
      </c>
      <c r="AO137" s="62" t="s">
        <v>289</v>
      </c>
      <c r="AP137" s="543" t="str" cm="1">
        <f t="array" aca="1" ref="AP137" ca="1">IF(OR(AN137="",AN137=0),"",IF(SUMPRODUCT(($C$55:$C$175=AN137)*(S$54:$AG$54&lt;EOMONTH(TODAY(),-1)+1)*(ISNUMBER(S$55:$AG$175)),S$55:$AG$175)=0,"",SUMPRODUCT(($C$55:$C$175=AN137)*(S$54:$AG$54&lt;EOMONTH(TODAY(),-1)+1)*(ISNUMBER(S$55:$AG$175)),S$55:$AG$175)))</f>
        <v/>
      </c>
    </row>
    <row r="138" spans="1:42" ht="29.1" customHeight="1" x14ac:dyDescent="0.3">
      <c r="A138" s="1362"/>
      <c r="B138" s="1039"/>
      <c r="C138" s="1377"/>
      <c r="D138" s="1098"/>
      <c r="E138" s="1364"/>
      <c r="F138" s="1100"/>
      <c r="G138" s="1151"/>
      <c r="H138" s="1151"/>
      <c r="I138" s="1351"/>
      <c r="J138" s="1110"/>
      <c r="K138" s="1214"/>
      <c r="L138" s="1077"/>
      <c r="M138" s="1321"/>
      <c r="N138" s="1208"/>
      <c r="O138" s="1317"/>
      <c r="P138" s="1043"/>
      <c r="Q138" s="93" t="s">
        <v>107</v>
      </c>
      <c r="R138" s="826">
        <v>1</v>
      </c>
      <c r="S138" s="312">
        <v>0</v>
      </c>
      <c r="T138" s="312">
        <v>0</v>
      </c>
      <c r="U138" s="312">
        <v>0</v>
      </c>
      <c r="V138" s="310">
        <f t="shared" ref="V138" si="222">SUM(S138:U138)</f>
        <v>0</v>
      </c>
      <c r="W138" s="312"/>
      <c r="X138" s="312"/>
      <c r="Y138" s="312"/>
      <c r="Z138" s="310">
        <f t="shared" ref="Z138" si="223">SUM(W138:Y138)</f>
        <v>0</v>
      </c>
      <c r="AA138" s="312"/>
      <c r="AB138" s="312"/>
      <c r="AC138" s="312"/>
      <c r="AD138" s="310">
        <f t="shared" si="214"/>
        <v>0</v>
      </c>
      <c r="AE138" s="312"/>
      <c r="AF138" s="312"/>
      <c r="AG138" s="312"/>
      <c r="AH138" s="310">
        <f t="shared" si="120"/>
        <v>0</v>
      </c>
      <c r="AI138" s="313">
        <f t="shared" si="121"/>
        <v>0</v>
      </c>
      <c r="AJ138" s="97"/>
      <c r="AK138" s="1039"/>
      <c r="AL138" s="1043"/>
      <c r="AM138" s="1045"/>
      <c r="AN138" s="62" t="str">
        <f>C137</f>
        <v>42 - Aluguel de Compressor</v>
      </c>
      <c r="AO138" s="62" t="s">
        <v>291</v>
      </c>
      <c r="AP138" s="543" t="str" cm="1">
        <f t="array" aca="1" ref="AP138" ca="1">IF(OR(AN138="",AN138=0),"",IF(SUMPRODUCT(($C$55:$C$175=AN138)*($S$54:AG$54&lt;=TODAY())*(ISNUMBER($S$56:AG$176)),$S$56:AG$176)=0,"",SUMPRODUCT(($C$55:$C$175=AN138)*($S$54:AG$54&lt;=TODAY())*(ISNUMBER($S$56:AG$176)),$S$56:AG$176)))</f>
        <v/>
      </c>
    </row>
    <row r="139" spans="1:42" ht="29.1" customHeight="1" x14ac:dyDescent="0.3">
      <c r="A139" s="1297" t="s">
        <v>76</v>
      </c>
      <c r="B139" s="1299" t="s">
        <v>91</v>
      </c>
      <c r="C139" s="1365" t="s">
        <v>485</v>
      </c>
      <c r="D139" s="1115" t="s">
        <v>486</v>
      </c>
      <c r="E139" s="1303" t="s">
        <v>487</v>
      </c>
      <c r="F139" s="1040" t="s">
        <v>336</v>
      </c>
      <c r="G139" s="1117">
        <v>46113</v>
      </c>
      <c r="H139" s="1117">
        <v>46203</v>
      </c>
      <c r="I139" s="1074">
        <v>96000</v>
      </c>
      <c r="J139" s="1158">
        <v>46204</v>
      </c>
      <c r="K139" s="1121">
        <f t="shared" ref="K139" si="224">IF(J139="", "", 12 - MONTH(J139) + 1)</f>
        <v>6</v>
      </c>
      <c r="L139" s="1074"/>
      <c r="M139" s="1167" t="s">
        <v>488</v>
      </c>
      <c r="N139" s="1430"/>
      <c r="O139" s="1057" t="s">
        <v>80</v>
      </c>
      <c r="P139" s="1057">
        <v>1</v>
      </c>
      <c r="Q139" s="87" t="s">
        <v>106</v>
      </c>
      <c r="R139" s="825">
        <v>0.3</v>
      </c>
      <c r="S139" s="309">
        <f>IFERROR(IF(AND(S$54&gt;=EOMONTH($J139,-1)+1,S$54&lt;=EOMONTH(EOMONTH($J139,-1)+1,$K139-1)),IF(NOT(ISBLANK($N139)),$N139/$K139,$I139/$K139),0),0)</f>
        <v>0</v>
      </c>
      <c r="T139" s="309">
        <f>IFERROR(IF(AND(T$54&gt;=EOMONTH($J139,-1)+1,T$54&lt;=EOMONTH(EOMONTH($J139,-1)+1,$K139-1)),IF(NOT(ISBLANK($N139)),$N139/$K139,$I139/$K139),0),0)</f>
        <v>0</v>
      </c>
      <c r="U139" s="309">
        <f>IFERROR(IF(AND(U$54&gt;=EOMONTH($J139,-1)+1,U$54&lt;=EOMONTH(EOMONTH($J139,-1)+1,$K139-1)),IF(NOT(ISBLANK($N139)),$N139/$K139,$I139/$K139),0),0)</f>
        <v>0</v>
      </c>
      <c r="V139" s="89">
        <f t="shared" ref="V139" si="225">SUM(S139:U139)</f>
        <v>0</v>
      </c>
      <c r="W139" s="309">
        <f>IFERROR(IF(AND(W$54&gt;=EOMONTH($J139,-1)+1,W$54&lt;=EOMONTH(EOMONTH($J139,-1)+1,$K139-1)),IF(NOT(ISBLANK($N139)),$N139/$K139,$I139/$K139),0),0)</f>
        <v>0</v>
      </c>
      <c r="X139" s="309">
        <f>IFERROR(IF(AND(X$54&gt;=EOMONTH($J139,-1)+1,X$54&lt;=EOMONTH(EOMONTH($J139,-1)+1,$K139-1)),IF(NOT(ISBLANK($N139)),$N139/$K139,$I139/$K139),0),0)</f>
        <v>0</v>
      </c>
      <c r="Y139" s="309">
        <f>IFERROR(IF(AND(Y$54&gt;=EOMONTH($J139,-1)+1,Y$54&lt;=EOMONTH(EOMONTH($J139,-1)+1,$K139-1)),IF(NOT(ISBLANK($N139)),$N139/$K139,$I139/$K139),0),0)</f>
        <v>0</v>
      </c>
      <c r="Z139" s="89">
        <f t="shared" ref="Z139" si="226">SUM(W139:Y139)</f>
        <v>0</v>
      </c>
      <c r="AA139" s="309">
        <f>IFERROR(IF(AND(AA$54&gt;=EOMONTH($J139,-1)+1,AA$54&lt;=EOMONTH(EOMONTH($J139,-1)+1,$K139-1)),IF(NOT(ISBLANK($N139)),$N139/$K139,$I139/$K139),0),0)</f>
        <v>16000</v>
      </c>
      <c r="AB139" s="309">
        <f>IFERROR(IF(AND(AB$54&gt;=EOMONTH($J139,-1)+1,AB$54&lt;=EOMONTH(EOMONTH($J139,-1)+1,$K139-1)),IF(NOT(ISBLANK($N139)),$N139/$K139,$I139/$K139),0),0)</f>
        <v>16000</v>
      </c>
      <c r="AC139" s="309">
        <f>IFERROR(IF(AND(AC$54&gt;=EOMONTH($J139,-1)+1,AC$54&lt;=EOMONTH(EOMONTH($J139,-1)+1,$K139-1)),IF(NOT(ISBLANK($N139)),$N139/$K139,$I139/$K139),0),0)</f>
        <v>16000</v>
      </c>
      <c r="AD139" s="89">
        <f t="shared" si="214"/>
        <v>48000</v>
      </c>
      <c r="AE139" s="309">
        <f>IFERROR(IF(AND(AE$54&gt;=EOMONTH($J139,-1)+1,AE$54&lt;=EOMONTH(EOMONTH($J139,-1)+1,$K139-1)),IF(NOT(ISBLANK($N139)),$N139/$K139,$I139/$K139),0),0)</f>
        <v>16000</v>
      </c>
      <c r="AF139" s="309">
        <f>IFERROR(IF(AND(AF$54&gt;=EOMONTH($J139,-1)+1,AF$54&lt;=EOMONTH(EOMONTH($J139,-1)+1,$K139-1)),IF(NOT(ISBLANK($N139)),$N139/$K139,$I139/$K139),0),0)</f>
        <v>16000</v>
      </c>
      <c r="AG139" s="309">
        <f>IFERROR(IF(AND(AG$54&gt;=EOMONTH($J139,-1)+1,AG$54&lt;=EOMONTH(EOMONTH($J139,-1)+1,$K139-1)),IF(NOT(ISBLANK($N139)),$N139/$K139,$I139/$K139),0),0)</f>
        <v>16000</v>
      </c>
      <c r="AH139" s="89">
        <f t="shared" si="120"/>
        <v>48000</v>
      </c>
      <c r="AI139" s="90">
        <f t="shared" si="121"/>
        <v>96000</v>
      </c>
      <c r="AJ139" s="360" t="s">
        <v>489</v>
      </c>
      <c r="AK139" s="1040"/>
      <c r="AL139" s="1048"/>
      <c r="AM139" s="1046">
        <f t="shared" ref="AM139" si="227">N139*AL139</f>
        <v>0</v>
      </c>
      <c r="AN139" s="62" t="str">
        <f>C139</f>
        <v>43 - Automação Boomerang</v>
      </c>
      <c r="AO139" s="62" t="s">
        <v>289</v>
      </c>
      <c r="AP139" s="543" t="str" cm="1">
        <f t="array" aca="1" ref="AP139" ca="1">IF(OR(AN139="",AN139=0),"",IF(SUMPRODUCT(($C$55:$C$175=AN139)*(S$54:$AG$54&lt;EOMONTH(TODAY(),-1)+1)*(ISNUMBER(S$55:$AG$175)),S$55:$AG$175)=0,"",SUMPRODUCT(($C$55:$C$175=AN139)*(S$54:$AG$54&lt;EOMONTH(TODAY(),-1)+1)*(ISNUMBER(S$55:$AG$175)),S$55:$AG$175)))</f>
        <v/>
      </c>
    </row>
    <row r="140" spans="1:42" ht="29.1" customHeight="1" x14ac:dyDescent="0.3">
      <c r="A140" s="1298"/>
      <c r="B140" s="1300"/>
      <c r="C140" s="1366"/>
      <c r="D140" s="1116"/>
      <c r="E140" s="1304"/>
      <c r="F140" s="1041"/>
      <c r="G140" s="1118"/>
      <c r="H140" s="1118"/>
      <c r="I140" s="1075"/>
      <c r="J140" s="1159"/>
      <c r="K140" s="1122"/>
      <c r="L140" s="1075"/>
      <c r="M140" s="1446"/>
      <c r="N140" s="1445"/>
      <c r="O140" s="1058"/>
      <c r="P140" s="1058"/>
      <c r="Q140" s="87" t="s">
        <v>107</v>
      </c>
      <c r="R140" s="825">
        <v>0.32</v>
      </c>
      <c r="S140" s="309"/>
      <c r="T140" s="309"/>
      <c r="U140" s="309"/>
      <c r="V140" s="310">
        <f t="shared" ref="V140" si="228">SUM(S140:U140)</f>
        <v>0</v>
      </c>
      <c r="W140" s="309"/>
      <c r="X140" s="309"/>
      <c r="Y140" s="309"/>
      <c r="Z140" s="310">
        <f t="shared" ref="Z140" si="229">SUM(W140:Y140)</f>
        <v>0</v>
      </c>
      <c r="AA140" s="309"/>
      <c r="AB140" s="309"/>
      <c r="AC140" s="309"/>
      <c r="AD140" s="310">
        <f t="shared" si="214"/>
        <v>0</v>
      </c>
      <c r="AE140" s="309"/>
      <c r="AF140" s="309"/>
      <c r="AG140" s="309"/>
      <c r="AH140" s="310">
        <f t="shared" si="120"/>
        <v>0</v>
      </c>
      <c r="AI140" s="311">
        <f t="shared" si="121"/>
        <v>0</v>
      </c>
      <c r="AJ140" s="360"/>
      <c r="AK140" s="1041"/>
      <c r="AL140" s="1049"/>
      <c r="AM140" s="1047"/>
      <c r="AN140" s="62" t="str">
        <f>C139</f>
        <v>43 - Automação Boomerang</v>
      </c>
      <c r="AO140" s="62" t="s">
        <v>291</v>
      </c>
      <c r="AP140" s="543" t="str" cm="1">
        <f t="array" aca="1" ref="AP140" ca="1">IF(OR(AN140="",AN140=0),"",IF(SUMPRODUCT(($C$55:$C$175=AN140)*($S$54:AG$54&lt;=TODAY())*(ISNUMBER($S$56:AG$176)),$S$56:AG$176)=0,"",SUMPRODUCT(($C$55:$C$175=AN140)*($S$54:AG$54&lt;=TODAY())*(ISNUMBER($S$56:AG$176)),$S$56:AG$176)))</f>
        <v/>
      </c>
    </row>
    <row r="141" spans="1:42" ht="29.1" customHeight="1" x14ac:dyDescent="0.3">
      <c r="A141" s="1361" t="s">
        <v>85</v>
      </c>
      <c r="B141" s="1038" t="s">
        <v>90</v>
      </c>
      <c r="C141" s="1376" t="s">
        <v>490</v>
      </c>
      <c r="D141" s="1097" t="s">
        <v>491</v>
      </c>
      <c r="E141" s="1363" t="s">
        <v>492</v>
      </c>
      <c r="F141" s="1099" t="s">
        <v>301</v>
      </c>
      <c r="G141" s="1150">
        <v>46114</v>
      </c>
      <c r="H141" s="1150">
        <v>46203</v>
      </c>
      <c r="I141" s="1350">
        <v>230000</v>
      </c>
      <c r="J141" s="1109">
        <v>46204</v>
      </c>
      <c r="K141" s="1213">
        <f t="shared" ref="K141" si="230">IF(J141="", "", 12 - MONTH(J141) + 1)</f>
        <v>6</v>
      </c>
      <c r="L141" s="1076"/>
      <c r="M141" s="1320" t="s">
        <v>287</v>
      </c>
      <c r="N141" s="1206">
        <v>115000</v>
      </c>
      <c r="O141" s="1042" t="s">
        <v>80</v>
      </c>
      <c r="P141" s="1042">
        <v>0.2</v>
      </c>
      <c r="Q141" s="93" t="s">
        <v>106</v>
      </c>
      <c r="R141" s="826">
        <v>0.28999999999999998</v>
      </c>
      <c r="S141" s="532">
        <f>IFERROR(IF(AND(S$54&gt;=EOMONTH($J141,-1)+1,S$54&lt;=EOMONTH(EOMONTH($J141,-1)+1,$K141-1)),IF(NOT(ISBLANK($N141)),$N141/$K141,$I141/$K141),0),0)</f>
        <v>0</v>
      </c>
      <c r="T141" s="532">
        <f>IFERROR(IF(AND(T$54&gt;=EOMONTH($J141,-1)+1,T$54&lt;=EOMONTH(EOMONTH($J141,-1)+1,$K141-1)),IF(NOT(ISBLANK($N141)),$N141/$K141,$I141/$K141),0),0)</f>
        <v>0</v>
      </c>
      <c r="U141" s="532">
        <f>IFERROR(IF(AND(U$54&gt;=EOMONTH($J141,-1)+1,U$54&lt;=EOMONTH(EOMONTH($J141,-1)+1,$K141-1)),IF(NOT(ISBLANK($N141)),$N141/$K141,$I141/$K141),0),0)</f>
        <v>0</v>
      </c>
      <c r="V141" s="89">
        <f t="shared" ref="V141" si="231">SUM(S141:U141)</f>
        <v>0</v>
      </c>
      <c r="W141" s="532">
        <f>IFERROR(IF(AND(W$54&gt;=EOMONTH($J141,-1)+1,W$54&lt;=EOMONTH(EOMONTH($J141,-1)+1,$K141-1)),IF(NOT(ISBLANK($N141)),$N141/$K141,$I141/$K141),0),0)</f>
        <v>0</v>
      </c>
      <c r="X141" s="532">
        <f>IFERROR(IF(AND(X$54&gt;=EOMONTH($J141,-1)+1,X$54&lt;=EOMONTH(EOMONTH($J141,-1)+1,$K141-1)),IF(NOT(ISBLANK($N141)),$N141/$K141,$I141/$K141),0),0)</f>
        <v>0</v>
      </c>
      <c r="Y141" s="532">
        <f>IFERROR(IF(AND(Y$54&gt;=EOMONTH($J141,-1)+1,Y$54&lt;=EOMONTH(EOMONTH($J141,-1)+1,$K141-1)),IF(NOT(ISBLANK($N141)),$N141/$K141,$I141/$K141),0),0)</f>
        <v>0</v>
      </c>
      <c r="Z141" s="89">
        <f t="shared" ref="Z141" si="232">SUM(W141:Y141)</f>
        <v>0</v>
      </c>
      <c r="AA141" s="532">
        <f>IFERROR(IF(AND(AA$54&gt;=EOMONTH($J141,-1)+1,AA$54&lt;=EOMONTH(EOMONTH($J141,-1)+1,$K141-1)),IF(NOT(ISBLANK($N141)),$N141/$K141,$I141/$K141),0),0)</f>
        <v>19166.666666666668</v>
      </c>
      <c r="AB141" s="532">
        <f>IFERROR(IF(AND(AB$54&gt;=EOMONTH($J141,-1)+1,AB$54&lt;=EOMONTH(EOMONTH($J141,-1)+1,$K141-1)),IF(NOT(ISBLANK($N141)),$N141/$K141,$I141/$K141),0),0)</f>
        <v>19166.666666666668</v>
      </c>
      <c r="AC141" s="532">
        <f>IFERROR(IF(AND(AC$54&gt;=EOMONTH($J141,-1)+1,AC$54&lt;=EOMONTH(EOMONTH($J141,-1)+1,$K141-1)),IF(NOT(ISBLANK($N141)),$N141/$K141,$I141/$K141),0),0)</f>
        <v>19166.666666666668</v>
      </c>
      <c r="AD141" s="89">
        <f t="shared" si="214"/>
        <v>57500</v>
      </c>
      <c r="AE141" s="532">
        <f>IFERROR(IF(AND(AE$54&gt;=EOMONTH($J141,-1)+1,AE$54&lt;=EOMONTH(EOMONTH($J141,-1)+1,$K141-1)),IF(NOT(ISBLANK($N141)),$N141/$K141,$I141/$K141),0),0)</f>
        <v>19166.666666666668</v>
      </c>
      <c r="AF141" s="532">
        <f>IFERROR(IF(AND(AF$54&gt;=EOMONTH($J141,-1)+1,AF$54&lt;=EOMONTH(EOMONTH($J141,-1)+1,$K141-1)),IF(NOT(ISBLANK($N141)),$N141/$K141,$I141/$K141),0),0)</f>
        <v>19166.666666666668</v>
      </c>
      <c r="AG141" s="532">
        <f>IFERROR(IF(AND(AG$54&gt;=EOMONTH($J141,-1)+1,AG$54&lt;=EOMONTH(EOMONTH($J141,-1)+1,$K141-1)),IF(NOT(ISBLANK($N141)),$N141/$K141,$I141/$K141),0),0)</f>
        <v>19166.666666666668</v>
      </c>
      <c r="AH141" s="89">
        <f t="shared" si="120"/>
        <v>57500</v>
      </c>
      <c r="AI141" s="95">
        <f t="shared" si="121"/>
        <v>115000</v>
      </c>
      <c r="AJ141" s="361" t="s">
        <v>493</v>
      </c>
      <c r="AK141" s="1038"/>
      <c r="AL141" s="1042"/>
      <c r="AM141" s="1044">
        <f t="shared" ref="AM141" si="233">N141*AL141</f>
        <v>0</v>
      </c>
      <c r="AN141" s="62" t="str">
        <f>C141</f>
        <v>44 - Mudança de fonte Usiminas para Arcelor</v>
      </c>
      <c r="AO141" s="62" t="s">
        <v>289</v>
      </c>
      <c r="AP141" s="543" t="str" cm="1">
        <f t="array" aca="1" ref="AP141" ca="1">IF(OR(AN141="",AN141=0),"",IF(SUMPRODUCT(($C$55:$C$175=AN141)*(S$54:$AG$54&lt;EOMONTH(TODAY(),-1)+1)*(ISNUMBER(S$55:$AG$175)),S$55:$AG$175)=0,"",SUMPRODUCT(($C$55:$C$175=AN141)*(S$54:$AG$54&lt;EOMONTH(TODAY(),-1)+1)*(ISNUMBER(S$55:$AG$175)),S$55:$AG$175)))</f>
        <v/>
      </c>
    </row>
    <row r="142" spans="1:42" ht="29.1" customHeight="1" x14ac:dyDescent="0.3">
      <c r="A142" s="1362"/>
      <c r="B142" s="1039"/>
      <c r="C142" s="1377"/>
      <c r="D142" s="1098"/>
      <c r="E142" s="1364"/>
      <c r="F142" s="1100"/>
      <c r="G142" s="1151"/>
      <c r="H142" s="1151"/>
      <c r="I142" s="1351"/>
      <c r="J142" s="1110"/>
      <c r="K142" s="1214"/>
      <c r="L142" s="1077"/>
      <c r="M142" s="1321"/>
      <c r="N142" s="1208"/>
      <c r="O142" s="1043"/>
      <c r="P142" s="1043"/>
      <c r="Q142" s="93" t="s">
        <v>107</v>
      </c>
      <c r="R142" s="826">
        <v>0.36</v>
      </c>
      <c r="S142" s="312"/>
      <c r="T142" s="312"/>
      <c r="U142" s="312"/>
      <c r="V142" s="310">
        <f t="shared" ref="V142" si="234">SUM(S142:U142)</f>
        <v>0</v>
      </c>
      <c r="W142" s="312"/>
      <c r="X142" s="312"/>
      <c r="Y142" s="312"/>
      <c r="Z142" s="310">
        <f t="shared" ref="Z142" si="235">SUM(W142:Y142)</f>
        <v>0</v>
      </c>
      <c r="AA142" s="312"/>
      <c r="AB142" s="312"/>
      <c r="AC142" s="312"/>
      <c r="AD142" s="310">
        <f t="shared" si="214"/>
        <v>0</v>
      </c>
      <c r="AE142" s="312"/>
      <c r="AF142" s="312"/>
      <c r="AG142" s="312"/>
      <c r="AH142" s="310">
        <f t="shared" si="120"/>
        <v>0</v>
      </c>
      <c r="AI142" s="313">
        <f t="shared" si="121"/>
        <v>0</v>
      </c>
      <c r="AJ142" s="97"/>
      <c r="AK142" s="1039"/>
      <c r="AL142" s="1043"/>
      <c r="AM142" s="1045"/>
      <c r="AN142" s="62" t="str">
        <f>C141</f>
        <v>44 - Mudança de fonte Usiminas para Arcelor</v>
      </c>
      <c r="AO142" s="62" t="s">
        <v>291</v>
      </c>
      <c r="AP142" s="543" t="str" cm="1">
        <f t="array" aca="1" ref="AP142" ca="1">IF(OR(AN142="",AN142=0),"",IF(SUMPRODUCT(($C$55:$C$175=AN142)*($S$54:AG$54&lt;=TODAY())*(ISNUMBER($S$56:AG$176)),$S$56:AG$176)=0,"",SUMPRODUCT(($C$55:$C$175=AN142)*($S$54:AG$54&lt;=TODAY())*(ISNUMBER($S$56:AG$176)),$S$56:AG$176)))</f>
        <v/>
      </c>
    </row>
    <row r="143" spans="1:42" ht="29.1" customHeight="1" x14ac:dyDescent="0.3">
      <c r="A143" s="1299" t="s">
        <v>85</v>
      </c>
      <c r="B143" s="1299" t="s">
        <v>90</v>
      </c>
      <c r="C143" s="1365" t="s">
        <v>494</v>
      </c>
      <c r="D143" s="1115" t="s">
        <v>495</v>
      </c>
      <c r="E143" s="1303" t="s">
        <v>496</v>
      </c>
      <c r="F143" s="1040" t="s">
        <v>353</v>
      </c>
      <c r="G143" s="1117">
        <v>46118</v>
      </c>
      <c r="H143" s="1117">
        <v>46126</v>
      </c>
      <c r="I143" s="1074">
        <v>106000</v>
      </c>
      <c r="J143" s="1158">
        <v>46136</v>
      </c>
      <c r="K143" s="1121">
        <f t="shared" ref="K143" si="236">IF(J143="", "", 12 - MONTH(J143) + 1)</f>
        <v>9</v>
      </c>
      <c r="L143" s="1074"/>
      <c r="M143" s="1119" t="s">
        <v>287</v>
      </c>
      <c r="N143" s="1053">
        <v>99381.26</v>
      </c>
      <c r="O143" s="1336" t="s">
        <v>77</v>
      </c>
      <c r="P143" s="1057">
        <v>1</v>
      </c>
      <c r="Q143" s="87" t="s">
        <v>106</v>
      </c>
      <c r="R143" s="825">
        <v>0.88</v>
      </c>
      <c r="S143" s="309">
        <f>IFERROR(IF(AND(S$54&gt;=EOMONTH($J143,-1)+1,S$54&lt;=EOMONTH(EOMONTH($J143,-1)+1,$K143-1)),IF(NOT(ISBLANK($N143)),$N143/$K143,$I143/$K143),0),0)</f>
        <v>0</v>
      </c>
      <c r="T143" s="309">
        <f>IFERROR(IF(AND(T$54&gt;=EOMONTH($J143,-1)+1,T$54&lt;=EOMONTH(EOMONTH($J143,-1)+1,$K143-1)),IF(NOT(ISBLANK($N143)),$N143/$K143,$I143/$K143),0),0)</f>
        <v>0</v>
      </c>
      <c r="U143" s="309">
        <f>IFERROR(IF(AND(U$54&gt;=EOMONTH($J143,-1)+1,U$54&lt;=EOMONTH(EOMONTH($J143,-1)+1,$K143-1)),IF(NOT(ISBLANK($N143)),$N143/$K143,$I143/$K143),0),0)</f>
        <v>0</v>
      </c>
      <c r="V143" s="89">
        <f t="shared" ref="V143" si="237">SUM(S143:U143)</f>
        <v>0</v>
      </c>
      <c r="W143" s="943">
        <f>IFERROR(IF(AND(W$54&gt;=EOMONTH($J143,-1)+1,W$54&lt;=EOMONTH(EOMONTH($J143,-1)+1,$K143-1)),IF(NOT(ISBLANK($N143)),$N143/$K143,$I143/$K143),0),0)</f>
        <v>11042.362222222222</v>
      </c>
      <c r="X143" s="309">
        <f>IFERROR(IF(AND(X$54&gt;=EOMONTH($J143,-1)+1,X$54&lt;=EOMONTH(EOMONTH($J143,-1)+1,$K143-1)),IF(NOT(ISBLANK($N143)),$N143/$K143,$I143/$K143),0),0)</f>
        <v>11042.362222222222</v>
      </c>
      <c r="Y143" s="309">
        <f>IFERROR(IF(AND(Y$54&gt;=EOMONTH($J143,-1)+1,Y$54&lt;=EOMONTH(EOMONTH($J143,-1)+1,$K143-1)),IF(NOT(ISBLANK($N143)),$N143/$K143,$I143/$K143),0),0)</f>
        <v>11042.362222222222</v>
      </c>
      <c r="Z143" s="89">
        <f t="shared" ref="Z143" si="238">SUM(W143:Y143)</f>
        <v>33127.08666666667</v>
      </c>
      <c r="AA143" s="309">
        <f>IFERROR(IF(AND(AA$54&gt;=EOMONTH($J143,-1)+1,AA$54&lt;=EOMONTH(EOMONTH($J143,-1)+1,$K143-1)),IF(NOT(ISBLANK($N143)),$N143/$K143,$I143/$K143),0),0)</f>
        <v>11042.362222222222</v>
      </c>
      <c r="AB143" s="309">
        <f>IFERROR(IF(AND(AB$54&gt;=EOMONTH($J143,-1)+1,AB$54&lt;=EOMONTH(EOMONTH($J143,-1)+1,$K143-1)),IF(NOT(ISBLANK($N143)),$N143/$K143,$I143/$K143),0),0)</f>
        <v>11042.362222222222</v>
      </c>
      <c r="AC143" s="309">
        <f>IFERROR(IF(AND(AC$54&gt;=EOMONTH($J143,-1)+1,AC$54&lt;=EOMONTH(EOMONTH($J143,-1)+1,$K143-1)),IF(NOT(ISBLANK($N143)),$N143/$K143,$I143/$K143),0),0)</f>
        <v>11042.362222222222</v>
      </c>
      <c r="AD143" s="89">
        <f t="shared" si="214"/>
        <v>33127.08666666667</v>
      </c>
      <c r="AE143" s="309">
        <f>IFERROR(IF(AND(AE$54&gt;=EOMONTH($J143,-1)+1,AE$54&lt;=EOMONTH(EOMONTH($J143,-1)+1,$K143-1)),IF(NOT(ISBLANK($N143)),$N143/$K143,$I143/$K143),0),0)</f>
        <v>11042.362222222222</v>
      </c>
      <c r="AF143" s="309">
        <f>IFERROR(IF(AND(AF$54&gt;=EOMONTH($J143,-1)+1,AF$54&lt;=EOMONTH(EOMONTH($J143,-1)+1,$K143-1)),IF(NOT(ISBLANK($N143)),$N143/$K143,$I143/$K143),0),0)</f>
        <v>11042.362222222222</v>
      </c>
      <c r="AG143" s="309">
        <f>IFERROR(IF(AND(AG$54&gt;=EOMONTH($J143,-1)+1,AG$54&lt;=EOMONTH(EOMONTH($J143,-1)+1,$K143-1)),IF(NOT(ISBLANK($N143)),$N143/$K143,$I143/$K143),0),0)</f>
        <v>11042.362222222222</v>
      </c>
      <c r="AH143" s="89">
        <f t="shared" si="120"/>
        <v>33127.08666666667</v>
      </c>
      <c r="AI143" s="90">
        <f t="shared" si="121"/>
        <v>99381.260000000009</v>
      </c>
      <c r="AJ143" s="360" t="s">
        <v>497</v>
      </c>
      <c r="AK143" s="1040"/>
      <c r="AL143" s="1048"/>
      <c r="AM143" s="1046">
        <f t="shared" ref="AM143" si="239">N143*AL143</f>
        <v>0</v>
      </c>
      <c r="AN143" s="62" t="str">
        <f>C143</f>
        <v>45 - Redução de MP GM000409Z</v>
      </c>
      <c r="AO143" s="62" t="s">
        <v>289</v>
      </c>
      <c r="AP143" s="543" cm="1">
        <f t="array" aca="1" ref="AP143" ca="1">IF(OR(AN143="",AN143=0),"",IF(SUMPRODUCT(($C$55:$C$175=AN143)*(S$54:$AG$54&lt;EOMONTH(TODAY(),-1)+1)*(ISNUMBER(S$55:$AG$175)),S$55:$AG$175)=0,"",SUMPRODUCT(($C$55:$C$175=AN143)*(S$54:$AG$54&lt;EOMONTH(TODAY(),-1)+1)*(ISNUMBER(S$55:$AG$175)),S$55:$AG$175)))</f>
        <v>22084.724444444444</v>
      </c>
    </row>
    <row r="144" spans="1:42" ht="29.1" customHeight="1" x14ac:dyDescent="0.3">
      <c r="A144" s="1300"/>
      <c r="B144" s="1300"/>
      <c r="C144" s="1366"/>
      <c r="D144" s="1116"/>
      <c r="E144" s="1304"/>
      <c r="F144" s="1041"/>
      <c r="G144" s="1118"/>
      <c r="H144" s="1118"/>
      <c r="I144" s="1075"/>
      <c r="J144" s="1159"/>
      <c r="K144" s="1122"/>
      <c r="L144" s="1075"/>
      <c r="M144" s="1120"/>
      <c r="N144" s="1054"/>
      <c r="O144" s="1337"/>
      <c r="P144" s="1058"/>
      <c r="Q144" s="87" t="s">
        <v>107</v>
      </c>
      <c r="R144" s="825">
        <v>0.97</v>
      </c>
      <c r="S144" s="309"/>
      <c r="T144" s="309"/>
      <c r="U144" s="309"/>
      <c r="V144" s="310">
        <f t="shared" ref="V144" si="240">SUM(S144:U144)</f>
        <v>0</v>
      </c>
      <c r="W144" s="309">
        <v>17332.851081749934</v>
      </c>
      <c r="X144" s="309">
        <v>17327.920673249933</v>
      </c>
      <c r="Y144" s="309"/>
      <c r="Z144" s="310">
        <f t="shared" ref="Z144" si="241">SUM(W144:Y144)</f>
        <v>34660.771754999863</v>
      </c>
      <c r="AA144" s="309"/>
      <c r="AB144" s="309"/>
      <c r="AC144" s="309"/>
      <c r="AD144" s="310">
        <f t="shared" si="214"/>
        <v>0</v>
      </c>
      <c r="AE144" s="309"/>
      <c r="AF144" s="309"/>
      <c r="AG144" s="309"/>
      <c r="AH144" s="310">
        <f t="shared" si="120"/>
        <v>0</v>
      </c>
      <c r="AI144" s="311">
        <f t="shared" si="121"/>
        <v>34660.771754999863</v>
      </c>
      <c r="AJ144" s="360"/>
      <c r="AK144" s="1041"/>
      <c r="AL144" s="1049"/>
      <c r="AM144" s="1047"/>
      <c r="AN144" s="62" t="str">
        <f>C143</f>
        <v>45 - Redução de MP GM000409Z</v>
      </c>
      <c r="AO144" s="62" t="s">
        <v>291</v>
      </c>
      <c r="AP144" s="543" cm="1">
        <f t="array" aca="1" ref="AP144" ca="1">IF(OR(AN144="",AN144=0),"",IF(SUMPRODUCT(($C$55:$C$175=AN144)*($S$54:AG$54&lt;=TODAY())*(ISNUMBER($S$56:AG$176)),$S$56:AG$176)=0,"",SUMPRODUCT(($C$55:$C$175=AN144)*($S$54:AG$54&lt;=TODAY())*(ISNUMBER($S$56:AG$176)),$S$56:AG$176)))</f>
        <v>34660.771754999863</v>
      </c>
    </row>
    <row r="145" spans="1:42" ht="29.1" customHeight="1" x14ac:dyDescent="0.3">
      <c r="A145" s="1447" t="s">
        <v>310</v>
      </c>
      <c r="B145" s="1038" t="s">
        <v>91</v>
      </c>
      <c r="C145" s="1376" t="s">
        <v>498</v>
      </c>
      <c r="D145" s="1097" t="s">
        <v>499</v>
      </c>
      <c r="E145" s="1363" t="s">
        <v>500</v>
      </c>
      <c r="F145" s="1099" t="s">
        <v>483</v>
      </c>
      <c r="G145" s="1150">
        <v>46073</v>
      </c>
      <c r="H145" s="1150">
        <v>46108</v>
      </c>
      <c r="I145" s="1152">
        <v>4840</v>
      </c>
      <c r="J145" s="1109">
        <v>46113</v>
      </c>
      <c r="K145" s="1213">
        <f t="shared" ref="K145" si="242">IF(J145="", "", 12 - MONTH(J145) + 1)</f>
        <v>9</v>
      </c>
      <c r="L145" s="1076"/>
      <c r="M145" s="1320"/>
      <c r="N145" s="1206"/>
      <c r="O145" s="1316" t="s">
        <v>77</v>
      </c>
      <c r="P145" s="1042">
        <v>1</v>
      </c>
      <c r="Q145" s="93" t="s">
        <v>106</v>
      </c>
      <c r="R145" s="826">
        <v>1</v>
      </c>
      <c r="S145" s="532">
        <f>IFERROR(IF(AND(S$54&gt;=EOMONTH($J145,-1)+1,S$54&lt;=EOMONTH(EOMONTH($J145,-1)+1,$K145-1)),IF(NOT(ISBLANK($N145)),$N145/$K145,$I145/$K145),0),0)</f>
        <v>0</v>
      </c>
      <c r="T145" s="532">
        <f>IFERROR(IF(AND(T$54&gt;=EOMONTH($J145,-1)+1,T$54&lt;=EOMONTH(EOMONTH($J145,-1)+1,$K145-1)),IF(NOT(ISBLANK($N145)),$N145/$K145,$I145/$K145),0),0)</f>
        <v>0</v>
      </c>
      <c r="U145" s="532">
        <f>IFERROR(IF(AND(U$54&gt;=EOMONTH($J145,-1)+1,U$54&lt;=EOMONTH(EOMONTH($J145,-1)+1,$K145-1)),IF(NOT(ISBLANK($N145)),$N145/$K145,$I145/$K145),0),0)</f>
        <v>0</v>
      </c>
      <c r="V145" s="89">
        <f t="shared" ref="V145" si="243">SUM(S145:U145)</f>
        <v>0</v>
      </c>
      <c r="W145" s="641">
        <f>IFERROR(IF(AND(W$54&gt;=EOMONTH($J145,-1)+1,W$54&lt;=EOMONTH(EOMONTH($J145,-1)+1,$K145-1)),IF(NOT(ISBLANK($N145)),$N145/$K145,$I145/$K145),0),0)</f>
        <v>537.77777777777783</v>
      </c>
      <c r="X145" s="532">
        <f>IFERROR(IF(AND(X$54&gt;=EOMONTH($J145,-1)+1,X$54&lt;=EOMONTH(EOMONTH($J145,-1)+1,$K145-1)),IF(NOT(ISBLANK($N145)),$N145/$K145,$I145/$K145),0),0)</f>
        <v>537.77777777777783</v>
      </c>
      <c r="Y145" s="532">
        <f>IFERROR(IF(AND(Y$54&gt;=EOMONTH($J145,-1)+1,Y$54&lt;=EOMONTH(EOMONTH($J145,-1)+1,$K145-1)),IF(NOT(ISBLANK($N145)),$N145/$K145,$I145/$K145),0),0)</f>
        <v>537.77777777777783</v>
      </c>
      <c r="Z145" s="89">
        <f t="shared" ref="Z145" si="244">SUM(W145:Y145)</f>
        <v>1613.3333333333335</v>
      </c>
      <c r="AA145" s="532">
        <f>IFERROR(IF(AND(AA$54&gt;=EOMONTH($J145,-1)+1,AA$54&lt;=EOMONTH(EOMONTH($J145,-1)+1,$K145-1)),IF(NOT(ISBLANK($N145)),$N145/$K145,$I145/$K145),0),0)</f>
        <v>537.77777777777783</v>
      </c>
      <c r="AB145" s="532">
        <f>IFERROR(IF(AND(AB$54&gt;=EOMONTH($J145,-1)+1,AB$54&lt;=EOMONTH(EOMONTH($J145,-1)+1,$K145-1)),IF(NOT(ISBLANK($N145)),$N145/$K145,$I145/$K145),0),0)</f>
        <v>537.77777777777783</v>
      </c>
      <c r="AC145" s="532">
        <f>IFERROR(IF(AND(AC$54&gt;=EOMONTH($J145,-1)+1,AC$54&lt;=EOMONTH(EOMONTH($J145,-1)+1,$K145-1)),IF(NOT(ISBLANK($N145)),$N145/$K145,$I145/$K145),0),0)</f>
        <v>537.77777777777783</v>
      </c>
      <c r="AD145" s="89">
        <f t="shared" si="214"/>
        <v>1613.3333333333335</v>
      </c>
      <c r="AE145" s="532">
        <f>IFERROR(IF(AND(AE$54&gt;=EOMONTH($J145,-1)+1,AE$54&lt;=EOMONTH(EOMONTH($J145,-1)+1,$K145-1)),IF(NOT(ISBLANK($N145)),$N145/$K145,$I145/$K145),0),0)</f>
        <v>537.77777777777783</v>
      </c>
      <c r="AF145" s="532">
        <f>IFERROR(IF(AND(AF$54&gt;=EOMONTH($J145,-1)+1,AF$54&lt;=EOMONTH(EOMONTH($J145,-1)+1,$K145-1)),IF(NOT(ISBLANK($N145)),$N145/$K145,$I145/$K145),0),0)</f>
        <v>537.77777777777783</v>
      </c>
      <c r="AG145" s="532">
        <f>IFERROR(IF(AND(AG$54&gt;=EOMONTH($J145,-1)+1,AG$54&lt;=EOMONTH(EOMONTH($J145,-1)+1,$K145-1)),IF(NOT(ISBLANK($N145)),$N145/$K145,$I145/$K145),0),0)</f>
        <v>537.77777777777783</v>
      </c>
      <c r="AH145" s="89">
        <f t="shared" si="120"/>
        <v>1613.3333333333335</v>
      </c>
      <c r="AI145" s="95">
        <f t="shared" si="121"/>
        <v>4840</v>
      </c>
      <c r="AJ145" s="361" t="s">
        <v>501</v>
      </c>
      <c r="AK145" s="1038"/>
      <c r="AL145" s="1042"/>
      <c r="AM145" s="1044">
        <f t="shared" ref="AM145" si="245">N145*AL145</f>
        <v>0</v>
      </c>
      <c r="AN145" s="62" t="str">
        <f>C145</f>
        <v>46 - AGUA DESMINERALIZADA</v>
      </c>
      <c r="AO145" s="62" t="s">
        <v>289</v>
      </c>
      <c r="AP145" s="543" cm="1">
        <f t="array" aca="1" ref="AP145" ca="1">IF(OR(AN145="",AN145=0),"",IF(SUMPRODUCT(($C$55:$C$175=AN145)*(S$54:$AG$54&lt;EOMONTH(TODAY(),-1)+1)*(ISNUMBER(S$55:$AG$175)),S$55:$AG$175)=0,"",SUMPRODUCT(($C$55:$C$175=AN145)*(S$54:$AG$54&lt;EOMONTH(TODAY(),-1)+1)*(ISNUMBER(S$55:$AG$175)),S$55:$AG$175)))</f>
        <v>1075.5555555555557</v>
      </c>
    </row>
    <row r="146" spans="1:42" ht="29.1" customHeight="1" x14ac:dyDescent="0.3">
      <c r="A146" s="1448"/>
      <c r="B146" s="1039"/>
      <c r="C146" s="1377"/>
      <c r="D146" s="1098"/>
      <c r="E146" s="1364"/>
      <c r="F146" s="1100"/>
      <c r="G146" s="1151"/>
      <c r="H146" s="1151"/>
      <c r="I146" s="1151"/>
      <c r="J146" s="1110"/>
      <c r="K146" s="1214"/>
      <c r="L146" s="1077"/>
      <c r="M146" s="1321"/>
      <c r="N146" s="1208"/>
      <c r="O146" s="1317"/>
      <c r="P146" s="1043"/>
      <c r="Q146" s="93" t="s">
        <v>107</v>
      </c>
      <c r="R146" s="826">
        <v>1</v>
      </c>
      <c r="S146" s="312"/>
      <c r="T146" s="312"/>
      <c r="U146" s="312"/>
      <c r="V146" s="310">
        <f t="shared" ref="V146:V168" si="246">SUM(S146:U146)</f>
        <v>0</v>
      </c>
      <c r="W146" s="312"/>
      <c r="X146" s="312"/>
      <c r="Y146" s="312"/>
      <c r="Z146" s="310">
        <f t="shared" ref="Z146:Z168" si="247">SUM(W146:Y146)</f>
        <v>0</v>
      </c>
      <c r="AA146" s="312"/>
      <c r="AB146" s="312"/>
      <c r="AC146" s="312"/>
      <c r="AD146" s="310">
        <f t="shared" si="214"/>
        <v>0</v>
      </c>
      <c r="AE146" s="312"/>
      <c r="AF146" s="312"/>
      <c r="AG146" s="312"/>
      <c r="AH146" s="310">
        <f t="shared" si="120"/>
        <v>0</v>
      </c>
      <c r="AI146" s="313">
        <f t="shared" si="121"/>
        <v>0</v>
      </c>
      <c r="AJ146" s="97"/>
      <c r="AK146" s="1039"/>
      <c r="AL146" s="1043"/>
      <c r="AM146" s="1045"/>
      <c r="AN146" s="62" t="str">
        <f>C145</f>
        <v>46 - AGUA DESMINERALIZADA</v>
      </c>
      <c r="AO146" s="62" t="s">
        <v>291</v>
      </c>
      <c r="AP146" s="543" t="str" cm="1">
        <f t="array" aca="1" ref="AP146" ca="1">IF(OR(AN146="",AN146=0),"",IF(SUMPRODUCT(($C$55:$C$175=AN146)*($S$54:AG$54&lt;=TODAY())*(ISNUMBER($S$56:AG$176)),$S$56:AG$176)=0,"",SUMPRODUCT(($C$55:$C$175=AN146)*($S$54:AG$54&lt;=TODAY())*(ISNUMBER($S$56:AG$176)),$S$56:AG$176)))</f>
        <v/>
      </c>
    </row>
    <row r="147" spans="1:42" ht="33.75" customHeight="1" x14ac:dyDescent="0.3">
      <c r="A147" s="1299" t="s">
        <v>85</v>
      </c>
      <c r="B147" s="1299" t="s">
        <v>90</v>
      </c>
      <c r="C147" s="1422" t="s">
        <v>502</v>
      </c>
      <c r="D147" s="1115" t="s">
        <v>503</v>
      </c>
      <c r="E147" s="1303" t="s">
        <v>504</v>
      </c>
      <c r="F147" s="1040" t="s">
        <v>353</v>
      </c>
      <c r="G147" s="1117">
        <v>46119</v>
      </c>
      <c r="H147" s="1117">
        <v>46206</v>
      </c>
      <c r="I147" s="1439">
        <v>189200</v>
      </c>
      <c r="J147" s="1158">
        <v>46235</v>
      </c>
      <c r="K147" s="1121">
        <f>IF(J147="", "", 12 - MONTH(J147) + 1)</f>
        <v>5</v>
      </c>
      <c r="L147" s="1074"/>
      <c r="M147" s="1119" t="s">
        <v>287</v>
      </c>
      <c r="N147" s="1053">
        <v>70963.59</v>
      </c>
      <c r="O147" s="1057" t="s">
        <v>80</v>
      </c>
      <c r="P147" s="1057">
        <v>0.5</v>
      </c>
      <c r="Q147" s="87" t="s">
        <v>106</v>
      </c>
      <c r="R147" s="825">
        <v>0.24</v>
      </c>
      <c r="S147" s="309">
        <f>IFERROR(IF(AND(S$54&gt;=EOMONTH($J147,-1)+1,S$54&lt;=EOMONTH(EOMONTH($J147,-1)+1,$K147-1)),IF(NOT(ISBLANK($N147)),$N147/$K147,$I147/$K147),0),0)</f>
        <v>0</v>
      </c>
      <c r="T147" s="309">
        <f>IFERROR(IF(AND(T$54&gt;=EOMONTH($J147,-1)+1,T$54&lt;=EOMONTH(EOMONTH($J147,-1)+1,$K147-1)),IF(NOT(ISBLANK($N147)),$N147/$K147,$I147/$K147),0),0)</f>
        <v>0</v>
      </c>
      <c r="U147" s="309">
        <f>IFERROR(IF(AND(U$54&gt;=EOMONTH($J147,-1)+1,U$54&lt;=EOMONTH(EOMONTH($J147,-1)+1,$K147-1)),IF(NOT(ISBLANK($N147)),$N147/$K147,$I147/$K147),0),0)</f>
        <v>0</v>
      </c>
      <c r="V147" s="89">
        <f t="shared" si="246"/>
        <v>0</v>
      </c>
      <c r="W147" s="309">
        <f>IFERROR(IF(AND(W$54&gt;=EOMONTH($J147,-1)+1,W$54&lt;=EOMONTH(EOMONTH($J147,-1)+1,$K147-1)),IF(NOT(ISBLANK($N147)),$N147/$K147,$I147/$K147),0),0)</f>
        <v>0</v>
      </c>
      <c r="X147" s="309">
        <f>IFERROR(IF(AND(X$54&gt;=EOMONTH($J147,-1)+1,X$54&lt;=EOMONTH(EOMONTH($J147,-1)+1,$K147-1)),IF(NOT(ISBLANK($N147)),$N147/$K147,$I147/$K147),0),0)</f>
        <v>0</v>
      </c>
      <c r="Y147" s="309">
        <f>IFERROR(IF(AND(Y$54&gt;=EOMONTH($J147,-1)+1,Y$54&lt;=EOMONTH(EOMONTH($J147,-1)+1,$K147-1)),IF(NOT(ISBLANK($N147)),$N147/$K147,$I147/$K147),0),0)</f>
        <v>0</v>
      </c>
      <c r="Z147" s="89">
        <f t="shared" si="247"/>
        <v>0</v>
      </c>
      <c r="AA147" s="309">
        <f>IFERROR(IF(AND(AA$54&gt;=EOMONTH($J147,-1)+1,AA$54&lt;=EOMONTH(EOMONTH($J147,-1)+1,$K147-1)),IF(NOT(ISBLANK($N147)),$N147/$K147,$I147/$K147),0),0)</f>
        <v>0</v>
      </c>
      <c r="AB147" s="309">
        <f>IFERROR(IF(AND(AB$54&gt;=EOMONTH($J147,-1)+1,AB$54&lt;=EOMONTH(EOMONTH($J147,-1)+1,$K147-1)),IF(NOT(ISBLANK($N147)),$N147/$K147,$I147/$K147),0),0)</f>
        <v>14192.717999999999</v>
      </c>
      <c r="AC147" s="309">
        <f>IFERROR(IF(AND(AC$54&gt;=EOMONTH($J147,-1)+1,AC$54&lt;=EOMONTH(EOMONTH($J147,-1)+1,$K147-1)),IF(NOT(ISBLANK($N147)),$N147/$K147,$I147/$K147),0),0)</f>
        <v>14192.717999999999</v>
      </c>
      <c r="AD147" s="89">
        <f t="shared" si="214"/>
        <v>28385.435999999998</v>
      </c>
      <c r="AE147" s="309">
        <f>IFERROR(IF(AND(AE$54&gt;=EOMONTH($J147,-1)+1,AE$54&lt;=EOMONTH(EOMONTH($J147,-1)+1,$K147-1)),IF(NOT(ISBLANK($N147)),$N147/$K147,$I147/$K147),0),0)</f>
        <v>14192.717999999999</v>
      </c>
      <c r="AF147" s="309">
        <f>IFERROR(IF(AND(AF$54&gt;=EOMONTH($J147,-1)+1,AF$54&lt;=EOMONTH(EOMONTH($J147,-1)+1,$K147-1)),IF(NOT(ISBLANK($N147)),$N147/$K147,$I147/$K147),0),0)</f>
        <v>14192.717999999999</v>
      </c>
      <c r="AG147" s="309">
        <f>IFERROR(IF(AND(AG$54&gt;=EOMONTH($J147,-1)+1,AG$54&lt;=EOMONTH(EOMONTH($J147,-1)+1,$K147-1)),IF(NOT(ISBLANK($N147)),$N147/$K147,$I147/$K147),0),0)</f>
        <v>14192.717999999999</v>
      </c>
      <c r="AH147" s="89">
        <f t="shared" si="120"/>
        <v>42578.153999999995</v>
      </c>
      <c r="AI147" s="90">
        <f t="shared" si="121"/>
        <v>70963.59</v>
      </c>
      <c r="AJ147" s="92" t="s">
        <v>505</v>
      </c>
      <c r="AK147" s="1040"/>
      <c r="AL147" s="1048"/>
      <c r="AM147" s="1046">
        <f t="shared" ref="AM147" si="248">N147*AL147</f>
        <v>0</v>
      </c>
      <c r="AN147" s="62" t="str">
        <f>C147</f>
        <v>47 - REDUÇÃO DE MP DJ000079Z – 80Z</v>
      </c>
      <c r="AO147" s="62" t="s">
        <v>289</v>
      </c>
      <c r="AP147" s="543" t="str" cm="1">
        <f t="array" aca="1" ref="AP147" ca="1">IF(OR(AN147="",AN147=0),"",IF(SUMPRODUCT(($C$55:$C$175=AN147)*(S$54:$AG$54&lt;EOMONTH(TODAY(),-1)+1)*(ISNUMBER(S$55:$AG$175)),S$55:$AG$175)=0,"",SUMPRODUCT(($C$55:$C$175=AN147)*(S$54:$AG$54&lt;EOMONTH(TODAY(),-1)+1)*(ISNUMBER(S$55:$AG$175)),S$55:$AG$175)))</f>
        <v/>
      </c>
    </row>
    <row r="148" spans="1:42" ht="30.75" customHeight="1" x14ac:dyDescent="0.3">
      <c r="A148" s="1300"/>
      <c r="B148" s="1300"/>
      <c r="C148" s="1423"/>
      <c r="D148" s="1116"/>
      <c r="E148" s="1304"/>
      <c r="F148" s="1041"/>
      <c r="G148" s="1118"/>
      <c r="H148" s="1118"/>
      <c r="I148" s="1440"/>
      <c r="J148" s="1159"/>
      <c r="K148" s="1122"/>
      <c r="L148" s="1075"/>
      <c r="M148" s="1120"/>
      <c r="N148" s="1054"/>
      <c r="O148" s="1058"/>
      <c r="P148" s="1058"/>
      <c r="Q148" s="87" t="s">
        <v>107</v>
      </c>
      <c r="R148" s="826">
        <v>0.38</v>
      </c>
      <c r="S148" s="309"/>
      <c r="T148" s="309"/>
      <c r="U148" s="309"/>
      <c r="V148" s="310">
        <f t="shared" si="246"/>
        <v>0</v>
      </c>
      <c r="W148" s="309"/>
      <c r="X148" s="309"/>
      <c r="Y148" s="309"/>
      <c r="Z148" s="310">
        <f t="shared" si="247"/>
        <v>0</v>
      </c>
      <c r="AA148" s="309"/>
      <c r="AB148" s="309"/>
      <c r="AC148" s="309"/>
      <c r="AD148" s="310">
        <f t="shared" si="214"/>
        <v>0</v>
      </c>
      <c r="AE148" s="309"/>
      <c r="AF148" s="309"/>
      <c r="AG148" s="309"/>
      <c r="AH148" s="310">
        <f t="shared" si="120"/>
        <v>0</v>
      </c>
      <c r="AI148" s="311">
        <f t="shared" si="121"/>
        <v>0</v>
      </c>
      <c r="AJ148" s="360"/>
      <c r="AK148" s="1041"/>
      <c r="AL148" s="1049"/>
      <c r="AM148" s="1047"/>
      <c r="AN148" s="62" t="str">
        <f>C147</f>
        <v>47 - REDUÇÃO DE MP DJ000079Z – 80Z</v>
      </c>
      <c r="AO148" s="62" t="s">
        <v>291</v>
      </c>
      <c r="AP148" s="543" t="str" cm="1">
        <f t="array" aca="1" ref="AP148" ca="1">IF(OR(AN148="",AN148=0),"",IF(SUMPRODUCT(($C$55:$C$175=AN148)*($S$54:AG$54&lt;=TODAY())*(ISNUMBER($S$56:AG$176)),$S$56:AG$176)=0,"",SUMPRODUCT(($C$55:$C$175=AN148)*($S$54:AG$54&lt;=TODAY())*(ISNUMBER($S$56:AG$176)),$S$56:AG$176)))</f>
        <v/>
      </c>
    </row>
    <row r="149" spans="1:42" ht="29.1" customHeight="1" x14ac:dyDescent="0.3">
      <c r="A149" s="1361" t="s">
        <v>85</v>
      </c>
      <c r="B149" s="1038" t="s">
        <v>90</v>
      </c>
      <c r="C149" s="1441" t="s">
        <v>506</v>
      </c>
      <c r="D149" s="1097" t="s">
        <v>507</v>
      </c>
      <c r="E149" s="1363" t="s">
        <v>508</v>
      </c>
      <c r="F149" s="1099" t="s">
        <v>353</v>
      </c>
      <c r="G149" s="1150">
        <v>46114</v>
      </c>
      <c r="H149" s="1150">
        <v>46234</v>
      </c>
      <c r="I149" s="1443">
        <v>26400.00099</v>
      </c>
      <c r="J149" s="1109">
        <v>46235</v>
      </c>
      <c r="K149" s="1213">
        <f>IF(J149="", "", 12 - MONTH(J149) + 1)</f>
        <v>5</v>
      </c>
      <c r="L149" s="1076"/>
      <c r="M149" s="1320" t="s">
        <v>287</v>
      </c>
      <c r="N149" s="1331">
        <v>43285.04</v>
      </c>
      <c r="O149" s="1042" t="s">
        <v>80</v>
      </c>
      <c r="P149" s="1042">
        <v>0.5</v>
      </c>
      <c r="Q149" s="93" t="s">
        <v>106</v>
      </c>
      <c r="R149" s="826">
        <v>0.21</v>
      </c>
      <c r="S149" s="532">
        <f>IFERROR(IF(AND(S$54&gt;=EOMONTH($J149,-1)+1,S$54&lt;=EOMONTH(EOMONTH($J149,-1)+1,$K149-1)),IF(NOT(ISBLANK($N149)),$N149/$K149,$I149/$K149),0),0)</f>
        <v>0</v>
      </c>
      <c r="T149" s="532">
        <f>IFERROR(IF(AND(T$54&gt;=EOMONTH($J149,-1)+1,T$54&lt;=EOMONTH(EOMONTH($J149,-1)+1,$K149-1)),IF(NOT(ISBLANK($N149)),$N149/$K149,$I149/$K149),0),0)</f>
        <v>0</v>
      </c>
      <c r="U149" s="532">
        <f>IFERROR(IF(AND(U$54&gt;=EOMONTH($J149,-1)+1,U$54&lt;=EOMONTH(EOMONTH($J149,-1)+1,$K149-1)),IF(NOT(ISBLANK($N149)),$N149/$K149,$I149/$K149),0),0)</f>
        <v>0</v>
      </c>
      <c r="V149" s="89">
        <f t="shared" si="246"/>
        <v>0</v>
      </c>
      <c r="W149" s="532">
        <f>IFERROR(IF(AND(W$54&gt;=EOMONTH($J149,-1)+1,W$54&lt;=EOMONTH(EOMONTH($J149,-1)+1,$K149-1)),IF(NOT(ISBLANK($N149)),$N149/$K149,$I149/$K149),0),0)</f>
        <v>0</v>
      </c>
      <c r="X149" s="532">
        <f>IFERROR(IF(AND(X$54&gt;=EOMONTH($J149,-1)+1,X$54&lt;=EOMONTH(EOMONTH($J149,-1)+1,$K149-1)),IF(NOT(ISBLANK($N149)),$N149/$K149,$I149/$K149),0),0)</f>
        <v>0</v>
      </c>
      <c r="Y149" s="532">
        <f>IFERROR(IF(AND(Y$54&gt;=EOMONTH($J149,-1)+1,Y$54&lt;=EOMONTH(EOMONTH($J149,-1)+1,$K149-1)),IF(NOT(ISBLANK($N149)),$N149/$K149,$I149/$K149),0),0)</f>
        <v>0</v>
      </c>
      <c r="Z149" s="89">
        <f t="shared" si="247"/>
        <v>0</v>
      </c>
      <c r="AA149" s="532">
        <f>IFERROR(IF(AND(AA$54&gt;=EOMONTH($J149,-1)+1,AA$54&lt;=EOMONTH(EOMONTH($J149,-1)+1,$K149-1)),IF(NOT(ISBLANK($N149)),$N149/$K149,$I149/$K149),0),0)</f>
        <v>0</v>
      </c>
      <c r="AB149" s="532">
        <f>IFERROR(IF(AND(AB$54&gt;=EOMONTH($J149,-1)+1,AB$54&lt;=EOMONTH(EOMONTH($J149,-1)+1,$K149-1)),IF(NOT(ISBLANK($N149)),$N149/$K149,$I149/$K149),0),0)</f>
        <v>8657.0079999999998</v>
      </c>
      <c r="AC149" s="532">
        <f>IFERROR(IF(AND(AC$54&gt;=EOMONTH($J149,-1)+1,AC$54&lt;=EOMONTH(EOMONTH($J149,-1)+1,$K149-1)),IF(NOT(ISBLANK($N149)),$N149/$K149,$I149/$K149),0),0)</f>
        <v>8657.0079999999998</v>
      </c>
      <c r="AD149" s="89">
        <f t="shared" si="214"/>
        <v>17314.016</v>
      </c>
      <c r="AE149" s="532">
        <f>IFERROR(IF(AND(AE$54&gt;=EOMONTH($J149,-1)+1,AE$54&lt;=EOMONTH(EOMONTH($J149,-1)+1,$K149-1)),IF(NOT(ISBLANK($N149)),$N149/$K149,$I149/$K149),0),0)</f>
        <v>8657.0079999999998</v>
      </c>
      <c r="AF149" s="532">
        <f>IFERROR(IF(AND(AF$54&gt;=EOMONTH($J149,-1)+1,AF$54&lt;=EOMONTH(EOMONTH($J149,-1)+1,$K149-1)),IF(NOT(ISBLANK($N149)),$N149/$K149,$I149/$K149),0),0)</f>
        <v>8657.0079999999998</v>
      </c>
      <c r="AG149" s="532">
        <f>IFERROR(IF(AND(AG$54&gt;=EOMONTH($J149,-1)+1,AG$54&lt;=EOMONTH(EOMONTH($J149,-1)+1,$K149-1)),IF(NOT(ISBLANK($N149)),$N149/$K149,$I149/$K149),0),0)</f>
        <v>8657.0079999999998</v>
      </c>
      <c r="AH149" s="89">
        <f t="shared" si="120"/>
        <v>25971.023999999998</v>
      </c>
      <c r="AI149" s="95">
        <f t="shared" si="121"/>
        <v>43285.039999999994</v>
      </c>
      <c r="AJ149" s="97" t="s">
        <v>509</v>
      </c>
      <c r="AK149" s="1038"/>
      <c r="AL149" s="1042"/>
      <c r="AM149" s="1044">
        <f t="shared" ref="AM149" si="249">N149*AL149</f>
        <v>0</v>
      </c>
      <c r="AN149" s="62" t="str">
        <f>C149</f>
        <v>48 - REDUÇÃO DE MP BOZ0150HX1000</v>
      </c>
      <c r="AO149" s="62" t="s">
        <v>289</v>
      </c>
      <c r="AP149" s="543" t="str" cm="1">
        <f t="array" aca="1" ref="AP149" ca="1">IF(OR(AN149="",AN149=0),"",IF(SUMPRODUCT(($C$55:$C$175=AN149)*(S$54:$AG$54&lt;EOMONTH(TODAY(),-1)+1)*(ISNUMBER(S$55:$AG$175)),S$55:$AG$175)=0,"",SUMPRODUCT(($C$55:$C$175=AN149)*(S$54:$AG$54&lt;EOMONTH(TODAY(),-1)+1)*(ISNUMBER(S$55:$AG$175)),S$55:$AG$175)))</f>
        <v/>
      </c>
    </row>
    <row r="150" spans="1:42" ht="29.1" customHeight="1" x14ac:dyDescent="0.3">
      <c r="A150" s="1362"/>
      <c r="B150" s="1039"/>
      <c r="C150" s="1442"/>
      <c r="D150" s="1098"/>
      <c r="E150" s="1364"/>
      <c r="F150" s="1100"/>
      <c r="G150" s="1151"/>
      <c r="H150" s="1151"/>
      <c r="I150" s="1444"/>
      <c r="J150" s="1110"/>
      <c r="K150" s="1214"/>
      <c r="L150" s="1077"/>
      <c r="M150" s="1321"/>
      <c r="N150" s="1332"/>
      <c r="O150" s="1043"/>
      <c r="P150" s="1043"/>
      <c r="Q150" s="93" t="s">
        <v>107</v>
      </c>
      <c r="R150" s="826">
        <v>0.52</v>
      </c>
      <c r="S150" s="312"/>
      <c r="T150" s="312"/>
      <c r="U150" s="312"/>
      <c r="V150" s="310">
        <f t="shared" si="246"/>
        <v>0</v>
      </c>
      <c r="W150" s="312"/>
      <c r="X150" s="312"/>
      <c r="Y150" s="312"/>
      <c r="Z150" s="310">
        <f t="shared" si="247"/>
        <v>0</v>
      </c>
      <c r="AA150" s="312"/>
      <c r="AB150" s="312"/>
      <c r="AC150" s="312"/>
      <c r="AD150" s="310">
        <f t="shared" si="214"/>
        <v>0</v>
      </c>
      <c r="AE150" s="312"/>
      <c r="AF150" s="312"/>
      <c r="AG150" s="312"/>
      <c r="AH150" s="310">
        <f t="shared" si="120"/>
        <v>0</v>
      </c>
      <c r="AI150" s="313">
        <f t="shared" si="121"/>
        <v>0</v>
      </c>
      <c r="AJ150" s="97"/>
      <c r="AK150" s="1039"/>
      <c r="AL150" s="1043"/>
      <c r="AM150" s="1045"/>
      <c r="AN150" s="62" t="str">
        <f>C149</f>
        <v>48 - REDUÇÃO DE MP BOZ0150HX1000</v>
      </c>
      <c r="AO150" s="62" t="s">
        <v>291</v>
      </c>
      <c r="AP150" s="543" t="str" cm="1">
        <f t="array" aca="1" ref="AP150" ca="1">IF(OR(AN150="",AN150=0),"",IF(SUMPRODUCT(($C$55:$C$175=AN150)*($S$54:AG$54&lt;=TODAY())*(ISNUMBER($S$56:AG$176)),$S$56:AG$176)=0,"",SUMPRODUCT(($C$55:$C$175=AN150)*($S$54:AG$54&lt;=TODAY())*(ISNUMBER($S$56:AG$176)),$S$56:AG$176)))</f>
        <v/>
      </c>
    </row>
    <row r="151" spans="1:42" ht="29.1" customHeight="1" x14ac:dyDescent="0.3">
      <c r="A151" s="1297" t="s">
        <v>85</v>
      </c>
      <c r="B151" s="1299" t="s">
        <v>90</v>
      </c>
      <c r="C151" s="1422" t="s">
        <v>510</v>
      </c>
      <c r="D151" s="1115" t="s">
        <v>511</v>
      </c>
      <c r="E151" s="1303" t="s">
        <v>512</v>
      </c>
      <c r="F151" s="1040" t="s">
        <v>353</v>
      </c>
      <c r="G151" s="1117">
        <v>46114</v>
      </c>
      <c r="H151" s="1117">
        <v>46206</v>
      </c>
      <c r="I151" s="1342">
        <v>63600</v>
      </c>
      <c r="J151" s="1158">
        <v>46204</v>
      </c>
      <c r="K151" s="1121">
        <f>IF(J151="", "", 12 - MONTH(J151) + 1)</f>
        <v>6</v>
      </c>
      <c r="L151" s="1074"/>
      <c r="M151" s="1119"/>
      <c r="N151" s="1314"/>
      <c r="O151" s="1437" t="s">
        <v>80</v>
      </c>
      <c r="P151" s="1057">
        <v>0.5</v>
      </c>
      <c r="Q151" s="87" t="s">
        <v>106</v>
      </c>
      <c r="R151" s="825">
        <v>0.28000000000000003</v>
      </c>
      <c r="S151" s="309">
        <f>IFERROR(IF(AND(S$54&gt;=EOMONTH($J151,-1)+1,S$54&lt;=EOMONTH(EOMONTH($J151,-1)+1,$K151-1)),IF(NOT(ISBLANK($N151)),$N151/$K151,$I151/$K151),0),0)</f>
        <v>0</v>
      </c>
      <c r="T151" s="309">
        <f>IFERROR(IF(AND(T$54&gt;=EOMONTH($J151,-1)+1,T$54&lt;=EOMONTH(EOMONTH($J151,-1)+1,$K151-1)),IF(NOT(ISBLANK($N151)),$N151/$K151,$I151/$K151),0),0)</f>
        <v>0</v>
      </c>
      <c r="U151" s="309">
        <f>IFERROR(IF(AND(U$54&gt;=EOMONTH($J151,-1)+1,U$54&lt;=EOMONTH(EOMONTH($J151,-1)+1,$K151-1)),IF(NOT(ISBLANK($N151)),$N151/$K151,$I151/$K151),0),0)</f>
        <v>0</v>
      </c>
      <c r="V151" s="89">
        <f t="shared" si="246"/>
        <v>0</v>
      </c>
      <c r="W151" s="309">
        <f>IFERROR(IF(AND(W$54&gt;=EOMONTH($J151,-1)+1,W$54&lt;=EOMONTH(EOMONTH($J151,-1)+1,$K151-1)),IF(NOT(ISBLANK($N151)),$N151/$K151,$I151/$K151),0),0)</f>
        <v>0</v>
      </c>
      <c r="X151" s="309">
        <f>IFERROR(IF(AND(X$54&gt;=EOMONTH($J151,-1)+1,X$54&lt;=EOMONTH(EOMONTH($J151,-1)+1,$K151-1)),IF(NOT(ISBLANK($N151)),$N151/$K151,$I151/$K151),0),0)</f>
        <v>0</v>
      </c>
      <c r="Y151" s="309">
        <f>IFERROR(IF(AND(Y$54&gt;=EOMONTH($J151,-1)+1,Y$54&lt;=EOMONTH(EOMONTH($J151,-1)+1,$K151-1)),IF(NOT(ISBLANK($N151)),$N151/$K151,$I151/$K151),0),0)</f>
        <v>0</v>
      </c>
      <c r="Z151" s="89">
        <f t="shared" si="247"/>
        <v>0</v>
      </c>
      <c r="AA151" s="309">
        <f>IFERROR(IF(AND(AA$54&gt;=EOMONTH($J151,-1)+1,AA$54&lt;=EOMONTH(EOMONTH($J151,-1)+1,$K151-1)),IF(NOT(ISBLANK($N151)),$N151/$K151,$I151/$K151),0),0)</f>
        <v>10600</v>
      </c>
      <c r="AB151" s="309">
        <f>IFERROR(IF(AND(AB$54&gt;=EOMONTH($J151,-1)+1,AB$54&lt;=EOMONTH(EOMONTH($J151,-1)+1,$K151-1)),IF(NOT(ISBLANK($N151)),$N151/$K151,$I151/$K151),0),0)</f>
        <v>10600</v>
      </c>
      <c r="AC151" s="309">
        <f>IFERROR(IF(AND(AC$54&gt;=EOMONTH($J151,-1)+1,AC$54&lt;=EOMONTH(EOMONTH($J151,-1)+1,$K151-1)),IF(NOT(ISBLANK($N151)),$N151/$K151,$I151/$K151),0),0)</f>
        <v>10600</v>
      </c>
      <c r="AD151" s="89">
        <f t="shared" si="214"/>
        <v>31800</v>
      </c>
      <c r="AE151" s="309">
        <f>IFERROR(IF(AND(AE$54&gt;=EOMONTH($J151,-1)+1,AE$54&lt;=EOMONTH(EOMONTH($J151,-1)+1,$K151-1)),IF(NOT(ISBLANK($N151)),$N151/$K151,$I151/$K151),0),0)</f>
        <v>10600</v>
      </c>
      <c r="AF151" s="309">
        <f>IFERROR(IF(AND(AF$54&gt;=EOMONTH($J151,-1)+1,AF$54&lt;=EOMONTH(EOMONTH($J151,-1)+1,$K151-1)),IF(NOT(ISBLANK($N151)),$N151/$K151,$I151/$K151),0),0)</f>
        <v>10600</v>
      </c>
      <c r="AG151" s="309">
        <f>IFERROR(IF(AND(AG$54&gt;=EOMONTH($J151,-1)+1,AG$54&lt;=EOMONTH(EOMONTH($J151,-1)+1,$K151-1)),IF(NOT(ISBLANK($N151)),$N151/$K151,$I151/$K151),0),0)</f>
        <v>10600</v>
      </c>
      <c r="AH151" s="89">
        <f t="shared" si="120"/>
        <v>31800</v>
      </c>
      <c r="AI151" s="90">
        <f t="shared" si="121"/>
        <v>63600</v>
      </c>
      <c r="AJ151" s="360" t="s">
        <v>513</v>
      </c>
      <c r="AK151" s="1040"/>
      <c r="AL151" s="1048"/>
      <c r="AM151" s="1046">
        <f t="shared" ref="AM151" si="250">N151*AL151</f>
        <v>0</v>
      </c>
      <c r="AN151" s="62" t="str">
        <f>C151</f>
        <v>49 - REDUÇÃO DE MP GM000408Z / GM000409Z</v>
      </c>
      <c r="AO151" s="62" t="s">
        <v>289</v>
      </c>
      <c r="AP151" s="543" t="str" cm="1">
        <f t="array" aca="1" ref="AP151" ca="1">IF(OR(AN151="",AN151=0),"",IF(SUMPRODUCT(($C$55:$C$175=AN151)*(S$54:$AG$54&lt;EOMONTH(TODAY(),-1)+1)*(ISNUMBER(S$55:$AG$175)),S$55:$AG$175)=0,"",SUMPRODUCT(($C$55:$C$175=AN151)*(S$54:$AG$54&lt;EOMONTH(TODAY(),-1)+1)*(ISNUMBER(S$55:$AG$175)),S$55:$AG$175)))</f>
        <v/>
      </c>
    </row>
    <row r="152" spans="1:42" ht="29.1" customHeight="1" x14ac:dyDescent="0.3">
      <c r="A152" s="1298"/>
      <c r="B152" s="1300"/>
      <c r="C152" s="1423"/>
      <c r="D152" s="1116"/>
      <c r="E152" s="1304"/>
      <c r="F152" s="1041"/>
      <c r="G152" s="1118"/>
      <c r="H152" s="1118"/>
      <c r="I152" s="1343"/>
      <c r="J152" s="1159"/>
      <c r="K152" s="1122"/>
      <c r="L152" s="1075"/>
      <c r="M152" s="1120"/>
      <c r="N152" s="1375"/>
      <c r="O152" s="1438"/>
      <c r="P152" s="1058"/>
      <c r="Q152" s="87" t="s">
        <v>107</v>
      </c>
      <c r="R152" s="826">
        <v>1</v>
      </c>
      <c r="S152" s="309"/>
      <c r="T152" s="309"/>
      <c r="U152" s="309"/>
      <c r="V152" s="310">
        <f t="shared" si="246"/>
        <v>0</v>
      </c>
      <c r="W152" s="309"/>
      <c r="X152" s="309"/>
      <c r="Y152" s="309"/>
      <c r="Z152" s="310">
        <f t="shared" si="247"/>
        <v>0</v>
      </c>
      <c r="AA152" s="309"/>
      <c r="AB152" s="309"/>
      <c r="AC152" s="309"/>
      <c r="AD152" s="310">
        <f t="shared" si="214"/>
        <v>0</v>
      </c>
      <c r="AE152" s="309"/>
      <c r="AF152" s="309"/>
      <c r="AG152" s="309"/>
      <c r="AH152" s="310">
        <f t="shared" si="120"/>
        <v>0</v>
      </c>
      <c r="AI152" s="311">
        <f t="shared" si="121"/>
        <v>0</v>
      </c>
      <c r="AJ152" s="360"/>
      <c r="AK152" s="1041"/>
      <c r="AL152" s="1049"/>
      <c r="AM152" s="1047"/>
      <c r="AN152" s="62" t="str">
        <f>C151</f>
        <v>49 - REDUÇÃO DE MP GM000408Z / GM000409Z</v>
      </c>
      <c r="AO152" s="62" t="s">
        <v>291</v>
      </c>
      <c r="AP152" s="543" t="str" cm="1">
        <f t="array" aca="1" ref="AP152" ca="1">IF(OR(AN152="",AN152=0),"",IF(SUMPRODUCT(($C$55:$C$175=AN152)*($S$54:AG$54&lt;=TODAY())*(ISNUMBER($S$56:AG$176)),$S$56:AG$176)=0,"",SUMPRODUCT(($C$55:$C$175=AN152)*($S$54:AG$54&lt;=TODAY())*(ISNUMBER($S$56:AG$176)),$S$56:AG$176)))</f>
        <v/>
      </c>
    </row>
    <row r="153" spans="1:42" ht="29.1" customHeight="1" x14ac:dyDescent="0.3">
      <c r="A153" s="1361" t="s">
        <v>85</v>
      </c>
      <c r="B153" s="1038" t="s">
        <v>90</v>
      </c>
      <c r="C153" s="1441" t="s">
        <v>514</v>
      </c>
      <c r="D153" s="1097" t="s">
        <v>515</v>
      </c>
      <c r="E153" s="1363" t="s">
        <v>516</v>
      </c>
      <c r="F153" s="1099" t="s">
        <v>359</v>
      </c>
      <c r="G153" s="1150">
        <v>46121</v>
      </c>
      <c r="H153" s="1150">
        <v>46129</v>
      </c>
      <c r="I153" s="1152">
        <v>92500</v>
      </c>
      <c r="J153" s="1109">
        <v>46174</v>
      </c>
      <c r="K153" s="1213">
        <f>IF(J153="", "", 12 - MONTH(J153) + 1)</f>
        <v>7</v>
      </c>
      <c r="L153" s="1076"/>
      <c r="M153" s="1320" t="s">
        <v>287</v>
      </c>
      <c r="N153" s="1331">
        <v>153302.57999999999</v>
      </c>
      <c r="O153" s="1042" t="s">
        <v>80</v>
      </c>
      <c r="P153" s="1042">
        <v>1</v>
      </c>
      <c r="Q153" s="93" t="s">
        <v>106</v>
      </c>
      <c r="R153" s="826">
        <v>0.86</v>
      </c>
      <c r="S153" s="532">
        <f>IFERROR(IF(AND(S$54&gt;=EOMONTH($J153,-1)+1,S$54&lt;=EOMONTH(EOMONTH($J153,-1)+1,$K153-1)),IF(NOT(ISBLANK($N153)),$N153/$K153,$I153/$K153),0),0)</f>
        <v>0</v>
      </c>
      <c r="T153" s="532">
        <f>IFERROR(IF(AND(T$54&gt;=EOMONTH($J153,-1)+1,T$54&lt;=EOMONTH(EOMONTH($J153,-1)+1,$K153-1)),IF(NOT(ISBLANK($N153)),$N153/$K153,$I153/$K153),0),0)</f>
        <v>0</v>
      </c>
      <c r="U153" s="532">
        <f>IFERROR(IF(AND(U$54&gt;=EOMONTH($J153,-1)+1,U$54&lt;=EOMONTH(EOMONTH($J153,-1)+1,$K153-1)),IF(NOT(ISBLANK($N153)),$N153/$K153,$I153/$K153),0),0)</f>
        <v>0</v>
      </c>
      <c r="V153" s="89">
        <f t="shared" si="246"/>
        <v>0</v>
      </c>
      <c r="W153" s="532">
        <f>IFERROR(IF(AND(W$54&gt;=EOMONTH($J153,-1)+1,W$54&lt;=EOMONTH(EOMONTH($J153,-1)+1,$K153-1)),IF(NOT(ISBLANK($N153)),$N153/$K153,$I153/$K153),0),0)</f>
        <v>0</v>
      </c>
      <c r="X153" s="532">
        <f>IFERROR(IF(AND(X$54&gt;=EOMONTH($J153,-1)+1,X$54&lt;=EOMONTH(EOMONTH($J153,-1)+1,$K153-1)),IF(NOT(ISBLANK($N153)),$N153/$K153,$I153/$K153),0),0)</f>
        <v>0</v>
      </c>
      <c r="Y153" s="532">
        <f>IFERROR(IF(AND(Y$54&gt;=EOMONTH($J153,-1)+1,Y$54&lt;=EOMONTH(EOMONTH($J153,-1)+1,$K153-1)),IF(NOT(ISBLANK($N153)),$N153/$K153,$I153/$K153),0),0)</f>
        <v>21900.368571428571</v>
      </c>
      <c r="Z153" s="89">
        <f t="shared" si="247"/>
        <v>21900.368571428571</v>
      </c>
      <c r="AA153" s="532">
        <f>IFERROR(IF(AND(AA$54&gt;=EOMONTH($J153,-1)+1,AA$54&lt;=EOMONTH(EOMONTH($J153,-1)+1,$K153-1)),IF(NOT(ISBLANK($N153)),$N153/$K153,$I153/$K153),0),0)</f>
        <v>21900.368571428571</v>
      </c>
      <c r="AB153" s="532">
        <f>IFERROR(IF(AND(AB$54&gt;=EOMONTH($J153,-1)+1,AB$54&lt;=EOMONTH(EOMONTH($J153,-1)+1,$K153-1)),IF(NOT(ISBLANK($N153)),$N153/$K153,$I153/$K153),0),0)</f>
        <v>21900.368571428571</v>
      </c>
      <c r="AC153" s="532">
        <f>IFERROR(IF(AND(AC$54&gt;=EOMONTH($J153,-1)+1,AC$54&lt;=EOMONTH(EOMONTH($J153,-1)+1,$K153-1)),IF(NOT(ISBLANK($N153)),$N153/$K153,$I153/$K153),0),0)</f>
        <v>21900.368571428571</v>
      </c>
      <c r="AD153" s="89">
        <f t="shared" si="214"/>
        <v>65701.105714285717</v>
      </c>
      <c r="AE153" s="532">
        <f>IFERROR(IF(AND(AE$54&gt;=EOMONTH($J153,-1)+1,AE$54&lt;=EOMONTH(EOMONTH($J153,-1)+1,$K153-1)),IF(NOT(ISBLANK($N153)),$N153/$K153,$I153/$K153),0),0)</f>
        <v>21900.368571428571</v>
      </c>
      <c r="AF153" s="532">
        <f>IFERROR(IF(AND(AF$54&gt;=EOMONTH($J153,-1)+1,AF$54&lt;=EOMONTH(EOMONTH($J153,-1)+1,$K153-1)),IF(NOT(ISBLANK($N153)),$N153/$K153,$I153/$K153),0),0)</f>
        <v>21900.368571428571</v>
      </c>
      <c r="AG153" s="532">
        <f>IFERROR(IF(AND(AG$54&gt;=EOMONTH($J153,-1)+1,AG$54&lt;=EOMONTH(EOMONTH($J153,-1)+1,$K153-1)),IF(NOT(ISBLANK($N153)),$N153/$K153,$I153/$K153),0),0)</f>
        <v>21900.368571428571</v>
      </c>
      <c r="AH153" s="89">
        <f t="shared" si="120"/>
        <v>65701.105714285717</v>
      </c>
      <c r="AI153" s="95">
        <f t="shared" si="121"/>
        <v>153302.58000000002</v>
      </c>
      <c r="AJ153" s="361" t="s">
        <v>517</v>
      </c>
      <c r="AK153" s="1038"/>
      <c r="AL153" s="1042"/>
      <c r="AM153" s="1044">
        <f t="shared" ref="AM153" si="251">N153*AL153</f>
        <v>0</v>
      </c>
      <c r="AN153" s="62" t="str">
        <f>C153</f>
        <v>50 - Suporte da lanterna MB003681</v>
      </c>
      <c r="AO153" s="62" t="s">
        <v>289</v>
      </c>
      <c r="AP153" s="543" t="str" cm="1">
        <f t="array" aca="1" ref="AP153" ca="1">IF(OR(AN153="",AN153=0),"",IF(SUMPRODUCT(($C$55:$C$175=AN153)*(S$54:$AG$54&lt;EOMONTH(TODAY(),-1)+1)*(ISNUMBER(S$55:$AG$175)),S$55:$AG$175)=0,"",SUMPRODUCT(($C$55:$C$175=AN153)*(S$54:$AG$54&lt;EOMONTH(TODAY(),-1)+1)*(ISNUMBER(S$55:$AG$175)),S$55:$AG$175)))</f>
        <v/>
      </c>
    </row>
    <row r="154" spans="1:42" ht="29.1" customHeight="1" x14ac:dyDescent="0.3">
      <c r="A154" s="1362"/>
      <c r="B154" s="1039"/>
      <c r="C154" s="1442"/>
      <c r="D154" s="1098"/>
      <c r="E154" s="1364"/>
      <c r="F154" s="1100"/>
      <c r="G154" s="1151"/>
      <c r="H154" s="1151"/>
      <c r="I154" s="1151"/>
      <c r="J154" s="1110"/>
      <c r="K154" s="1214"/>
      <c r="L154" s="1077"/>
      <c r="M154" s="1321"/>
      <c r="N154" s="1332"/>
      <c r="O154" s="1043"/>
      <c r="P154" s="1043"/>
      <c r="Q154" s="93" t="s">
        <v>107</v>
      </c>
      <c r="R154" s="826">
        <v>0.86</v>
      </c>
      <c r="S154" s="312"/>
      <c r="T154" s="312"/>
      <c r="U154" s="312"/>
      <c r="V154" s="310">
        <f t="shared" si="246"/>
        <v>0</v>
      </c>
      <c r="W154" s="312"/>
      <c r="X154" s="312"/>
      <c r="Y154" s="312"/>
      <c r="Z154" s="310">
        <f t="shared" si="247"/>
        <v>0</v>
      </c>
      <c r="AA154" s="312"/>
      <c r="AB154" s="312"/>
      <c r="AC154" s="312"/>
      <c r="AD154" s="310">
        <f t="shared" si="214"/>
        <v>0</v>
      </c>
      <c r="AE154" s="312"/>
      <c r="AF154" s="312"/>
      <c r="AG154" s="312"/>
      <c r="AH154" s="310">
        <f t="shared" si="120"/>
        <v>0</v>
      </c>
      <c r="AI154" s="313">
        <f t="shared" si="121"/>
        <v>0</v>
      </c>
      <c r="AJ154" s="97"/>
      <c r="AK154" s="1039"/>
      <c r="AL154" s="1043"/>
      <c r="AM154" s="1045"/>
      <c r="AN154" s="62" t="str">
        <f>C153</f>
        <v>50 - Suporte da lanterna MB003681</v>
      </c>
      <c r="AO154" s="62" t="s">
        <v>291</v>
      </c>
      <c r="AP154" s="543" t="str" cm="1">
        <f t="array" aca="1" ref="AP154" ca="1">IF(OR(AN154="",AN154=0),"",IF(SUMPRODUCT(($C$55:$C$175=AN154)*($S$54:AG$54&lt;=TODAY())*(ISNUMBER($S$56:AG$176)),$S$56:AG$176)=0,"",SUMPRODUCT(($C$55:$C$175=AN154)*($S$54:AG$54&lt;=TODAY())*(ISNUMBER($S$56:AG$176)),$S$56:AG$176)))</f>
        <v/>
      </c>
    </row>
    <row r="155" spans="1:42" ht="29.1" customHeight="1" x14ac:dyDescent="0.3">
      <c r="A155" s="1299" t="s">
        <v>85</v>
      </c>
      <c r="B155" s="1299" t="s">
        <v>90</v>
      </c>
      <c r="C155" s="1365" t="s">
        <v>518</v>
      </c>
      <c r="D155" s="1115" t="s">
        <v>519</v>
      </c>
      <c r="E155" s="1303" t="s">
        <v>520</v>
      </c>
      <c r="F155" s="1040" t="s">
        <v>353</v>
      </c>
      <c r="G155" s="1117">
        <v>46120</v>
      </c>
      <c r="H155" s="1117">
        <v>46142</v>
      </c>
      <c r="I155" s="1439">
        <v>40000.000780000002</v>
      </c>
      <c r="J155" s="1158">
        <v>46143</v>
      </c>
      <c r="K155" s="1121">
        <f>IF(J155="", "", 12 - MONTH(J155) + 1)</f>
        <v>8</v>
      </c>
      <c r="L155" s="1074"/>
      <c r="M155" s="1119" t="s">
        <v>287</v>
      </c>
      <c r="N155" s="1314">
        <v>38893.96</v>
      </c>
      <c r="O155" s="1057" t="s">
        <v>80</v>
      </c>
      <c r="P155" s="1057">
        <v>1</v>
      </c>
      <c r="Q155" s="87" t="s">
        <v>106</v>
      </c>
      <c r="R155" s="825">
        <v>0.87</v>
      </c>
      <c r="S155" s="309">
        <f>IFERROR(IF(AND(S$54&gt;=EOMONTH($J155,-1)+1,S$54&lt;=EOMONTH(EOMONTH($J155,-1)+1,$K155-1)),IF(NOT(ISBLANK($N155)),$N155/$K155,$I155/$K155),0),0)</f>
        <v>0</v>
      </c>
      <c r="T155" s="309">
        <f>IFERROR(IF(AND(T$54&gt;=EOMONTH($J155,-1)+1,T$54&lt;=EOMONTH(EOMONTH($J155,-1)+1,$K155-1)),IF(NOT(ISBLANK($N155)),$N155/$K155,$I155/$K155),0),0)</f>
        <v>0</v>
      </c>
      <c r="U155" s="309">
        <f>IFERROR(IF(AND(U$54&gt;=EOMONTH($J155,-1)+1,U$54&lt;=EOMONTH(EOMONTH($J155,-1)+1,$K155-1)),IF(NOT(ISBLANK($N155)),$N155/$K155,$I155/$K155),0),0)</f>
        <v>0</v>
      </c>
      <c r="V155" s="89">
        <f t="shared" si="246"/>
        <v>0</v>
      </c>
      <c r="W155" s="309">
        <f>IFERROR(IF(AND(W$54&gt;=EOMONTH($J155,-1)+1,W$54&lt;=EOMONTH(EOMONTH($J155,-1)+1,$K155-1)),IF(NOT(ISBLANK($N155)),$N155/$K155,$I155/$K155),0),0)</f>
        <v>0</v>
      </c>
      <c r="X155" s="309">
        <f>IFERROR(IF(AND(X$54&gt;=EOMONTH($J155,-1)+1,X$54&lt;=EOMONTH(EOMONTH($J155,-1)+1,$K155-1)),IF(NOT(ISBLANK($N155)),$N155/$K155,$I155/$K155),0),0)</f>
        <v>4861.7449999999999</v>
      </c>
      <c r="Y155" s="309">
        <f>IFERROR(IF(AND(Y$54&gt;=EOMONTH($J155,-1)+1,Y$54&lt;=EOMONTH(EOMONTH($J155,-1)+1,$K155-1)),IF(NOT(ISBLANK($N155)),$N155/$K155,$I155/$K155),0),0)</f>
        <v>4861.7449999999999</v>
      </c>
      <c r="Z155" s="89">
        <f t="shared" si="247"/>
        <v>9723.49</v>
      </c>
      <c r="AA155" s="309">
        <f>IFERROR(IF(AND(AA$54&gt;=EOMONTH($J155,-1)+1,AA$54&lt;=EOMONTH(EOMONTH($J155,-1)+1,$K155-1)),IF(NOT(ISBLANK($N155)),$N155/$K155,$I155/$K155),0),0)</f>
        <v>4861.7449999999999</v>
      </c>
      <c r="AB155" s="309">
        <f>IFERROR(IF(AND(AB$54&gt;=EOMONTH($J155,-1)+1,AB$54&lt;=EOMONTH(EOMONTH($J155,-1)+1,$K155-1)),IF(NOT(ISBLANK($N155)),$N155/$K155,$I155/$K155),0),0)</f>
        <v>4861.7449999999999</v>
      </c>
      <c r="AC155" s="309">
        <f>IFERROR(IF(AND(AC$54&gt;=EOMONTH($J155,-1)+1,AC$54&lt;=EOMONTH(EOMONTH($J155,-1)+1,$K155-1)),IF(NOT(ISBLANK($N155)),$N155/$K155,$I155/$K155),0),0)</f>
        <v>4861.7449999999999</v>
      </c>
      <c r="AD155" s="89">
        <f t="shared" si="214"/>
        <v>14585.235000000001</v>
      </c>
      <c r="AE155" s="309">
        <f>IFERROR(IF(AND(AE$54&gt;=EOMONTH($J155,-1)+1,AE$54&lt;=EOMONTH(EOMONTH($J155,-1)+1,$K155-1)),IF(NOT(ISBLANK($N155)),$N155/$K155,$I155/$K155),0),0)</f>
        <v>4861.7449999999999</v>
      </c>
      <c r="AF155" s="309">
        <f>IFERROR(IF(AND(AF$54&gt;=EOMONTH($J155,-1)+1,AF$54&lt;=EOMONTH(EOMONTH($J155,-1)+1,$K155-1)),IF(NOT(ISBLANK($N155)),$N155/$K155,$I155/$K155),0),0)</f>
        <v>4861.7449999999999</v>
      </c>
      <c r="AG155" s="309">
        <f>IFERROR(IF(AND(AG$54&gt;=EOMONTH($J155,-1)+1,AG$54&lt;=EOMONTH(EOMONTH($J155,-1)+1,$K155-1)),IF(NOT(ISBLANK($N155)),$N155/$K155,$I155/$K155),0),0)</f>
        <v>4861.7449999999999</v>
      </c>
      <c r="AH155" s="89">
        <f t="shared" si="120"/>
        <v>14585.235000000001</v>
      </c>
      <c r="AI155" s="90">
        <f t="shared" si="121"/>
        <v>38893.96</v>
      </c>
      <c r="AJ155" s="776" t="s">
        <v>521</v>
      </c>
      <c r="AK155" s="1040"/>
      <c r="AL155" s="1048"/>
      <c r="AM155" s="1046">
        <f t="shared" ref="AM155" si="252">N155*AL155</f>
        <v>0</v>
      </c>
      <c r="AN155" s="62" t="str">
        <f>C155</f>
        <v>51 - Redução de MP - GM000402Z_403Z_Passo</v>
      </c>
      <c r="AO155" s="62" t="s">
        <v>289</v>
      </c>
      <c r="AP155" s="543" cm="1">
        <f t="array" aca="1" ref="AP155" ca="1">IF(OR(AN155="",AN155=0),"",IF(SUMPRODUCT(($C$55:$C$175=AN155)*(S$54:$AG$54&lt;EOMONTH(TODAY(),-1)+1)*(ISNUMBER(S$55:$AG$175)),S$55:$AG$175)=0,"",SUMPRODUCT(($C$55:$C$175=AN155)*(S$54:$AG$54&lt;EOMONTH(TODAY(),-1)+1)*(ISNUMBER(S$55:$AG$175)),S$55:$AG$175)))</f>
        <v>4861.7449999999999</v>
      </c>
    </row>
    <row r="156" spans="1:42" ht="29.1" customHeight="1" x14ac:dyDescent="0.3">
      <c r="A156" s="1300"/>
      <c r="B156" s="1300"/>
      <c r="C156" s="1366"/>
      <c r="D156" s="1116"/>
      <c r="E156" s="1304"/>
      <c r="F156" s="1041"/>
      <c r="G156" s="1118"/>
      <c r="H156" s="1118"/>
      <c r="I156" s="1440"/>
      <c r="J156" s="1159"/>
      <c r="K156" s="1122"/>
      <c r="L156" s="1075"/>
      <c r="M156" s="1120"/>
      <c r="N156" s="1375"/>
      <c r="O156" s="1058"/>
      <c r="P156" s="1058"/>
      <c r="Q156" s="87" t="s">
        <v>107</v>
      </c>
      <c r="R156" s="825">
        <v>0.9</v>
      </c>
      <c r="S156" s="309"/>
      <c r="T156" s="309"/>
      <c r="U156" s="309"/>
      <c r="V156" s="310">
        <f t="shared" si="246"/>
        <v>0</v>
      </c>
      <c r="W156" s="309"/>
      <c r="X156" s="309">
        <v>3800.3005510934777</v>
      </c>
      <c r="Y156" s="309"/>
      <c r="Z156" s="310">
        <f t="shared" si="247"/>
        <v>3800.3005510934777</v>
      </c>
      <c r="AA156" s="309"/>
      <c r="AB156" s="309"/>
      <c r="AC156" s="309"/>
      <c r="AD156" s="310">
        <f t="shared" si="214"/>
        <v>0</v>
      </c>
      <c r="AE156" s="309"/>
      <c r="AF156" s="309"/>
      <c r="AG156" s="309"/>
      <c r="AH156" s="310">
        <f t="shared" si="120"/>
        <v>0</v>
      </c>
      <c r="AI156" s="311">
        <f t="shared" si="121"/>
        <v>3800.3005510934777</v>
      </c>
      <c r="AJ156" s="360"/>
      <c r="AK156" s="1041"/>
      <c r="AL156" s="1049"/>
      <c r="AM156" s="1047"/>
      <c r="AN156" s="62" t="str">
        <f>C155</f>
        <v>51 - Redução de MP - GM000402Z_403Z_Passo</v>
      </c>
      <c r="AO156" s="62" t="s">
        <v>291</v>
      </c>
      <c r="AP156" s="543" cm="1">
        <f t="array" aca="1" ref="AP156" ca="1">IF(OR(AN156="",AN156=0),"",IF(SUMPRODUCT(($C$55:$C$175=AN156)*($S$54:AG$54&lt;=TODAY())*(ISNUMBER($S$56:AG$176)),$S$56:AG$176)=0,"",SUMPRODUCT(($C$55:$C$175=AN156)*($S$54:AG$54&lt;=TODAY())*(ISNUMBER($S$56:AG$176)),$S$56:AG$176)))</f>
        <v>3800.3005510934777</v>
      </c>
    </row>
    <row r="157" spans="1:42" ht="29.1" customHeight="1" x14ac:dyDescent="0.3">
      <c r="A157" s="1361" t="s">
        <v>85</v>
      </c>
      <c r="B157" s="1038" t="s">
        <v>90</v>
      </c>
      <c r="C157" s="1376" t="s">
        <v>522</v>
      </c>
      <c r="D157" s="1097" t="s">
        <v>523</v>
      </c>
      <c r="E157" s="1363" t="s">
        <v>524</v>
      </c>
      <c r="F157" s="1099" t="s">
        <v>286</v>
      </c>
      <c r="G157" s="1150">
        <v>46134</v>
      </c>
      <c r="H157" s="1150">
        <v>46160</v>
      </c>
      <c r="I157" s="1152">
        <v>236000</v>
      </c>
      <c r="J157" s="1109">
        <v>46174</v>
      </c>
      <c r="K157" s="1213">
        <f>IF(J157="", "", 12 - MONTH(J157) + 1)</f>
        <v>7</v>
      </c>
      <c r="L157" s="1076"/>
      <c r="M157" s="1320" t="s">
        <v>287</v>
      </c>
      <c r="N157" s="1331">
        <v>138092.84</v>
      </c>
      <c r="O157" s="1316" t="s">
        <v>77</v>
      </c>
      <c r="P157" s="1042">
        <v>1</v>
      </c>
      <c r="Q157" s="93" t="s">
        <v>106</v>
      </c>
      <c r="R157" s="96">
        <f ca="1">IF(OR(G157="", H157=""), "", IF(TODAY()&lt;G157, 0, IF(TODAY()&gt;H157, 1, (TODAY()-G157+1)/(H157-G157+1))))</f>
        <v>1</v>
      </c>
      <c r="S157" s="532">
        <f>IFERROR(IF(AND(S$54&gt;=EOMONTH($J157,-1)+1,S$54&lt;=EOMONTH(EOMONTH($J157,-1)+1,$K157-1)),IF(NOT(ISBLANK($N157)),$N157/$K157,$I157/$K157),0),0)</f>
        <v>0</v>
      </c>
      <c r="T157" s="532">
        <f>IFERROR(IF(AND(T$54&gt;=EOMONTH($J157,-1)+1,T$54&lt;=EOMONTH(EOMONTH($J157,-1)+1,$K157-1)),IF(NOT(ISBLANK($N157)),$N157/$K157,$I157/$K157),0),0)</f>
        <v>0</v>
      </c>
      <c r="U157" s="532">
        <f>IFERROR(IF(AND(U$54&gt;=EOMONTH($J157,-1)+1,U$54&lt;=EOMONTH(EOMONTH($J157,-1)+1,$K157-1)),IF(NOT(ISBLANK($N157)),$N157/$K157,$I157/$K157),0),0)</f>
        <v>0</v>
      </c>
      <c r="V157" s="89">
        <f t="shared" si="246"/>
        <v>0</v>
      </c>
      <c r="W157" s="532">
        <f>IFERROR(IF(AND(W$54&gt;=EOMONTH($J157,-1)+1,W$54&lt;=EOMONTH(EOMONTH($J157,-1)+1,$K157-1)),IF(NOT(ISBLANK($N157)),$N157/$K157,$I157/$K157),0),0)</f>
        <v>0</v>
      </c>
      <c r="X157" s="532">
        <f>IFERROR(IF(AND(X$54&gt;=EOMONTH($J157,-1)+1,X$54&lt;=EOMONTH(EOMONTH($J157,-1)+1,$K157-1)),IF(NOT(ISBLANK($N157)),$N157/$K157,$I157/$K157),0),0)</f>
        <v>0</v>
      </c>
      <c r="Y157" s="532">
        <f>IFERROR(IF(AND(Y$54&gt;=EOMONTH($J157,-1)+1,Y$54&lt;=EOMONTH(EOMONTH($J157,-1)+1,$K157-1)),IF(NOT(ISBLANK($N157)),$N157/$K157,$I157/$K157),0),0)</f>
        <v>19727.548571428571</v>
      </c>
      <c r="Z157" s="89">
        <f t="shared" si="247"/>
        <v>19727.548571428571</v>
      </c>
      <c r="AA157" s="532">
        <f>IFERROR(IF(AND(AA$54&gt;=EOMONTH($J157,-1)+1,AA$54&lt;=EOMONTH(EOMONTH($J157,-1)+1,$K157-1)),IF(NOT(ISBLANK($N157)),$N157/$K157,$I157/$K157),0),0)</f>
        <v>19727.548571428571</v>
      </c>
      <c r="AB157" s="532">
        <f>IFERROR(IF(AND(AB$54&gt;=EOMONTH($J157,-1)+1,AB$54&lt;=EOMONTH(EOMONTH($J157,-1)+1,$K157-1)),IF(NOT(ISBLANK($N157)),$N157/$K157,$I157/$K157),0),0)</f>
        <v>19727.548571428571</v>
      </c>
      <c r="AC157" s="532">
        <f>IFERROR(IF(AND(AC$54&gt;=EOMONTH($J157,-1)+1,AC$54&lt;=EOMONTH(EOMONTH($J157,-1)+1,$K157-1)),IF(NOT(ISBLANK($N157)),$N157/$K157,$I157/$K157),0),0)</f>
        <v>19727.548571428571</v>
      </c>
      <c r="AD157" s="89">
        <f t="shared" si="214"/>
        <v>59182.645714285711</v>
      </c>
      <c r="AE157" s="532">
        <f>IFERROR(IF(AND(AE$54&gt;=EOMONTH($J157,-1)+1,AE$54&lt;=EOMONTH(EOMONTH($J157,-1)+1,$K157-1)),IF(NOT(ISBLANK($N157)),$N157/$K157,$I157/$K157),0),0)</f>
        <v>19727.548571428571</v>
      </c>
      <c r="AF157" s="532">
        <f>IFERROR(IF(AND(AF$54&gt;=EOMONTH($J157,-1)+1,AF$54&lt;=EOMONTH(EOMONTH($J157,-1)+1,$K157-1)),IF(NOT(ISBLANK($N157)),$N157/$K157,$I157/$K157),0),0)</f>
        <v>19727.548571428571</v>
      </c>
      <c r="AG157" s="532">
        <f>IFERROR(IF(AND(AG$54&gt;=EOMONTH($J157,-1)+1,AG$54&lt;=EOMONTH(EOMONTH($J157,-1)+1,$K157-1)),IF(NOT(ISBLANK($N157)),$N157/$K157,$I157/$K157),0),0)</f>
        <v>19727.548571428571</v>
      </c>
      <c r="AH157" s="89">
        <f t="shared" si="120"/>
        <v>59182.645714285711</v>
      </c>
      <c r="AI157" s="95">
        <f t="shared" si="121"/>
        <v>138092.84</v>
      </c>
      <c r="AJ157" s="150" t="s">
        <v>525</v>
      </c>
      <c r="AK157" s="1038"/>
      <c r="AL157" s="1042"/>
      <c r="AM157" s="1044">
        <f t="shared" ref="AM157" si="253">N157*AL157</f>
        <v>0</v>
      </c>
      <c r="AN157" s="62" t="str">
        <f>C157</f>
        <v>52 - Redução de MP - GM000458Z / GM000459Z</v>
      </c>
      <c r="AO157" s="62" t="s">
        <v>289</v>
      </c>
      <c r="AP157" s="543" t="str" cm="1">
        <f t="array" aca="1" ref="AP157" ca="1">IF(OR(AN157="",AN157=0),"",IF(SUMPRODUCT(($C$55:$C$175=AN157)*(S$54:$AG$54&lt;EOMONTH(TODAY(),-1)+1)*(ISNUMBER(S$55:$AG$175)),S$55:$AG$175)=0,"",SUMPRODUCT(($C$55:$C$175=AN157)*(S$54:$AG$54&lt;EOMONTH(TODAY(),-1)+1)*(ISNUMBER(S$55:$AG$175)),S$55:$AG$175)))</f>
        <v/>
      </c>
    </row>
    <row r="158" spans="1:42" ht="29.1" customHeight="1" x14ac:dyDescent="0.3">
      <c r="A158" s="1362"/>
      <c r="B158" s="1039"/>
      <c r="C158" s="1377"/>
      <c r="D158" s="1098"/>
      <c r="E158" s="1364"/>
      <c r="F158" s="1100"/>
      <c r="G158" s="1151"/>
      <c r="H158" s="1151"/>
      <c r="I158" s="1151"/>
      <c r="J158" s="1110"/>
      <c r="K158" s="1214"/>
      <c r="L158" s="1077"/>
      <c r="M158" s="1321"/>
      <c r="N158" s="1332"/>
      <c r="O158" s="1317"/>
      <c r="P158" s="1043"/>
      <c r="Q158" s="93" t="s">
        <v>107</v>
      </c>
      <c r="R158" s="826">
        <v>1</v>
      </c>
      <c r="S158" s="312"/>
      <c r="T158" s="312"/>
      <c r="U158" s="312"/>
      <c r="V158" s="310">
        <f t="shared" si="246"/>
        <v>0</v>
      </c>
      <c r="W158" s="312"/>
      <c r="X158" s="312"/>
      <c r="Y158" s="312"/>
      <c r="Z158" s="310">
        <f t="shared" si="247"/>
        <v>0</v>
      </c>
      <c r="AA158" s="312"/>
      <c r="AB158" s="312"/>
      <c r="AC158" s="312"/>
      <c r="AD158" s="310">
        <f t="shared" si="214"/>
        <v>0</v>
      </c>
      <c r="AE158" s="312"/>
      <c r="AF158" s="312"/>
      <c r="AG158" s="312"/>
      <c r="AH158" s="310">
        <f t="shared" si="120"/>
        <v>0</v>
      </c>
      <c r="AI158" s="313">
        <f t="shared" si="121"/>
        <v>0</v>
      </c>
      <c r="AJ158" s="97"/>
      <c r="AK158" s="1039"/>
      <c r="AL158" s="1043"/>
      <c r="AM158" s="1045"/>
      <c r="AN158" s="62" t="str">
        <f>C157</f>
        <v>52 - Redução de MP - GM000458Z / GM000459Z</v>
      </c>
      <c r="AO158" s="62" t="s">
        <v>291</v>
      </c>
      <c r="AP158" s="543" t="str" cm="1">
        <f t="array" aca="1" ref="AP158" ca="1">IF(OR(AN158="",AN158=0),"",IF(SUMPRODUCT(($C$55:$C$175=AN158)*($S$54:AG$54&lt;=TODAY())*(ISNUMBER($S$56:AG$176)),$S$56:AG$176)=0,"",SUMPRODUCT(($C$55:$C$175=AN158)*($S$54:AG$54&lt;=TODAY())*(ISNUMBER($S$56:AG$176)),$S$56:AG$176)))</f>
        <v/>
      </c>
    </row>
    <row r="159" spans="1:42" ht="29.1" customHeight="1" x14ac:dyDescent="0.3">
      <c r="A159" s="1036" t="s">
        <v>310</v>
      </c>
      <c r="B159" s="1299" t="s">
        <v>91</v>
      </c>
      <c r="C159" s="1365" t="s">
        <v>526</v>
      </c>
      <c r="D159" s="1115" t="s">
        <v>527</v>
      </c>
      <c r="E159" s="1303" t="s">
        <v>528</v>
      </c>
      <c r="F159" s="1040" t="s">
        <v>295</v>
      </c>
      <c r="G159" s="1117">
        <v>46126</v>
      </c>
      <c r="H159" s="1117">
        <v>46142</v>
      </c>
      <c r="I159" s="1074"/>
      <c r="J159" s="1158">
        <v>46174</v>
      </c>
      <c r="K159" s="1121">
        <f>IF(J159="", "", 12 - MONTH(J159) + 1)</f>
        <v>7</v>
      </c>
      <c r="L159" s="1074"/>
      <c r="M159" s="1119"/>
      <c r="N159" s="1053"/>
      <c r="O159" s="1336" t="s">
        <v>77</v>
      </c>
      <c r="P159" s="1057">
        <v>1</v>
      </c>
      <c r="Q159" s="87" t="s">
        <v>106</v>
      </c>
      <c r="R159" s="91">
        <f ca="1">IF(OR(G159="", H159=""), "", IF(TODAY()&lt;G159, 0, IF(TODAY()&gt;H159, 1, (TODAY()-G159+1)/(H159-G159+1))))</f>
        <v>1</v>
      </c>
      <c r="S159" s="309">
        <f>IFERROR(IF(AND(S$54&gt;=EOMONTH($J159,-1)+1,S$54&lt;=EOMONTH(EOMONTH($J159,-1)+1,$K159-1)),IF(NOT(ISBLANK($N159)),$N159/$K159,$I159/$K159),0),0)</f>
        <v>0</v>
      </c>
      <c r="T159" s="309">
        <f>IFERROR(IF(AND(T$54&gt;=EOMONTH($J159,-1)+1,T$54&lt;=EOMONTH(EOMONTH($J159,-1)+1,$K159-1)),IF(NOT(ISBLANK($N159)),$N159/$K159,$I159/$K159),0),0)</f>
        <v>0</v>
      </c>
      <c r="U159" s="309">
        <f>IFERROR(IF(AND(U$54&gt;=EOMONTH($J159,-1)+1,U$54&lt;=EOMONTH(EOMONTH($J159,-1)+1,$K159-1)),IF(NOT(ISBLANK($N159)),$N159/$K159,$I159/$K159),0),0)</f>
        <v>0</v>
      </c>
      <c r="V159" s="89">
        <f t="shared" si="246"/>
        <v>0</v>
      </c>
      <c r="W159" s="309">
        <f>IFERROR(IF(AND(W$54&gt;=EOMONTH($J159,-1)+1,W$54&lt;=EOMONTH(EOMONTH($J159,-1)+1,$K159-1)),IF(NOT(ISBLANK($N159)),$N159/$K159,$I159/$K159),0),0)</f>
        <v>0</v>
      </c>
      <c r="X159" s="309">
        <f>IFERROR(IF(AND(X$54&gt;=EOMONTH($J159,-1)+1,X$54&lt;=EOMONTH(EOMONTH($J159,-1)+1,$K159-1)),IF(NOT(ISBLANK($N159)),$N159/$K159,$I159/$K159),0),0)</f>
        <v>0</v>
      </c>
      <c r="Y159" s="309">
        <f>IFERROR(IF(AND(Y$54&gt;=EOMONTH($J159,-1)+1,Y$54&lt;=EOMONTH(EOMONTH($J159,-1)+1,$K159-1)),IF(NOT(ISBLANK($N159)),$N159/$K159,$I159/$K159),0),0)</f>
        <v>0</v>
      </c>
      <c r="Z159" s="89">
        <f t="shared" si="247"/>
        <v>0</v>
      </c>
      <c r="AA159" s="309">
        <f>IFERROR(IF(AND(AA$54&gt;=EOMONTH($J159,-1)+1,AA$54&lt;=EOMONTH(EOMONTH($J159,-1)+1,$K159-1)),IF(NOT(ISBLANK($N159)),$N159/$K159,$I159/$K159),0),0)</f>
        <v>0</v>
      </c>
      <c r="AB159" s="309">
        <f>IFERROR(IF(AND(AB$54&gt;=EOMONTH($J159,-1)+1,AB$54&lt;=EOMONTH(EOMONTH($J159,-1)+1,$K159-1)),IF(NOT(ISBLANK($N159)),$N159/$K159,$I159/$K159),0),0)</f>
        <v>0</v>
      </c>
      <c r="AC159" s="309">
        <f>IFERROR(IF(AND(AC$54&gt;=EOMONTH($J159,-1)+1,AC$54&lt;=EOMONTH(EOMONTH($J159,-1)+1,$K159-1)),IF(NOT(ISBLANK($N159)),$N159/$K159,$I159/$K159),0),0)</f>
        <v>0</v>
      </c>
      <c r="AD159" s="89">
        <f t="shared" si="214"/>
        <v>0</v>
      </c>
      <c r="AE159" s="309">
        <f>IFERROR(IF(AND(AE$54&gt;=EOMONTH($J159,-1)+1,AE$54&lt;=EOMONTH(EOMONTH($J159,-1)+1,$K159-1)),IF(NOT(ISBLANK($N159)),$N159/$K159,$I159/$K159),0),0)</f>
        <v>0</v>
      </c>
      <c r="AF159" s="309">
        <f>IFERROR(IF(AND(AF$54&gt;=EOMONTH($J159,-1)+1,AF$54&lt;=EOMONTH(EOMONTH($J159,-1)+1,$K159-1)),IF(NOT(ISBLANK($N159)),$N159/$K159,$I159/$K159),0),0)</f>
        <v>0</v>
      </c>
      <c r="AG159" s="309">
        <f>IFERROR(IF(AND(AG$54&gt;=EOMONTH($J159,-1)+1,AG$54&lt;=EOMONTH(EOMONTH($J159,-1)+1,$K159-1)),IF(NOT(ISBLANK($N159)),$N159/$K159,$I159/$K159),0),0)</f>
        <v>0</v>
      </c>
      <c r="AH159" s="89">
        <f t="shared" si="120"/>
        <v>0</v>
      </c>
      <c r="AI159" s="90">
        <f t="shared" si="121"/>
        <v>0</v>
      </c>
      <c r="AJ159" s="360" t="s">
        <v>529</v>
      </c>
      <c r="AK159" s="1040"/>
      <c r="AL159" s="1048"/>
      <c r="AM159" s="1046">
        <f t="shared" ref="AM159" si="254">N159*AL159</f>
        <v>0</v>
      </c>
      <c r="AN159" s="62" t="str">
        <f>C159</f>
        <v xml:space="preserve">53 - Redução no custo de aluguel de cilindros. </v>
      </c>
      <c r="AO159" s="62" t="s">
        <v>289</v>
      </c>
      <c r="AP159" s="543" t="str" cm="1">
        <f t="array" aca="1" ref="AP159" ca="1">IF(OR(AN159="",AN159=0),"",IF(SUMPRODUCT(($C$55:$C$175=AN159)*(S$54:$AG$54&lt;EOMONTH(TODAY(),-1)+1)*(ISNUMBER(S$55:$AG$175)),S$55:$AG$175)=0,"",SUMPRODUCT(($C$55:$C$175=AN159)*(S$54:$AG$54&lt;EOMONTH(TODAY(),-1)+1)*(ISNUMBER(S$55:$AG$175)),S$55:$AG$175)))</f>
        <v/>
      </c>
    </row>
    <row r="160" spans="1:42" ht="29.1" customHeight="1" x14ac:dyDescent="0.3">
      <c r="A160" s="1037"/>
      <c r="B160" s="1300"/>
      <c r="C160" s="1366"/>
      <c r="D160" s="1116"/>
      <c r="E160" s="1304"/>
      <c r="F160" s="1041"/>
      <c r="G160" s="1118"/>
      <c r="H160" s="1118"/>
      <c r="I160" s="1075"/>
      <c r="J160" s="1159"/>
      <c r="K160" s="1122"/>
      <c r="L160" s="1075"/>
      <c r="M160" s="1120"/>
      <c r="N160" s="1054"/>
      <c r="O160" s="1337"/>
      <c r="P160" s="1058"/>
      <c r="Q160" s="87" t="s">
        <v>107</v>
      </c>
      <c r="R160" s="91">
        <v>1</v>
      </c>
      <c r="S160" s="309"/>
      <c r="T160" s="309"/>
      <c r="U160" s="309"/>
      <c r="V160" s="310">
        <f t="shared" si="246"/>
        <v>0</v>
      </c>
      <c r="W160" s="309"/>
      <c r="X160" s="309"/>
      <c r="Y160" s="309"/>
      <c r="Z160" s="310">
        <f t="shared" si="247"/>
        <v>0</v>
      </c>
      <c r="AA160" s="309"/>
      <c r="AB160" s="309"/>
      <c r="AC160" s="309"/>
      <c r="AD160" s="310">
        <f t="shared" si="214"/>
        <v>0</v>
      </c>
      <c r="AE160" s="309"/>
      <c r="AF160" s="309"/>
      <c r="AG160" s="309"/>
      <c r="AH160" s="310">
        <f t="shared" si="120"/>
        <v>0</v>
      </c>
      <c r="AI160" s="311">
        <f t="shared" si="121"/>
        <v>0</v>
      </c>
      <c r="AJ160" s="360"/>
      <c r="AK160" s="1041"/>
      <c r="AL160" s="1049"/>
      <c r="AM160" s="1047"/>
      <c r="AN160" s="62" t="str">
        <f>C159</f>
        <v xml:space="preserve">53 - Redução no custo de aluguel de cilindros. </v>
      </c>
      <c r="AO160" s="62" t="s">
        <v>291</v>
      </c>
      <c r="AP160" s="543" t="str" cm="1">
        <f t="array" aca="1" ref="AP160" ca="1">IF(OR(AN160="",AN160=0),"",IF(SUMPRODUCT(($C$55:$C$175=AN160)*($S$54:AG$54&lt;=TODAY())*(ISNUMBER($S$56:AG$176)),$S$56:AG$176)=0,"",SUMPRODUCT(($C$55:$C$175=AN160)*($S$54:AG$54&lt;=TODAY())*(ISNUMBER($S$56:AG$176)),$S$56:AG$176)))</f>
        <v/>
      </c>
    </row>
    <row r="161" spans="1:42" ht="29.1" customHeight="1" x14ac:dyDescent="0.3">
      <c r="A161" s="1038" t="s">
        <v>85</v>
      </c>
      <c r="B161" s="1038" t="s">
        <v>90</v>
      </c>
      <c r="C161" s="1376" t="s">
        <v>530</v>
      </c>
      <c r="D161" s="1097" t="s">
        <v>531</v>
      </c>
      <c r="E161" s="1363" t="s">
        <v>532</v>
      </c>
      <c r="F161" s="1099" t="s">
        <v>533</v>
      </c>
      <c r="G161" s="1150">
        <v>46136</v>
      </c>
      <c r="H161" s="1150">
        <v>46172</v>
      </c>
      <c r="I161" s="1350">
        <v>60000.000008800002</v>
      </c>
      <c r="J161" s="1109">
        <v>46174</v>
      </c>
      <c r="K161" s="1213">
        <f>IF(J161="", "", 12 - MONTH(J161) + 1)</f>
        <v>7</v>
      </c>
      <c r="L161" s="1076"/>
      <c r="M161" s="1320" t="s">
        <v>388</v>
      </c>
      <c r="N161" s="1206"/>
      <c r="O161" s="1042" t="s">
        <v>80</v>
      </c>
      <c r="P161" s="1042">
        <v>1</v>
      </c>
      <c r="Q161" s="93" t="s">
        <v>106</v>
      </c>
      <c r="R161" s="96">
        <f ca="1">IF(OR(G161="", H161=""), "", IF(TODAY()&lt;G161, 0, IF(TODAY()&gt;H161, 1, (TODAY()-G161+1)/(H161-G161+1))))</f>
        <v>1</v>
      </c>
      <c r="S161" s="532">
        <f>IFERROR(IF(AND(S$54&gt;=EOMONTH($J161,-1)+1,S$54&lt;=EOMONTH(EOMONTH($J161,-1)+1,$K161-1)),IF(NOT(ISBLANK($N161)),$N161/$K161,$I161/$K161),0),0)</f>
        <v>0</v>
      </c>
      <c r="T161" s="532">
        <f>IFERROR(IF(AND(T$54&gt;=EOMONTH($J161,-1)+1,T$54&lt;=EOMONTH(EOMONTH($J161,-1)+1,$K161-1)),IF(NOT(ISBLANK($N161)),$N161/$K161,$I161/$K161),0),0)</f>
        <v>0</v>
      </c>
      <c r="U161" s="532">
        <f>IFERROR(IF(AND(U$54&gt;=EOMONTH($J161,-1)+1,U$54&lt;=EOMONTH(EOMONTH($J161,-1)+1,$K161-1)),IF(NOT(ISBLANK($N161)),$N161/$K161,$I161/$K161),0),0)</f>
        <v>0</v>
      </c>
      <c r="V161" s="89">
        <f t="shared" si="246"/>
        <v>0</v>
      </c>
      <c r="W161" s="532">
        <f>IFERROR(IF(AND(W$54&gt;=EOMONTH($J161,-1)+1,W$54&lt;=EOMONTH(EOMONTH($J161,-1)+1,$K161-1)),IF(NOT(ISBLANK($N161)),$N161/$K161,$I161/$K161),0),0)</f>
        <v>0</v>
      </c>
      <c r="X161" s="532">
        <f>IFERROR(IF(AND(X$54&gt;=EOMONTH($J161,-1)+1,X$54&lt;=EOMONTH(EOMONTH($J161,-1)+1,$K161-1)),IF(NOT(ISBLANK($N161)),$N161/$K161,$I161/$K161),0),0)</f>
        <v>0</v>
      </c>
      <c r="Y161" s="532">
        <f>IFERROR(IF(AND(Y$54&gt;=EOMONTH($J161,-1)+1,Y$54&lt;=EOMONTH(EOMONTH($J161,-1)+1,$K161-1)),IF(NOT(ISBLANK($N161)),$N161/$K161,$I161/$K161),0),0)</f>
        <v>8571.4285726857142</v>
      </c>
      <c r="Z161" s="89">
        <f t="shared" si="247"/>
        <v>8571.4285726857142</v>
      </c>
      <c r="AA161" s="532">
        <f>IFERROR(IF(AND(AA$54&gt;=EOMONTH($J161,-1)+1,AA$54&lt;=EOMONTH(EOMONTH($J161,-1)+1,$K161-1)),IF(NOT(ISBLANK($N161)),$N161/$K161,$I161/$K161),0),0)</f>
        <v>8571.4285726857142</v>
      </c>
      <c r="AB161" s="532">
        <f>IFERROR(IF(AND(AB$54&gt;=EOMONTH($J161,-1)+1,AB$54&lt;=EOMONTH(EOMONTH($J161,-1)+1,$K161-1)),IF(NOT(ISBLANK($N161)),$N161/$K161,$I161/$K161),0),0)</f>
        <v>8571.4285726857142</v>
      </c>
      <c r="AC161" s="532">
        <f>IFERROR(IF(AND(AC$54&gt;=EOMONTH($J161,-1)+1,AC$54&lt;=EOMONTH(EOMONTH($J161,-1)+1,$K161-1)),IF(NOT(ISBLANK($N161)),$N161/$K161,$I161/$K161),0),0)</f>
        <v>8571.4285726857142</v>
      </c>
      <c r="AD161" s="89">
        <f t="shared" si="214"/>
        <v>25714.285718057145</v>
      </c>
      <c r="AE161" s="532">
        <f>IFERROR(IF(AND(AE$54&gt;=EOMONTH($J161,-1)+1,AE$54&lt;=EOMONTH(EOMONTH($J161,-1)+1,$K161-1)),IF(NOT(ISBLANK($N161)),$N161/$K161,$I161/$K161),0),0)</f>
        <v>8571.4285726857142</v>
      </c>
      <c r="AF161" s="532">
        <f>IFERROR(IF(AND(AF$54&gt;=EOMONTH($J161,-1)+1,AF$54&lt;=EOMONTH(EOMONTH($J161,-1)+1,$K161-1)),IF(NOT(ISBLANK($N161)),$N161/$K161,$I161/$K161),0),0)</f>
        <v>8571.4285726857142</v>
      </c>
      <c r="AG161" s="532">
        <f>IFERROR(IF(AND(AG$54&gt;=EOMONTH($J161,-1)+1,AG$54&lt;=EOMONTH(EOMONTH($J161,-1)+1,$K161-1)),IF(NOT(ISBLANK($N161)),$N161/$K161,$I161/$K161),0),0)</f>
        <v>8571.4285726857142</v>
      </c>
      <c r="AH161" s="89">
        <f t="shared" ref="AH161:AH168" si="255">SUM(AE161:AG161)</f>
        <v>25714.285718057145</v>
      </c>
      <c r="AI161" s="95">
        <f t="shared" ref="AI161:AI168" si="256">SUM(V161,Z161,AD161,AH161)</f>
        <v>60000.000008800002</v>
      </c>
      <c r="AJ161" s="361" t="s">
        <v>534</v>
      </c>
      <c r="AK161" s="1038"/>
      <c r="AL161" s="1042"/>
      <c r="AM161" s="1044">
        <f t="shared" ref="AM161" si="257">N161*AL161</f>
        <v>0</v>
      </c>
      <c r="AN161" s="62" t="str">
        <f>C161</f>
        <v>54 - Redução de MP - VW000585Z_586Z (20mm no passo)</v>
      </c>
      <c r="AO161" s="62" t="s">
        <v>289</v>
      </c>
      <c r="AP161" s="543" t="str" cm="1">
        <f t="array" aca="1" ref="AP161" ca="1">IF(OR(AN161="",AN161=0),"",IF(SUMPRODUCT(($C$55:$C$175=AN161)*(S$54:$AG$54&lt;EOMONTH(TODAY(),-1)+1)*(ISNUMBER(S$55:$AG$175)),S$55:$AG$175)=0,"",SUMPRODUCT(($C$55:$C$175=AN161)*(S$54:$AG$54&lt;EOMONTH(TODAY(),-1)+1)*(ISNUMBER(S$55:$AG$175)),S$55:$AG$175)))</f>
        <v/>
      </c>
    </row>
    <row r="162" spans="1:42" ht="29.1" customHeight="1" x14ac:dyDescent="0.3">
      <c r="A162" s="1039"/>
      <c r="B162" s="1039"/>
      <c r="C162" s="1377"/>
      <c r="D162" s="1098"/>
      <c r="E162" s="1364"/>
      <c r="F162" s="1100"/>
      <c r="G162" s="1151"/>
      <c r="H162" s="1151"/>
      <c r="I162" s="1351"/>
      <c r="J162" s="1110"/>
      <c r="K162" s="1214"/>
      <c r="L162" s="1077"/>
      <c r="M162" s="1321"/>
      <c r="N162" s="1208"/>
      <c r="O162" s="1043"/>
      <c r="P162" s="1043"/>
      <c r="Q162" s="93" t="s">
        <v>107</v>
      </c>
      <c r="R162" s="96">
        <v>0.5</v>
      </c>
      <c r="S162" s="312"/>
      <c r="T162" s="312"/>
      <c r="U162" s="312"/>
      <c r="V162" s="310">
        <f t="shared" si="246"/>
        <v>0</v>
      </c>
      <c r="W162" s="312"/>
      <c r="X162" s="312"/>
      <c r="Y162" s="312"/>
      <c r="Z162" s="310">
        <f t="shared" si="247"/>
        <v>0</v>
      </c>
      <c r="AA162" s="312"/>
      <c r="AB162" s="312"/>
      <c r="AC162" s="312"/>
      <c r="AD162" s="310">
        <f t="shared" si="214"/>
        <v>0</v>
      </c>
      <c r="AE162" s="312"/>
      <c r="AF162" s="312"/>
      <c r="AG162" s="312"/>
      <c r="AH162" s="310">
        <f t="shared" si="255"/>
        <v>0</v>
      </c>
      <c r="AI162" s="313">
        <f t="shared" si="256"/>
        <v>0</v>
      </c>
      <c r="AJ162" s="97"/>
      <c r="AK162" s="1039"/>
      <c r="AL162" s="1043"/>
      <c r="AM162" s="1045"/>
      <c r="AN162" s="62" t="str">
        <f>C161</f>
        <v>54 - Redução de MP - VW000585Z_586Z (20mm no passo)</v>
      </c>
      <c r="AO162" s="62" t="s">
        <v>291</v>
      </c>
      <c r="AP162" s="543" t="str" cm="1">
        <f t="array" aca="1" ref="AP162" ca="1">IF(OR(AN162="",AN162=0),"",IF(SUMPRODUCT(($C$55:$C$175=AN162)*($S$54:AG$54&lt;=TODAY())*(ISNUMBER($S$56:AG$176)),$S$56:AG$176)=0,"",SUMPRODUCT(($C$55:$C$175=AN162)*($S$54:AG$54&lt;=TODAY())*(ISNUMBER($S$56:AG$176)),$S$56:AG$176)))</f>
        <v/>
      </c>
    </row>
    <row r="163" spans="1:42" ht="29.1" customHeight="1" x14ac:dyDescent="0.3">
      <c r="A163" s="1299" t="s">
        <v>85</v>
      </c>
      <c r="B163" s="1299" t="s">
        <v>90</v>
      </c>
      <c r="C163" s="1365" t="s">
        <v>535</v>
      </c>
      <c r="D163" s="1115" t="s">
        <v>536</v>
      </c>
      <c r="E163" s="1303" t="s">
        <v>537</v>
      </c>
      <c r="F163" s="1040" t="s">
        <v>533</v>
      </c>
      <c r="G163" s="1117">
        <v>46149</v>
      </c>
      <c r="H163" s="1117">
        <v>46203</v>
      </c>
      <c r="I163" s="1342">
        <v>60000</v>
      </c>
      <c r="J163" s="1158">
        <v>46204</v>
      </c>
      <c r="K163" s="1121">
        <f>IF(J163="", "", 12 - MONTH(J163) + 1)</f>
        <v>6</v>
      </c>
      <c r="L163" s="1074"/>
      <c r="M163" s="1119" t="s">
        <v>287</v>
      </c>
      <c r="N163" s="1314">
        <v>37697.32</v>
      </c>
      <c r="O163" s="1057" t="s">
        <v>80</v>
      </c>
      <c r="P163" s="1057">
        <v>1</v>
      </c>
      <c r="Q163" s="87" t="s">
        <v>106</v>
      </c>
      <c r="R163" s="91">
        <f ca="1">IF(OR(G163="", H163=""), "", IF(TODAY()&lt;G163, 0, IF(TODAY()&gt;H163, 1, (TODAY()-G163+1)/(H163-G163+1))))</f>
        <v>0.87272727272727268</v>
      </c>
      <c r="S163" s="309">
        <f>IFERROR(IF(AND(S$54&gt;=EOMONTH($J163,-1)+1,S$54&lt;=EOMONTH(EOMONTH($J163,-1)+1,$K163-1)),IF(NOT(ISBLANK($N163)),$N163/$K163,$I163/$K163),0),0)</f>
        <v>0</v>
      </c>
      <c r="T163" s="309">
        <f>IFERROR(IF(AND(T$54&gt;=EOMONTH($J163,-1)+1,T$54&lt;=EOMONTH(EOMONTH($J163,-1)+1,$K163-1)),IF(NOT(ISBLANK($N163)),$N163/$K163,$I163/$K163),0),0)</f>
        <v>0</v>
      </c>
      <c r="U163" s="309">
        <f>IFERROR(IF(AND(U$54&gt;=EOMONTH($J163,-1)+1,U$54&lt;=EOMONTH(EOMONTH($J163,-1)+1,$K163-1)),IF(NOT(ISBLANK($N163)),$N163/$K163,$I163/$K163),0),0)</f>
        <v>0</v>
      </c>
      <c r="V163" s="89">
        <f t="shared" si="246"/>
        <v>0</v>
      </c>
      <c r="W163" s="309">
        <f>IFERROR(IF(AND(W$54&gt;=EOMONTH($J163,-1)+1,W$54&lt;=EOMONTH(EOMONTH($J163,-1)+1,$K163-1)),IF(NOT(ISBLANK($N163)),$N163/$K163,$I163/$K163),0),0)</f>
        <v>0</v>
      </c>
      <c r="X163" s="309">
        <f>IFERROR(IF(AND(X$54&gt;=EOMONTH($J163,-1)+1,X$54&lt;=EOMONTH(EOMONTH($J163,-1)+1,$K163-1)),IF(NOT(ISBLANK($N163)),$N163/$K163,$I163/$K163),0),0)</f>
        <v>0</v>
      </c>
      <c r="Y163" s="309">
        <f>IFERROR(IF(AND(Y$54&gt;=EOMONTH($J163,-1)+1,Y$54&lt;=EOMONTH(EOMONTH($J163,-1)+1,$K163-1)),IF(NOT(ISBLANK($N163)),$N163/$K163,$I163/$K163),0),0)</f>
        <v>0</v>
      </c>
      <c r="Z163" s="89">
        <f t="shared" si="247"/>
        <v>0</v>
      </c>
      <c r="AA163" s="309">
        <f>IFERROR(IF(AND(AA$54&gt;=EOMONTH($J163,-1)+1,AA$54&lt;=EOMONTH(EOMONTH($J163,-1)+1,$K163-1)),IF(NOT(ISBLANK($N163)),$N163/$K163,$I163/$K163),0),0)</f>
        <v>6282.8866666666663</v>
      </c>
      <c r="AB163" s="309">
        <f>IFERROR(IF(AND(AB$54&gt;=EOMONTH($J163,-1)+1,AB$54&lt;=EOMONTH(EOMONTH($J163,-1)+1,$K163-1)),IF(NOT(ISBLANK($N163)),$N163/$K163,$I163/$K163),0),0)</f>
        <v>6282.8866666666663</v>
      </c>
      <c r="AC163" s="309">
        <f>IFERROR(IF(AND(AC$54&gt;=EOMONTH($J163,-1)+1,AC$54&lt;=EOMONTH(EOMONTH($J163,-1)+1,$K163-1)),IF(NOT(ISBLANK($N163)),$N163/$K163,$I163/$K163),0),0)</f>
        <v>6282.8866666666663</v>
      </c>
      <c r="AD163" s="89">
        <f t="shared" si="214"/>
        <v>18848.66</v>
      </c>
      <c r="AE163" s="309">
        <f>IFERROR(IF(AND(AE$54&gt;=EOMONTH($J163,-1)+1,AE$54&lt;=EOMONTH(EOMONTH($J163,-1)+1,$K163-1)),IF(NOT(ISBLANK($N163)),$N163/$K163,$I163/$K163),0),0)</f>
        <v>6282.8866666666663</v>
      </c>
      <c r="AF163" s="309">
        <f>IFERROR(IF(AND(AF$54&gt;=EOMONTH($J163,-1)+1,AF$54&lt;=EOMONTH(EOMONTH($J163,-1)+1,$K163-1)),IF(NOT(ISBLANK($N163)),$N163/$K163,$I163/$K163),0),0)</f>
        <v>6282.8866666666663</v>
      </c>
      <c r="AG163" s="309">
        <f>IFERROR(IF(AND(AG$54&gt;=EOMONTH($J163,-1)+1,AG$54&lt;=EOMONTH(EOMONTH($J163,-1)+1,$K163-1)),IF(NOT(ISBLANK($N163)),$N163/$K163,$I163/$K163),0),0)</f>
        <v>6282.8866666666663</v>
      </c>
      <c r="AH163" s="89">
        <f t="shared" si="255"/>
        <v>18848.66</v>
      </c>
      <c r="AI163" s="90">
        <f t="shared" si="256"/>
        <v>37697.32</v>
      </c>
      <c r="AJ163" s="360" t="s">
        <v>538</v>
      </c>
      <c r="AK163" s="1040"/>
      <c r="AL163" s="1048"/>
      <c r="AM163" s="1046">
        <f t="shared" ref="AM163" si="258">N163*AL163</f>
        <v>0</v>
      </c>
      <c r="AN163" s="62" t="str">
        <f>C163</f>
        <v>55 -  Redução de MP - GM000378Z / GM000379Z</v>
      </c>
      <c r="AO163" s="62" t="s">
        <v>289</v>
      </c>
      <c r="AP163" s="543" t="str" cm="1">
        <f t="array" aca="1" ref="AP163" ca="1">IF(OR(AN163="",AN163=0),"",IF(SUMPRODUCT(($C$55:$C$175=AN163)*(S$54:$AG$54&lt;EOMONTH(TODAY(),-1)+1)*(ISNUMBER(S$55:$AG$175)),S$55:$AG$175)=0,"",SUMPRODUCT(($C$55:$C$175=AN163)*(S$54:$AG$54&lt;EOMONTH(TODAY(),-1)+1)*(ISNUMBER(S$55:$AG$175)),S$55:$AG$175)))</f>
        <v/>
      </c>
    </row>
    <row r="164" spans="1:42" ht="29.1" customHeight="1" x14ac:dyDescent="0.3">
      <c r="A164" s="1300"/>
      <c r="B164" s="1300"/>
      <c r="C164" s="1366"/>
      <c r="D164" s="1116"/>
      <c r="E164" s="1304"/>
      <c r="F164" s="1041"/>
      <c r="G164" s="1118"/>
      <c r="H164" s="1118"/>
      <c r="I164" s="1343"/>
      <c r="J164" s="1159"/>
      <c r="K164" s="1122"/>
      <c r="L164" s="1075"/>
      <c r="M164" s="1120"/>
      <c r="N164" s="1375"/>
      <c r="O164" s="1058"/>
      <c r="P164" s="1058"/>
      <c r="Q164" s="87" t="s">
        <v>107</v>
      </c>
      <c r="R164" s="91">
        <v>0.3</v>
      </c>
      <c r="S164" s="309"/>
      <c r="T164" s="309"/>
      <c r="U164" s="309"/>
      <c r="V164" s="310">
        <f t="shared" si="246"/>
        <v>0</v>
      </c>
      <c r="W164" s="309"/>
      <c r="X164" s="309"/>
      <c r="Y164" s="309"/>
      <c r="Z164" s="310">
        <f t="shared" si="247"/>
        <v>0</v>
      </c>
      <c r="AA164" s="309"/>
      <c r="AB164" s="309"/>
      <c r="AC164" s="309"/>
      <c r="AD164" s="310">
        <f t="shared" si="214"/>
        <v>0</v>
      </c>
      <c r="AE164" s="309"/>
      <c r="AF164" s="309"/>
      <c r="AG164" s="309"/>
      <c r="AH164" s="310">
        <f t="shared" si="255"/>
        <v>0</v>
      </c>
      <c r="AI164" s="311">
        <f t="shared" si="256"/>
        <v>0</v>
      </c>
      <c r="AJ164" s="360"/>
      <c r="AK164" s="1041"/>
      <c r="AL164" s="1049"/>
      <c r="AM164" s="1047"/>
      <c r="AN164" s="62" t="str">
        <f>C163</f>
        <v>55 -  Redução de MP - GM000378Z / GM000379Z</v>
      </c>
      <c r="AO164" s="62" t="s">
        <v>291</v>
      </c>
      <c r="AP164" s="543" t="str" cm="1">
        <f t="array" aca="1" ref="AP164" ca="1">IF(OR(AN164="",AN164=0),"",IF(SUMPRODUCT(($C$55:$C$175=AN164)*($S$54:AG$54&lt;=TODAY())*(ISNUMBER($S$56:AG$176)),$S$56:AG$176)=0,"",SUMPRODUCT(($C$55:$C$175=AN164)*($S$54:AG$54&lt;=TODAY())*(ISNUMBER($S$56:AG$176)),$S$56:AG$176)))</f>
        <v/>
      </c>
    </row>
    <row r="165" spans="1:42" ht="29.1" customHeight="1" x14ac:dyDescent="0.3">
      <c r="A165" s="1361" t="s">
        <v>85</v>
      </c>
      <c r="B165" s="1038" t="s">
        <v>90</v>
      </c>
      <c r="C165" s="1376" t="s">
        <v>539</v>
      </c>
      <c r="D165" s="1097" t="s">
        <v>540</v>
      </c>
      <c r="E165" s="1363" t="s">
        <v>541</v>
      </c>
      <c r="F165" s="1099" t="s">
        <v>286</v>
      </c>
      <c r="G165" s="1150">
        <v>46151</v>
      </c>
      <c r="H165" s="1150">
        <v>46203</v>
      </c>
      <c r="I165" s="1350">
        <v>91200</v>
      </c>
      <c r="J165" s="1109">
        <v>46204</v>
      </c>
      <c r="K165" s="1213">
        <f>IF(J165="", "", 12 - MONTH(J165) + 1)</f>
        <v>6</v>
      </c>
      <c r="L165" s="1076"/>
      <c r="M165" s="1320" t="s">
        <v>287</v>
      </c>
      <c r="N165" s="1206">
        <f>18964.56+9701.85</f>
        <v>28666.410000000003</v>
      </c>
      <c r="O165" s="1042" t="s">
        <v>80</v>
      </c>
      <c r="P165" s="1042">
        <v>1</v>
      </c>
      <c r="Q165" s="93" t="s">
        <v>106</v>
      </c>
      <c r="R165" s="96">
        <f ca="1">IF(OR(G165="", H165=""), "", IF(TODAY()&lt;G165, 0, IF(TODAY()&gt;H165, 1, (TODAY()-G165+1)/(H165-G165+1))))</f>
        <v>0.86792452830188682</v>
      </c>
      <c r="S165" s="532">
        <f>IFERROR(IF(AND(S$54&gt;=EOMONTH($J165,-1)+1,S$54&lt;=EOMONTH(EOMONTH($J165,-1)+1,$K165-1)),IF(NOT(ISBLANK($N165)),$N165/$K165,$I165/$K165),0),0)</f>
        <v>0</v>
      </c>
      <c r="T165" s="532">
        <f>IFERROR(IF(AND(T$54&gt;=EOMONTH($J165,-1)+1,T$54&lt;=EOMONTH(EOMONTH($J165,-1)+1,$K165-1)),IF(NOT(ISBLANK($N165)),$N165/$K165,$I165/$K165),0),0)</f>
        <v>0</v>
      </c>
      <c r="U165" s="532">
        <f>IFERROR(IF(AND(U$54&gt;=EOMONTH($J165,-1)+1,U$54&lt;=EOMONTH(EOMONTH($J165,-1)+1,$K165-1)),IF(NOT(ISBLANK($N165)),$N165/$K165,$I165/$K165),0),0)</f>
        <v>0</v>
      </c>
      <c r="V165" s="89">
        <f t="shared" si="246"/>
        <v>0</v>
      </c>
      <c r="W165" s="532">
        <f>IFERROR(IF(AND(W$54&gt;=EOMONTH($J165,-1)+1,W$54&lt;=EOMONTH(EOMONTH($J165,-1)+1,$K165-1)),IF(NOT(ISBLANK($N165)),$N165/$K165,$I165/$K165),0),0)</f>
        <v>0</v>
      </c>
      <c r="X165" s="532">
        <f>IFERROR(IF(AND(X$54&gt;=EOMONTH($J165,-1)+1,X$54&lt;=EOMONTH(EOMONTH($J165,-1)+1,$K165-1)),IF(NOT(ISBLANK($N165)),$N165/$K165,$I165/$K165),0),0)</f>
        <v>0</v>
      </c>
      <c r="Y165" s="532">
        <f>IFERROR(IF(AND(Y$54&gt;=EOMONTH($J165,-1)+1,Y$54&lt;=EOMONTH(EOMONTH($J165,-1)+1,$K165-1)),IF(NOT(ISBLANK($N165)),$N165/$K165,$I165/$K165),0),0)</f>
        <v>0</v>
      </c>
      <c r="Z165" s="89">
        <f t="shared" si="247"/>
        <v>0</v>
      </c>
      <c r="AA165" s="532">
        <f>IFERROR(IF(AND(AA$54&gt;=EOMONTH($J165,-1)+1,AA$54&lt;=EOMONTH(EOMONTH($J165,-1)+1,$K165-1)),IF(NOT(ISBLANK($N165)),$N165/$K165,$I165/$K165),0),0)</f>
        <v>4777.7350000000006</v>
      </c>
      <c r="AB165" s="532">
        <f>IFERROR(IF(AND(AB$54&gt;=EOMONTH($J165,-1)+1,AB$54&lt;=EOMONTH(EOMONTH($J165,-1)+1,$K165-1)),IF(NOT(ISBLANK($N165)),$N165/$K165,$I165/$K165),0),0)</f>
        <v>4777.7350000000006</v>
      </c>
      <c r="AC165" s="532">
        <f>IFERROR(IF(AND(AC$54&gt;=EOMONTH($J165,-1)+1,AC$54&lt;=EOMONTH(EOMONTH($J165,-1)+1,$K165-1)),IF(NOT(ISBLANK($N165)),$N165/$K165,$I165/$K165),0),0)</f>
        <v>4777.7350000000006</v>
      </c>
      <c r="AD165" s="89">
        <f t="shared" si="214"/>
        <v>14333.205000000002</v>
      </c>
      <c r="AE165" s="532">
        <f>IFERROR(IF(AND(AE$54&gt;=EOMONTH($J165,-1)+1,AE$54&lt;=EOMONTH(EOMONTH($J165,-1)+1,$K165-1)),IF(NOT(ISBLANK($N165)),$N165/$K165,$I165/$K165),0),0)</f>
        <v>4777.7350000000006</v>
      </c>
      <c r="AF165" s="532">
        <f>IFERROR(IF(AND(AF$54&gt;=EOMONTH($J165,-1)+1,AF$54&lt;=EOMONTH(EOMONTH($J165,-1)+1,$K165-1)),IF(NOT(ISBLANK($N165)),$N165/$K165,$I165/$K165),0),0)</f>
        <v>4777.7350000000006</v>
      </c>
      <c r="AG165" s="532">
        <f>IFERROR(IF(AND(AG$54&gt;=EOMONTH($J165,-1)+1,AG$54&lt;=EOMONTH(EOMONTH($J165,-1)+1,$K165-1)),IF(NOT(ISBLANK($N165)),$N165/$K165,$I165/$K165),0),0)</f>
        <v>4777.7350000000006</v>
      </c>
      <c r="AH165" s="89">
        <f t="shared" si="255"/>
        <v>14333.205000000002</v>
      </c>
      <c r="AI165" s="95">
        <f t="shared" si="256"/>
        <v>28666.410000000003</v>
      </c>
      <c r="AJ165" s="361" t="s">
        <v>542</v>
      </c>
      <c r="AK165" s="1038"/>
      <c r="AL165" s="1042"/>
      <c r="AM165" s="1044">
        <f t="shared" ref="AM165" si="259">N165*AL165</f>
        <v>0</v>
      </c>
      <c r="AN165" s="62" t="str">
        <f>C165</f>
        <v>56 -Redução de Peso Bruto do item SV001141LA / SV001142LA</v>
      </c>
      <c r="AO165" s="62" t="s">
        <v>289</v>
      </c>
      <c r="AP165" s="543" t="str" cm="1">
        <f t="array" aca="1" ref="AP165" ca="1">IF(OR(AN165="",AN165=0),"",IF(SUMPRODUCT(($C$55:$C$175=AN165)*(S$54:$AG$54&lt;EOMONTH(TODAY(),-1)+1)*(ISNUMBER(S$55:$AG$175)),S$55:$AG$175)=0,"",SUMPRODUCT(($C$55:$C$175=AN165)*(S$54:$AG$54&lt;EOMONTH(TODAY(),-1)+1)*(ISNUMBER(S$55:$AG$175)),S$55:$AG$175)))</f>
        <v/>
      </c>
    </row>
    <row r="166" spans="1:42" ht="29.1" customHeight="1" x14ac:dyDescent="0.3">
      <c r="A166" s="1362"/>
      <c r="B166" s="1039"/>
      <c r="C166" s="1377"/>
      <c r="D166" s="1098"/>
      <c r="E166" s="1364"/>
      <c r="F166" s="1100"/>
      <c r="G166" s="1151"/>
      <c r="H166" s="1151"/>
      <c r="I166" s="1351"/>
      <c r="J166" s="1110"/>
      <c r="K166" s="1214"/>
      <c r="L166" s="1077"/>
      <c r="M166" s="1321"/>
      <c r="N166" s="1208"/>
      <c r="O166" s="1043"/>
      <c r="P166" s="1043"/>
      <c r="Q166" s="93" t="s">
        <v>107</v>
      </c>
      <c r="R166" s="96">
        <v>0.75</v>
      </c>
      <c r="S166" s="312"/>
      <c r="T166" s="312"/>
      <c r="U166" s="312"/>
      <c r="V166" s="310">
        <f t="shared" si="246"/>
        <v>0</v>
      </c>
      <c r="W166" s="312"/>
      <c r="X166" s="312"/>
      <c r="Y166" s="312"/>
      <c r="Z166" s="310">
        <f t="shared" si="247"/>
        <v>0</v>
      </c>
      <c r="AA166" s="312"/>
      <c r="AB166" s="312"/>
      <c r="AC166" s="312"/>
      <c r="AD166" s="310">
        <f t="shared" si="214"/>
        <v>0</v>
      </c>
      <c r="AE166" s="312"/>
      <c r="AF166" s="312"/>
      <c r="AG166" s="312"/>
      <c r="AH166" s="310">
        <f t="shared" si="255"/>
        <v>0</v>
      </c>
      <c r="AI166" s="313">
        <f t="shared" si="256"/>
        <v>0</v>
      </c>
      <c r="AJ166" s="97"/>
      <c r="AK166" s="1039"/>
      <c r="AL166" s="1043"/>
      <c r="AM166" s="1045"/>
      <c r="AN166" s="62" t="str">
        <f>C165</f>
        <v>56 -Redução de Peso Bruto do item SV001141LA / SV001142LA</v>
      </c>
      <c r="AO166" s="62" t="s">
        <v>291</v>
      </c>
      <c r="AP166" s="543" t="str" cm="1">
        <f t="array" aca="1" ref="AP166" ca="1">IF(OR(AN166="",AN166=0),"",IF(SUMPRODUCT(($C$55:$C$175=AN166)*($S$54:AG$54&lt;=TODAY())*(ISNUMBER($S$56:AG$176)),$S$56:AG$176)=0,"",SUMPRODUCT(($C$55:$C$175=AN166)*($S$54:AG$54&lt;=TODAY())*(ISNUMBER($S$56:AG$176)),$S$56:AG$176)))</f>
        <v/>
      </c>
    </row>
    <row r="167" spans="1:42" ht="29.1" customHeight="1" x14ac:dyDescent="0.3">
      <c r="A167" s="1297" t="s">
        <v>85</v>
      </c>
      <c r="B167" s="1297" t="s">
        <v>90</v>
      </c>
      <c r="C167" s="1422" t="s">
        <v>543</v>
      </c>
      <c r="D167" s="1115" t="s">
        <v>544</v>
      </c>
      <c r="E167" s="1303" t="s">
        <v>545</v>
      </c>
      <c r="F167" s="1040" t="s">
        <v>286</v>
      </c>
      <c r="G167" s="1117">
        <v>46170</v>
      </c>
      <c r="H167" s="1117">
        <v>46178</v>
      </c>
      <c r="I167" s="1342">
        <f>18600*12</f>
        <v>223200</v>
      </c>
      <c r="J167" s="1158">
        <v>46174</v>
      </c>
      <c r="K167" s="1121">
        <f>IF(J167="", "", 12 - MONTH(J167) + 1)</f>
        <v>7</v>
      </c>
      <c r="L167" s="1074"/>
      <c r="M167" s="1119"/>
      <c r="N167" s="1314"/>
      <c r="O167" s="1336" t="s">
        <v>77</v>
      </c>
      <c r="P167" s="1057">
        <v>1</v>
      </c>
      <c r="Q167" s="87" t="s">
        <v>106</v>
      </c>
      <c r="R167" s="91">
        <f ca="1">IF(OR(G167="", H167=""), "", IF(TODAY()&lt;G167, 0, IF(TODAY()&gt;H167, 1, (TODAY()-G167+1)/(H167-G167+1))))</f>
        <v>1</v>
      </c>
      <c r="S167" s="309">
        <f>IFERROR(IF(AND(S$54&gt;=EOMONTH($J167,-1)+1,S$54&lt;=EOMONTH(EOMONTH($J167,-1)+1,$K167-1)),IF(NOT(ISBLANK($N167)),$N167/$K167,$I167/$K167),0),0)</f>
        <v>0</v>
      </c>
      <c r="T167" s="309">
        <f>IFERROR(IF(AND(T$54&gt;=EOMONTH($J167,-1)+1,T$54&lt;=EOMONTH(EOMONTH($J167,-1)+1,$K167-1)),IF(NOT(ISBLANK($N167)),$N167/$K167,$I167/$K167),0),0)</f>
        <v>0</v>
      </c>
      <c r="U167" s="309">
        <f>IFERROR(IF(AND(U$54&gt;=EOMONTH($J167,-1)+1,U$54&lt;=EOMONTH(EOMONTH($J167,-1)+1,$K167-1)),IF(NOT(ISBLANK($N167)),$N167/$K167,$I167/$K167),0),0)</f>
        <v>0</v>
      </c>
      <c r="V167" s="89">
        <f t="shared" si="246"/>
        <v>0</v>
      </c>
      <c r="W167" s="309">
        <f>IFERROR(IF(AND(W$54&gt;=EOMONTH($J167,-1)+1,W$54&lt;=EOMONTH(EOMONTH($J167,-1)+1,$K167-1)),IF(NOT(ISBLANK($N167)),$N167/$K167,$I167/$K167),0),0)</f>
        <v>0</v>
      </c>
      <c r="X167" s="309">
        <f>IFERROR(IF(AND(X$54&gt;=EOMONTH($J167,-1)+1,X$54&lt;=EOMONTH(EOMONTH($J167,-1)+1,$K167-1)),IF(NOT(ISBLANK($N167)),$N167/$K167,$I167/$K167),0),0)</f>
        <v>0</v>
      </c>
      <c r="Y167" s="309">
        <f>IFERROR(IF(AND(Y$54&gt;=EOMONTH($J167,-1)+1,Y$54&lt;=EOMONTH(EOMONTH($J167,-1)+1,$K167-1)),IF(NOT(ISBLANK($N167)),$N167/$K167,$I167/$K167),0),0)</f>
        <v>31885.714285714286</v>
      </c>
      <c r="Z167" s="89">
        <f t="shared" si="247"/>
        <v>31885.714285714286</v>
      </c>
      <c r="AA167" s="309">
        <f>IFERROR(IF(AND(AA$54&gt;=EOMONTH($J167,-1)+1,AA$54&lt;=EOMONTH(EOMONTH($J167,-1)+1,$K167-1)),IF(NOT(ISBLANK($N167)),$N167/$K167,$I167/$K167),0),0)</f>
        <v>31885.714285714286</v>
      </c>
      <c r="AB167" s="309">
        <f>IFERROR(IF(AND(AB$54&gt;=EOMONTH($J167,-1)+1,AB$54&lt;=EOMONTH(EOMONTH($J167,-1)+1,$K167-1)),IF(NOT(ISBLANK($N167)),$N167/$K167,$I167/$K167),0),0)</f>
        <v>31885.714285714286</v>
      </c>
      <c r="AC167" s="309">
        <f>IFERROR(IF(AND(AC$54&gt;=EOMONTH($J167,-1)+1,AC$54&lt;=EOMONTH(EOMONTH($J167,-1)+1,$K167-1)),IF(NOT(ISBLANK($N167)),$N167/$K167,$I167/$K167),0),0)</f>
        <v>31885.714285714286</v>
      </c>
      <c r="AD167" s="89">
        <f t="shared" ref="AD167:AD168" si="260">SUM(AA167:AC167)</f>
        <v>95657.142857142855</v>
      </c>
      <c r="AE167" s="309">
        <f>IFERROR(IF(AND(AE$54&gt;=EOMONTH($J167,-1)+1,AE$54&lt;=EOMONTH(EOMONTH($J167,-1)+1,$K167-1)),IF(NOT(ISBLANK($N167)),$N167/$K167,$I167/$K167),0),0)</f>
        <v>31885.714285714286</v>
      </c>
      <c r="AF167" s="309">
        <f>IFERROR(IF(AND(AF$54&gt;=EOMONTH($J167,-1)+1,AF$54&lt;=EOMONTH(EOMONTH($J167,-1)+1,$K167-1)),IF(NOT(ISBLANK($N167)),$N167/$K167,$I167/$K167),0),0)</f>
        <v>31885.714285714286</v>
      </c>
      <c r="AG167" s="309">
        <f>IFERROR(IF(AND(AG$54&gt;=EOMONTH($J167,-1)+1,AG$54&lt;=EOMONTH(EOMONTH($J167,-1)+1,$K167-1)),IF(NOT(ISBLANK($N167)),$N167/$K167,$I167/$K167),0),0)</f>
        <v>31885.714285714286</v>
      </c>
      <c r="AH167" s="89">
        <f t="shared" si="255"/>
        <v>95657.142857142855</v>
      </c>
      <c r="AI167" s="90">
        <f t="shared" si="256"/>
        <v>223200</v>
      </c>
      <c r="AJ167" s="360" t="s">
        <v>546</v>
      </c>
      <c r="AK167" s="1040"/>
      <c r="AL167" s="1048"/>
      <c r="AM167" s="1046">
        <f t="shared" ref="AM167" si="261">N167*AL167</f>
        <v>0</v>
      </c>
      <c r="AN167" s="62" t="str">
        <f>C167</f>
        <v>57 - AlmaCAM_Redução de Peso</v>
      </c>
      <c r="AO167" s="62" t="s">
        <v>289</v>
      </c>
      <c r="AP167" s="543" t="str" cm="1">
        <f t="array" aca="1" ref="AP167" ca="1">IF(OR(AN167="",AN167=0),"",IF(SUMPRODUCT(($C$55:$C$175=AN167)*(S$54:$AG$54&lt;EOMONTH(TODAY(),-1)+1)*(ISNUMBER(S$55:$AG$175)),S$55:$AG$175)=0,"",SUMPRODUCT(($C$55:$C$175=AN167)*(S$54:$AG$54&lt;EOMONTH(TODAY(),-1)+1)*(ISNUMBER(S$55:$AG$175)),S$55:$AG$175)))</f>
        <v/>
      </c>
    </row>
    <row r="168" spans="1:42" ht="29.1" customHeight="1" x14ac:dyDescent="0.3">
      <c r="A168" s="1298"/>
      <c r="B168" s="1298"/>
      <c r="C168" s="1423"/>
      <c r="D168" s="1116"/>
      <c r="E168" s="1304"/>
      <c r="F168" s="1041"/>
      <c r="G168" s="1118"/>
      <c r="H168" s="1118"/>
      <c r="I168" s="1343"/>
      <c r="J168" s="1159"/>
      <c r="K168" s="1122"/>
      <c r="L168" s="1075"/>
      <c r="M168" s="1120"/>
      <c r="N168" s="1375"/>
      <c r="O168" s="1337"/>
      <c r="P168" s="1058"/>
      <c r="Q168" s="87" t="s">
        <v>107</v>
      </c>
      <c r="R168" s="91">
        <v>1</v>
      </c>
      <c r="S168" s="309"/>
      <c r="T168" s="309"/>
      <c r="U168" s="309"/>
      <c r="V168" s="310">
        <f t="shared" si="246"/>
        <v>0</v>
      </c>
      <c r="W168" s="309"/>
      <c r="X168" s="309"/>
      <c r="Y168" s="309"/>
      <c r="Z168" s="310">
        <f t="shared" si="247"/>
        <v>0</v>
      </c>
      <c r="AA168" s="309"/>
      <c r="AB168" s="309"/>
      <c r="AC168" s="309"/>
      <c r="AD168" s="310">
        <f t="shared" si="260"/>
        <v>0</v>
      </c>
      <c r="AE168" s="309"/>
      <c r="AF168" s="309"/>
      <c r="AG168" s="309"/>
      <c r="AH168" s="310">
        <f t="shared" si="255"/>
        <v>0</v>
      </c>
      <c r="AI168" s="311">
        <f t="shared" si="256"/>
        <v>0</v>
      </c>
      <c r="AJ168" s="360"/>
      <c r="AK168" s="1041"/>
      <c r="AL168" s="1049"/>
      <c r="AM168" s="1047"/>
      <c r="AN168" s="62" t="str">
        <f>C167</f>
        <v>57 - AlmaCAM_Redução de Peso</v>
      </c>
      <c r="AO168" s="62" t="s">
        <v>291</v>
      </c>
      <c r="AP168" s="543" t="str" cm="1">
        <f t="array" aca="1" ref="AP168" ca="1">IF(OR(AN168="",AN168=0),"",IF(SUMPRODUCT(($C$55:$C$175=AN168)*($S$54:AG$54&lt;=TODAY())*(ISNUMBER($S$56:AG$176)),$S$56:AG$176)=0,"",SUMPRODUCT(($C$55:$C$175=AN168)*($S$54:AG$54&lt;=TODAY())*(ISNUMBER($S$56:AG$176)),$S$56:AG$176)))</f>
        <v/>
      </c>
    </row>
    <row r="169" spans="1:42" ht="29.1" customHeight="1" x14ac:dyDescent="0.3">
      <c r="A169" s="1361"/>
      <c r="B169" s="1038"/>
      <c r="C169" s="1376"/>
      <c r="D169" s="1097"/>
      <c r="E169" s="1363"/>
      <c r="F169" s="1099"/>
      <c r="G169" s="1150"/>
      <c r="H169" s="1150"/>
      <c r="I169" s="1350"/>
      <c r="J169" s="1109"/>
      <c r="K169" s="1213" t="str">
        <f t="shared" ref="K169" si="262">IF(J169="", "", 12 - MONTH(J169) + 1)</f>
        <v/>
      </c>
      <c r="L169" s="1076"/>
      <c r="M169" s="1320"/>
      <c r="N169" s="1206"/>
      <c r="O169" s="1042" t="str">
        <f ca="1">IF(OR(H169="", I169=""), "", IF(TODAY()&lt;H169, 0, IF(TODAY()&gt;I169, 1, (TODAY()-H169+1)/(I169-H169+1))))</f>
        <v/>
      </c>
      <c r="P169" s="1042"/>
      <c r="Q169" s="93" t="s">
        <v>106</v>
      </c>
      <c r="R169" s="96" t="str">
        <f ca="1">IF(OR(G169="", H169=""), "", IF(TODAY()&lt;G169, 0, IF(TODAY()&gt;H169, 1, (TODAY()-G169+1)/(H169-G169+1))))</f>
        <v/>
      </c>
      <c r="S169" s="532">
        <f>IFERROR(IF(AND(S$54&gt;=EOMONTH($J169,-1)+1,S$54&lt;=EOMONTH(EOMONTH($J169,-1)+1,$K169-1)),IF(NOT(ISBLANK($N169)),$N169/$K169,$I169/$K169),0),0)</f>
        <v>0</v>
      </c>
      <c r="T169" s="532">
        <f>IFERROR(IF(AND(T$54&gt;=EOMONTH($J169,-1)+1,T$54&lt;=EOMONTH(EOMONTH($J169,-1)+1,$K169-1)),IF(NOT(ISBLANK($N169)),$N169/$K169,$I169/$K169),0),0)</f>
        <v>0</v>
      </c>
      <c r="U169" s="532">
        <f>IFERROR(IF(AND(U$54&gt;=EOMONTH($J169,-1)+1,U$54&lt;=EOMONTH(EOMONTH($J169,-1)+1,$K169-1)),IF(NOT(ISBLANK($N169)),$N169/$K169,$I169/$K169),0),0)</f>
        <v>0</v>
      </c>
      <c r="V169" s="89">
        <f t="shared" ref="V169" si="263">SUM(S169:U169)</f>
        <v>0</v>
      </c>
      <c r="W169" s="532">
        <f>IFERROR(IF(AND(W$54&gt;=EOMONTH($J169,-1)+1,W$54&lt;=EOMONTH(EOMONTH($J169,-1)+1,$K169-1)),IF(NOT(ISBLANK($N169)),$N169/$K169,$I169/$K169),0),0)</f>
        <v>0</v>
      </c>
      <c r="X169" s="532">
        <f>IFERROR(IF(AND(X$54&gt;=EOMONTH($J169,-1)+1,X$54&lt;=EOMONTH(EOMONTH($J169,-1)+1,$K169-1)),IF(NOT(ISBLANK($N169)),$N169/$K169,$I169/$K169),0),0)</f>
        <v>0</v>
      </c>
      <c r="Y169" s="532">
        <f>IFERROR(IF(AND(Y$54&gt;=EOMONTH($J169,-1)+1,Y$54&lt;=EOMONTH(EOMONTH($J169,-1)+1,$K169-1)),IF(NOT(ISBLANK($N169)),$N169/$K169,$I169/$K169),0),0)</f>
        <v>0</v>
      </c>
      <c r="Z169" s="89">
        <f t="shared" ref="Z169" si="264">SUM(W169:Y169)</f>
        <v>0</v>
      </c>
      <c r="AA169" s="532">
        <f>IFERROR(IF(AND(AA$54&gt;=EOMONTH($J169,-1)+1,AA$54&lt;=EOMONTH(EOMONTH($J169,-1)+1,$K169-1)),IF(NOT(ISBLANK($N169)),$N169/$K169,$I169/$K169),0),0)</f>
        <v>0</v>
      </c>
      <c r="AB169" s="532">
        <f>IFERROR(IF(AND(AB$54&gt;=EOMONTH($J169,-1)+1,AB$54&lt;=EOMONTH(EOMONTH($J169,-1)+1,$K169-1)),IF(NOT(ISBLANK($N169)),$N169/$K169,$I169/$K169),0),0)</f>
        <v>0</v>
      </c>
      <c r="AC169" s="532">
        <f>IFERROR(IF(AND(AC$54&gt;=EOMONTH($J169,-1)+1,AC$54&lt;=EOMONTH(EOMONTH($J169,-1)+1,$K169-1)),IF(NOT(ISBLANK($N169)),$N169/$K169,$I169/$K169),0),0)</f>
        <v>0</v>
      </c>
      <c r="AD169" s="89">
        <f t="shared" si="214"/>
        <v>0</v>
      </c>
      <c r="AE169" s="532">
        <f>IFERROR(IF(AND(AE$54&gt;=EOMONTH($J169,-1)+1,AE$54&lt;=EOMONTH(EOMONTH($J169,-1)+1,$K169-1)),IF(NOT(ISBLANK($N169)),$N169/$K169,$I169/$K169),0),0)</f>
        <v>0</v>
      </c>
      <c r="AF169" s="532">
        <f>IFERROR(IF(AND(AF$54&gt;=EOMONTH($J169,-1)+1,AF$54&lt;=EOMONTH(EOMONTH($J169,-1)+1,$K169-1)),IF(NOT(ISBLANK($N169)),$N169/$K169,$I169/$K169),0),0)</f>
        <v>0</v>
      </c>
      <c r="AG169" s="532">
        <f>IFERROR(IF(AND(AG$54&gt;=EOMONTH($J169,-1)+1,AG$54&lt;=EOMONTH(EOMONTH($J169,-1)+1,$K169-1)),IF(NOT(ISBLANK($N169)),$N169/$K169,$I169/$K169),0),0)</f>
        <v>0</v>
      </c>
      <c r="AH169" s="89">
        <f t="shared" si="120"/>
        <v>0</v>
      </c>
      <c r="AI169" s="95">
        <f t="shared" si="121"/>
        <v>0</v>
      </c>
      <c r="AJ169" s="361"/>
      <c r="AK169" s="1038"/>
      <c r="AL169" s="1042"/>
      <c r="AM169" s="1044">
        <f t="shared" ref="AM169" si="265">N169*AL169</f>
        <v>0</v>
      </c>
      <c r="AN169" s="62">
        <f>C169</f>
        <v>0</v>
      </c>
      <c r="AO169" s="62" t="s">
        <v>289</v>
      </c>
      <c r="AP169" s="543" t="str" cm="1">
        <f t="array" aca="1" ref="AP169" ca="1">IF(OR(AN169="",AN169=0),"",IF(SUMPRODUCT(($C$55:$C$175=AN169)*(S$54:$AG$54&lt;EOMONTH(TODAY(),-1)+1)*(ISNUMBER(S$55:$AG$175)),S$55:$AG$175)=0,"",SUMPRODUCT(($C$55:$C$175=AN169)*(S$54:$AG$54&lt;EOMONTH(TODAY(),-1)+1)*(ISNUMBER(S$55:$AG$175)),S$55:$AG$175)))</f>
        <v/>
      </c>
    </row>
    <row r="170" spans="1:42" ht="29.1" customHeight="1" x14ac:dyDescent="0.3">
      <c r="A170" s="1362"/>
      <c r="B170" s="1039"/>
      <c r="C170" s="1377"/>
      <c r="D170" s="1098"/>
      <c r="E170" s="1364"/>
      <c r="F170" s="1100"/>
      <c r="G170" s="1151"/>
      <c r="H170" s="1151"/>
      <c r="I170" s="1351"/>
      <c r="J170" s="1110"/>
      <c r="K170" s="1214"/>
      <c r="L170" s="1077"/>
      <c r="M170" s="1321"/>
      <c r="N170" s="1208"/>
      <c r="O170" s="1043"/>
      <c r="P170" s="1043"/>
      <c r="Q170" s="93" t="s">
        <v>107</v>
      </c>
      <c r="R170" s="96"/>
      <c r="S170" s="312"/>
      <c r="T170" s="312"/>
      <c r="U170" s="312"/>
      <c r="V170" s="310">
        <f t="shared" ref="V170" si="266">SUM(S170:U170)</f>
        <v>0</v>
      </c>
      <c r="W170" s="312"/>
      <c r="X170" s="312"/>
      <c r="Y170" s="312"/>
      <c r="Z170" s="310">
        <f t="shared" ref="Z170" si="267">SUM(W170:Y170)</f>
        <v>0</v>
      </c>
      <c r="AA170" s="312"/>
      <c r="AB170" s="312"/>
      <c r="AC170" s="312"/>
      <c r="AD170" s="310">
        <f t="shared" si="214"/>
        <v>0</v>
      </c>
      <c r="AE170" s="312"/>
      <c r="AF170" s="312"/>
      <c r="AG170" s="312"/>
      <c r="AH170" s="310">
        <f t="shared" si="120"/>
        <v>0</v>
      </c>
      <c r="AI170" s="313">
        <f t="shared" si="121"/>
        <v>0</v>
      </c>
      <c r="AJ170" s="97"/>
      <c r="AK170" s="1039"/>
      <c r="AL170" s="1043"/>
      <c r="AM170" s="1045"/>
      <c r="AN170" s="62">
        <f>C169</f>
        <v>0</v>
      </c>
      <c r="AO170" s="62" t="s">
        <v>291</v>
      </c>
      <c r="AP170" s="543" t="str" cm="1">
        <f t="array" aca="1" ref="AP170" ca="1">IF(OR(AN170="",AN170=0),"",IF(SUMPRODUCT(($C$55:$C$175=AN170)*($S$54:AG$54&lt;=TODAY())*(ISNUMBER($S$56:AG$176)),$S$56:AG$176)=0,"",SUMPRODUCT(($C$55:$C$175=AN170)*($S$54:AG$54&lt;=TODAY())*(ISNUMBER($S$56:AG$176)),$S$56:AG$176)))</f>
        <v/>
      </c>
    </row>
    <row r="171" spans="1:42" ht="29.1" customHeight="1" x14ac:dyDescent="0.3">
      <c r="A171" s="1299"/>
      <c r="B171" s="1299"/>
      <c r="C171" s="1365"/>
      <c r="D171" s="1115"/>
      <c r="E171" s="1303"/>
      <c r="F171" s="1040"/>
      <c r="G171" s="1117"/>
      <c r="H171" s="1117"/>
      <c r="I171" s="1342"/>
      <c r="J171" s="1158"/>
      <c r="K171" s="1121" t="str">
        <f t="shared" ref="K171" si="268">IF(J171="", "", 12 - MONTH(J171) + 1)</f>
        <v/>
      </c>
      <c r="L171" s="1074"/>
      <c r="M171" s="1119"/>
      <c r="N171" s="1314"/>
      <c r="O171" s="1057"/>
      <c r="P171" s="1057"/>
      <c r="Q171" s="87" t="s">
        <v>106</v>
      </c>
      <c r="R171" s="91" t="str">
        <f ca="1">IF(OR(G171="", H171=""), "", IF(TODAY()&lt;G171, 0, IF(TODAY()&gt;H171, 1, (TODAY()-G171+1)/(H171-G171+1))))</f>
        <v/>
      </c>
      <c r="S171" s="309">
        <f>IFERROR(IF(AND(S$54&gt;=EOMONTH($J171,-1)+1,S$54&lt;=EOMONTH(EOMONTH($J171,-1)+1,$K171-1)),IF(NOT(ISBLANK($N171)),$N171/$K171,$I171/$K171),0),0)</f>
        <v>0</v>
      </c>
      <c r="T171" s="309">
        <f>IFERROR(IF(AND(T$54&gt;=EOMONTH($J171,-1)+1,T$54&lt;=EOMONTH(EOMONTH($J171,-1)+1,$K171-1)),IF(NOT(ISBLANK($N171)),$N171/$K171,$I171/$K171),0),0)</f>
        <v>0</v>
      </c>
      <c r="U171" s="309">
        <f>IFERROR(IF(AND(U$54&gt;=EOMONTH($J171,-1)+1,U$54&lt;=EOMONTH(EOMONTH($J171,-1)+1,$K171-1)),IF(NOT(ISBLANK($N171)),$N171/$K171,$I171/$K171),0),0)</f>
        <v>0</v>
      </c>
      <c r="V171" s="89">
        <f t="shared" ref="V171" si="269">SUM(S171:U171)</f>
        <v>0</v>
      </c>
      <c r="W171" s="309">
        <f>IFERROR(IF(AND(W$54&gt;=EOMONTH($J171,-1)+1,W$54&lt;=EOMONTH(EOMONTH($J171,-1)+1,$K171-1)),IF(NOT(ISBLANK($N171)),$N171/$K171,$I171/$K171),0),0)</f>
        <v>0</v>
      </c>
      <c r="X171" s="309">
        <f>IFERROR(IF(AND(X$54&gt;=EOMONTH($J171,-1)+1,X$54&lt;=EOMONTH(EOMONTH($J171,-1)+1,$K171-1)),IF(NOT(ISBLANK($N171)),$N171/$K171,$I171/$K171),0),0)</f>
        <v>0</v>
      </c>
      <c r="Y171" s="309">
        <f>IFERROR(IF(AND(Y$54&gt;=EOMONTH($J171,-1)+1,Y$54&lt;=EOMONTH(EOMONTH($J171,-1)+1,$K171-1)),IF(NOT(ISBLANK($N171)),$N171/$K171,$I171/$K171),0),0)</f>
        <v>0</v>
      </c>
      <c r="Z171" s="89">
        <f t="shared" ref="Z171" si="270">SUM(W171:Y171)</f>
        <v>0</v>
      </c>
      <c r="AA171" s="309">
        <f>IFERROR(IF(AND(AA$54&gt;=EOMONTH($J171,-1)+1,AA$54&lt;=EOMONTH(EOMONTH($J171,-1)+1,$K171-1)),IF(NOT(ISBLANK($N171)),$N171/$K171,$I171/$K171),0),0)</f>
        <v>0</v>
      </c>
      <c r="AB171" s="309">
        <f>IFERROR(IF(AND(AB$54&gt;=EOMONTH($J171,-1)+1,AB$54&lt;=EOMONTH(EOMONTH($J171,-1)+1,$K171-1)),IF(NOT(ISBLANK($N171)),$N171/$K171,$I171/$K171),0),0)</f>
        <v>0</v>
      </c>
      <c r="AC171" s="309">
        <f>IFERROR(IF(AND(AC$54&gt;=EOMONTH($J171,-1)+1,AC$54&lt;=EOMONTH(EOMONTH($J171,-1)+1,$K171-1)),IF(NOT(ISBLANK($N171)),$N171/$K171,$I171/$K171),0),0)</f>
        <v>0</v>
      </c>
      <c r="AD171" s="89">
        <f t="shared" si="214"/>
        <v>0</v>
      </c>
      <c r="AE171" s="309">
        <f>IFERROR(IF(AND(AE$54&gt;=EOMONTH($J171,-1)+1,AE$54&lt;=EOMONTH(EOMONTH($J171,-1)+1,$K171-1)),IF(NOT(ISBLANK($N171)),$N171/$K171,$I171/$K171),0),0)</f>
        <v>0</v>
      </c>
      <c r="AF171" s="309">
        <f>IFERROR(IF(AND(AF$54&gt;=EOMONTH($J171,-1)+1,AF$54&lt;=EOMONTH(EOMONTH($J171,-1)+1,$K171-1)),IF(NOT(ISBLANK($N171)),$N171/$K171,$I171/$K171),0),0)</f>
        <v>0</v>
      </c>
      <c r="AG171" s="309">
        <f>IFERROR(IF(AND(AG$54&gt;=EOMONTH($J171,-1)+1,AG$54&lt;=EOMONTH(EOMONTH($J171,-1)+1,$K171-1)),IF(NOT(ISBLANK($N171)),$N171/$K171,$I171/$K171),0),0)</f>
        <v>0</v>
      </c>
      <c r="AH171" s="89">
        <f t="shared" si="88"/>
        <v>0</v>
      </c>
      <c r="AI171" s="90">
        <f t="shared" si="15"/>
        <v>0</v>
      </c>
      <c r="AJ171" s="360"/>
      <c r="AK171" s="1040"/>
      <c r="AL171" s="1048"/>
      <c r="AM171" s="1046">
        <f t="shared" ref="AM171" si="271">N171*AL171</f>
        <v>0</v>
      </c>
      <c r="AN171" s="62">
        <f>C171</f>
        <v>0</v>
      </c>
      <c r="AO171" s="62" t="s">
        <v>289</v>
      </c>
      <c r="AP171" s="543" t="str" cm="1">
        <f t="array" aca="1" ref="AP171" ca="1">IF(OR(AN171="",AN171=0),"",IF(SUMPRODUCT(($C$55:$C$175=AN171)*(S$54:$AG$54&lt;EOMONTH(TODAY(),-1)+1)*(ISNUMBER(S$55:$AG$175)),S$55:$AG$175)=0,"",SUMPRODUCT(($C$55:$C$175=AN171)*(S$54:$AG$54&lt;EOMONTH(TODAY(),-1)+1)*(ISNUMBER(S$55:$AG$175)),S$55:$AG$175)))</f>
        <v/>
      </c>
    </row>
    <row r="172" spans="1:42" ht="29.1" customHeight="1" x14ac:dyDescent="0.3">
      <c r="A172" s="1300"/>
      <c r="B172" s="1300"/>
      <c r="C172" s="1366"/>
      <c r="D172" s="1116"/>
      <c r="E172" s="1304"/>
      <c r="F172" s="1041"/>
      <c r="G172" s="1118"/>
      <c r="H172" s="1118"/>
      <c r="I172" s="1343"/>
      <c r="J172" s="1159"/>
      <c r="K172" s="1122"/>
      <c r="L172" s="1075"/>
      <c r="M172" s="1120"/>
      <c r="N172" s="1375"/>
      <c r="O172" s="1058"/>
      <c r="P172" s="1058"/>
      <c r="Q172" s="87" t="s">
        <v>107</v>
      </c>
      <c r="R172" s="91"/>
      <c r="S172" s="309"/>
      <c r="T172" s="309"/>
      <c r="U172" s="309"/>
      <c r="V172" s="310">
        <f t="shared" ref="V172" si="272">SUM(S172:U172)</f>
        <v>0</v>
      </c>
      <c r="W172" s="309"/>
      <c r="X172" s="309"/>
      <c r="Y172" s="309"/>
      <c r="Z172" s="310">
        <f t="shared" ref="Z172" si="273">SUM(W172:Y172)</f>
        <v>0</v>
      </c>
      <c r="AA172" s="309"/>
      <c r="AB172" s="309"/>
      <c r="AC172" s="309"/>
      <c r="AD172" s="310">
        <f t="shared" si="214"/>
        <v>0</v>
      </c>
      <c r="AE172" s="309"/>
      <c r="AF172" s="309"/>
      <c r="AG172" s="309"/>
      <c r="AH172" s="310">
        <f t="shared" si="88"/>
        <v>0</v>
      </c>
      <c r="AI172" s="311">
        <f t="shared" si="15"/>
        <v>0</v>
      </c>
      <c r="AJ172" s="360"/>
      <c r="AK172" s="1041"/>
      <c r="AL172" s="1049"/>
      <c r="AM172" s="1047"/>
      <c r="AN172" s="62">
        <f>C171</f>
        <v>0</v>
      </c>
      <c r="AO172" s="62" t="s">
        <v>291</v>
      </c>
      <c r="AP172" s="543" t="str" cm="1">
        <f t="array" aca="1" ref="AP172" ca="1">IF(OR(AN172="",AN172=0),"",IF(SUMPRODUCT(($C$55:$C$175=AN172)*($S$54:AG$54&lt;=TODAY())*(ISNUMBER($S$56:AG$176)),$S$56:AG$176)=0,"",SUMPRODUCT(($C$55:$C$175=AN172)*($S$54:AG$54&lt;=TODAY())*(ISNUMBER($S$56:AG$176)),$S$56:AG$176)))</f>
        <v/>
      </c>
    </row>
    <row r="173" spans="1:42" ht="29.1" customHeight="1" x14ac:dyDescent="0.3">
      <c r="A173" s="1361"/>
      <c r="B173" s="1038"/>
      <c r="C173" s="1376"/>
      <c r="D173" s="1097"/>
      <c r="E173" s="1363"/>
      <c r="F173" s="1099"/>
      <c r="G173" s="1150"/>
      <c r="H173" s="1150"/>
      <c r="I173" s="1350"/>
      <c r="J173" s="1109" t="s">
        <v>340</v>
      </c>
      <c r="K173" s="1213" t="str">
        <f t="shared" ref="K173" si="274">IF(J173="", "", 12 - MONTH(J173) + 1)</f>
        <v/>
      </c>
      <c r="L173" s="1076"/>
      <c r="M173" s="1320"/>
      <c r="N173" s="1206"/>
      <c r="O173" s="1042"/>
      <c r="P173" s="1042"/>
      <c r="Q173" s="93" t="s">
        <v>106</v>
      </c>
      <c r="R173" s="96" t="str">
        <f ca="1">IF(OR(G173="", H173=""), "", IF(TODAY()&lt;G173, 0, IF(TODAY()&gt;H173, 1, (TODAY()-G173+1)/(H173-G173+1))))</f>
        <v/>
      </c>
      <c r="S173" s="532">
        <f>IFERROR(IF(AND(S$54&gt;=EOMONTH($J173,-1)+1,S$54&lt;=EOMONTH(EOMONTH($J173,-1)+1,$K173-1)),IF(NOT(ISBLANK($N173)),$N173/$K173,$I173/$K173),0),0)</f>
        <v>0</v>
      </c>
      <c r="T173" s="532">
        <f>IFERROR(IF(AND(T$54&gt;=EOMONTH($J173,-1)+1,T$54&lt;=EOMONTH(EOMONTH($J173,-1)+1,$K173-1)),IF(NOT(ISBLANK($N173)),$N173/$K173,$I173/$K173),0),0)</f>
        <v>0</v>
      </c>
      <c r="U173" s="532">
        <f>IFERROR(IF(AND(U$54&gt;=EOMONTH($J173,-1)+1,U$54&lt;=EOMONTH(EOMONTH($J173,-1)+1,$K173-1)),IF(NOT(ISBLANK($N173)),$N173/$K173,$I173/$K173),0),0)</f>
        <v>0</v>
      </c>
      <c r="V173" s="89">
        <f t="shared" ref="V173" si="275">SUM(S173:U173)</f>
        <v>0</v>
      </c>
      <c r="W173" s="532">
        <f>IFERROR(IF(AND(W$54&gt;=EOMONTH($J173,-1)+1,W$54&lt;=EOMONTH(EOMONTH($J173,-1)+1,$K173-1)),IF(NOT(ISBLANK($N173)),$N173/$K173,$I173/$K173),0),0)</f>
        <v>0</v>
      </c>
      <c r="X173" s="532">
        <f>IFERROR(IF(AND(X$54&gt;=EOMONTH($J173,-1)+1,X$54&lt;=EOMONTH(EOMONTH($J173,-1)+1,$K173-1)),IF(NOT(ISBLANK($N173)),$N173/$K173,$I173/$K173),0),0)</f>
        <v>0</v>
      </c>
      <c r="Y173" s="532">
        <f>IFERROR(IF(AND(Y$54&gt;=EOMONTH($J173,-1)+1,Y$54&lt;=EOMONTH(EOMONTH($J173,-1)+1,$K173-1)),IF(NOT(ISBLANK($N173)),$N173/$K173,$I173/$K173),0),0)</f>
        <v>0</v>
      </c>
      <c r="Z173" s="89">
        <f t="shared" ref="Z173" si="276">SUM(W173:Y173)</f>
        <v>0</v>
      </c>
      <c r="AA173" s="532">
        <f>IFERROR(IF(AND(AA$54&gt;=EOMONTH($J173,-1)+1,AA$54&lt;=EOMONTH(EOMONTH($J173,-1)+1,$K173-1)),IF(NOT(ISBLANK($N173)),$N173/$K173,$I173/$K173),0),0)</f>
        <v>0</v>
      </c>
      <c r="AB173" s="532">
        <f>IFERROR(IF(AND(AB$54&gt;=EOMONTH($J173,-1)+1,AB$54&lt;=EOMONTH(EOMONTH($J173,-1)+1,$K173-1)),IF(NOT(ISBLANK($N173)),$N173/$K173,$I173/$K173),0),0)</f>
        <v>0</v>
      </c>
      <c r="AC173" s="532">
        <f>IFERROR(IF(AND(AC$54&gt;=EOMONTH($J173,-1)+1,AC$54&lt;=EOMONTH(EOMONTH($J173,-1)+1,$K173-1)),IF(NOT(ISBLANK($N173)),$N173/$K173,$I173/$K173),0),0)</f>
        <v>0</v>
      </c>
      <c r="AD173" s="89">
        <f t="shared" si="214"/>
        <v>0</v>
      </c>
      <c r="AE173" s="532">
        <f>IFERROR(IF(AND(AE$54&gt;=EOMONTH($J173,-1)+1,AE$54&lt;=EOMONTH(EOMONTH($J173,-1)+1,$K173-1)),IF(NOT(ISBLANK($N173)),$N173/$K173,$I173/$K173),0),0)</f>
        <v>0</v>
      </c>
      <c r="AF173" s="532">
        <f>IFERROR(IF(AND(AF$54&gt;=EOMONTH($J173,-1)+1,AF$54&lt;=EOMONTH(EOMONTH($J173,-1)+1,$K173-1)),IF(NOT(ISBLANK($N173)),$N173/$K173,$I173/$K173),0),0)</f>
        <v>0</v>
      </c>
      <c r="AG173" s="532">
        <f>IFERROR(IF(AND(AG$54&gt;=EOMONTH($J173,-1)+1,AG$54&lt;=EOMONTH(EOMONTH($J173,-1)+1,$K173-1)),IF(NOT(ISBLANK($N173)),$N173/$K173,$I173/$K173),0),0)</f>
        <v>0</v>
      </c>
      <c r="AH173" s="89">
        <f t="shared" si="88"/>
        <v>0</v>
      </c>
      <c r="AI173" s="95">
        <f t="shared" si="15"/>
        <v>0</v>
      </c>
      <c r="AJ173" s="361"/>
      <c r="AK173" s="1038"/>
      <c r="AL173" s="1042"/>
      <c r="AM173" s="1044">
        <f t="shared" ref="AM173" si="277">N173*AL173</f>
        <v>0</v>
      </c>
      <c r="AN173" s="62">
        <f>C173</f>
        <v>0</v>
      </c>
      <c r="AO173" s="62" t="s">
        <v>289</v>
      </c>
      <c r="AP173" s="543" t="str" cm="1">
        <f t="array" aca="1" ref="AP173" ca="1">IF(OR(AN173="",AN173=0),"",IF(SUMPRODUCT(($C$55:$C$175=AN173)*(S$54:$AG$54&lt;EOMONTH(TODAY(),-1)+1)*(ISNUMBER(S$55:$AG$175)),S$55:$AG$175)=0,"",SUMPRODUCT(($C$55:$C$175=AN173)*(S$54:$AG$54&lt;EOMONTH(TODAY(),-1)+1)*(ISNUMBER(S$55:$AG$175)),S$55:$AG$175)))</f>
        <v/>
      </c>
    </row>
    <row r="174" spans="1:42" ht="29.1" customHeight="1" x14ac:dyDescent="0.3">
      <c r="A174" s="1362"/>
      <c r="B174" s="1039"/>
      <c r="C174" s="1377"/>
      <c r="D174" s="1098"/>
      <c r="E174" s="1364"/>
      <c r="F174" s="1100"/>
      <c r="G174" s="1151"/>
      <c r="H174" s="1151"/>
      <c r="I174" s="1351"/>
      <c r="J174" s="1110"/>
      <c r="K174" s="1214"/>
      <c r="L174" s="1077"/>
      <c r="M174" s="1321"/>
      <c r="N174" s="1208"/>
      <c r="O174" s="1043"/>
      <c r="P174" s="1043"/>
      <c r="Q174" s="93" t="s">
        <v>107</v>
      </c>
      <c r="R174" s="96"/>
      <c r="S174" s="312"/>
      <c r="T174" s="312"/>
      <c r="U174" s="312"/>
      <c r="V174" s="310">
        <f t="shared" ref="V174" si="278">SUM(S174:U174)</f>
        <v>0</v>
      </c>
      <c r="W174" s="312"/>
      <c r="X174" s="312"/>
      <c r="Y174" s="312"/>
      <c r="Z174" s="310">
        <f t="shared" ref="Z174" si="279">SUM(W174:Y174)</f>
        <v>0</v>
      </c>
      <c r="AA174" s="312"/>
      <c r="AB174" s="312"/>
      <c r="AC174" s="312"/>
      <c r="AD174" s="310">
        <f t="shared" si="214"/>
        <v>0</v>
      </c>
      <c r="AE174" s="312"/>
      <c r="AF174" s="312"/>
      <c r="AG174" s="312"/>
      <c r="AH174" s="310">
        <f t="shared" si="88"/>
        <v>0</v>
      </c>
      <c r="AI174" s="313">
        <f t="shared" si="15"/>
        <v>0</v>
      </c>
      <c r="AJ174" s="97"/>
      <c r="AK174" s="1039"/>
      <c r="AL174" s="1043"/>
      <c r="AM174" s="1045"/>
      <c r="AN174" s="62">
        <f>C173</f>
        <v>0</v>
      </c>
      <c r="AO174" s="62" t="s">
        <v>291</v>
      </c>
      <c r="AP174" s="543" t="str" cm="1">
        <f t="array" aca="1" ref="AP174" ca="1">IF(OR(AN174="",AN174=0),"",IF(SUMPRODUCT(($C$55:$C$175=AN174)*($S$54:AG$54&lt;=TODAY())*(ISNUMBER($S$56:AG$176)),$S$56:AG$176)=0,"",SUMPRODUCT(($C$55:$C$175=AN174)*($S$54:AG$54&lt;=TODAY())*(ISNUMBER($S$56:AG$176)),$S$56:AG$176)))</f>
        <v/>
      </c>
    </row>
    <row r="175" spans="1:42" ht="29.1" customHeight="1" x14ac:dyDescent="0.3">
      <c r="A175" s="1299"/>
      <c r="B175" s="1299"/>
      <c r="C175" s="1365"/>
      <c r="D175" s="1115"/>
      <c r="E175" s="1303"/>
      <c r="F175" s="1040"/>
      <c r="G175" s="1117"/>
      <c r="H175" s="1117"/>
      <c r="I175" s="1342"/>
      <c r="J175" s="1158" t="s">
        <v>340</v>
      </c>
      <c r="K175" s="1121" t="str">
        <f t="shared" ref="K175" si="280">IF(J175="", "", 12 - MONTH(J175) + 1)</f>
        <v/>
      </c>
      <c r="L175" s="1074"/>
      <c r="M175" s="1119"/>
      <c r="N175" s="1314"/>
      <c r="O175" s="1057"/>
      <c r="P175" s="1057"/>
      <c r="Q175" s="87" t="s">
        <v>106</v>
      </c>
      <c r="R175" s="91" t="str">
        <f ca="1">IF(OR(G175="", H175=""), "", IF(TODAY()&lt;G175, 0, IF(TODAY()&gt;H175, 1, (TODAY()-G175+1)/(H175-G175+1))))</f>
        <v/>
      </c>
      <c r="S175" s="309">
        <f>IFERROR(IF(AND(S$54&gt;=EOMONTH($J175,-1)+1,S$54&lt;=EOMONTH(EOMONTH($J175,-1)+1,$K175-1)),IF(NOT(ISBLANK($N175)),$N175/$K175,$I175/$K175),0),0)</f>
        <v>0</v>
      </c>
      <c r="T175" s="309">
        <f>IFERROR(IF(AND(T$54&gt;=EOMONTH($J175,-1)+1,T$54&lt;=EOMONTH(EOMONTH($J175,-1)+1,$K175-1)),IF(NOT(ISBLANK($N175)),$N175/$K175,$I175/$K175),0),0)</f>
        <v>0</v>
      </c>
      <c r="U175" s="309">
        <f>IFERROR(IF(AND(U$54&gt;=EOMONTH($J175,-1)+1,U$54&lt;=EOMONTH(EOMONTH($J175,-1)+1,$K175-1)),IF(NOT(ISBLANK($N175)),$N175/$K175,$I175/$K175),0),0)</f>
        <v>0</v>
      </c>
      <c r="V175" s="89">
        <f t="shared" ref="V175" si="281">SUM(S175:U175)</f>
        <v>0</v>
      </c>
      <c r="W175" s="309">
        <f>IFERROR(IF(AND(W$54&gt;=EOMONTH($J175,-1)+1,W$54&lt;=EOMONTH(EOMONTH($J175,-1)+1,$K175-1)),IF(NOT(ISBLANK($N175)),$N175/$K175,$I175/$K175),0),0)</f>
        <v>0</v>
      </c>
      <c r="X175" s="309">
        <f>IFERROR(IF(AND(X$54&gt;=EOMONTH($J175,-1)+1,X$54&lt;=EOMONTH(EOMONTH($J175,-1)+1,$K175-1)),IF(NOT(ISBLANK($N175)),$N175/$K175,$I175/$K175),0),0)</f>
        <v>0</v>
      </c>
      <c r="Y175" s="309">
        <f>IFERROR(IF(AND(Y$54&gt;=EOMONTH($J175,-1)+1,Y$54&lt;=EOMONTH(EOMONTH($J175,-1)+1,$K175-1)),IF(NOT(ISBLANK($N175)),$N175/$K175,$I175/$K175),0),0)</f>
        <v>0</v>
      </c>
      <c r="Z175" s="89">
        <f t="shared" ref="Z175" si="282">SUM(W175:Y175)</f>
        <v>0</v>
      </c>
      <c r="AA175" s="309">
        <f>IFERROR(IF(AND(AA$54&gt;=EOMONTH($J175,-1)+1,AA$54&lt;=EOMONTH(EOMONTH($J175,-1)+1,$K175-1)),IF(NOT(ISBLANK($N175)),$N175/$K175,$I175/$K175),0),0)</f>
        <v>0</v>
      </c>
      <c r="AB175" s="309">
        <f>IFERROR(IF(AND(AB$54&gt;=EOMONTH($J175,-1)+1,AB$54&lt;=EOMONTH(EOMONTH($J175,-1)+1,$K175-1)),IF(NOT(ISBLANK($N175)),$N175/$K175,$I175/$K175),0),0)</f>
        <v>0</v>
      </c>
      <c r="AC175" s="309">
        <f>IFERROR(IF(AND(AC$54&gt;=EOMONTH($J175,-1)+1,AC$54&lt;=EOMONTH(EOMONTH($J175,-1)+1,$K175-1)),IF(NOT(ISBLANK($N175)),$N175/$K175,$I175/$K175),0),0)</f>
        <v>0</v>
      </c>
      <c r="AD175" s="89">
        <f t="shared" si="214"/>
        <v>0</v>
      </c>
      <c r="AE175" s="309">
        <f>IFERROR(IF(AND(AE$54&gt;=EOMONTH($J175,-1)+1,AE$54&lt;=EOMONTH(EOMONTH($J175,-1)+1,$K175-1)),IF(NOT(ISBLANK($N175)),$N175/$K175,$I175/$K175),0),0)</f>
        <v>0</v>
      </c>
      <c r="AF175" s="309">
        <f>IFERROR(IF(AND(AF$54&gt;=EOMONTH($J175,-1)+1,AF$54&lt;=EOMONTH(EOMONTH($J175,-1)+1,$K175-1)),IF(NOT(ISBLANK($N175)),$N175/$K175,$I175/$K175),0),0)</f>
        <v>0</v>
      </c>
      <c r="AG175" s="309">
        <f>IFERROR(IF(AND(AG$54&gt;=EOMONTH($J175,-1)+1,AG$54&lt;=EOMONTH(EOMONTH($J175,-1)+1,$K175-1)),IF(NOT(ISBLANK($N175)),$N175/$K175,$I175/$K175),0),0)</f>
        <v>0</v>
      </c>
      <c r="AH175" s="89">
        <f t="shared" si="88"/>
        <v>0</v>
      </c>
      <c r="AI175" s="90">
        <f t="shared" si="15"/>
        <v>0</v>
      </c>
      <c r="AJ175" s="360"/>
      <c r="AK175" s="1040"/>
      <c r="AL175" s="1048"/>
      <c r="AM175" s="1046">
        <f t="shared" ref="AM175" si="283">N175*AL175</f>
        <v>0</v>
      </c>
      <c r="AN175" s="62">
        <f>C175</f>
        <v>0</v>
      </c>
      <c r="AO175" s="62" t="s">
        <v>289</v>
      </c>
      <c r="AP175" s="543" t="str" cm="1">
        <f t="array" aca="1" ref="AP175" ca="1">IF(OR(AN175="",AN175=0),"",IF(SUMPRODUCT(($C$55:$C$175=AN175)*(S$54:$AG$54&lt;EOMONTH(TODAY(),-1)+1)*(ISNUMBER(S$55:$AG$175)),S$55:$AG$175)=0,"",SUMPRODUCT(($C$55:$C$175=AN175)*(S$54:$AG$54&lt;EOMONTH(TODAY(),-1)+1)*(ISNUMBER(S$55:$AG$175)),S$55:$AG$175)))</f>
        <v/>
      </c>
    </row>
    <row r="176" spans="1:42" ht="29.1" customHeight="1" x14ac:dyDescent="0.3">
      <c r="A176" s="1300"/>
      <c r="B176" s="1300"/>
      <c r="C176" s="1366"/>
      <c r="D176" s="1116"/>
      <c r="E176" s="1304"/>
      <c r="F176" s="1041"/>
      <c r="G176" s="1118"/>
      <c r="H176" s="1118"/>
      <c r="I176" s="1343"/>
      <c r="J176" s="1159"/>
      <c r="K176" s="1122"/>
      <c r="L176" s="1075"/>
      <c r="M176" s="1120"/>
      <c r="N176" s="1375"/>
      <c r="O176" s="1058"/>
      <c r="P176" s="1058"/>
      <c r="Q176" s="87" t="s">
        <v>107</v>
      </c>
      <c r="R176" s="91"/>
      <c r="S176" s="309"/>
      <c r="T176" s="309"/>
      <c r="U176" s="309"/>
      <c r="V176" s="310">
        <f t="shared" ref="V176" si="284">SUM(S176:U176)</f>
        <v>0</v>
      </c>
      <c r="W176" s="309"/>
      <c r="X176" s="309"/>
      <c r="Y176" s="309"/>
      <c r="Z176" s="310">
        <f t="shared" ref="Z176" si="285">SUM(W176:Y176)</f>
        <v>0</v>
      </c>
      <c r="AA176" s="309"/>
      <c r="AB176" s="309"/>
      <c r="AC176" s="309"/>
      <c r="AD176" s="310">
        <f t="shared" si="214"/>
        <v>0</v>
      </c>
      <c r="AE176" s="309"/>
      <c r="AF176" s="309"/>
      <c r="AG176" s="309"/>
      <c r="AH176" s="310">
        <f t="shared" si="88"/>
        <v>0</v>
      </c>
      <c r="AI176" s="311">
        <f t="shared" si="15"/>
        <v>0</v>
      </c>
      <c r="AJ176" s="360"/>
      <c r="AK176" s="1041"/>
      <c r="AL176" s="1049"/>
      <c r="AM176" s="1047"/>
      <c r="AN176" s="62">
        <f>C175</f>
        <v>0</v>
      </c>
      <c r="AO176" s="62" t="s">
        <v>291</v>
      </c>
      <c r="AP176" s="543" t="str" cm="1">
        <f t="array" aca="1" ref="AP176" ca="1">IF(OR(AN176="",AN176=0),"",IF(SUMPRODUCT(($C$55:$C$175=AN176)*($S$54:AG$54&lt;=TODAY())*(ISNUMBER($S$56:AG$176)),$S$56:AG$176)=0,"",SUMPRODUCT(($C$55:$C$175=AN176)*($S$54:AG$54&lt;=TODAY())*(ISNUMBER($S$56:AG$176)),$S$56:AG$176)))</f>
        <v/>
      </c>
    </row>
    <row r="177" spans="1:33" x14ac:dyDescent="0.3">
      <c r="A177" s="47"/>
      <c r="B177" s="47"/>
      <c r="C177" s="47"/>
      <c r="D177" s="47"/>
      <c r="E177" s="47"/>
      <c r="F177" s="47"/>
      <c r="G177" s="47"/>
      <c r="H177" s="47"/>
      <c r="I177" s="47"/>
      <c r="J177" s="47"/>
      <c r="K177" s="47"/>
      <c r="L177" s="47"/>
      <c r="M177" s="1413"/>
      <c r="N177" s="1413"/>
      <c r="O177" s="1413"/>
      <c r="P177" s="1413"/>
      <c r="Q177" s="47"/>
      <c r="R177" s="47"/>
      <c r="S177" s="47"/>
      <c r="T177" s="47"/>
      <c r="U177" s="47"/>
      <c r="V177" s="47"/>
      <c r="W177" s="47"/>
      <c r="X177" s="47"/>
      <c r="Y177" s="47"/>
      <c r="Z177" s="47"/>
      <c r="AA177" s="47"/>
      <c r="AB177" s="47"/>
      <c r="AC177" s="47"/>
      <c r="AD177" s="47"/>
      <c r="AE177" s="59"/>
      <c r="AF177" s="59"/>
    </row>
    <row r="178" spans="1:33" ht="15.6" x14ac:dyDescent="0.3">
      <c r="A178" s="100" t="s">
        <v>547</v>
      </c>
      <c r="B178" s="100"/>
      <c r="C178" s="100"/>
      <c r="D178" s="99" t="s">
        <v>548</v>
      </c>
      <c r="E178" s="99" t="s">
        <v>73</v>
      </c>
      <c r="F178" s="99" t="s">
        <v>74</v>
      </c>
      <c r="G178" s="47"/>
      <c r="H178" s="102" t="s">
        <v>549</v>
      </c>
      <c r="I178" s="102"/>
      <c r="J178" s="102"/>
      <c r="K178" s="102"/>
      <c r="L178" s="102"/>
      <c r="M178" s="1414"/>
      <c r="N178" s="1414"/>
      <c r="O178" s="1415"/>
      <c r="P178" s="1415"/>
      <c r="Q178" s="180"/>
      <c r="R178" s="180"/>
      <c r="S178" s="151"/>
      <c r="T178" s="85">
        <v>46023</v>
      </c>
      <c r="U178" s="151">
        <v>46054</v>
      </c>
      <c r="V178" s="151">
        <v>46082</v>
      </c>
      <c r="W178" s="151">
        <v>46113</v>
      </c>
      <c r="X178" s="151">
        <v>46143</v>
      </c>
      <c r="Y178" s="151">
        <v>46174</v>
      </c>
      <c r="Z178" s="151">
        <v>46204</v>
      </c>
      <c r="AA178" s="151">
        <v>46235</v>
      </c>
      <c r="AB178" s="151">
        <v>46266</v>
      </c>
      <c r="AC178" s="151">
        <v>46296</v>
      </c>
      <c r="AD178" s="151">
        <v>46327</v>
      </c>
      <c r="AE178" s="151">
        <v>46357</v>
      </c>
      <c r="AF178" s="151" t="s">
        <v>550</v>
      </c>
      <c r="AG178" s="59"/>
    </row>
    <row r="179" spans="1:33" ht="15.6" x14ac:dyDescent="0.3">
      <c r="A179" s="112" t="s">
        <v>78</v>
      </c>
      <c r="B179" s="112" t="s">
        <v>551</v>
      </c>
      <c r="C179" s="333"/>
      <c r="D179" s="721">
        <v>1</v>
      </c>
      <c r="E179" s="109" t="str">
        <f>_xlfn.XLOOKUP(B179,$B$343:$B$389,$E$343:$E$389)</f>
        <v>OK</v>
      </c>
      <c r="F179" s="799" t="str">
        <f>_xlfn.XLOOKUP(B179,$B$343:$B$389,$F$343:$F$389)</f>
        <v>NOK</v>
      </c>
      <c r="G179" s="47"/>
      <c r="H179" s="102" t="s">
        <v>552</v>
      </c>
      <c r="I179" s="102" t="s">
        <v>553</v>
      </c>
      <c r="J179" s="102" t="s">
        <v>554</v>
      </c>
      <c r="K179" s="102" t="s">
        <v>555</v>
      </c>
      <c r="L179" s="104" t="s">
        <v>167</v>
      </c>
      <c r="M179" s="1416" t="s">
        <v>556</v>
      </c>
      <c r="N179" s="1416"/>
      <c r="O179" s="1416"/>
      <c r="P179" s="1416"/>
      <c r="Q179" s="104" t="s">
        <v>557</v>
      </c>
      <c r="R179" s="899" t="s">
        <v>558</v>
      </c>
      <c r="S179" s="504" t="s">
        <v>106</v>
      </c>
      <c r="T179" s="152">
        <f>SUMIF($Q$55:$Q$176,$S$179,S55:S176)</f>
        <v>41403.54</v>
      </c>
      <c r="U179" s="152">
        <f>SUMIF($Q$55:$Q$176,$S$179,T55:T176)</f>
        <v>4272.4483702882999</v>
      </c>
      <c r="V179" s="152">
        <f>SUMIF($Q$55:$Q$176,$S$179,U55:U176)</f>
        <v>110133.83746028828</v>
      </c>
      <c r="W179" s="152">
        <f>SUMIF($Q$55:$Q$176,$S$179,W55:W176)</f>
        <v>125932.02857139938</v>
      </c>
      <c r="X179" s="152">
        <f>SUMIF($Q$55:$Q$176,$S$179,X55:X176)</f>
        <v>184833.96232139945</v>
      </c>
      <c r="Y179" s="152">
        <f>SUMIF($Q$55:$Q$176,$S$179,Y55:Y176)</f>
        <v>353764.08527494228</v>
      </c>
      <c r="Z179" s="152">
        <f>SUMIF($Q$55:$Q$176,$S$179,AA55:AA176)</f>
        <v>364539.37360827561</v>
      </c>
      <c r="AA179" s="152">
        <f>SUMIF($Q$55:$Q$176,$S$179,AB55:AB176)</f>
        <v>387389.09960827557</v>
      </c>
      <c r="AB179" s="152">
        <f>SUMIF($Q$55:$Q$176,$S$179,AC55:AC176)</f>
        <v>387389.09960827557</v>
      </c>
      <c r="AC179" s="152">
        <f>SUMIF($Q$55:$Q$176,$S$179,AE55:AE176)</f>
        <v>387389.09960827557</v>
      </c>
      <c r="AD179" s="152">
        <f>SUMIF($Q$55:$Q$176,$S$179,AF55:AF176)</f>
        <v>387389.09960827557</v>
      </c>
      <c r="AE179" s="152">
        <f>SUMIF($Q$55:$Q$176,$S$179,AG55:AG176)</f>
        <v>387389.09960827557</v>
      </c>
      <c r="AF179" s="152">
        <f>SUM(T179:AE179)</f>
        <v>3121824.7736479715</v>
      </c>
      <c r="AG179" s="59"/>
    </row>
    <row r="180" spans="1:33" x14ac:dyDescent="0.3">
      <c r="A180" s="753" t="s">
        <v>78</v>
      </c>
      <c r="B180" s="753" t="s">
        <v>559</v>
      </c>
      <c r="C180" s="751"/>
      <c r="D180" s="754">
        <v>1</v>
      </c>
      <c r="E180" s="798" t="str">
        <f t="shared" ref="E180:E206" si="286">_xlfn.XLOOKUP(B180,$B$343:$B$389,$E$343:$E$389)</f>
        <v>OK</v>
      </c>
      <c r="F180" s="798" t="str">
        <f t="shared" ref="F180:F206" si="287">_xlfn.XLOOKUP(B180,$B$343:$B$389,$F$343:$F$389)</f>
        <v>OK</v>
      </c>
      <c r="G180" s="47"/>
      <c r="H180" s="367" t="s">
        <v>560</v>
      </c>
      <c r="I180" s="664" t="s">
        <v>287</v>
      </c>
      <c r="J180" s="664" t="s">
        <v>287</v>
      </c>
      <c r="K180" s="106" t="s">
        <v>388</v>
      </c>
      <c r="L180" s="181">
        <f>(COUNTIF(I180:K180,"OK"))*33.333333/100</f>
        <v>0.66666666000000008</v>
      </c>
      <c r="M180" s="714" t="s">
        <v>561</v>
      </c>
      <c r="N180" s="715"/>
      <c r="O180" s="715"/>
      <c r="P180" s="716"/>
      <c r="Q180" s="716" t="s">
        <v>562</v>
      </c>
      <c r="R180" s="716" t="s">
        <v>562</v>
      </c>
      <c r="S180" s="505" t="s">
        <v>107</v>
      </c>
      <c r="T180" s="154">
        <f>SUMIF($Q$55:$Q$176,$S$180,S55:S176)</f>
        <v>41403.54</v>
      </c>
      <c r="U180" s="154">
        <f>SUMIF($Q$55:$Q$176,$S$180,T55:T176)</f>
        <v>4586.7548434203618</v>
      </c>
      <c r="V180" s="154">
        <f>SUMIF($Q$55:$Q$176,$S$180,U55:U176)</f>
        <v>67788.936790466076</v>
      </c>
      <c r="W180" s="154">
        <f>SUMIF($Q$55:$Q$176,$S$180,W55:W176)</f>
        <v>134499.4510592015</v>
      </c>
      <c r="X180" s="154">
        <f>SUMIF($Q$55:$Q$176,$S$180,X55:X176)</f>
        <v>166936.15480234075</v>
      </c>
      <c r="Y180" s="154">
        <f>SUMIF($Q$55:$Q$176,$S$180,Y55:Y176)</f>
        <v>0</v>
      </c>
      <c r="Z180" s="154">
        <f>SUMIF($Q$55:$Q$176,$S$180,AA55:AA176)</f>
        <v>0</v>
      </c>
      <c r="AA180" s="154">
        <f>SUMIF($Q$55:$Q$176,$S$180,AB55:AB176)</f>
        <v>0</v>
      </c>
      <c r="AB180" s="154">
        <f>SUMIF($Q$55:$Q$176,$S$180,AC55:AC176)</f>
        <v>0</v>
      </c>
      <c r="AC180" s="154">
        <f>SUMIF($Q$55:$Q$176,$S$180,AE55:AE176)</f>
        <v>0</v>
      </c>
      <c r="AD180" s="154">
        <f>SUMIF($Q$55:$Q$176,$S$180,AF55:AF176)</f>
        <v>0</v>
      </c>
      <c r="AE180" s="154">
        <f>SUMIF($Q$55:$Q$176,$S$180,AG55:AG176)</f>
        <v>0</v>
      </c>
      <c r="AF180" s="154">
        <f>SUM(T180:AE180)</f>
        <v>415214.83749542868</v>
      </c>
      <c r="AG180" s="59"/>
    </row>
    <row r="181" spans="1:33" x14ac:dyDescent="0.3">
      <c r="A181" s="112" t="s">
        <v>81</v>
      </c>
      <c r="B181" s="112" t="s">
        <v>563</v>
      </c>
      <c r="C181" s="333"/>
      <c r="D181" s="721">
        <v>1</v>
      </c>
      <c r="E181" s="109" t="str">
        <f t="shared" si="286"/>
        <v>OK</v>
      </c>
      <c r="F181" s="109" t="str">
        <f t="shared" si="287"/>
        <v>OK</v>
      </c>
      <c r="G181" s="47"/>
      <c r="H181" s="368" t="s">
        <v>564</v>
      </c>
      <c r="I181" s="650" t="s">
        <v>287</v>
      </c>
      <c r="J181" s="650" t="s">
        <v>287</v>
      </c>
      <c r="K181" s="109" t="s">
        <v>388</v>
      </c>
      <c r="L181" s="182">
        <f>(COUNTIF(I181:K181,"OK"))*33.333333/100</f>
        <v>0.66666666000000008</v>
      </c>
      <c r="M181" s="711" t="s">
        <v>565</v>
      </c>
      <c r="N181" s="712"/>
      <c r="O181" s="712"/>
      <c r="P181" s="713"/>
      <c r="Q181" s="713" t="s">
        <v>562</v>
      </c>
      <c r="R181" s="713" t="s">
        <v>562</v>
      </c>
      <c r="S181" s="506" t="s">
        <v>566</v>
      </c>
      <c r="T181" s="160" cm="1">
        <f t="array" ref="T181">SUMPRODUCT(
($G$55:$G$176&lt;&gt;"")*
($G$55:$G$176&lt;=T$178)*
(($H$55:$H$176="")+($H$55:$H$176&gt;=V$108))
)</f>
        <v>6</v>
      </c>
      <c r="U181" s="160" cm="1">
        <f t="array" ref="U181">SUMPRODUCT(
($G$55:$G$176&lt;&gt;"")*
($G$55:$G$176&lt;=U$178)*
(($H$55:$H$176="")+($H$55:$H$176&gt;=W$108))
)</f>
        <v>19</v>
      </c>
      <c r="V181" s="160" cm="1">
        <f t="array" ref="V181">SUMPRODUCT(
($G$55:$G$176&lt;&gt;"")*
($G$55:$G$176&lt;=V$178)*
(($H$55:$H$176="")+($H$55:$H$176&gt;=X$108))
)</f>
        <v>27</v>
      </c>
      <c r="W181" s="160" cm="1">
        <f t="array" ref="W181">SUMPRODUCT(
($G$55:$G$176&lt;&gt;"")*
($G$55:$G$176&lt;=W$178)*
(($H$55:$H$176="")+($H$55:$H$176&gt;=Y$108))
)</f>
        <v>43</v>
      </c>
      <c r="X181" s="160" cm="1">
        <f t="array" ref="X181">SUMPRODUCT(
($G$55:$G$176&lt;&gt;"")*
($G$55:$G$176&lt;=X$178)*
(($H$55:$H$176="")+($H$55:$H$176&gt;=Z$108))
)</f>
        <v>54</v>
      </c>
      <c r="Y181" s="160" cm="1">
        <f t="array" ref="Y181">SUMPRODUCT(
($G$55:$G$176&lt;&gt;"")*
($G$55:$G$176&lt;=Y$178)*
(($H$55:$H$176="")+($H$55:$H$176&gt;=AA$108))
)</f>
        <v>57</v>
      </c>
      <c r="Z181" s="160" cm="1">
        <f t="array" ref="Z181">SUMPRODUCT(
($G$55:$G$176&lt;&gt;"")*
($G$55:$G$176&lt;=Z$178)*
(($H$55:$H$176="")+($H$55:$H$176&gt;=AB$108))
)</f>
        <v>57</v>
      </c>
      <c r="AA181" s="160" cm="1">
        <f t="array" ref="AA181">SUMPRODUCT(
($G$55:$G$176&lt;&gt;"")*
($G$55:$G$176&lt;=AA$178)*
(($H$55:$H$176="")+($H$55:$H$176&gt;=AC$108))
)</f>
        <v>57</v>
      </c>
      <c r="AB181" s="160" cm="1">
        <f t="array" ref="AB181">SUMPRODUCT(
($G$55:$G$176&lt;&gt;"")*
($G$55:$G$176&lt;=AB$178)*
(($H$55:$H$176="")+($H$55:$H$176&gt;=AD$108))
)</f>
        <v>57</v>
      </c>
      <c r="AC181" s="160" cm="1">
        <f t="array" ref="AC181">SUMPRODUCT(
($G$55:$G$176&lt;&gt;"")*
($G$55:$G$176&lt;=AC$178)*
(($H$55:$H$176="")+($H$55:$H$176&gt;=AE$108))
)</f>
        <v>57</v>
      </c>
      <c r="AD181" s="160" cm="1">
        <f t="array" ref="AD181">SUMPRODUCT(
($G$55:$G$176&lt;&gt;"")*
($G$55:$G$176&lt;=AD$178)*
(($H$55:$H$176="")+($H$55:$H$176&gt;=AF$108))
)</f>
        <v>57</v>
      </c>
      <c r="AE181" s="160" cm="1">
        <f t="array" ref="AE181">SUMPRODUCT(
($G$55:$G$176&lt;&gt;"")*
($G$55:$G$176&lt;=AE$178)*
(($H$55:$H$176="")+($H$55:$H$176&gt;=AG$108))
)</f>
        <v>57</v>
      </c>
      <c r="AF181" s="160"/>
      <c r="AG181" s="59"/>
    </row>
    <row r="182" spans="1:33" ht="16.350000000000001" customHeight="1" x14ac:dyDescent="0.3">
      <c r="A182" s="753" t="s">
        <v>81</v>
      </c>
      <c r="B182" s="753" t="s">
        <v>567</v>
      </c>
      <c r="C182" s="751"/>
      <c r="D182" s="754">
        <v>1</v>
      </c>
      <c r="E182" s="798" t="str">
        <f t="shared" si="286"/>
        <v>OK</v>
      </c>
      <c r="F182" s="798" t="str">
        <f t="shared" si="287"/>
        <v>OK</v>
      </c>
      <c r="G182" s="47"/>
      <c r="H182" s="105" t="s">
        <v>568</v>
      </c>
      <c r="I182" s="106" t="s">
        <v>388</v>
      </c>
      <c r="J182" s="106" t="s">
        <v>388</v>
      </c>
      <c r="K182" s="106" t="s">
        <v>388</v>
      </c>
      <c r="L182" s="181">
        <f>(COUNTIF(I182:K182,"OK"))*33.333333/100</f>
        <v>0</v>
      </c>
      <c r="M182" s="714" t="s">
        <v>569</v>
      </c>
      <c r="N182" s="715"/>
      <c r="O182" s="715"/>
      <c r="P182" s="716"/>
      <c r="Q182" s="716"/>
      <c r="R182" s="716"/>
      <c r="S182" s="505" t="s">
        <v>570</v>
      </c>
      <c r="T182" s="154">
        <f>T179</f>
        <v>41403.54</v>
      </c>
      <c r="U182" s="154">
        <f>T182+U179</f>
        <v>45675.988370288302</v>
      </c>
      <c r="V182" s="154">
        <f t="shared" ref="V182:AE183" si="288">U182+V179</f>
        <v>155809.82583057659</v>
      </c>
      <c r="W182" s="154">
        <f t="shared" si="288"/>
        <v>281741.85440197599</v>
      </c>
      <c r="X182" s="154">
        <f t="shared" si="288"/>
        <v>466575.81672337546</v>
      </c>
      <c r="Y182" s="154">
        <f t="shared" si="288"/>
        <v>820339.9019983178</v>
      </c>
      <c r="Z182" s="154">
        <f t="shared" si="288"/>
        <v>1184879.2756065933</v>
      </c>
      <c r="AA182" s="154">
        <f t="shared" si="288"/>
        <v>1572268.3752148689</v>
      </c>
      <c r="AB182" s="154">
        <f t="shared" si="288"/>
        <v>1959657.4748231445</v>
      </c>
      <c r="AC182" s="154">
        <f t="shared" si="288"/>
        <v>2347046.5744314203</v>
      </c>
      <c r="AD182" s="154">
        <f t="shared" si="288"/>
        <v>2734435.6740396959</v>
      </c>
      <c r="AE182" s="154">
        <f t="shared" si="288"/>
        <v>3121824.7736479715</v>
      </c>
      <c r="AF182" s="154"/>
      <c r="AG182" s="59"/>
    </row>
    <row r="183" spans="1:33" ht="14.85" customHeight="1" x14ac:dyDescent="0.3">
      <c r="A183" s="112" t="s">
        <v>81</v>
      </c>
      <c r="B183" s="112" t="s">
        <v>571</v>
      </c>
      <c r="C183" s="333"/>
      <c r="D183" s="721">
        <v>1</v>
      </c>
      <c r="E183" s="109" t="str">
        <f t="shared" si="286"/>
        <v>OK</v>
      </c>
      <c r="F183" s="109" t="str">
        <f t="shared" si="287"/>
        <v>OK</v>
      </c>
      <c r="G183" s="47"/>
      <c r="H183" s="909" t="s">
        <v>572</v>
      </c>
      <c r="I183" s="109" t="s">
        <v>388</v>
      </c>
      <c r="J183" s="109" t="s">
        <v>388</v>
      </c>
      <c r="K183" s="109" t="s">
        <v>388</v>
      </c>
      <c r="L183" s="182">
        <f>(COUNTIF(I183:K183,"OK"))*33.333333/100</f>
        <v>0</v>
      </c>
      <c r="M183" s="711" t="s">
        <v>573</v>
      </c>
      <c r="N183" s="712"/>
      <c r="O183" s="712"/>
      <c r="P183" s="713"/>
      <c r="Q183" s="713"/>
      <c r="R183" s="713"/>
      <c r="S183" s="506" t="s">
        <v>574</v>
      </c>
      <c r="T183" s="507">
        <f>T180</f>
        <v>41403.54</v>
      </c>
      <c r="U183" s="507">
        <f>T183+U180</f>
        <v>45990.294843420364</v>
      </c>
      <c r="V183" s="507">
        <f t="shared" si="288"/>
        <v>113779.23163388643</v>
      </c>
      <c r="W183" s="507">
        <f t="shared" si="288"/>
        <v>248278.68269308793</v>
      </c>
      <c r="X183" s="507">
        <f t="shared" si="288"/>
        <v>415214.83749542868</v>
      </c>
      <c r="Y183" s="507">
        <f t="shared" si="288"/>
        <v>415214.83749542868</v>
      </c>
      <c r="Z183" s="507">
        <f t="shared" si="288"/>
        <v>415214.83749542868</v>
      </c>
      <c r="AA183" s="507">
        <f t="shared" si="288"/>
        <v>415214.83749542868</v>
      </c>
      <c r="AB183" s="507">
        <f t="shared" si="288"/>
        <v>415214.83749542868</v>
      </c>
      <c r="AC183" s="507">
        <f t="shared" si="288"/>
        <v>415214.83749542868</v>
      </c>
      <c r="AD183" s="507">
        <f t="shared" si="288"/>
        <v>415214.83749542868</v>
      </c>
      <c r="AE183" s="507">
        <f t="shared" si="288"/>
        <v>415214.83749542868</v>
      </c>
      <c r="AF183" s="507"/>
      <c r="AG183" s="59"/>
    </row>
    <row r="184" spans="1:33" ht="14.85" customHeight="1" x14ac:dyDescent="0.3">
      <c r="A184" s="753" t="s">
        <v>81</v>
      </c>
      <c r="B184" s="753" t="s">
        <v>575</v>
      </c>
      <c r="C184" s="751"/>
      <c r="D184" s="754">
        <v>1</v>
      </c>
      <c r="E184" s="798" t="str">
        <f t="shared" si="286"/>
        <v>OK</v>
      </c>
      <c r="F184" s="798" t="str">
        <f t="shared" si="287"/>
        <v>OK</v>
      </c>
      <c r="G184" s="47"/>
      <c r="H184" s="910" t="s">
        <v>576</v>
      </c>
      <c r="I184" s="106" t="s">
        <v>388</v>
      </c>
      <c r="J184" s="109" t="s">
        <v>388</v>
      </c>
      <c r="K184" s="106" t="s">
        <v>388</v>
      </c>
      <c r="L184" s="181">
        <f>(COUNTIF(I184:K184,"OK"))*33.333333/100</f>
        <v>0</v>
      </c>
      <c r="M184" s="714" t="s">
        <v>577</v>
      </c>
      <c r="N184" s="715"/>
      <c r="O184" s="715"/>
      <c r="P184" s="716"/>
      <c r="Q184" s="716"/>
      <c r="R184" s="716"/>
      <c r="S184" s="505" t="s">
        <v>578</v>
      </c>
      <c r="T184" s="154">
        <f t="shared" ref="T184:AE184" si="289">IF(AND(ISNUMBER(T180),T180&lt;&gt;0), T183, S184 + (($A$5 - MAX($T$183:$AE$183)) / COUNTIF($T$180:$AE$180,0)))</f>
        <v>41403.54</v>
      </c>
      <c r="U184" s="154">
        <f t="shared" si="289"/>
        <v>45990.294843420364</v>
      </c>
      <c r="V184" s="154">
        <f t="shared" si="289"/>
        <v>113779.23163388643</v>
      </c>
      <c r="W184" s="154">
        <f t="shared" si="289"/>
        <v>248278.68269308793</v>
      </c>
      <c r="X184" s="154">
        <f t="shared" si="289"/>
        <v>415214.83749542868</v>
      </c>
      <c r="Y184" s="154">
        <f t="shared" si="289"/>
        <v>1348327.0035675103</v>
      </c>
      <c r="Z184" s="154">
        <f t="shared" si="289"/>
        <v>2281439.1696395921</v>
      </c>
      <c r="AA184" s="154">
        <f t="shared" si="289"/>
        <v>3214551.3357116738</v>
      </c>
      <c r="AB184" s="154">
        <f t="shared" si="289"/>
        <v>4147663.5017837556</v>
      </c>
      <c r="AC184" s="154">
        <f t="shared" si="289"/>
        <v>5080775.6678558374</v>
      </c>
      <c r="AD184" s="154">
        <f t="shared" si="289"/>
        <v>6013887.8339279192</v>
      </c>
      <c r="AE184" s="154">
        <f t="shared" si="289"/>
        <v>6947000.0000000009</v>
      </c>
      <c r="AF184" s="154"/>
      <c r="AG184" s="59"/>
    </row>
    <row r="185" spans="1:33" x14ac:dyDescent="0.3">
      <c r="A185" s="112" t="s">
        <v>81</v>
      </c>
      <c r="B185" s="112" t="s">
        <v>579</v>
      </c>
      <c r="C185" s="333"/>
      <c r="D185" s="721">
        <v>1</v>
      </c>
      <c r="E185" s="109" t="str">
        <f t="shared" si="286"/>
        <v>OK</v>
      </c>
      <c r="F185" s="109" t="str">
        <f t="shared" si="287"/>
        <v>OK</v>
      </c>
      <c r="G185" s="47"/>
      <c r="H185" s="926" t="s">
        <v>580</v>
      </c>
      <c r="I185" s="927" t="s">
        <v>388</v>
      </c>
      <c r="J185" s="927" t="s">
        <v>388</v>
      </c>
      <c r="K185" s="927" t="s">
        <v>388</v>
      </c>
      <c r="L185" s="928">
        <v>0</v>
      </c>
      <c r="M185" s="929" t="s">
        <v>581</v>
      </c>
      <c r="N185" s="930"/>
      <c r="O185" s="930"/>
      <c r="P185" s="931"/>
      <c r="Q185" s="932" t="s">
        <v>23</v>
      </c>
      <c r="R185" s="932" t="s">
        <v>582</v>
      </c>
      <c r="S185" s="47"/>
      <c r="T185" s="47"/>
      <c r="U185" s="47"/>
      <c r="V185" s="47"/>
      <c r="W185" s="47"/>
      <c r="X185" s="47"/>
      <c r="Y185" s="47"/>
      <c r="Z185" s="47"/>
      <c r="AA185" s="47"/>
      <c r="AB185" s="47"/>
      <c r="AC185" s="47"/>
      <c r="AD185" s="47"/>
      <c r="AE185" s="47"/>
      <c r="AF185" s="47"/>
      <c r="AG185" s="59"/>
    </row>
    <row r="186" spans="1:33" x14ac:dyDescent="0.3">
      <c r="A186" s="753" t="s">
        <v>81</v>
      </c>
      <c r="B186" s="753" t="s">
        <v>583</v>
      </c>
      <c r="C186" s="751"/>
      <c r="D186" s="754">
        <v>1</v>
      </c>
      <c r="E186" s="833" t="str">
        <f t="shared" si="286"/>
        <v>NOK</v>
      </c>
      <c r="F186" s="833" t="str">
        <f t="shared" si="287"/>
        <v>NOK</v>
      </c>
      <c r="G186" s="47"/>
      <c r="H186" s="926" t="s">
        <v>584</v>
      </c>
      <c r="I186" s="927" t="s">
        <v>388</v>
      </c>
      <c r="J186" s="927" t="s">
        <v>388</v>
      </c>
      <c r="K186" s="927" t="s">
        <v>388</v>
      </c>
      <c r="L186" s="928">
        <v>0</v>
      </c>
      <c r="M186" s="929" t="s">
        <v>585</v>
      </c>
      <c r="N186" s="930"/>
      <c r="O186" s="930"/>
      <c r="P186" s="931"/>
      <c r="Q186" s="932" t="s">
        <v>23</v>
      </c>
      <c r="R186" s="931" t="s">
        <v>586</v>
      </c>
      <c r="S186" s="47"/>
      <c r="T186" s="47"/>
      <c r="U186" s="47"/>
      <c r="V186" s="47"/>
      <c r="W186" s="47"/>
      <c r="X186" s="47"/>
      <c r="Y186" s="47"/>
      <c r="Z186" s="47"/>
      <c r="AA186" s="47"/>
      <c r="AB186" s="47"/>
      <c r="AC186" s="47"/>
      <c r="AD186" s="47"/>
      <c r="AE186" s="47"/>
      <c r="AF186" s="47"/>
      <c r="AG186" s="59"/>
    </row>
    <row r="187" spans="1:33" x14ac:dyDescent="0.3">
      <c r="A187" s="112" t="s">
        <v>81</v>
      </c>
      <c r="B187" s="112" t="s">
        <v>587</v>
      </c>
      <c r="C187" s="333"/>
      <c r="D187" s="721">
        <v>1</v>
      </c>
      <c r="E187" s="799" t="str">
        <f t="shared" si="286"/>
        <v>NOK</v>
      </c>
      <c r="F187" s="799" t="str">
        <f t="shared" si="287"/>
        <v>NOK</v>
      </c>
      <c r="G187" s="47"/>
      <c r="H187" s="368" t="s">
        <v>588</v>
      </c>
      <c r="I187" s="958" t="s">
        <v>287</v>
      </c>
      <c r="J187" s="650" t="s">
        <v>287</v>
      </c>
      <c r="K187" s="109" t="s">
        <v>388</v>
      </c>
      <c r="L187" s="182">
        <f>(COUNTIF(I187:K187,"OK"))*33.333333/100</f>
        <v>0.66666666000000008</v>
      </c>
      <c r="M187" s="711" t="s">
        <v>589</v>
      </c>
      <c r="N187" s="712"/>
      <c r="O187" s="712"/>
      <c r="P187" s="713"/>
      <c r="Q187" s="713"/>
      <c r="R187" s="713"/>
      <c r="S187" s="47"/>
      <c r="T187" s="47"/>
      <c r="U187" s="47"/>
      <c r="V187" s="47"/>
      <c r="W187" s="47"/>
      <c r="X187" s="47"/>
      <c r="Y187" s="47"/>
      <c r="Z187" s="47"/>
      <c r="AA187" s="47"/>
      <c r="AB187" s="47"/>
      <c r="AC187" s="47"/>
      <c r="AD187" s="47"/>
      <c r="AE187" s="47"/>
      <c r="AF187" s="47"/>
      <c r="AG187" s="59"/>
    </row>
    <row r="188" spans="1:33" ht="14.85" customHeight="1" x14ac:dyDescent="0.3">
      <c r="A188" s="753" t="s">
        <v>81</v>
      </c>
      <c r="B188" s="753" t="s">
        <v>590</v>
      </c>
      <c r="C188" s="751"/>
      <c r="D188" s="754">
        <v>1</v>
      </c>
      <c r="E188" s="798" t="str">
        <f t="shared" si="286"/>
        <v>OK</v>
      </c>
      <c r="F188" s="798" t="str">
        <f t="shared" si="287"/>
        <v>OK</v>
      </c>
      <c r="G188" s="47"/>
      <c r="H188" s="367" t="s">
        <v>591</v>
      </c>
      <c r="I188" s="664" t="s">
        <v>287</v>
      </c>
      <c r="J188" s="664" t="s">
        <v>287</v>
      </c>
      <c r="K188" s="106" t="s">
        <v>388</v>
      </c>
      <c r="L188" s="181">
        <f t="shared" ref="L188:L199" si="290">(COUNTIF(I188:K188,"OK"))*33.333333/100</f>
        <v>0.66666666000000008</v>
      </c>
      <c r="M188" s="714" t="s">
        <v>592</v>
      </c>
      <c r="N188" s="715"/>
      <c r="O188" s="715"/>
      <c r="P188" s="716"/>
      <c r="Q188" s="716"/>
      <c r="R188" s="716"/>
      <c r="S188" s="47"/>
      <c r="T188" s="47"/>
      <c r="U188" s="47"/>
      <c r="V188" s="47"/>
      <c r="W188" s="47"/>
      <c r="X188" s="47"/>
      <c r="Y188" s="47"/>
      <c r="Z188" s="47"/>
      <c r="AA188" s="47"/>
      <c r="AB188" s="47"/>
      <c r="AC188" s="47"/>
      <c r="AD188" s="47"/>
      <c r="AE188" s="47"/>
      <c r="AF188" s="47"/>
      <c r="AG188" s="59"/>
    </row>
    <row r="189" spans="1:33" ht="14.85" customHeight="1" x14ac:dyDescent="0.3">
      <c r="A189" s="112" t="s">
        <v>81</v>
      </c>
      <c r="B189" s="112" t="s">
        <v>593</v>
      </c>
      <c r="C189" s="333"/>
      <c r="D189" s="721">
        <v>1</v>
      </c>
      <c r="E189" s="109" t="str">
        <f t="shared" si="286"/>
        <v>OK</v>
      </c>
      <c r="F189" s="109" t="str">
        <f t="shared" si="287"/>
        <v>OK</v>
      </c>
      <c r="G189" s="294">
        <f>8/13</f>
        <v>0.61538461538461542</v>
      </c>
      <c r="H189" s="368" t="s">
        <v>594</v>
      </c>
      <c r="I189" s="650" t="s">
        <v>287</v>
      </c>
      <c r="J189" s="650" t="s">
        <v>287</v>
      </c>
      <c r="K189" s="109" t="s">
        <v>388</v>
      </c>
      <c r="L189" s="182">
        <f t="shared" si="290"/>
        <v>0.66666666000000008</v>
      </c>
      <c r="M189" s="711" t="s">
        <v>595</v>
      </c>
      <c r="N189" s="712"/>
      <c r="O189" s="712"/>
      <c r="P189" s="713"/>
      <c r="Q189" s="713"/>
      <c r="R189" s="713"/>
      <c r="S189" s="47"/>
      <c r="T189" s="47"/>
      <c r="U189" s="47"/>
      <c r="V189" s="47"/>
      <c r="W189" s="47"/>
      <c r="X189" s="47"/>
      <c r="Y189" s="47"/>
      <c r="Z189" s="47"/>
      <c r="AA189" s="47"/>
      <c r="AB189" s="47"/>
      <c r="AC189" s="47"/>
      <c r="AD189" s="47"/>
      <c r="AE189" s="47"/>
      <c r="AF189" s="47"/>
      <c r="AG189" s="59"/>
    </row>
    <row r="190" spans="1:33" x14ac:dyDescent="0.3">
      <c r="A190" s="753" t="s">
        <v>81</v>
      </c>
      <c r="B190" s="753" t="s">
        <v>596</v>
      </c>
      <c r="C190" s="751"/>
      <c r="D190" s="754">
        <v>1</v>
      </c>
      <c r="E190" s="839" t="s">
        <v>287</v>
      </c>
      <c r="F190" s="833" t="str">
        <f t="shared" si="287"/>
        <v>NOK</v>
      </c>
      <c r="G190" s="294">
        <f>11/13</f>
        <v>0.84615384615384615</v>
      </c>
      <c r="H190" s="105" t="s">
        <v>597</v>
      </c>
      <c r="I190" s="106" t="s">
        <v>388</v>
      </c>
      <c r="J190" s="106" t="s">
        <v>388</v>
      </c>
      <c r="K190" s="106" t="s">
        <v>388</v>
      </c>
      <c r="L190" s="181">
        <f t="shared" si="290"/>
        <v>0</v>
      </c>
      <c r="M190" s="714" t="s">
        <v>598</v>
      </c>
      <c r="N190" s="715"/>
      <c r="O190" s="715"/>
      <c r="P190" s="716"/>
      <c r="Q190" s="716"/>
      <c r="R190" s="716"/>
      <c r="S190" s="47"/>
      <c r="T190" s="47"/>
      <c r="U190" s="47"/>
      <c r="V190" s="47"/>
      <c r="W190" s="47"/>
      <c r="X190" s="47"/>
      <c r="Y190" s="47"/>
      <c r="Z190" s="47"/>
      <c r="AA190" s="47"/>
      <c r="AB190" s="47"/>
      <c r="AC190" s="47"/>
      <c r="AD190" s="47"/>
      <c r="AE190" s="47"/>
      <c r="AF190" s="47"/>
      <c r="AG190" s="59"/>
    </row>
    <row r="191" spans="1:33" x14ac:dyDescent="0.3">
      <c r="A191" s="112" t="s">
        <v>86</v>
      </c>
      <c r="B191" s="112" t="s">
        <v>599</v>
      </c>
      <c r="C191" s="333"/>
      <c r="D191" s="721">
        <v>1</v>
      </c>
      <c r="E191" s="109" t="str">
        <f t="shared" si="286"/>
        <v>OK</v>
      </c>
      <c r="F191" s="109" t="str">
        <f t="shared" si="287"/>
        <v>NOK</v>
      </c>
      <c r="G191" s="59">
        <v>13</v>
      </c>
      <c r="H191" s="108" t="s">
        <v>600</v>
      </c>
      <c r="I191" s="109" t="s">
        <v>388</v>
      </c>
      <c r="J191" s="109" t="s">
        <v>388</v>
      </c>
      <c r="K191" s="109" t="s">
        <v>388</v>
      </c>
      <c r="L191" s="182">
        <f t="shared" si="290"/>
        <v>0</v>
      </c>
      <c r="M191" s="711" t="s">
        <v>601</v>
      </c>
      <c r="N191" s="712"/>
      <c r="O191" s="712"/>
      <c r="P191" s="713"/>
      <c r="Q191" s="713"/>
      <c r="R191" s="713"/>
      <c r="S191" s="47"/>
      <c r="T191" s="47"/>
      <c r="U191" s="47"/>
      <c r="V191" s="47"/>
      <c r="W191" s="47"/>
      <c r="X191" s="47"/>
      <c r="Y191" s="47"/>
      <c r="Z191" s="47"/>
      <c r="AA191" s="47"/>
      <c r="AB191" s="47"/>
      <c r="AC191" s="47"/>
      <c r="AD191" s="47"/>
      <c r="AE191" s="47"/>
      <c r="AF191" s="47"/>
      <c r="AG191" s="59"/>
    </row>
    <row r="192" spans="1:33" x14ac:dyDescent="0.3">
      <c r="A192" s="753" t="s">
        <v>78</v>
      </c>
      <c r="B192" s="753" t="s">
        <v>602</v>
      </c>
      <c r="C192" s="751"/>
      <c r="D192" s="754">
        <v>2</v>
      </c>
      <c r="E192" s="798" t="str">
        <f t="shared" si="286"/>
        <v>OK</v>
      </c>
      <c r="F192" s="798" t="str">
        <f t="shared" si="287"/>
        <v>NOK</v>
      </c>
      <c r="G192" s="47"/>
      <c r="H192" s="367" t="s">
        <v>603</v>
      </c>
      <c r="I192" s="664" t="s">
        <v>287</v>
      </c>
      <c r="J192" s="664" t="s">
        <v>287</v>
      </c>
      <c r="K192" s="106" t="s">
        <v>388</v>
      </c>
      <c r="L192" s="181">
        <f t="shared" si="290"/>
        <v>0.66666666000000008</v>
      </c>
      <c r="M192" s="714" t="s">
        <v>604</v>
      </c>
      <c r="N192" s="715"/>
      <c r="O192" s="715"/>
      <c r="P192" s="716"/>
      <c r="Q192" s="716" t="s">
        <v>562</v>
      </c>
      <c r="R192" s="716" t="s">
        <v>562</v>
      </c>
      <c r="S192" s="47"/>
      <c r="T192" s="47"/>
      <c r="U192" s="47"/>
      <c r="V192" s="47"/>
      <c r="W192" s="47"/>
      <c r="X192" s="47"/>
      <c r="Y192" s="47"/>
      <c r="Z192" s="47"/>
      <c r="AA192" s="47"/>
      <c r="AB192" s="47"/>
      <c r="AC192" s="47"/>
      <c r="AD192" s="47"/>
      <c r="AE192" s="47"/>
      <c r="AF192" s="47"/>
      <c r="AG192" s="59"/>
    </row>
    <row r="193" spans="1:44" x14ac:dyDescent="0.3">
      <c r="A193" s="112" t="s">
        <v>81</v>
      </c>
      <c r="B193" s="112" t="s">
        <v>605</v>
      </c>
      <c r="C193" s="333"/>
      <c r="D193" s="721">
        <v>2</v>
      </c>
      <c r="E193" s="109" t="str">
        <f t="shared" si="286"/>
        <v>OK</v>
      </c>
      <c r="F193" s="109" t="str">
        <f t="shared" si="287"/>
        <v>NOK</v>
      </c>
      <c r="G193" s="47"/>
      <c r="H193" s="368" t="s">
        <v>606</v>
      </c>
      <c r="I193" s="650" t="s">
        <v>287</v>
      </c>
      <c r="J193" s="650" t="s">
        <v>287</v>
      </c>
      <c r="K193" s="109" t="s">
        <v>388</v>
      </c>
      <c r="L193" s="182">
        <f t="shared" si="290"/>
        <v>0.66666666000000008</v>
      </c>
      <c r="M193" s="711" t="s">
        <v>607</v>
      </c>
      <c r="N193" s="712"/>
      <c r="O193" s="712"/>
      <c r="P193" s="713"/>
      <c r="Q193" s="713" t="s">
        <v>562</v>
      </c>
      <c r="R193" s="713" t="s">
        <v>562</v>
      </c>
      <c r="S193" s="47"/>
      <c r="T193" s="47"/>
      <c r="U193" s="47"/>
      <c r="V193" s="47"/>
      <c r="W193" s="47"/>
      <c r="X193" s="47"/>
      <c r="Y193" s="47"/>
      <c r="Z193" s="47"/>
      <c r="AA193" s="47"/>
      <c r="AB193" s="47"/>
      <c r="AC193" s="47"/>
      <c r="AD193" s="47"/>
      <c r="AE193" s="47"/>
      <c r="AF193" s="47"/>
      <c r="AG193" s="59"/>
    </row>
    <row r="194" spans="1:44" x14ac:dyDescent="0.3">
      <c r="A194" s="753" t="s">
        <v>81</v>
      </c>
      <c r="B194" s="753" t="s">
        <v>608</v>
      </c>
      <c r="C194" s="751"/>
      <c r="D194" s="754">
        <v>2</v>
      </c>
      <c r="E194" s="798" t="str">
        <f t="shared" si="286"/>
        <v>NOK</v>
      </c>
      <c r="F194" s="798" t="str">
        <f t="shared" si="287"/>
        <v>NOK</v>
      </c>
      <c r="G194" s="47"/>
      <c r="H194" s="105" t="s">
        <v>609</v>
      </c>
      <c r="I194" s="106" t="s">
        <v>388</v>
      </c>
      <c r="J194" s="106" t="s">
        <v>388</v>
      </c>
      <c r="K194" s="106" t="s">
        <v>388</v>
      </c>
      <c r="L194" s="181">
        <f t="shared" si="290"/>
        <v>0</v>
      </c>
      <c r="M194" s="714" t="s">
        <v>610</v>
      </c>
      <c r="N194" s="715"/>
      <c r="O194" s="715"/>
      <c r="P194" s="716"/>
      <c r="Q194" s="716"/>
      <c r="R194" s="716"/>
      <c r="S194" s="47"/>
      <c r="T194" s="47"/>
      <c r="U194" s="47"/>
      <c r="V194" s="47"/>
      <c r="W194" s="47"/>
      <c r="X194" s="47"/>
      <c r="Y194" s="47"/>
      <c r="Z194" s="47"/>
      <c r="AA194" s="47"/>
      <c r="AB194" s="47"/>
      <c r="AC194" s="47"/>
      <c r="AD194" s="47"/>
      <c r="AE194" s="47"/>
      <c r="AF194" s="47"/>
      <c r="AG194" s="59"/>
    </row>
    <row r="195" spans="1:44" x14ac:dyDescent="0.3">
      <c r="A195" s="112" t="s">
        <v>84</v>
      </c>
      <c r="B195" s="112" t="s">
        <v>611</v>
      </c>
      <c r="C195" s="333"/>
      <c r="D195" s="721">
        <v>2</v>
      </c>
      <c r="E195" s="109" t="str">
        <f t="shared" si="286"/>
        <v>OK</v>
      </c>
      <c r="F195" s="109" t="str">
        <f t="shared" si="287"/>
        <v>NOK</v>
      </c>
      <c r="G195" s="47"/>
      <c r="H195" s="108" t="s">
        <v>612</v>
      </c>
      <c r="I195" s="109" t="s">
        <v>388</v>
      </c>
      <c r="J195" s="109" t="s">
        <v>388</v>
      </c>
      <c r="K195" s="109" t="s">
        <v>388</v>
      </c>
      <c r="L195" s="182">
        <f t="shared" si="290"/>
        <v>0</v>
      </c>
      <c r="M195" s="711" t="s">
        <v>613</v>
      </c>
      <c r="N195" s="712"/>
      <c r="O195" s="712"/>
      <c r="P195" s="713"/>
      <c r="Q195" s="713"/>
      <c r="R195" s="713"/>
      <c r="S195" s="47"/>
      <c r="T195" s="47"/>
      <c r="U195" s="47"/>
      <c r="V195" s="47"/>
      <c r="W195" s="47"/>
      <c r="X195" s="47"/>
      <c r="Y195" s="47"/>
      <c r="Z195" s="47"/>
      <c r="AA195" s="47"/>
      <c r="AB195" s="47"/>
      <c r="AC195" s="47"/>
      <c r="AD195" s="47"/>
      <c r="AE195" s="47"/>
      <c r="AF195" s="47"/>
      <c r="AG195" s="59"/>
    </row>
    <row r="196" spans="1:44" x14ac:dyDescent="0.3">
      <c r="A196" s="753" t="s">
        <v>84</v>
      </c>
      <c r="B196" s="753" t="s">
        <v>614</v>
      </c>
      <c r="C196" s="751"/>
      <c r="D196" s="754">
        <v>2</v>
      </c>
      <c r="E196" s="798" t="str">
        <f t="shared" si="286"/>
        <v>NOK</v>
      </c>
      <c r="F196" s="798" t="str">
        <f t="shared" si="287"/>
        <v>NOK</v>
      </c>
      <c r="G196" s="47"/>
      <c r="H196" s="105" t="s">
        <v>615</v>
      </c>
      <c r="I196" s="106" t="s">
        <v>388</v>
      </c>
      <c r="J196" s="106" t="s">
        <v>388</v>
      </c>
      <c r="K196" s="106" t="s">
        <v>388</v>
      </c>
      <c r="L196" s="181">
        <f t="shared" si="290"/>
        <v>0</v>
      </c>
      <c r="M196" s="714" t="s">
        <v>616</v>
      </c>
      <c r="N196" s="715"/>
      <c r="O196" s="715"/>
      <c r="P196" s="716"/>
      <c r="Q196" s="716"/>
      <c r="R196" s="716"/>
      <c r="S196" s="47"/>
      <c r="T196" s="47"/>
      <c r="U196" s="47"/>
      <c r="V196" s="47"/>
      <c r="W196" s="47"/>
      <c r="X196" s="47"/>
      <c r="Y196" s="47"/>
      <c r="Z196" s="47"/>
      <c r="AA196" s="47"/>
      <c r="AB196" s="47"/>
      <c r="AC196" s="47"/>
      <c r="AD196" s="47"/>
      <c r="AE196" s="47"/>
      <c r="AF196" s="47"/>
      <c r="AG196" s="59"/>
    </row>
    <row r="197" spans="1:44" x14ac:dyDescent="0.3">
      <c r="A197" s="112" t="s">
        <v>84</v>
      </c>
      <c r="B197" s="112" t="s">
        <v>617</v>
      </c>
      <c r="C197" s="333"/>
      <c r="D197" s="721">
        <v>2</v>
      </c>
      <c r="E197" s="109" t="str">
        <f t="shared" si="286"/>
        <v>OK</v>
      </c>
      <c r="F197" s="109" t="str">
        <f t="shared" si="287"/>
        <v>OK</v>
      </c>
      <c r="G197" s="47"/>
      <c r="H197" s="108" t="s">
        <v>618</v>
      </c>
      <c r="I197" s="109" t="s">
        <v>388</v>
      </c>
      <c r="J197" s="109" t="s">
        <v>388</v>
      </c>
      <c r="K197" s="109" t="s">
        <v>388</v>
      </c>
      <c r="L197" s="182">
        <f t="shared" si="290"/>
        <v>0</v>
      </c>
      <c r="M197" s="711" t="s">
        <v>619</v>
      </c>
      <c r="N197" s="712"/>
      <c r="O197" s="712"/>
      <c r="P197" s="713"/>
      <c r="Q197" s="713"/>
      <c r="R197" s="713" t="s">
        <v>620</v>
      </c>
      <c r="S197" s="47"/>
      <c r="T197" s="47"/>
      <c r="U197" s="47"/>
      <c r="V197" s="47"/>
      <c r="W197" s="47"/>
      <c r="X197" s="47"/>
      <c r="Y197" s="47"/>
      <c r="Z197" s="47"/>
      <c r="AA197" s="47"/>
      <c r="AB197" s="47"/>
      <c r="AC197" s="47"/>
      <c r="AD197" s="47"/>
      <c r="AE197" s="47"/>
      <c r="AF197" s="47"/>
      <c r="AG197" s="59"/>
    </row>
    <row r="198" spans="1:44" x14ac:dyDescent="0.3">
      <c r="A198" s="753" t="s">
        <v>84</v>
      </c>
      <c r="B198" s="753" t="s">
        <v>621</v>
      </c>
      <c r="C198" s="751"/>
      <c r="D198" s="754">
        <v>2</v>
      </c>
      <c r="E198" s="798" t="str">
        <f t="shared" si="286"/>
        <v>NOK</v>
      </c>
      <c r="F198" s="798" t="str">
        <f t="shared" si="287"/>
        <v>NOK</v>
      </c>
      <c r="G198" s="47"/>
      <c r="H198" s="105" t="s">
        <v>622</v>
      </c>
      <c r="I198" s="106" t="s">
        <v>388</v>
      </c>
      <c r="J198" s="106" t="s">
        <v>388</v>
      </c>
      <c r="K198" s="106" t="s">
        <v>388</v>
      </c>
      <c r="L198" s="181">
        <f t="shared" si="290"/>
        <v>0</v>
      </c>
      <c r="M198" s="714" t="s">
        <v>623</v>
      </c>
      <c r="N198" s="715"/>
      <c r="O198" s="715"/>
      <c r="P198" s="716"/>
      <c r="Q198" s="716"/>
      <c r="R198" s="716"/>
      <c r="S198" s="47"/>
      <c r="T198" s="47"/>
      <c r="U198" s="47"/>
      <c r="V198" s="47"/>
      <c r="W198" s="47"/>
      <c r="X198" s="47"/>
      <c r="Y198" s="47"/>
      <c r="Z198" s="47"/>
      <c r="AA198" s="47"/>
      <c r="AB198" s="47"/>
      <c r="AC198" s="47"/>
      <c r="AD198" s="47"/>
      <c r="AE198" s="47"/>
      <c r="AF198" s="47"/>
      <c r="AG198" s="59"/>
    </row>
    <row r="199" spans="1:44" x14ac:dyDescent="0.3">
      <c r="A199" s="112" t="s">
        <v>84</v>
      </c>
      <c r="B199" s="112" t="s">
        <v>624</v>
      </c>
      <c r="C199" s="333"/>
      <c r="D199" s="721">
        <v>2</v>
      </c>
      <c r="E199" s="109" t="str">
        <f t="shared" si="286"/>
        <v>NOK</v>
      </c>
      <c r="F199" s="109" t="str">
        <f t="shared" si="287"/>
        <v>NOK</v>
      </c>
      <c r="G199" s="47"/>
      <c r="H199" s="108" t="s">
        <v>625</v>
      </c>
      <c r="I199" s="109" t="s">
        <v>388</v>
      </c>
      <c r="J199" s="109" t="s">
        <v>388</v>
      </c>
      <c r="K199" s="109" t="s">
        <v>388</v>
      </c>
      <c r="L199" s="182">
        <f t="shared" si="290"/>
        <v>0</v>
      </c>
      <c r="M199" s="711" t="s">
        <v>626</v>
      </c>
      <c r="N199" s="712"/>
      <c r="O199" s="712"/>
      <c r="P199" s="713"/>
      <c r="Q199" s="713"/>
      <c r="R199" s="713" t="s">
        <v>620</v>
      </c>
      <c r="S199" s="47"/>
      <c r="T199" s="47"/>
      <c r="U199" s="47"/>
      <c r="V199" s="47"/>
      <c r="W199" s="47"/>
      <c r="X199" s="47"/>
      <c r="Y199" s="47"/>
      <c r="Z199" s="47"/>
      <c r="AA199" s="47"/>
      <c r="AB199" s="47"/>
      <c r="AC199" s="47"/>
      <c r="AD199" s="47"/>
      <c r="AE199" s="47"/>
      <c r="AF199" s="47"/>
      <c r="AG199" s="59"/>
    </row>
    <row r="200" spans="1:44" x14ac:dyDescent="0.3">
      <c r="A200" s="753" t="s">
        <v>84</v>
      </c>
      <c r="B200" s="753" t="s">
        <v>627</v>
      </c>
      <c r="C200" s="751"/>
      <c r="D200" s="754">
        <v>2</v>
      </c>
      <c r="E200" s="798" t="str">
        <f t="shared" si="286"/>
        <v>NOK</v>
      </c>
      <c r="F200" s="798" t="str">
        <f t="shared" si="287"/>
        <v>NOK</v>
      </c>
      <c r="G200" s="47"/>
      <c r="H200" s="368" t="s">
        <v>628</v>
      </c>
      <c r="I200" s="958" t="s">
        <v>287</v>
      </c>
      <c r="J200" s="958" t="s">
        <v>287</v>
      </c>
      <c r="K200" s="109" t="s">
        <v>388</v>
      </c>
      <c r="L200" s="182">
        <f t="shared" ref="L200:L206" si="291">(COUNTIF(I200:K200,"OK"))*33.333333/100</f>
        <v>0.66666666000000008</v>
      </c>
      <c r="M200" s="711" t="s">
        <v>629</v>
      </c>
      <c r="N200" s="712"/>
      <c r="O200" s="712"/>
      <c r="P200" s="713"/>
      <c r="Q200" s="716"/>
      <c r="R200" s="716"/>
      <c r="S200" s="47"/>
      <c r="T200" s="47"/>
      <c r="U200" s="47"/>
      <c r="V200" s="47"/>
      <c r="W200" s="47"/>
      <c r="X200" s="47"/>
      <c r="Y200" s="47"/>
      <c r="Z200" s="47"/>
      <c r="AA200" s="47"/>
      <c r="AB200" s="47"/>
      <c r="AC200" s="47"/>
      <c r="AD200" s="47"/>
      <c r="AE200" s="47"/>
      <c r="AF200" s="47"/>
      <c r="AG200" s="59"/>
    </row>
    <row r="201" spans="1:44" x14ac:dyDescent="0.3">
      <c r="A201" s="112" t="s">
        <v>84</v>
      </c>
      <c r="B201" s="112" t="s">
        <v>630</v>
      </c>
      <c r="C201" s="333"/>
      <c r="D201" s="721">
        <v>2</v>
      </c>
      <c r="E201" s="109" t="str">
        <f t="shared" si="286"/>
        <v>OK</v>
      </c>
      <c r="F201" s="109" t="str">
        <f t="shared" si="287"/>
        <v>NOK</v>
      </c>
      <c r="G201" s="47"/>
      <c r="H201" s="926" t="s">
        <v>631</v>
      </c>
      <c r="I201" s="927" t="s">
        <v>388</v>
      </c>
      <c r="J201" s="927" t="s">
        <v>388</v>
      </c>
      <c r="K201" s="927" t="s">
        <v>388</v>
      </c>
      <c r="L201" s="928">
        <f t="shared" si="291"/>
        <v>0</v>
      </c>
      <c r="M201" s="933" t="s">
        <v>632</v>
      </c>
      <c r="N201" s="930"/>
      <c r="O201" s="930"/>
      <c r="P201" s="931"/>
      <c r="Q201" s="931" t="s">
        <v>633</v>
      </c>
      <c r="R201" s="931"/>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59"/>
    </row>
    <row r="202" spans="1:44" ht="14.85" customHeight="1" x14ac:dyDescent="0.3">
      <c r="A202" s="753" t="s">
        <v>84</v>
      </c>
      <c r="B202" s="753" t="s">
        <v>634</v>
      </c>
      <c r="C202" s="751"/>
      <c r="D202" s="754">
        <v>2</v>
      </c>
      <c r="E202" s="798" t="str">
        <f t="shared" si="286"/>
        <v>NOK</v>
      </c>
      <c r="F202" s="798" t="str">
        <f t="shared" si="287"/>
        <v>NOK</v>
      </c>
      <c r="G202" s="47"/>
      <c r="H202" s="938" t="s">
        <v>635</v>
      </c>
      <c r="I202" s="934" t="s">
        <v>388</v>
      </c>
      <c r="J202" s="934" t="s">
        <v>388</v>
      </c>
      <c r="K202" s="934" t="s">
        <v>388</v>
      </c>
      <c r="L202" s="935">
        <f t="shared" si="291"/>
        <v>0</v>
      </c>
      <c r="M202" s="936" t="s">
        <v>632</v>
      </c>
      <c r="N202" s="937"/>
      <c r="O202" s="937"/>
      <c r="P202" s="932"/>
      <c r="Q202" s="932" t="s">
        <v>633</v>
      </c>
      <c r="R202" s="932"/>
      <c r="S202" s="47"/>
      <c r="T202" s="47"/>
      <c r="U202" s="47"/>
      <c r="V202" s="47"/>
      <c r="W202" s="47"/>
      <c r="X202" s="47"/>
      <c r="Y202" s="47"/>
      <c r="Z202" s="47"/>
      <c r="AA202" s="47"/>
      <c r="AB202" s="47"/>
      <c r="AC202" s="47"/>
      <c r="AD202" s="47"/>
      <c r="AE202" s="47"/>
      <c r="AF202" s="47"/>
      <c r="AG202" s="59"/>
    </row>
    <row r="203" spans="1:44" ht="14.85" customHeight="1" x14ac:dyDescent="0.3">
      <c r="A203" s="112" t="s">
        <v>84</v>
      </c>
      <c r="B203" s="112" t="s">
        <v>636</v>
      </c>
      <c r="C203" s="333"/>
      <c r="D203" s="721">
        <v>2</v>
      </c>
      <c r="E203" s="109" t="str">
        <f t="shared" si="286"/>
        <v>OK</v>
      </c>
      <c r="F203" s="109" t="str">
        <f t="shared" si="287"/>
        <v>OK</v>
      </c>
      <c r="G203" s="322">
        <f>3/14</f>
        <v>0.21428571428571427</v>
      </c>
      <c r="H203" s="926" t="s">
        <v>637</v>
      </c>
      <c r="I203" s="927" t="s">
        <v>388</v>
      </c>
      <c r="J203" s="927" t="s">
        <v>388</v>
      </c>
      <c r="K203" s="927" t="s">
        <v>388</v>
      </c>
      <c r="L203" s="928">
        <f t="shared" si="291"/>
        <v>0</v>
      </c>
      <c r="M203" s="933" t="s">
        <v>638</v>
      </c>
      <c r="N203" s="930"/>
      <c r="O203" s="930"/>
      <c r="P203" s="931"/>
      <c r="Q203" s="931" t="s">
        <v>633</v>
      </c>
      <c r="R203" s="931"/>
      <c r="S203" s="47"/>
      <c r="T203" s="47"/>
      <c r="U203" s="47"/>
      <c r="V203" s="47"/>
      <c r="W203" s="47"/>
      <c r="X203" s="47"/>
      <c r="Y203" s="47"/>
      <c r="Z203" s="47"/>
      <c r="AA203" s="47"/>
      <c r="AB203" s="47"/>
      <c r="AC203" s="47"/>
      <c r="AD203" s="47"/>
      <c r="AE203" s="47"/>
      <c r="AF203" s="59"/>
    </row>
    <row r="204" spans="1:44" x14ac:dyDescent="0.3">
      <c r="A204" s="753" t="s">
        <v>84</v>
      </c>
      <c r="B204" s="753" t="s">
        <v>639</v>
      </c>
      <c r="C204" s="751"/>
      <c r="D204" s="754">
        <v>2</v>
      </c>
      <c r="E204" s="798" t="str">
        <f t="shared" si="286"/>
        <v>OK</v>
      </c>
      <c r="F204" s="798" t="str">
        <f t="shared" si="287"/>
        <v>OK</v>
      </c>
      <c r="G204" s="322">
        <f>7/14</f>
        <v>0.5</v>
      </c>
      <c r="H204" s="938" t="s">
        <v>640</v>
      </c>
      <c r="I204" s="934" t="s">
        <v>388</v>
      </c>
      <c r="J204" s="934" t="s">
        <v>388</v>
      </c>
      <c r="K204" s="934" t="s">
        <v>388</v>
      </c>
      <c r="L204" s="935">
        <f t="shared" si="291"/>
        <v>0</v>
      </c>
      <c r="M204" s="936" t="s">
        <v>641</v>
      </c>
      <c r="N204" s="937"/>
      <c r="O204" s="937"/>
      <c r="P204" s="932"/>
      <c r="Q204" s="932" t="s">
        <v>633</v>
      </c>
      <c r="R204" s="932"/>
      <c r="S204" s="47"/>
      <c r="T204" s="47"/>
      <c r="U204" s="47"/>
      <c r="V204" s="47"/>
      <c r="W204" s="47"/>
      <c r="X204" s="47"/>
      <c r="Y204" s="47"/>
      <c r="Z204" s="47"/>
      <c r="AA204" s="47"/>
      <c r="AB204" s="47"/>
      <c r="AC204" s="47"/>
      <c r="AD204" s="47"/>
      <c r="AE204" s="47"/>
      <c r="AF204" s="59"/>
    </row>
    <row r="205" spans="1:44" x14ac:dyDescent="0.3">
      <c r="A205" s="112" t="s">
        <v>84</v>
      </c>
      <c r="B205" s="112" t="s">
        <v>642</v>
      </c>
      <c r="C205" s="333"/>
      <c r="D205" s="721">
        <v>2</v>
      </c>
      <c r="E205" s="109" t="str">
        <f t="shared" si="286"/>
        <v>NOK</v>
      </c>
      <c r="F205" s="109" t="str">
        <f t="shared" si="287"/>
        <v>NOK</v>
      </c>
      <c r="G205" s="59">
        <v>14</v>
      </c>
      <c r="H205" s="926" t="s">
        <v>643</v>
      </c>
      <c r="I205" s="927" t="s">
        <v>388</v>
      </c>
      <c r="J205" s="927" t="s">
        <v>388</v>
      </c>
      <c r="K205" s="927" t="s">
        <v>388</v>
      </c>
      <c r="L205" s="928">
        <f t="shared" si="291"/>
        <v>0</v>
      </c>
      <c r="M205" s="933" t="s">
        <v>644</v>
      </c>
      <c r="N205" s="930"/>
      <c r="O205" s="930"/>
      <c r="P205" s="931"/>
      <c r="Q205" s="931" t="s">
        <v>633</v>
      </c>
      <c r="R205" s="931"/>
      <c r="S205" s="47"/>
      <c r="T205" s="47"/>
      <c r="U205" s="47"/>
      <c r="V205" s="47"/>
      <c r="W205" s="47"/>
      <c r="X205" s="47"/>
      <c r="Y205" s="47"/>
      <c r="Z205" s="47"/>
      <c r="AA205" s="47"/>
      <c r="AB205" s="47"/>
      <c r="AC205" s="47"/>
      <c r="AD205" s="47"/>
      <c r="AE205" s="47"/>
      <c r="AF205" s="59"/>
    </row>
    <row r="206" spans="1:44" ht="14.85" customHeight="1" x14ac:dyDescent="0.3">
      <c r="A206" s="753" t="s">
        <v>78</v>
      </c>
      <c r="B206" s="753" t="s">
        <v>645</v>
      </c>
      <c r="C206" s="751"/>
      <c r="D206" s="754">
        <v>3</v>
      </c>
      <c r="E206" s="798" t="str">
        <f t="shared" si="286"/>
        <v>NOK</v>
      </c>
      <c r="F206" s="798" t="str">
        <f t="shared" si="287"/>
        <v>NOK</v>
      </c>
      <c r="G206" s="320">
        <v>1</v>
      </c>
      <c r="H206" s="938" t="s">
        <v>646</v>
      </c>
      <c r="I206" s="934" t="s">
        <v>388</v>
      </c>
      <c r="J206" s="934" t="s">
        <v>388</v>
      </c>
      <c r="K206" s="934" t="s">
        <v>388</v>
      </c>
      <c r="L206" s="935">
        <f t="shared" si="291"/>
        <v>0</v>
      </c>
      <c r="M206" s="936" t="s">
        <v>647</v>
      </c>
      <c r="N206" s="937"/>
      <c r="O206" s="937"/>
      <c r="P206" s="932"/>
      <c r="Q206" s="932" t="s">
        <v>633</v>
      </c>
      <c r="R206" s="932"/>
      <c r="S206" s="47"/>
      <c r="T206" s="47"/>
      <c r="U206" s="47"/>
      <c r="V206" s="47"/>
      <c r="W206" s="47"/>
      <c r="X206" s="47"/>
      <c r="Y206" s="47"/>
      <c r="Z206" s="47"/>
      <c r="AA206" s="47"/>
      <c r="AB206" s="47"/>
      <c r="AC206" s="47"/>
      <c r="AD206" s="47"/>
      <c r="AE206" s="47"/>
      <c r="AF206" s="59"/>
    </row>
    <row r="207" spans="1:44" ht="21" x14ac:dyDescent="0.3">
      <c r="A207" s="100"/>
      <c r="B207" s="100"/>
      <c r="C207" s="100"/>
      <c r="D207" s="113"/>
      <c r="E207" s="113">
        <f>(COUNTIF(E179:E206,"OK")+COUNTIF(E179:E206,"N/A"))/28</f>
        <v>0.6428571428571429</v>
      </c>
      <c r="F207" s="113">
        <f>(COUNTIF(F179:F206,"OK"))/28</f>
        <v>0.39285714285714285</v>
      </c>
      <c r="G207" s="47"/>
      <c r="H207" s="926" t="s">
        <v>648</v>
      </c>
      <c r="I207" s="927" t="s">
        <v>388</v>
      </c>
      <c r="J207" s="927" t="s">
        <v>388</v>
      </c>
      <c r="K207" s="927" t="s">
        <v>388</v>
      </c>
      <c r="L207" s="935">
        <f t="shared" ref="L207:L212" si="292">(COUNTIF(I207:K207,"OK"))*33.333333/100</f>
        <v>0</v>
      </c>
      <c r="M207" s="933" t="s">
        <v>649</v>
      </c>
      <c r="N207" s="930"/>
      <c r="O207" s="930"/>
      <c r="P207" s="931"/>
      <c r="Q207" s="931" t="s">
        <v>650</v>
      </c>
      <c r="R207" s="931"/>
      <c r="S207" s="47"/>
      <c r="T207" s="47"/>
      <c r="U207" s="47"/>
      <c r="V207" s="47"/>
      <c r="W207" s="47"/>
      <c r="X207" s="47"/>
      <c r="Y207" s="47"/>
      <c r="Z207" s="47"/>
      <c r="AA207" s="47"/>
      <c r="AB207" s="47"/>
      <c r="AC207" s="47"/>
      <c r="AD207" s="47"/>
      <c r="AE207" s="47"/>
      <c r="AF207" s="59"/>
    </row>
    <row r="208" spans="1:44" x14ac:dyDescent="0.3">
      <c r="A208" s="47"/>
      <c r="B208" s="47"/>
      <c r="C208" s="47"/>
      <c r="D208" s="47"/>
      <c r="E208" s="47"/>
      <c r="F208" s="47"/>
      <c r="G208" s="47"/>
      <c r="H208" s="938" t="s">
        <v>651</v>
      </c>
      <c r="I208" s="934" t="s">
        <v>388</v>
      </c>
      <c r="J208" s="934" t="s">
        <v>388</v>
      </c>
      <c r="K208" s="934" t="s">
        <v>388</v>
      </c>
      <c r="L208" s="935">
        <f t="shared" si="292"/>
        <v>0</v>
      </c>
      <c r="M208" s="936" t="s">
        <v>652</v>
      </c>
      <c r="N208" s="937"/>
      <c r="O208" s="937"/>
      <c r="P208" s="932"/>
      <c r="Q208" s="932" t="s">
        <v>650</v>
      </c>
      <c r="R208" s="932"/>
      <c r="S208" s="47"/>
      <c r="T208" s="47"/>
      <c r="U208" s="47"/>
      <c r="V208" s="47"/>
      <c r="W208" s="47"/>
      <c r="X208" s="47"/>
      <c r="Y208" s="47"/>
      <c r="Z208" s="47"/>
      <c r="AA208" s="47"/>
      <c r="AB208" s="47"/>
      <c r="AC208" s="47"/>
      <c r="AD208" s="47"/>
      <c r="AE208" s="47"/>
      <c r="AF208" s="47"/>
    </row>
    <row r="209" spans="1:32" x14ac:dyDescent="0.3">
      <c r="A209" s="47"/>
      <c r="B209" s="47"/>
      <c r="C209" s="47"/>
      <c r="D209" s="47"/>
      <c r="E209" s="47"/>
      <c r="F209" s="47"/>
      <c r="G209" s="47"/>
      <c r="H209" s="926" t="s">
        <v>653</v>
      </c>
      <c r="I209" s="927" t="s">
        <v>388</v>
      </c>
      <c r="J209" s="927" t="s">
        <v>388</v>
      </c>
      <c r="K209" s="927" t="s">
        <v>388</v>
      </c>
      <c r="L209" s="935">
        <f t="shared" si="292"/>
        <v>0</v>
      </c>
      <c r="M209" s="933" t="s">
        <v>654</v>
      </c>
      <c r="N209" s="930"/>
      <c r="O209" s="930"/>
      <c r="P209" s="931"/>
      <c r="Q209" s="931" t="s">
        <v>650</v>
      </c>
      <c r="R209" s="931"/>
      <c r="S209" s="47"/>
      <c r="T209" s="47"/>
      <c r="U209" s="47"/>
      <c r="V209" s="47"/>
      <c r="W209" s="47"/>
      <c r="X209" s="47"/>
      <c r="Y209" s="47"/>
      <c r="Z209" s="47"/>
      <c r="AA209" s="47"/>
      <c r="AB209" s="47"/>
      <c r="AC209" s="47"/>
      <c r="AD209" s="47"/>
      <c r="AE209" s="47"/>
      <c r="AF209" s="47"/>
    </row>
    <row r="210" spans="1:32" x14ac:dyDescent="0.3">
      <c r="A210" s="47"/>
      <c r="B210" s="47"/>
      <c r="C210" s="47"/>
      <c r="D210" s="47"/>
      <c r="E210" s="47"/>
      <c r="F210" s="47"/>
      <c r="G210" s="47"/>
      <c r="H210" s="938" t="s">
        <v>655</v>
      </c>
      <c r="I210" s="934" t="s">
        <v>388</v>
      </c>
      <c r="J210" s="934" t="s">
        <v>388</v>
      </c>
      <c r="K210" s="934" t="s">
        <v>388</v>
      </c>
      <c r="L210" s="935">
        <f t="shared" si="292"/>
        <v>0</v>
      </c>
      <c r="M210" s="936" t="s">
        <v>656</v>
      </c>
      <c r="N210" s="937"/>
      <c r="O210" s="937"/>
      <c r="P210" s="932"/>
      <c r="Q210" s="932" t="s">
        <v>650</v>
      </c>
      <c r="R210" s="932"/>
      <c r="S210" s="47"/>
      <c r="T210" s="47"/>
      <c r="U210" s="47"/>
      <c r="V210" s="47"/>
      <c r="W210" s="47"/>
      <c r="X210" s="47"/>
      <c r="Y210" s="47"/>
      <c r="Z210" s="47"/>
      <c r="AA210" s="47"/>
      <c r="AB210" s="47"/>
      <c r="AC210" s="47"/>
      <c r="AD210" s="47"/>
      <c r="AE210" s="47"/>
      <c r="AF210" s="47"/>
    </row>
    <row r="211" spans="1:32" x14ac:dyDescent="0.3">
      <c r="A211" s="47"/>
      <c r="B211" s="47"/>
      <c r="C211" s="47"/>
      <c r="D211" s="47"/>
      <c r="E211" s="47"/>
      <c r="F211" s="47"/>
      <c r="G211" s="47"/>
      <c r="H211" s="926" t="s">
        <v>657</v>
      </c>
      <c r="I211" s="927" t="s">
        <v>388</v>
      </c>
      <c r="J211" s="927" t="s">
        <v>388</v>
      </c>
      <c r="K211" s="927" t="s">
        <v>388</v>
      </c>
      <c r="L211" s="935">
        <f t="shared" si="292"/>
        <v>0</v>
      </c>
      <c r="M211" s="933" t="s">
        <v>658</v>
      </c>
      <c r="N211" s="930"/>
      <c r="O211" s="930"/>
      <c r="P211" s="931"/>
      <c r="Q211" s="931" t="s">
        <v>650</v>
      </c>
      <c r="R211" s="931"/>
      <c r="S211" s="47"/>
      <c r="T211" s="47"/>
      <c r="U211" s="47"/>
      <c r="V211" s="47"/>
      <c r="W211" s="47"/>
      <c r="X211" s="47"/>
      <c r="Y211" s="47"/>
      <c r="Z211" s="47"/>
      <c r="AA211" s="47"/>
      <c r="AB211" s="47"/>
      <c r="AC211" s="47"/>
      <c r="AD211" s="47"/>
      <c r="AE211" s="47"/>
      <c r="AF211" s="47"/>
    </row>
    <row r="212" spans="1:32" x14ac:dyDescent="0.3">
      <c r="A212" s="47"/>
      <c r="B212" s="47"/>
      <c r="C212" s="47"/>
      <c r="D212" s="47"/>
      <c r="E212" s="47"/>
      <c r="F212" s="47"/>
      <c r="G212" s="47"/>
      <c r="H212" s="938" t="s">
        <v>659</v>
      </c>
      <c r="I212" s="934" t="s">
        <v>388</v>
      </c>
      <c r="J212" s="934" t="s">
        <v>388</v>
      </c>
      <c r="K212" s="934" t="s">
        <v>388</v>
      </c>
      <c r="L212" s="935">
        <f t="shared" si="292"/>
        <v>0</v>
      </c>
      <c r="M212" s="936" t="s">
        <v>660</v>
      </c>
      <c r="N212" s="937"/>
      <c r="O212" s="937"/>
      <c r="P212" s="932"/>
      <c r="Q212" s="932" t="s">
        <v>650</v>
      </c>
      <c r="R212" s="932"/>
      <c r="S212" s="47"/>
      <c r="T212" s="47"/>
      <c r="U212" s="47"/>
      <c r="V212" s="47"/>
      <c r="W212" s="47"/>
      <c r="X212" s="47"/>
      <c r="Y212" s="47"/>
      <c r="Z212" s="47"/>
      <c r="AA212" s="47"/>
      <c r="AB212" s="47"/>
      <c r="AC212" s="47"/>
      <c r="AD212" s="47"/>
      <c r="AE212" s="47"/>
      <c r="AF212" s="47"/>
    </row>
    <row r="213" spans="1:32" x14ac:dyDescent="0.3">
      <c r="A213" s="47"/>
      <c r="B213" s="47"/>
      <c r="C213" s="47"/>
      <c r="D213" s="47"/>
      <c r="E213" s="47"/>
      <c r="F213" s="47"/>
      <c r="G213" s="47"/>
      <c r="H213" s="105"/>
      <c r="I213" s="106"/>
      <c r="J213" s="106"/>
      <c r="K213" s="106"/>
      <c r="L213" s="181"/>
      <c r="M213" s="714"/>
      <c r="N213" s="715"/>
      <c r="O213" s="715"/>
      <c r="P213" s="716"/>
      <c r="Q213" s="716"/>
      <c r="R213" s="716"/>
      <c r="S213" s="47"/>
      <c r="T213" s="47"/>
      <c r="U213" s="47"/>
      <c r="V213" s="47"/>
      <c r="W213" s="47"/>
      <c r="X213" s="47"/>
      <c r="Y213" s="47"/>
      <c r="Z213" s="47"/>
      <c r="AA213" s="47"/>
      <c r="AB213" s="47"/>
      <c r="AC213" s="47"/>
      <c r="AD213" s="47"/>
      <c r="AE213" s="47"/>
      <c r="AF213" s="47"/>
    </row>
    <row r="214" spans="1:32" ht="15.6" x14ac:dyDescent="0.3">
      <c r="A214" s="47"/>
      <c r="B214" s="47"/>
      <c r="C214" s="47"/>
      <c r="D214" s="47"/>
      <c r="E214" s="47"/>
      <c r="F214" s="47"/>
      <c r="G214" s="47"/>
      <c r="H214" s="155"/>
      <c r="I214" s="472">
        <f>COUNTIF(I180:I213,"OK")/(COUNTIF(I180:I213,"OK")+COUNTIF(I180:I213,"Não OK"))</f>
        <v>0.24242424242424243</v>
      </c>
      <c r="J214" s="472">
        <f>COUNTIF(J180:J213,"OK")/(COUNTIF(J180:J213,"OK")+COUNTIF(J180:J213,"Não OK"))</f>
        <v>0.24242424242424243</v>
      </c>
      <c r="K214" s="472">
        <f>COUNTIF(K180:K213,"OK")/(COUNTIF(K180:K213,"OK")+COUNTIF(K180:K213,"Não OK"))</f>
        <v>0</v>
      </c>
      <c r="L214" s="104">
        <f>AVERAGE(L180:L213)</f>
        <v>0.16161616000000001</v>
      </c>
      <c r="M214" s="102"/>
      <c r="N214" s="102"/>
      <c r="O214" s="180"/>
      <c r="P214" s="180"/>
      <c r="Q214" s="180"/>
      <c r="R214" s="180"/>
      <c r="S214" s="47"/>
      <c r="T214" s="47"/>
      <c r="U214" s="47"/>
      <c r="V214" s="47"/>
      <c r="W214" s="47"/>
      <c r="X214" s="47"/>
      <c r="Y214" s="47"/>
      <c r="Z214" s="47"/>
      <c r="AA214" s="47"/>
      <c r="AB214" s="47"/>
      <c r="AC214" s="47"/>
      <c r="AD214" s="47"/>
      <c r="AE214" s="47"/>
      <c r="AF214" s="47"/>
    </row>
    <row r="215" spans="1:32" x14ac:dyDescent="0.3">
      <c r="A215" s="47"/>
      <c r="B215" s="47"/>
      <c r="C215" s="47"/>
      <c r="D215" s="47"/>
      <c r="E215" s="47"/>
      <c r="F215" s="47"/>
      <c r="G215" s="47"/>
      <c r="H215" s="47"/>
      <c r="I215" s="965"/>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row>
    <row r="216" spans="1:32" x14ac:dyDescent="0.3">
      <c r="A216" s="47"/>
      <c r="B216" s="47"/>
      <c r="C216" s="47"/>
      <c r="D216" s="47"/>
      <c r="E216" s="47"/>
      <c r="F216" s="47"/>
      <c r="G216" s="47"/>
      <c r="H216" s="59"/>
      <c r="I216" s="47"/>
      <c r="J216" s="59"/>
      <c r="K216" s="59"/>
      <c r="L216" s="59"/>
      <c r="M216" s="59"/>
      <c r="N216" s="59"/>
      <c r="O216" s="59"/>
      <c r="P216" s="47"/>
      <c r="Q216" s="47"/>
      <c r="R216" s="47"/>
      <c r="S216" s="47"/>
      <c r="T216" s="47"/>
      <c r="U216" s="47"/>
      <c r="V216" s="47"/>
      <c r="W216" s="47"/>
      <c r="X216" s="47"/>
      <c r="Y216" s="47"/>
      <c r="Z216" s="47"/>
      <c r="AA216" s="47"/>
      <c r="AB216" s="47"/>
      <c r="AC216" s="47"/>
      <c r="AD216" s="47"/>
      <c r="AE216" s="47"/>
      <c r="AF216" s="47"/>
    </row>
    <row r="217" spans="1:32" ht="15.6" x14ac:dyDescent="0.3">
      <c r="A217" s="47"/>
      <c r="B217" s="47"/>
      <c r="C217" s="47"/>
      <c r="D217" s="47"/>
      <c r="E217" s="47"/>
      <c r="F217" s="47"/>
      <c r="G217" s="47"/>
      <c r="H217" s="236" t="s">
        <v>661</v>
      </c>
      <c r="I217" s="236"/>
      <c r="J217" s="236"/>
      <c r="K217" s="236"/>
      <c r="L217" s="236"/>
      <c r="M217" s="236"/>
      <c r="N217" s="236"/>
      <c r="O217" s="59"/>
      <c r="P217" s="47"/>
      <c r="Q217" s="47"/>
      <c r="R217" s="47"/>
      <c r="S217" s="47"/>
      <c r="T217" s="47"/>
      <c r="U217" s="47"/>
      <c r="V217" s="47"/>
      <c r="W217" s="47"/>
      <c r="X217" s="47"/>
      <c r="Y217" s="47"/>
      <c r="Z217" s="47"/>
      <c r="AA217" s="47"/>
      <c r="AB217" s="47"/>
      <c r="AC217" s="47"/>
      <c r="AD217" s="47"/>
      <c r="AE217" s="47"/>
      <c r="AF217" s="47"/>
    </row>
    <row r="218" spans="1:32" x14ac:dyDescent="0.3">
      <c r="A218" s="47"/>
      <c r="B218" s="47"/>
      <c r="C218" s="47"/>
      <c r="D218" s="47"/>
      <c r="E218" s="47"/>
      <c r="F218" s="47"/>
      <c r="G218" s="47"/>
      <c r="H218" s="103" t="s">
        <v>72</v>
      </c>
      <c r="I218" s="103" t="s">
        <v>73</v>
      </c>
      <c r="J218" s="103" t="s">
        <v>75</v>
      </c>
      <c r="K218" s="103" t="s">
        <v>74</v>
      </c>
      <c r="L218" s="103" t="s">
        <v>73</v>
      </c>
      <c r="M218" s="103" t="s">
        <v>74</v>
      </c>
      <c r="N218" s="103" t="s">
        <v>75</v>
      </c>
      <c r="O218" s="47"/>
      <c r="P218" s="47"/>
      <c r="Q218" s="47"/>
      <c r="R218" s="47"/>
      <c r="S218" s="47"/>
      <c r="T218" s="47"/>
      <c r="U218" s="47"/>
      <c r="V218" s="47"/>
      <c r="W218" s="47"/>
      <c r="X218" s="47"/>
      <c r="Y218" s="47"/>
      <c r="Z218" s="47"/>
      <c r="AA218" s="47"/>
      <c r="AB218" s="47"/>
      <c r="AC218" s="47"/>
      <c r="AD218" s="47"/>
      <c r="AE218" s="47"/>
      <c r="AF218" s="47"/>
    </row>
    <row r="219" spans="1:32" x14ac:dyDescent="0.3">
      <c r="A219" s="47"/>
      <c r="B219" s="47"/>
      <c r="C219" s="47"/>
      <c r="D219" s="47"/>
      <c r="E219" s="47"/>
      <c r="F219" s="47"/>
      <c r="G219" s="47"/>
      <c r="H219" s="750" t="s">
        <v>78</v>
      </c>
      <c r="I219" s="59">
        <f>COUNTIFS($E$179:$E$206,"OK",$A$179:$A$206,H219)</f>
        <v>3</v>
      </c>
      <c r="J219" s="59">
        <f>COUNTIF($A$179:$A$206,H219)</f>
        <v>4</v>
      </c>
      <c r="K219" s="59">
        <f>COUNTIFS(F179:F206,"OK",$A$179:$A$206,H219)</f>
        <v>1</v>
      </c>
      <c r="L219" s="294">
        <f>IF(I219=0,"0",I219/J219)</f>
        <v>0.75</v>
      </c>
      <c r="M219" s="294">
        <f>IF(K219=0,"0",K219/J219)</f>
        <v>0.25</v>
      </c>
      <c r="N219" s="340">
        <v>1</v>
      </c>
      <c r="O219" s="47"/>
      <c r="P219" s="47"/>
      <c r="Q219" s="47"/>
      <c r="R219" s="47"/>
      <c r="S219" s="47"/>
      <c r="T219" s="47"/>
      <c r="U219" s="47"/>
      <c r="V219" s="47"/>
      <c r="W219" s="47"/>
      <c r="X219" s="47"/>
      <c r="Y219" s="47"/>
      <c r="Z219" s="47"/>
      <c r="AA219" s="47"/>
      <c r="AB219" s="47"/>
      <c r="AC219" s="47"/>
      <c r="AD219" s="47"/>
      <c r="AE219" s="47"/>
      <c r="AF219" s="47"/>
    </row>
    <row r="220" spans="1:32" x14ac:dyDescent="0.3">
      <c r="A220" s="47"/>
      <c r="B220" s="47"/>
      <c r="C220" s="47"/>
      <c r="D220" s="47"/>
      <c r="E220" s="47"/>
      <c r="F220" s="47"/>
      <c r="G220" s="47"/>
      <c r="H220" s="756" t="s">
        <v>81</v>
      </c>
      <c r="I220" s="757">
        <f>COUNTIFS($E$179:$E$206,"OK",$A$179:$A$206,H220)</f>
        <v>9</v>
      </c>
      <c r="J220" s="757">
        <f t="shared" ref="J220:J222" si="293">COUNTIF($A$179:$A$206,H220)</f>
        <v>12</v>
      </c>
      <c r="K220" s="757">
        <f>COUNTIFS(F180:F207,"OK",$A$179:$A$206,H220)</f>
        <v>6</v>
      </c>
      <c r="L220" s="758">
        <f>IF(I220=0,"0",I220/J220)</f>
        <v>0.75</v>
      </c>
      <c r="M220" s="758">
        <f>IF(K220=0,"0",K220/J220)</f>
        <v>0.5</v>
      </c>
      <c r="N220" s="759">
        <v>1</v>
      </c>
      <c r="O220" s="47"/>
      <c r="P220" s="47"/>
      <c r="Q220" s="47"/>
      <c r="R220" s="47"/>
      <c r="S220" s="47"/>
      <c r="T220" s="47"/>
      <c r="U220" s="47"/>
      <c r="V220" s="47"/>
      <c r="W220" s="47"/>
      <c r="X220" s="47"/>
      <c r="Y220" s="47"/>
      <c r="Z220" s="47"/>
      <c r="AA220" s="47"/>
      <c r="AB220" s="47"/>
      <c r="AC220" s="47"/>
      <c r="AD220" s="47"/>
      <c r="AE220" s="47"/>
      <c r="AF220" s="47"/>
    </row>
    <row r="221" spans="1:32" x14ac:dyDescent="0.3">
      <c r="A221" s="47"/>
      <c r="B221" s="47"/>
      <c r="C221" s="47"/>
      <c r="D221" s="47"/>
      <c r="E221" s="47"/>
      <c r="F221" s="47"/>
      <c r="G221" s="47"/>
      <c r="H221" s="352" t="s">
        <v>84</v>
      </c>
      <c r="I221" s="59">
        <f>COUNTIFS($E$179:$E$206,"OK",$A$179:$A$206,H221)</f>
        <v>5</v>
      </c>
      <c r="J221" s="59">
        <f t="shared" si="293"/>
        <v>11</v>
      </c>
      <c r="K221" s="59">
        <f>COUNTIFS(F181:F208,"OK",$A$179:$A$206,H221)</f>
        <v>3</v>
      </c>
      <c r="L221" s="294">
        <f>IF(I221=0,"0",I221/J221)</f>
        <v>0.45454545454545453</v>
      </c>
      <c r="M221" s="294">
        <f>IF(K221=0,"0",K221/J221)</f>
        <v>0.27272727272727271</v>
      </c>
      <c r="N221" s="340">
        <v>1</v>
      </c>
      <c r="O221" s="47"/>
      <c r="P221" s="47"/>
      <c r="Q221" s="47"/>
      <c r="R221" s="47"/>
      <c r="S221" s="47"/>
      <c r="T221" s="47"/>
      <c r="U221" s="47"/>
      <c r="V221" s="47"/>
      <c r="W221" s="47"/>
      <c r="X221" s="47"/>
      <c r="Y221" s="47"/>
      <c r="Z221" s="47"/>
      <c r="AA221" s="47"/>
      <c r="AB221" s="47"/>
      <c r="AC221" s="47"/>
      <c r="AD221" s="47"/>
      <c r="AE221" s="47"/>
      <c r="AF221" s="47"/>
    </row>
    <row r="222" spans="1:32" x14ac:dyDescent="0.3">
      <c r="A222" s="47"/>
      <c r="B222" s="47"/>
      <c r="C222" s="47"/>
      <c r="D222" s="47"/>
      <c r="E222" s="47"/>
      <c r="F222" s="47"/>
      <c r="G222" s="47"/>
      <c r="H222" s="756" t="s">
        <v>86</v>
      </c>
      <c r="I222" s="757">
        <f>COUNTIFS($E$179:$E$206,"OK",$A$179:$A$206,H222)</f>
        <v>1</v>
      </c>
      <c r="J222" s="757">
        <f t="shared" si="293"/>
        <v>1</v>
      </c>
      <c r="K222" s="757">
        <f>COUNTIFS(F182:F209,"OK",$A$179:$A$206,H222)</f>
        <v>0</v>
      </c>
      <c r="L222" s="758">
        <f>IF(I222=0,"0",I222/J222)</f>
        <v>1</v>
      </c>
      <c r="M222" s="758" t="str">
        <f>IF(K222=0,"0",K222/J222)</f>
        <v>0</v>
      </c>
      <c r="N222" s="759">
        <v>1</v>
      </c>
      <c r="O222" s="47"/>
      <c r="P222" s="47"/>
      <c r="Q222" s="47"/>
      <c r="R222" s="47"/>
      <c r="S222" s="47"/>
      <c r="T222" s="47"/>
      <c r="U222" s="47"/>
      <c r="V222" s="47"/>
      <c r="W222" s="47"/>
      <c r="X222" s="47"/>
      <c r="Y222" s="47"/>
      <c r="Z222" s="47"/>
      <c r="AA222" s="47"/>
      <c r="AB222" s="47"/>
      <c r="AC222" s="47"/>
      <c r="AD222" s="47"/>
      <c r="AE222" s="47"/>
      <c r="AF222" s="47"/>
    </row>
    <row r="223" spans="1:32" x14ac:dyDescent="0.3">
      <c r="A223" s="47"/>
      <c r="B223" s="47"/>
      <c r="C223" s="47"/>
      <c r="D223" s="47"/>
      <c r="E223" s="47"/>
      <c r="F223" s="47"/>
      <c r="G223" s="47"/>
      <c r="H223" s="352"/>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row>
    <row r="224" spans="1:32" x14ac:dyDescent="0.3">
      <c r="A224" s="47"/>
      <c r="B224" s="47"/>
      <c r="C224" s="47"/>
      <c r="D224" s="47"/>
      <c r="E224" s="47"/>
      <c r="F224" s="47"/>
      <c r="G224" s="47"/>
      <c r="H224" s="335" t="s">
        <v>662</v>
      </c>
      <c r="I224" s="335" t="s">
        <v>663</v>
      </c>
      <c r="J224" s="335" t="s">
        <v>664</v>
      </c>
      <c r="K224" s="335" t="s">
        <v>665</v>
      </c>
      <c r="L224" s="335" t="s">
        <v>666</v>
      </c>
      <c r="M224" s="335" t="s">
        <v>667</v>
      </c>
      <c r="N224" s="335" t="s">
        <v>668</v>
      </c>
      <c r="O224" s="335" t="s">
        <v>669</v>
      </c>
      <c r="P224" s="335" t="s">
        <v>670</v>
      </c>
      <c r="Q224" s="47"/>
      <c r="R224" s="47"/>
      <c r="S224" s="47"/>
      <c r="T224" s="47"/>
      <c r="U224" s="47"/>
      <c r="V224" s="47"/>
      <c r="W224" s="47"/>
      <c r="X224" s="47"/>
      <c r="Y224" s="47"/>
      <c r="Z224" s="47"/>
      <c r="AA224" s="47"/>
      <c r="AB224" s="47"/>
      <c r="AC224" s="47"/>
      <c r="AD224" s="47"/>
      <c r="AE224" s="47"/>
      <c r="AF224" s="47"/>
    </row>
    <row r="225" spans="1:32" x14ac:dyDescent="0.3">
      <c r="A225" s="47"/>
      <c r="B225" s="47"/>
      <c r="C225" s="47"/>
      <c r="D225" s="47"/>
      <c r="E225" s="47"/>
      <c r="F225" s="47"/>
      <c r="G225" s="47"/>
      <c r="H225" s="320">
        <v>1</v>
      </c>
      <c r="I225" s="320">
        <f>COUNTIF($D$179:$D$206,H225)</f>
        <v>13</v>
      </c>
      <c r="J225" s="320">
        <f>COUNTIFS($D$179:$D$206,H225,E179:E206,"OK")</f>
        <v>11</v>
      </c>
      <c r="K225" s="323">
        <f>COUNTIFS($D$179:$D$206,H225,E179:E206,"NOK")</f>
        <v>2</v>
      </c>
      <c r="L225" s="322">
        <f>COUNTIFS(E179:E206,"OK",D179:D206,H225)/I225</f>
        <v>0.84615384615384615</v>
      </c>
      <c r="M225" s="320">
        <f>COUNTIFS($F$179:$F$206,"OK",$D$179:$D$206,H225)</f>
        <v>8</v>
      </c>
      <c r="N225" s="320">
        <f>COUNTIFS($F$179:$F$206,"NOK",$D$179:$D$206,H225)</f>
        <v>5</v>
      </c>
      <c r="O225" s="322">
        <f>COUNTIFS(F179:F206,"OK",D179:D206,H225)/I225</f>
        <v>0.61538461538461542</v>
      </c>
      <c r="P225" s="645">
        <v>46172</v>
      </c>
      <c r="Q225" s="47"/>
      <c r="R225" s="47"/>
      <c r="S225" s="47"/>
      <c r="T225" s="47"/>
      <c r="U225" s="47"/>
      <c r="V225" s="47"/>
      <c r="W225" s="47"/>
      <c r="X225" s="47"/>
      <c r="Y225" s="47"/>
      <c r="Z225" s="47"/>
      <c r="AA225" s="47"/>
      <c r="AB225" s="47"/>
      <c r="AC225" s="47"/>
      <c r="AD225" s="47"/>
      <c r="AE225" s="47"/>
      <c r="AF225" s="47"/>
    </row>
    <row r="226" spans="1:32" x14ac:dyDescent="0.3">
      <c r="A226" s="47"/>
      <c r="B226" s="47"/>
      <c r="C226" s="47"/>
      <c r="D226" s="47"/>
      <c r="E226" s="47"/>
      <c r="F226" s="47"/>
      <c r="G226" s="47"/>
      <c r="H226" s="336">
        <v>2</v>
      </c>
      <c r="I226" s="336">
        <f>COUNTIF($D$179:$D$206,H226)</f>
        <v>14</v>
      </c>
      <c r="J226" s="336">
        <f>COUNTIFS($D$179:$D$206,H226,E179:E206,"OK")</f>
        <v>7</v>
      </c>
      <c r="K226" s="336">
        <f>COUNTIFS($D$179:$D$206,H226,E179:E206,"NOK")</f>
        <v>7</v>
      </c>
      <c r="L226" s="337">
        <f>COUNTIFS(E179:E206,"OK",D179:D206,H226)/I226</f>
        <v>0.5</v>
      </c>
      <c r="M226" s="336">
        <f>COUNTIFS($F$179:$F$206,"OK",$D$179:$D$206,H226)</f>
        <v>3</v>
      </c>
      <c r="N226" s="336">
        <f>COUNTIFS($F$179:$F$206,"NOK",$D$179:$D$206,H226)</f>
        <v>11</v>
      </c>
      <c r="O226" s="337">
        <f>COUNTIFS(F179:F206,"OK",D179:D206,H226)/I226</f>
        <v>0.21428571428571427</v>
      </c>
      <c r="P226" s="646">
        <v>46203</v>
      </c>
      <c r="Q226" s="47"/>
      <c r="R226" s="47"/>
      <c r="S226" s="47"/>
      <c r="T226" s="47"/>
      <c r="U226" s="47"/>
      <c r="V226" s="47"/>
      <c r="W226" s="47"/>
      <c r="X226" s="47"/>
      <c r="Y226" s="47"/>
      <c r="Z226" s="47"/>
      <c r="AA226" s="47"/>
      <c r="AB226" s="47"/>
      <c r="AC226" s="47"/>
      <c r="AD226" s="47"/>
      <c r="AE226" s="47"/>
      <c r="AF226" s="47"/>
    </row>
    <row r="227" spans="1:32" x14ac:dyDescent="0.3">
      <c r="A227" s="47"/>
      <c r="B227" s="47"/>
      <c r="C227" s="47"/>
      <c r="D227" s="47"/>
      <c r="E227" s="47"/>
      <c r="F227" s="47"/>
      <c r="G227" s="47"/>
      <c r="H227" s="320">
        <v>3</v>
      </c>
      <c r="I227" s="320">
        <f>COUNTIF($D$179:$D$206,H227)</f>
        <v>1</v>
      </c>
      <c r="J227" s="320">
        <f>COUNTIFS($D$179:$D$206,H227,E179:E206,"OK")</f>
        <v>0</v>
      </c>
      <c r="K227" s="323">
        <f>COUNTIFS($D$179:$D$206,H227,E179:E206,"NOK")</f>
        <v>1</v>
      </c>
      <c r="L227" s="322">
        <f>COUNTIFS(E179:E206,"OK",D179:D206,H227)/I227</f>
        <v>0</v>
      </c>
      <c r="M227" s="320">
        <f>COUNTIFS($F$179:$F$206,"OK",$D$179:$D$206,H227)</f>
        <v>0</v>
      </c>
      <c r="N227" s="320">
        <f>COUNTIFS($F$179:$F$206,"NOK",$D$179:$D$206,H227)</f>
        <v>1</v>
      </c>
      <c r="O227" s="322">
        <f>COUNTIFS(F179:F206,"OK",D179:D206,H227)/I227</f>
        <v>0</v>
      </c>
      <c r="P227" s="321">
        <v>46233</v>
      </c>
      <c r="Q227" s="47"/>
      <c r="R227" s="47"/>
      <c r="S227" s="47"/>
      <c r="T227" s="47"/>
      <c r="U227" s="47"/>
      <c r="V227" s="47"/>
      <c r="W227" s="47"/>
      <c r="X227" s="47"/>
      <c r="Y227" s="47"/>
      <c r="Z227" s="47"/>
      <c r="AA227" s="47"/>
      <c r="AB227" s="47"/>
      <c r="AC227" s="47"/>
      <c r="AD227" s="47"/>
      <c r="AE227" s="47"/>
      <c r="AF227" s="47"/>
    </row>
    <row r="228" spans="1:32" ht="15.6" x14ac:dyDescent="0.3">
      <c r="A228" s="245" t="s">
        <v>671</v>
      </c>
      <c r="B228" s="245"/>
      <c r="C228" s="245"/>
      <c r="D228" s="245"/>
      <c r="E228" s="246"/>
      <c r="F228" s="47"/>
      <c r="G228" s="47"/>
      <c r="H228" s="335" t="s">
        <v>133</v>
      </c>
      <c r="I228" s="335">
        <f>SUM(I225:I227)</f>
        <v>28</v>
      </c>
      <c r="J228" s="335"/>
      <c r="K228" s="335"/>
      <c r="L228" s="335"/>
      <c r="M228" s="335"/>
      <c r="N228" s="335"/>
      <c r="O228" s="335"/>
      <c r="P228" s="335"/>
      <c r="Q228" s="47"/>
      <c r="R228" s="47"/>
      <c r="S228" s="47"/>
      <c r="T228" s="47"/>
      <c r="U228" s="47"/>
      <c r="V228" s="47"/>
      <c r="W228" s="47"/>
      <c r="X228" s="47"/>
      <c r="Y228" s="47"/>
      <c r="Z228" s="47"/>
      <c r="AA228" s="47"/>
      <c r="AB228" s="47"/>
      <c r="AC228" s="47"/>
      <c r="AD228" s="47"/>
      <c r="AE228" s="47"/>
      <c r="AF228" s="47"/>
    </row>
    <row r="229" spans="1:32" ht="21" x14ac:dyDescent="0.3">
      <c r="A229" s="548" t="s">
        <v>672</v>
      </c>
      <c r="B229" s="548" t="s">
        <v>673</v>
      </c>
      <c r="C229" s="548" t="s">
        <v>674</v>
      </c>
      <c r="D229" s="548" t="s">
        <v>675</v>
      </c>
      <c r="E229" s="548" t="s">
        <v>676</v>
      </c>
      <c r="F229" s="565"/>
      <c r="G229" s="47"/>
      <c r="H229" s="834" t="s">
        <v>677</v>
      </c>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row>
    <row r="230" spans="1:32" x14ac:dyDescent="0.3">
      <c r="A230" s="547" t="s">
        <v>678</v>
      </c>
      <c r="B230" s="547" t="s">
        <v>560</v>
      </c>
      <c r="C230" s="547" t="s">
        <v>561</v>
      </c>
      <c r="D230" s="547" t="s">
        <v>679</v>
      </c>
      <c r="E230" s="5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row>
    <row r="231" spans="1:32" x14ac:dyDescent="0.3">
      <c r="A231" s="549" t="s">
        <v>678</v>
      </c>
      <c r="B231" s="549" t="s">
        <v>564</v>
      </c>
      <c r="C231" s="549" t="s">
        <v>565</v>
      </c>
      <c r="D231" s="549" t="s">
        <v>679</v>
      </c>
      <c r="E231" s="549"/>
      <c r="F231" s="47"/>
      <c r="G231" s="47"/>
      <c r="H231" s="658"/>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row>
    <row r="232" spans="1:32" x14ac:dyDescent="0.3">
      <c r="A232" s="547" t="s">
        <v>678</v>
      </c>
      <c r="B232" s="547" t="s">
        <v>568</v>
      </c>
      <c r="C232" s="547" t="s">
        <v>569</v>
      </c>
      <c r="D232" s="547" t="s">
        <v>679</v>
      </c>
      <c r="E232" s="5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row>
    <row r="233" spans="1:32" x14ac:dyDescent="0.3">
      <c r="A233" s="549" t="s">
        <v>678</v>
      </c>
      <c r="B233" s="549" t="s">
        <v>572</v>
      </c>
      <c r="C233" s="549" t="s">
        <v>573</v>
      </c>
      <c r="D233" s="549" t="s">
        <v>679</v>
      </c>
      <c r="E233" s="549"/>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row>
    <row r="234" spans="1:32" x14ac:dyDescent="0.3">
      <c r="A234" s="547" t="s">
        <v>678</v>
      </c>
      <c r="B234" s="547" t="s">
        <v>576</v>
      </c>
      <c r="C234" s="547" t="s">
        <v>577</v>
      </c>
      <c r="D234" s="547" t="s">
        <v>679</v>
      </c>
      <c r="E234" s="5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row>
    <row r="235" spans="1:32" x14ac:dyDescent="0.3">
      <c r="A235" s="549" t="s">
        <v>678</v>
      </c>
      <c r="B235" s="549" t="s">
        <v>584</v>
      </c>
      <c r="C235" s="549" t="s">
        <v>585</v>
      </c>
      <c r="D235" s="549" t="s">
        <v>679</v>
      </c>
      <c r="E235" s="549"/>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row>
    <row r="236" spans="1:32" x14ac:dyDescent="0.3">
      <c r="A236" s="547" t="s">
        <v>678</v>
      </c>
      <c r="B236" s="547" t="s">
        <v>580</v>
      </c>
      <c r="C236" s="547" t="s">
        <v>581</v>
      </c>
      <c r="D236" s="547" t="s">
        <v>679</v>
      </c>
      <c r="E236" s="5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row>
    <row r="237" spans="1:32" x14ac:dyDescent="0.3">
      <c r="A237" s="549" t="s">
        <v>678</v>
      </c>
      <c r="B237" s="549" t="s">
        <v>680</v>
      </c>
      <c r="C237" s="549" t="s">
        <v>681</v>
      </c>
      <c r="D237" s="549" t="s">
        <v>679</v>
      </c>
      <c r="E237" s="549"/>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row>
    <row r="238" spans="1:32" x14ac:dyDescent="0.3">
      <c r="A238" s="547" t="s">
        <v>678</v>
      </c>
      <c r="B238" s="547" t="s">
        <v>682</v>
      </c>
      <c r="C238" s="547" t="s">
        <v>683</v>
      </c>
      <c r="D238" s="547" t="s">
        <v>679</v>
      </c>
      <c r="E238" s="5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row>
    <row r="239" spans="1:32" x14ac:dyDescent="0.3">
      <c r="A239" s="549" t="s">
        <v>678</v>
      </c>
      <c r="B239" s="549" t="s">
        <v>684</v>
      </c>
      <c r="C239" s="549" t="s">
        <v>685</v>
      </c>
      <c r="D239" s="549" t="s">
        <v>679</v>
      </c>
      <c r="E239" s="549"/>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row>
    <row r="240" spans="1:32" x14ac:dyDescent="0.3">
      <c r="A240" s="547" t="s">
        <v>678</v>
      </c>
      <c r="B240" s="547" t="s">
        <v>686</v>
      </c>
      <c r="C240" s="547" t="s">
        <v>687</v>
      </c>
      <c r="D240" s="547" t="s">
        <v>679</v>
      </c>
      <c r="E240" s="5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row>
    <row r="241" spans="1:32" x14ac:dyDescent="0.3">
      <c r="A241" s="549" t="s">
        <v>678</v>
      </c>
      <c r="B241" s="549" t="s">
        <v>594</v>
      </c>
      <c r="C241" s="549" t="s">
        <v>595</v>
      </c>
      <c r="D241" s="549" t="s">
        <v>679</v>
      </c>
      <c r="E241" s="549"/>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row>
    <row r="242" spans="1:32" x14ac:dyDescent="0.3">
      <c r="A242" s="547" t="s">
        <v>678</v>
      </c>
      <c r="B242" s="547" t="s">
        <v>597</v>
      </c>
      <c r="C242" s="547" t="s">
        <v>598</v>
      </c>
      <c r="D242" s="547" t="s">
        <v>679</v>
      </c>
      <c r="E242" s="5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row>
    <row r="243" spans="1:32" x14ac:dyDescent="0.3">
      <c r="A243" s="549" t="s">
        <v>678</v>
      </c>
      <c r="B243" s="549" t="s">
        <v>600</v>
      </c>
      <c r="C243" s="549" t="s">
        <v>601</v>
      </c>
      <c r="D243" s="549" t="s">
        <v>679</v>
      </c>
      <c r="E243" s="549"/>
      <c r="F243" s="47"/>
      <c r="G243" s="47"/>
      <c r="H243" s="47"/>
      <c r="I243" s="47"/>
      <c r="J243" s="47"/>
      <c r="K243" s="47"/>
      <c r="L243" s="47"/>
      <c r="M243" s="47"/>
      <c r="N243" s="47"/>
      <c r="O243" s="47"/>
      <c r="P243" s="47"/>
      <c r="Q243" s="47"/>
      <c r="R243" s="47"/>
    </row>
    <row r="244" spans="1:32" x14ac:dyDescent="0.3">
      <c r="A244" s="547" t="s">
        <v>678</v>
      </c>
      <c r="B244" s="547" t="s">
        <v>603</v>
      </c>
      <c r="C244" s="547" t="s">
        <v>604</v>
      </c>
      <c r="D244" s="547" t="s">
        <v>679</v>
      </c>
      <c r="E244" s="547"/>
      <c r="F244" s="47"/>
      <c r="G244" s="47"/>
      <c r="H244" s="47"/>
      <c r="I244" s="47"/>
      <c r="J244" s="47"/>
      <c r="K244" s="47"/>
      <c r="L244" s="47"/>
      <c r="M244" s="47"/>
      <c r="N244" s="47"/>
      <c r="O244" s="47"/>
      <c r="P244" s="47"/>
      <c r="Q244" s="47"/>
      <c r="R244" s="47"/>
    </row>
    <row r="245" spans="1:32" x14ac:dyDescent="0.3">
      <c r="A245" s="549" t="s">
        <v>678</v>
      </c>
      <c r="B245" s="549" t="s">
        <v>606</v>
      </c>
      <c r="C245" s="549" t="s">
        <v>607</v>
      </c>
      <c r="D245" s="549" t="s">
        <v>679</v>
      </c>
      <c r="E245" s="549"/>
      <c r="F245" s="47"/>
      <c r="G245" s="47"/>
      <c r="H245" s="47"/>
      <c r="I245" s="47"/>
      <c r="J245" s="47"/>
      <c r="K245" s="47"/>
      <c r="L245" s="47"/>
      <c r="M245" s="47"/>
      <c r="N245" s="47"/>
      <c r="O245" s="47"/>
      <c r="P245" s="47"/>
      <c r="Q245" s="47"/>
      <c r="R245" s="47"/>
    </row>
    <row r="246" spans="1:32" x14ac:dyDescent="0.3">
      <c r="A246" s="547" t="s">
        <v>678</v>
      </c>
      <c r="B246" s="547" t="s">
        <v>609</v>
      </c>
      <c r="C246" s="547" t="s">
        <v>610</v>
      </c>
      <c r="D246" s="547" t="s">
        <v>688</v>
      </c>
      <c r="E246" s="547"/>
      <c r="F246" s="47"/>
      <c r="G246" s="47"/>
      <c r="H246" s="47"/>
      <c r="I246" s="47"/>
      <c r="J246" s="47"/>
      <c r="K246" s="47"/>
      <c r="L246" s="47"/>
      <c r="M246" s="47"/>
      <c r="N246" s="47"/>
      <c r="O246" s="47"/>
      <c r="P246" s="47"/>
      <c r="Q246" s="47"/>
      <c r="R246" s="47"/>
    </row>
    <row r="247" spans="1:32" x14ac:dyDescent="0.3">
      <c r="A247" s="549" t="s">
        <v>678</v>
      </c>
      <c r="B247" s="549" t="s">
        <v>615</v>
      </c>
      <c r="C247" s="549" t="s">
        <v>616</v>
      </c>
      <c r="D247" s="549" t="s">
        <v>679</v>
      </c>
      <c r="E247" s="549"/>
      <c r="F247" s="47"/>
      <c r="G247" s="47"/>
      <c r="H247" s="47"/>
      <c r="I247" s="47"/>
      <c r="J247" s="47"/>
      <c r="K247" s="47"/>
      <c r="L247" s="47"/>
      <c r="M247" s="47"/>
      <c r="N247" s="47"/>
      <c r="O247" s="47"/>
      <c r="P247" s="47"/>
      <c r="Q247" s="47"/>
      <c r="R247" s="47"/>
    </row>
    <row r="248" spans="1:32" x14ac:dyDescent="0.3">
      <c r="A248" s="547" t="s">
        <v>678</v>
      </c>
      <c r="B248" s="547" t="s">
        <v>612</v>
      </c>
      <c r="C248" s="547" t="s">
        <v>613</v>
      </c>
      <c r="D248" s="547" t="s">
        <v>679</v>
      </c>
      <c r="E248" s="547"/>
      <c r="F248" s="47"/>
      <c r="G248" s="47"/>
      <c r="H248" s="47"/>
      <c r="I248" s="47"/>
      <c r="J248" s="47"/>
      <c r="K248" s="47"/>
      <c r="L248" s="47"/>
      <c r="M248" s="47"/>
      <c r="N248" s="47"/>
      <c r="O248" s="47"/>
      <c r="P248" s="47"/>
      <c r="Q248" s="47"/>
      <c r="R248" s="47"/>
    </row>
    <row r="249" spans="1:32" x14ac:dyDescent="0.3">
      <c r="A249" s="549" t="s">
        <v>678</v>
      </c>
      <c r="B249" s="549" t="s">
        <v>622</v>
      </c>
      <c r="C249" s="549" t="s">
        <v>623</v>
      </c>
      <c r="D249" s="549" t="s">
        <v>679</v>
      </c>
      <c r="E249" s="549"/>
      <c r="F249" s="47"/>
      <c r="G249" s="47"/>
      <c r="H249" s="47"/>
      <c r="I249" s="47"/>
      <c r="J249" s="47"/>
      <c r="K249" s="47"/>
      <c r="L249" s="47"/>
      <c r="M249" s="47"/>
      <c r="N249" s="47"/>
      <c r="O249" s="47"/>
      <c r="P249" s="47"/>
      <c r="Q249" s="47"/>
      <c r="R249" s="47"/>
    </row>
    <row r="250" spans="1:32" x14ac:dyDescent="0.3">
      <c r="A250" s="547" t="s">
        <v>678</v>
      </c>
      <c r="B250" s="547" t="s">
        <v>689</v>
      </c>
      <c r="C250" s="547" t="s">
        <v>690</v>
      </c>
      <c r="D250" s="547" t="s">
        <v>688</v>
      </c>
      <c r="E250" s="547"/>
      <c r="F250" s="47"/>
      <c r="G250" s="47"/>
      <c r="H250" s="47"/>
      <c r="I250" s="47"/>
      <c r="J250" s="47"/>
      <c r="K250" s="47"/>
      <c r="L250" s="47"/>
      <c r="M250" s="47"/>
      <c r="N250" s="47"/>
      <c r="O250" s="47"/>
      <c r="P250" s="47"/>
      <c r="Q250" s="47"/>
      <c r="R250" s="47"/>
    </row>
    <row r="251" spans="1:32" x14ac:dyDescent="0.3">
      <c r="A251" s="549" t="s">
        <v>678</v>
      </c>
      <c r="B251" s="549" t="s">
        <v>691</v>
      </c>
      <c r="C251" s="549" t="s">
        <v>692</v>
      </c>
      <c r="D251" s="549" t="s">
        <v>688</v>
      </c>
      <c r="E251" s="549"/>
      <c r="F251" s="47"/>
      <c r="G251" s="47"/>
      <c r="H251" s="47"/>
      <c r="I251" s="47"/>
      <c r="J251" s="47"/>
      <c r="K251" s="47"/>
      <c r="L251" s="47"/>
      <c r="M251" s="47"/>
      <c r="N251" s="47"/>
      <c r="O251" s="47"/>
      <c r="P251" s="47"/>
      <c r="Q251" s="47"/>
      <c r="R251" s="47"/>
    </row>
    <row r="252" spans="1:32" x14ac:dyDescent="0.3">
      <c r="A252" s="547" t="s">
        <v>678</v>
      </c>
      <c r="B252" s="547" t="s">
        <v>693</v>
      </c>
      <c r="C252" s="547" t="s">
        <v>694</v>
      </c>
      <c r="D252" s="547" t="s">
        <v>679</v>
      </c>
      <c r="E252" s="547"/>
      <c r="F252" s="47"/>
      <c r="G252" s="47"/>
      <c r="H252" s="47"/>
      <c r="I252" s="47"/>
      <c r="J252" s="47"/>
      <c r="K252" s="47"/>
      <c r="L252" s="47"/>
      <c r="M252" s="47"/>
      <c r="N252" s="47"/>
      <c r="O252" s="47"/>
      <c r="P252" s="47"/>
      <c r="Q252" s="47"/>
      <c r="R252" s="47"/>
    </row>
    <row r="253" spans="1:32" x14ac:dyDescent="0.3">
      <c r="A253" s="549" t="s">
        <v>678</v>
      </c>
      <c r="B253" s="549" t="s">
        <v>695</v>
      </c>
      <c r="C253" s="549" t="s">
        <v>696</v>
      </c>
      <c r="D253" s="549" t="s">
        <v>679</v>
      </c>
      <c r="E253" s="549"/>
      <c r="F253" s="47"/>
      <c r="G253" s="47"/>
      <c r="H253" s="47"/>
      <c r="I253" s="47"/>
      <c r="J253" s="47"/>
      <c r="K253" s="47"/>
      <c r="L253" s="47"/>
      <c r="M253" s="47"/>
      <c r="N253" s="47"/>
      <c r="O253" s="47"/>
      <c r="P253" s="47"/>
      <c r="Q253" s="47"/>
      <c r="R253" s="47"/>
    </row>
    <row r="254" spans="1:32" x14ac:dyDescent="0.3">
      <c r="A254" s="547" t="s">
        <v>678</v>
      </c>
      <c r="B254" s="547" t="s">
        <v>697</v>
      </c>
      <c r="C254" s="547" t="s">
        <v>698</v>
      </c>
      <c r="D254" s="547" t="s">
        <v>679</v>
      </c>
      <c r="E254" s="547"/>
      <c r="F254" s="47"/>
      <c r="G254" s="47"/>
      <c r="H254" s="47"/>
      <c r="I254" s="47"/>
      <c r="J254" s="47"/>
      <c r="K254" s="47"/>
      <c r="L254" s="47"/>
      <c r="M254" s="47"/>
      <c r="N254" s="47"/>
      <c r="O254" s="47"/>
      <c r="P254" s="47"/>
      <c r="Q254" s="47"/>
      <c r="R254" s="47"/>
    </row>
    <row r="255" spans="1:32" x14ac:dyDescent="0.3">
      <c r="A255" s="549" t="s">
        <v>678</v>
      </c>
      <c r="B255" s="549" t="s">
        <v>699</v>
      </c>
      <c r="C255" s="549" t="s">
        <v>700</v>
      </c>
      <c r="D255" s="549" t="s">
        <v>679</v>
      </c>
      <c r="E255" s="549"/>
      <c r="F255" s="47"/>
      <c r="G255" s="47"/>
      <c r="H255" s="47"/>
      <c r="I255" s="47"/>
      <c r="J255" s="47"/>
    </row>
    <row r="256" spans="1:32" x14ac:dyDescent="0.3">
      <c r="A256" s="547" t="s">
        <v>678</v>
      </c>
      <c r="B256" s="547" t="s">
        <v>701</v>
      </c>
      <c r="C256" s="547" t="s">
        <v>702</v>
      </c>
      <c r="D256" s="547" t="s">
        <v>688</v>
      </c>
      <c r="E256" s="547"/>
      <c r="F256" s="47"/>
      <c r="G256" s="47"/>
      <c r="H256" s="47"/>
      <c r="I256" s="47"/>
      <c r="J256" s="47"/>
    </row>
    <row r="257" spans="1:10" x14ac:dyDescent="0.3">
      <c r="A257" s="549" t="s">
        <v>678</v>
      </c>
      <c r="B257" s="549" t="s">
        <v>703</v>
      </c>
      <c r="C257" s="549" t="s">
        <v>704</v>
      </c>
      <c r="D257" s="549" t="s">
        <v>688</v>
      </c>
      <c r="E257" s="549"/>
      <c r="F257" s="47"/>
      <c r="G257" s="47"/>
      <c r="H257" s="47"/>
      <c r="I257" s="47"/>
      <c r="J257" s="47"/>
    </row>
    <row r="258" spans="1:10" x14ac:dyDescent="0.3">
      <c r="A258" s="547" t="s">
        <v>678</v>
      </c>
      <c r="B258" s="547" t="s">
        <v>705</v>
      </c>
      <c r="C258" s="547" t="s">
        <v>706</v>
      </c>
      <c r="D258" s="547" t="s">
        <v>688</v>
      </c>
      <c r="E258" s="547"/>
      <c r="F258" s="47"/>
      <c r="G258" s="47"/>
      <c r="H258" s="47"/>
      <c r="I258" s="47"/>
      <c r="J258" s="47"/>
    </row>
    <row r="259" spans="1:10" x14ac:dyDescent="0.3">
      <c r="A259" s="549" t="s">
        <v>678</v>
      </c>
      <c r="B259" s="549" t="s">
        <v>707</v>
      </c>
      <c r="C259" s="549" t="s">
        <v>708</v>
      </c>
      <c r="D259" s="549" t="s">
        <v>679</v>
      </c>
      <c r="E259" s="549"/>
      <c r="F259" s="47"/>
      <c r="G259" s="47"/>
      <c r="H259" s="47"/>
      <c r="I259" s="47"/>
      <c r="J259" s="47"/>
    </row>
    <row r="260" spans="1:10" x14ac:dyDescent="0.3">
      <c r="A260" s="547" t="s">
        <v>709</v>
      </c>
      <c r="B260" s="547" t="s">
        <v>710</v>
      </c>
      <c r="C260" s="547" t="s">
        <v>711</v>
      </c>
      <c r="D260" s="547" t="s">
        <v>712</v>
      </c>
      <c r="E260" s="547"/>
      <c r="F260" s="47"/>
      <c r="G260" s="47"/>
      <c r="H260" s="47"/>
      <c r="I260" s="47"/>
      <c r="J260" s="47"/>
    </row>
    <row r="261" spans="1:10" x14ac:dyDescent="0.3">
      <c r="A261" s="549" t="s">
        <v>678</v>
      </c>
      <c r="B261" s="549" t="s">
        <v>713</v>
      </c>
      <c r="C261" s="549" t="s">
        <v>714</v>
      </c>
      <c r="D261" s="549" t="s">
        <v>679</v>
      </c>
      <c r="E261" s="549"/>
      <c r="F261" s="47"/>
      <c r="G261" s="47"/>
      <c r="H261" s="47"/>
      <c r="I261" s="47"/>
      <c r="J261" s="47"/>
    </row>
    <row r="262" spans="1:10" x14ac:dyDescent="0.3">
      <c r="A262" s="547" t="s">
        <v>678</v>
      </c>
      <c r="B262" s="547" t="s">
        <v>715</v>
      </c>
      <c r="C262" s="547" t="s">
        <v>716</v>
      </c>
      <c r="D262" s="547" t="s">
        <v>679</v>
      </c>
      <c r="E262" s="547"/>
      <c r="F262" s="47"/>
      <c r="G262" s="47"/>
      <c r="H262" s="47"/>
      <c r="I262" s="47"/>
      <c r="J262" s="47"/>
    </row>
    <row r="263" spans="1:10" x14ac:dyDescent="0.3">
      <c r="A263" s="549" t="s">
        <v>678</v>
      </c>
      <c r="B263" s="549" t="s">
        <v>717</v>
      </c>
      <c r="C263" s="549" t="s">
        <v>718</v>
      </c>
      <c r="D263" s="549" t="s">
        <v>679</v>
      </c>
      <c r="E263" s="549"/>
      <c r="F263" s="47"/>
      <c r="G263" s="47"/>
      <c r="H263" s="47"/>
      <c r="I263" s="47"/>
      <c r="J263" s="47"/>
    </row>
    <row r="264" spans="1:10" x14ac:dyDescent="0.3">
      <c r="A264" s="547" t="s">
        <v>678</v>
      </c>
      <c r="B264" s="547" t="s">
        <v>719</v>
      </c>
      <c r="C264" s="547" t="s">
        <v>714</v>
      </c>
      <c r="D264" s="547" t="s">
        <v>679</v>
      </c>
      <c r="E264" s="547"/>
      <c r="F264" s="47"/>
      <c r="G264" s="47"/>
      <c r="H264" s="47"/>
      <c r="I264" s="47"/>
      <c r="J264" s="47"/>
    </row>
    <row r="265" spans="1:10" x14ac:dyDescent="0.3">
      <c r="A265" s="549" t="s">
        <v>678</v>
      </c>
      <c r="B265" s="549" t="s">
        <v>720</v>
      </c>
      <c r="C265" s="549" t="s">
        <v>721</v>
      </c>
      <c r="D265" s="549" t="s">
        <v>679</v>
      </c>
      <c r="E265" s="549"/>
      <c r="F265" s="47"/>
      <c r="G265" s="47"/>
      <c r="H265" s="47"/>
      <c r="I265" s="47"/>
      <c r="J265" s="47"/>
    </row>
    <row r="266" spans="1:10" x14ac:dyDescent="0.3">
      <c r="A266" s="547" t="s">
        <v>678</v>
      </c>
      <c r="B266" s="547" t="s">
        <v>722</v>
      </c>
      <c r="C266" s="547" t="s">
        <v>723</v>
      </c>
      <c r="D266" s="547" t="s">
        <v>688</v>
      </c>
      <c r="E266" s="547"/>
      <c r="F266" s="47"/>
      <c r="G266" s="47"/>
      <c r="H266" s="47"/>
      <c r="I266" s="47"/>
      <c r="J266" s="47"/>
    </row>
    <row r="267" spans="1:10" x14ac:dyDescent="0.3">
      <c r="A267" s="549" t="s">
        <v>678</v>
      </c>
      <c r="B267" s="549" t="s">
        <v>724</v>
      </c>
      <c r="C267" s="549" t="s">
        <v>721</v>
      </c>
      <c r="D267" s="549" t="s">
        <v>679</v>
      </c>
      <c r="E267" s="549"/>
      <c r="F267" s="47"/>
      <c r="G267" s="47"/>
      <c r="H267" s="47"/>
      <c r="I267" s="47"/>
      <c r="J267" s="47"/>
    </row>
    <row r="268" spans="1:10" x14ac:dyDescent="0.3">
      <c r="A268" s="547" t="s">
        <v>678</v>
      </c>
      <c r="B268" s="547" t="s">
        <v>725</v>
      </c>
      <c r="C268" s="547" t="s">
        <v>726</v>
      </c>
      <c r="D268" s="547" t="s">
        <v>679</v>
      </c>
      <c r="E268" s="547"/>
      <c r="F268" s="47"/>
      <c r="G268" s="47"/>
      <c r="H268" s="47"/>
      <c r="I268" s="47"/>
      <c r="J268" s="47"/>
    </row>
    <row r="269" spans="1:10" x14ac:dyDescent="0.3">
      <c r="A269" s="549" t="s">
        <v>678</v>
      </c>
      <c r="B269" s="549" t="s">
        <v>727</v>
      </c>
      <c r="C269" s="549" t="s">
        <v>728</v>
      </c>
      <c r="D269" s="549" t="s">
        <v>679</v>
      </c>
      <c r="E269" s="549"/>
      <c r="F269" s="47"/>
      <c r="G269" s="47"/>
      <c r="H269" s="47"/>
      <c r="I269" s="47"/>
      <c r="J269" s="47"/>
    </row>
    <row r="270" spans="1:10" x14ac:dyDescent="0.3">
      <c r="A270" s="547" t="s">
        <v>678</v>
      </c>
      <c r="B270" s="547" t="s">
        <v>729</v>
      </c>
      <c r="C270" s="547" t="s">
        <v>730</v>
      </c>
      <c r="D270" s="547" t="s">
        <v>679</v>
      </c>
      <c r="E270" s="547"/>
      <c r="F270" s="47"/>
      <c r="G270" s="47"/>
      <c r="H270" s="47"/>
      <c r="I270" s="47"/>
      <c r="J270" s="47"/>
    </row>
    <row r="271" spans="1:10" x14ac:dyDescent="0.3">
      <c r="A271" s="549" t="s">
        <v>709</v>
      </c>
      <c r="B271" s="549" t="s">
        <v>731</v>
      </c>
      <c r="C271" s="549" t="s">
        <v>732</v>
      </c>
      <c r="D271" s="549" t="s">
        <v>733</v>
      </c>
      <c r="E271" s="549"/>
      <c r="F271" s="47"/>
      <c r="G271" s="47"/>
      <c r="H271" s="47"/>
      <c r="I271" s="47"/>
      <c r="J271" s="47"/>
    </row>
    <row r="272" spans="1:10" x14ac:dyDescent="0.3">
      <c r="A272" s="547" t="s">
        <v>678</v>
      </c>
      <c r="B272" s="547" t="s">
        <v>734</v>
      </c>
      <c r="C272" s="547" t="s">
        <v>735</v>
      </c>
      <c r="D272" s="547" t="s">
        <v>679</v>
      </c>
      <c r="E272" s="547"/>
      <c r="F272" s="47"/>
      <c r="G272" s="47"/>
      <c r="H272" s="47"/>
      <c r="I272" s="47"/>
      <c r="J272" s="47"/>
    </row>
    <row r="273" spans="1:10" x14ac:dyDescent="0.3">
      <c r="A273" s="549" t="s">
        <v>678</v>
      </c>
      <c r="B273" s="549" t="s">
        <v>736</v>
      </c>
      <c r="C273" s="549" t="s">
        <v>737</v>
      </c>
      <c r="D273" s="549" t="s">
        <v>738</v>
      </c>
      <c r="E273" s="549"/>
      <c r="F273" s="47"/>
      <c r="G273" s="47"/>
      <c r="H273" s="47"/>
      <c r="I273" s="47"/>
      <c r="J273" s="47"/>
    </row>
    <row r="274" spans="1:10" x14ac:dyDescent="0.3">
      <c r="A274" s="547" t="s">
        <v>709</v>
      </c>
      <c r="B274" s="547" t="s">
        <v>739</v>
      </c>
      <c r="C274" s="547" t="s">
        <v>740</v>
      </c>
      <c r="D274" s="547" t="s">
        <v>733</v>
      </c>
      <c r="E274" s="547"/>
      <c r="F274" s="47"/>
      <c r="G274" s="47"/>
      <c r="H274" s="47"/>
      <c r="I274" s="47"/>
      <c r="J274" s="47"/>
    </row>
    <row r="275" spans="1:10" x14ac:dyDescent="0.3">
      <c r="A275" s="549" t="s">
        <v>678</v>
      </c>
      <c r="B275" s="549" t="s">
        <v>741</v>
      </c>
      <c r="C275" s="549" t="s">
        <v>742</v>
      </c>
      <c r="D275" s="549" t="s">
        <v>679</v>
      </c>
      <c r="E275" s="549"/>
      <c r="F275" s="47"/>
      <c r="G275" s="47"/>
      <c r="H275" s="47"/>
      <c r="I275" s="47"/>
      <c r="J275" s="47"/>
    </row>
    <row r="276" spans="1:10" x14ac:dyDescent="0.3">
      <c r="A276" s="547" t="s">
        <v>678</v>
      </c>
      <c r="B276" s="547" t="s">
        <v>743</v>
      </c>
      <c r="C276" s="547" t="s">
        <v>744</v>
      </c>
      <c r="D276" s="547" t="s">
        <v>679</v>
      </c>
      <c r="E276" s="547"/>
      <c r="F276" s="47"/>
      <c r="G276" s="47"/>
      <c r="H276" s="47"/>
      <c r="I276" s="47"/>
      <c r="J276" s="47"/>
    </row>
    <row r="277" spans="1:10" x14ac:dyDescent="0.3">
      <c r="A277" s="549" t="s">
        <v>678</v>
      </c>
      <c r="B277" s="549" t="s">
        <v>745</v>
      </c>
      <c r="C277" s="549" t="s">
        <v>746</v>
      </c>
      <c r="D277" s="549" t="s">
        <v>679</v>
      </c>
      <c r="E277" s="549"/>
      <c r="F277" s="47"/>
      <c r="G277" s="47"/>
      <c r="H277" s="47"/>
      <c r="I277" s="47"/>
      <c r="J277" s="47"/>
    </row>
    <row r="278" spans="1:10" x14ac:dyDescent="0.3">
      <c r="A278" s="547" t="s">
        <v>678</v>
      </c>
      <c r="B278" s="547" t="s">
        <v>747</v>
      </c>
      <c r="C278" s="547" t="s">
        <v>748</v>
      </c>
      <c r="D278" s="547" t="s">
        <v>679</v>
      </c>
      <c r="E278" s="547"/>
      <c r="F278" s="47"/>
      <c r="G278" s="47"/>
      <c r="H278" s="47"/>
      <c r="I278" s="47"/>
      <c r="J278" s="47"/>
    </row>
    <row r="279" spans="1:10" x14ac:dyDescent="0.3">
      <c r="A279" s="549" t="s">
        <v>678</v>
      </c>
      <c r="B279" s="549" t="s">
        <v>628</v>
      </c>
      <c r="C279" s="549" t="s">
        <v>629</v>
      </c>
      <c r="D279" s="549" t="s">
        <v>679</v>
      </c>
      <c r="E279" s="549"/>
      <c r="F279" s="47"/>
      <c r="G279" s="47"/>
      <c r="H279" s="47"/>
      <c r="I279" s="47"/>
      <c r="J279" s="47"/>
    </row>
    <row r="280" spans="1:10" x14ac:dyDescent="0.3">
      <c r="A280" s="547" t="s">
        <v>678</v>
      </c>
      <c r="B280" s="547" t="s">
        <v>591</v>
      </c>
      <c r="C280" s="547" t="s">
        <v>592</v>
      </c>
      <c r="D280" s="547" t="s">
        <v>679</v>
      </c>
      <c r="E280" s="547"/>
      <c r="F280" s="47"/>
      <c r="G280" s="47"/>
      <c r="H280" s="47"/>
      <c r="I280" s="47"/>
      <c r="J280" s="47"/>
    </row>
    <row r="281" spans="1:10" x14ac:dyDescent="0.3">
      <c r="A281" s="549" t="s">
        <v>709</v>
      </c>
      <c r="B281" s="549" t="s">
        <v>749</v>
      </c>
      <c r="C281" s="549" t="s">
        <v>750</v>
      </c>
      <c r="D281" s="549" t="s">
        <v>733</v>
      </c>
      <c r="E281" s="549"/>
      <c r="F281" s="47"/>
      <c r="G281" s="47"/>
      <c r="H281" s="47"/>
      <c r="I281" s="47"/>
      <c r="J281" s="47"/>
    </row>
    <row r="282" spans="1:10" x14ac:dyDescent="0.3">
      <c r="A282" s="547" t="s">
        <v>709</v>
      </c>
      <c r="B282" s="547" t="s">
        <v>751</v>
      </c>
      <c r="C282" s="547" t="s">
        <v>752</v>
      </c>
      <c r="D282" s="547" t="s">
        <v>733</v>
      </c>
      <c r="E282" s="547"/>
      <c r="F282" s="47"/>
      <c r="G282" s="47"/>
      <c r="H282" s="47"/>
      <c r="I282" s="47"/>
      <c r="J282" s="47"/>
    </row>
    <row r="283" spans="1:10" x14ac:dyDescent="0.3">
      <c r="A283" s="549" t="s">
        <v>709</v>
      </c>
      <c r="B283" s="549" t="s">
        <v>753</v>
      </c>
      <c r="C283" s="549" t="s">
        <v>754</v>
      </c>
      <c r="D283" s="549" t="s">
        <v>733</v>
      </c>
      <c r="E283" s="549"/>
      <c r="F283" s="47"/>
      <c r="G283" s="47"/>
      <c r="H283" s="47"/>
      <c r="I283" s="47"/>
      <c r="J283" s="47"/>
    </row>
    <row r="284" spans="1:10" x14ac:dyDescent="0.3">
      <c r="A284" s="547" t="s">
        <v>678</v>
      </c>
      <c r="B284" s="547" t="s">
        <v>618</v>
      </c>
      <c r="C284" s="547" t="s">
        <v>619</v>
      </c>
      <c r="D284" s="547" t="s">
        <v>688</v>
      </c>
      <c r="E284" s="547"/>
      <c r="F284" s="47"/>
      <c r="G284" s="47"/>
      <c r="H284" s="47"/>
      <c r="I284" s="47"/>
      <c r="J284" s="47"/>
    </row>
    <row r="285" spans="1:10" x14ac:dyDescent="0.3">
      <c r="A285" s="549" t="s">
        <v>678</v>
      </c>
      <c r="B285" s="549" t="s">
        <v>625</v>
      </c>
      <c r="C285" s="549" t="s">
        <v>626</v>
      </c>
      <c r="D285" s="549" t="s">
        <v>688</v>
      </c>
      <c r="E285" s="549"/>
      <c r="F285" s="47"/>
      <c r="G285" s="47"/>
      <c r="H285" s="47"/>
      <c r="I285" s="47"/>
      <c r="J285" s="47"/>
    </row>
    <row r="286" spans="1:10" x14ac:dyDescent="0.3">
      <c r="A286" s="547" t="s">
        <v>678</v>
      </c>
      <c r="B286" s="547" t="s">
        <v>755</v>
      </c>
      <c r="C286" s="547" t="s">
        <v>756</v>
      </c>
      <c r="D286" s="547" t="s">
        <v>757</v>
      </c>
      <c r="E286" s="547"/>
      <c r="F286" s="47"/>
      <c r="G286" s="47"/>
      <c r="H286" s="47"/>
      <c r="I286" s="47"/>
      <c r="J286" s="47"/>
    </row>
    <row r="287" spans="1:10" x14ac:dyDescent="0.3">
      <c r="A287" s="549" t="s">
        <v>678</v>
      </c>
      <c r="B287" s="549" t="s">
        <v>758</v>
      </c>
      <c r="C287" s="549" t="s">
        <v>759</v>
      </c>
      <c r="D287" s="549" t="s">
        <v>688</v>
      </c>
      <c r="E287" s="549"/>
      <c r="F287" s="47"/>
      <c r="G287" s="47"/>
      <c r="H287" s="47"/>
      <c r="I287" s="47"/>
      <c r="J287" s="47"/>
    </row>
    <row r="288" spans="1:10" x14ac:dyDescent="0.3">
      <c r="A288" s="547" t="s">
        <v>678</v>
      </c>
      <c r="B288" s="547" t="s">
        <v>760</v>
      </c>
      <c r="C288" s="547" t="s">
        <v>761</v>
      </c>
      <c r="D288" s="547" t="s">
        <v>688</v>
      </c>
      <c r="E288" s="547"/>
      <c r="F288" s="47"/>
      <c r="G288" s="47"/>
      <c r="H288" s="47"/>
      <c r="I288" s="47"/>
      <c r="J288" s="47"/>
    </row>
    <row r="289" spans="1:10" x14ac:dyDescent="0.3">
      <c r="A289" s="549" t="s">
        <v>678</v>
      </c>
      <c r="B289" s="549" t="s">
        <v>762</v>
      </c>
      <c r="C289" s="549" t="s">
        <v>763</v>
      </c>
      <c r="D289" s="549" t="s">
        <v>679</v>
      </c>
      <c r="E289" s="549"/>
      <c r="F289" s="47"/>
      <c r="G289" s="47"/>
      <c r="H289" s="47"/>
      <c r="I289" s="47"/>
      <c r="J289" s="47"/>
    </row>
    <row r="290" spans="1:10" x14ac:dyDescent="0.3">
      <c r="A290" s="547" t="s">
        <v>678</v>
      </c>
      <c r="B290" s="547" t="s">
        <v>764</v>
      </c>
      <c r="C290" s="547" t="s">
        <v>765</v>
      </c>
      <c r="D290" s="547" t="s">
        <v>688</v>
      </c>
      <c r="E290" s="547"/>
      <c r="F290" s="47"/>
      <c r="G290" s="47"/>
      <c r="H290" s="47"/>
      <c r="I290" s="47"/>
      <c r="J290" s="47"/>
    </row>
    <row r="291" spans="1:10" x14ac:dyDescent="0.3">
      <c r="A291" s="549" t="s">
        <v>678</v>
      </c>
      <c r="B291" s="549" t="s">
        <v>766</v>
      </c>
      <c r="C291" s="549" t="s">
        <v>767</v>
      </c>
      <c r="D291" s="549" t="s">
        <v>679</v>
      </c>
      <c r="E291" s="549"/>
      <c r="F291" s="47"/>
      <c r="G291" s="47"/>
      <c r="H291" s="47"/>
      <c r="I291" s="47"/>
      <c r="J291" s="47"/>
    </row>
    <row r="292" spans="1:10" x14ac:dyDescent="0.3">
      <c r="A292" s="547" t="s">
        <v>678</v>
      </c>
      <c r="B292" s="547" t="s">
        <v>768</v>
      </c>
      <c r="C292" s="547" t="s">
        <v>769</v>
      </c>
      <c r="D292" s="547" t="s">
        <v>688</v>
      </c>
      <c r="E292" s="547"/>
      <c r="F292" s="47"/>
      <c r="G292" s="47"/>
      <c r="H292" s="47"/>
      <c r="I292" s="47"/>
      <c r="J292" s="47"/>
    </row>
    <row r="293" spans="1:10" x14ac:dyDescent="0.3">
      <c r="A293" s="549" t="s">
        <v>678</v>
      </c>
      <c r="B293" s="549" t="s">
        <v>770</v>
      </c>
      <c r="C293" s="549" t="s">
        <v>771</v>
      </c>
      <c r="D293" s="549" t="s">
        <v>688</v>
      </c>
      <c r="E293" s="549"/>
      <c r="F293" s="47"/>
      <c r="G293" s="47"/>
      <c r="H293" s="47"/>
      <c r="I293" s="47"/>
      <c r="J293" s="47"/>
    </row>
    <row r="294" spans="1:10" x14ac:dyDescent="0.3">
      <c r="A294" s="547" t="s">
        <v>709</v>
      </c>
      <c r="B294" s="547" t="s">
        <v>772</v>
      </c>
      <c r="C294" s="547" t="s">
        <v>773</v>
      </c>
      <c r="D294" s="547" t="s">
        <v>733</v>
      </c>
      <c r="E294" s="547"/>
      <c r="F294" s="47"/>
      <c r="G294" s="47"/>
      <c r="H294" s="47"/>
      <c r="I294" s="47"/>
      <c r="J294" s="47"/>
    </row>
    <row r="295" spans="1:10" x14ac:dyDescent="0.3">
      <c r="A295" s="549" t="s">
        <v>678</v>
      </c>
      <c r="B295" s="549" t="s">
        <v>774</v>
      </c>
      <c r="C295" s="549" t="s">
        <v>775</v>
      </c>
      <c r="D295" s="549" t="s">
        <v>688</v>
      </c>
      <c r="E295" s="549"/>
      <c r="F295" s="47"/>
      <c r="G295" s="47"/>
      <c r="H295" s="47"/>
      <c r="I295" s="47"/>
      <c r="J295" s="47"/>
    </row>
    <row r="296" spans="1:10" x14ac:dyDescent="0.3">
      <c r="A296" s="547" t="s">
        <v>678</v>
      </c>
      <c r="B296" s="547" t="s">
        <v>776</v>
      </c>
      <c r="C296" s="547" t="s">
        <v>777</v>
      </c>
      <c r="D296" s="547" t="s">
        <v>688</v>
      </c>
      <c r="E296" s="547"/>
      <c r="F296" s="47"/>
      <c r="G296" s="47"/>
      <c r="H296" s="47"/>
      <c r="I296" s="47"/>
      <c r="J296" s="47"/>
    </row>
    <row r="297" spans="1:10" x14ac:dyDescent="0.3">
      <c r="A297" s="549" t="s">
        <v>709</v>
      </c>
      <c r="B297" s="549" t="s">
        <v>778</v>
      </c>
      <c r="C297" s="549" t="s">
        <v>779</v>
      </c>
      <c r="D297" s="549" t="s">
        <v>733</v>
      </c>
      <c r="E297" s="549"/>
      <c r="F297" s="47"/>
      <c r="G297" s="47"/>
      <c r="H297" s="47"/>
      <c r="I297" s="47"/>
      <c r="J297" s="47"/>
    </row>
    <row r="298" spans="1:10" x14ac:dyDescent="0.3">
      <c r="A298" s="547" t="s">
        <v>678</v>
      </c>
      <c r="B298" s="547" t="s">
        <v>780</v>
      </c>
      <c r="C298" s="547" t="s">
        <v>781</v>
      </c>
      <c r="D298" s="547" t="s">
        <v>688</v>
      </c>
      <c r="E298" s="547"/>
      <c r="F298" s="47"/>
      <c r="G298" s="47"/>
      <c r="H298" s="47"/>
      <c r="I298" s="47"/>
      <c r="J298" s="47"/>
    </row>
    <row r="299" spans="1:10" x14ac:dyDescent="0.3">
      <c r="A299" s="549" t="s">
        <v>678</v>
      </c>
      <c r="B299" s="549" t="s">
        <v>782</v>
      </c>
      <c r="C299" s="549" t="s">
        <v>783</v>
      </c>
      <c r="D299" s="549" t="s">
        <v>679</v>
      </c>
      <c r="E299" s="549"/>
      <c r="F299" s="47"/>
      <c r="G299" s="47"/>
      <c r="H299" s="47"/>
      <c r="I299" s="47"/>
      <c r="J299" s="47"/>
    </row>
    <row r="300" spans="1:10" x14ac:dyDescent="0.3">
      <c r="A300" s="547" t="s">
        <v>709</v>
      </c>
      <c r="B300" s="547" t="s">
        <v>784</v>
      </c>
      <c r="C300" s="547" t="s">
        <v>785</v>
      </c>
      <c r="D300" s="547" t="s">
        <v>712</v>
      </c>
      <c r="E300" s="547"/>
      <c r="F300" s="47"/>
      <c r="G300" s="47"/>
      <c r="H300" s="47"/>
      <c r="I300" s="47"/>
      <c r="J300" s="47"/>
    </row>
    <row r="301" spans="1:10" x14ac:dyDescent="0.3">
      <c r="A301" s="549" t="s">
        <v>678</v>
      </c>
      <c r="B301" s="549" t="s">
        <v>786</v>
      </c>
      <c r="C301" s="549" t="s">
        <v>787</v>
      </c>
      <c r="D301" s="549" t="s">
        <v>679</v>
      </c>
      <c r="E301" s="549"/>
      <c r="F301" s="47"/>
      <c r="G301" s="47"/>
      <c r="H301" s="47"/>
      <c r="I301" s="47"/>
      <c r="J301" s="47"/>
    </row>
    <row r="302" spans="1:10" x14ac:dyDescent="0.3">
      <c r="A302" s="547" t="s">
        <v>709</v>
      </c>
      <c r="B302" s="547" t="s">
        <v>788</v>
      </c>
      <c r="C302" s="547" t="s">
        <v>789</v>
      </c>
      <c r="D302" s="547" t="s">
        <v>712</v>
      </c>
      <c r="E302" s="547"/>
      <c r="F302" s="47"/>
      <c r="G302" s="47"/>
      <c r="H302" s="47"/>
      <c r="I302" s="47"/>
      <c r="J302" s="47"/>
    </row>
    <row r="303" spans="1:10" x14ac:dyDescent="0.3">
      <c r="A303" s="549" t="s">
        <v>709</v>
      </c>
      <c r="B303" s="549" t="s">
        <v>790</v>
      </c>
      <c r="C303" s="549" t="s">
        <v>791</v>
      </c>
      <c r="D303" s="549" t="s">
        <v>712</v>
      </c>
      <c r="E303" s="549"/>
      <c r="F303" s="47"/>
      <c r="G303" s="47"/>
      <c r="H303" s="47"/>
      <c r="I303" s="47"/>
      <c r="J303" s="47"/>
    </row>
    <row r="304" spans="1:10" x14ac:dyDescent="0.3">
      <c r="A304" s="547" t="s">
        <v>678</v>
      </c>
      <c r="B304" s="547" t="s">
        <v>792</v>
      </c>
      <c r="C304" s="547" t="s">
        <v>793</v>
      </c>
      <c r="D304" s="547" t="s">
        <v>738</v>
      </c>
      <c r="E304" s="547"/>
      <c r="F304" s="47"/>
      <c r="G304" s="47"/>
      <c r="H304" s="47"/>
      <c r="I304" s="47"/>
      <c r="J304" s="47"/>
    </row>
    <row r="305" spans="1:10" x14ac:dyDescent="0.3">
      <c r="A305" s="549" t="s">
        <v>709</v>
      </c>
      <c r="B305" s="549" t="s">
        <v>794</v>
      </c>
      <c r="C305" s="549" t="s">
        <v>795</v>
      </c>
      <c r="D305" s="549" t="s">
        <v>733</v>
      </c>
      <c r="E305" s="549"/>
      <c r="F305" s="47"/>
      <c r="G305" s="47"/>
      <c r="H305" s="47"/>
      <c r="I305" s="47"/>
      <c r="J305" s="47"/>
    </row>
    <row r="306" spans="1:10" x14ac:dyDescent="0.3">
      <c r="A306" s="547" t="s">
        <v>678</v>
      </c>
      <c r="B306" s="547" t="s">
        <v>796</v>
      </c>
      <c r="C306" s="547" t="s">
        <v>797</v>
      </c>
      <c r="D306" s="547" t="s">
        <v>679</v>
      </c>
      <c r="E306" s="547"/>
      <c r="F306" s="47"/>
      <c r="G306" s="47"/>
      <c r="H306" s="47"/>
      <c r="I306" s="47"/>
      <c r="J306" s="47"/>
    </row>
    <row r="307" spans="1:10" x14ac:dyDescent="0.3">
      <c r="A307" s="549" t="s">
        <v>709</v>
      </c>
      <c r="B307" s="549" t="s">
        <v>798</v>
      </c>
      <c r="C307" s="549" t="s">
        <v>799</v>
      </c>
      <c r="D307" s="549" t="s">
        <v>733</v>
      </c>
      <c r="E307" s="549"/>
      <c r="F307" s="47"/>
      <c r="G307" s="47"/>
      <c r="H307" s="47"/>
      <c r="I307" s="47"/>
      <c r="J307" s="47"/>
    </row>
    <row r="308" spans="1:10" x14ac:dyDescent="0.3">
      <c r="A308" s="547" t="s">
        <v>709</v>
      </c>
      <c r="B308" s="547" t="s">
        <v>800</v>
      </c>
      <c r="C308" s="547" t="s">
        <v>801</v>
      </c>
      <c r="D308" s="547" t="s">
        <v>733</v>
      </c>
      <c r="E308" s="547"/>
      <c r="F308" s="47"/>
      <c r="G308" s="47"/>
      <c r="H308" s="47"/>
      <c r="I308" s="47"/>
      <c r="J308" s="47"/>
    </row>
    <row r="309" spans="1:10" x14ac:dyDescent="0.3">
      <c r="A309" s="549" t="s">
        <v>678</v>
      </c>
      <c r="B309" s="549" t="s">
        <v>802</v>
      </c>
      <c r="C309" s="549" t="s">
        <v>803</v>
      </c>
      <c r="D309" s="549" t="s">
        <v>804</v>
      </c>
      <c r="E309" s="549"/>
      <c r="F309" s="47"/>
      <c r="G309" s="47"/>
      <c r="H309" s="47"/>
      <c r="I309" s="47"/>
      <c r="J309" s="47"/>
    </row>
    <row r="310" spans="1:10" x14ac:dyDescent="0.3">
      <c r="A310" s="547" t="s">
        <v>678</v>
      </c>
      <c r="B310" s="547" t="s">
        <v>805</v>
      </c>
      <c r="C310" s="547" t="s">
        <v>806</v>
      </c>
      <c r="D310" s="547" t="s">
        <v>679</v>
      </c>
      <c r="E310" s="547"/>
      <c r="F310" s="47"/>
      <c r="G310" s="47"/>
      <c r="H310" s="47"/>
      <c r="I310" s="47"/>
      <c r="J310" s="47"/>
    </row>
    <row r="311" spans="1:10" x14ac:dyDescent="0.3">
      <c r="A311" s="549" t="s">
        <v>678</v>
      </c>
      <c r="B311" s="549" t="s">
        <v>807</v>
      </c>
      <c r="C311" s="549" t="s">
        <v>808</v>
      </c>
      <c r="D311" s="549" t="s">
        <v>679</v>
      </c>
      <c r="E311" s="549"/>
      <c r="F311" s="47"/>
      <c r="G311" s="47"/>
      <c r="H311" s="47"/>
      <c r="I311" s="47"/>
      <c r="J311" s="47"/>
    </row>
    <row r="312" spans="1:10" x14ac:dyDescent="0.3">
      <c r="A312" s="547" t="s">
        <v>678</v>
      </c>
      <c r="B312" s="547" t="s">
        <v>809</v>
      </c>
      <c r="C312" s="547" t="s">
        <v>810</v>
      </c>
      <c r="D312" s="547" t="s">
        <v>804</v>
      </c>
      <c r="E312" s="547"/>
      <c r="F312" s="47"/>
      <c r="G312" s="47"/>
      <c r="H312" s="47"/>
      <c r="I312" s="47"/>
      <c r="J312" s="47"/>
    </row>
    <row r="313" spans="1:10" x14ac:dyDescent="0.3">
      <c r="A313" s="549" t="s">
        <v>709</v>
      </c>
      <c r="B313" s="549" t="s">
        <v>811</v>
      </c>
      <c r="C313" s="549" t="s">
        <v>812</v>
      </c>
      <c r="D313" s="549" t="s">
        <v>733</v>
      </c>
      <c r="E313" s="549"/>
      <c r="F313" s="47"/>
      <c r="G313" s="47"/>
      <c r="H313" s="47"/>
      <c r="I313" s="47"/>
      <c r="J313" s="47"/>
    </row>
    <row r="314" spans="1:10" x14ac:dyDescent="0.3">
      <c r="A314" s="547" t="s">
        <v>709</v>
      </c>
      <c r="B314" s="547" t="s">
        <v>813</v>
      </c>
      <c r="C314" s="547" t="s">
        <v>814</v>
      </c>
      <c r="D314" s="547" t="s">
        <v>712</v>
      </c>
      <c r="E314" s="547"/>
      <c r="F314" s="47"/>
      <c r="G314" s="47"/>
      <c r="H314" s="47"/>
      <c r="I314" s="47"/>
      <c r="J314" s="47"/>
    </row>
    <row r="315" spans="1:10" x14ac:dyDescent="0.3">
      <c r="A315" s="549" t="s">
        <v>709</v>
      </c>
      <c r="B315" s="549" t="s">
        <v>815</v>
      </c>
      <c r="C315" s="549" t="s">
        <v>816</v>
      </c>
      <c r="D315" s="549" t="s">
        <v>712</v>
      </c>
      <c r="E315" s="549"/>
      <c r="F315" s="47"/>
      <c r="G315" s="47"/>
      <c r="H315" s="47"/>
      <c r="I315" s="47"/>
      <c r="J315" s="47"/>
    </row>
    <row r="316" spans="1:10" x14ac:dyDescent="0.3">
      <c r="A316" s="547" t="s">
        <v>709</v>
      </c>
      <c r="B316" s="547" t="s">
        <v>817</v>
      </c>
      <c r="C316" s="547" t="s">
        <v>818</v>
      </c>
      <c r="D316" s="547" t="s">
        <v>712</v>
      </c>
      <c r="E316" s="547"/>
      <c r="F316" s="47"/>
      <c r="G316" s="47"/>
      <c r="H316" s="47"/>
      <c r="I316" s="47"/>
      <c r="J316" s="47"/>
    </row>
    <row r="317" spans="1:10" x14ac:dyDescent="0.3">
      <c r="A317" s="549" t="s">
        <v>678</v>
      </c>
      <c r="B317" s="549" t="s">
        <v>819</v>
      </c>
      <c r="C317" s="549" t="s">
        <v>820</v>
      </c>
      <c r="D317" s="549" t="s">
        <v>679</v>
      </c>
      <c r="E317" s="549"/>
      <c r="F317" s="47"/>
      <c r="G317" s="47"/>
      <c r="H317" s="47"/>
      <c r="I317" s="47"/>
      <c r="J317" s="47"/>
    </row>
    <row r="318" spans="1:10" x14ac:dyDescent="0.3">
      <c r="A318" s="547" t="s">
        <v>709</v>
      </c>
      <c r="B318" s="547" t="s">
        <v>821</v>
      </c>
      <c r="C318" s="547" t="s">
        <v>822</v>
      </c>
      <c r="D318" s="547" t="s">
        <v>733</v>
      </c>
      <c r="E318" s="547"/>
      <c r="F318" s="47"/>
      <c r="G318" s="47"/>
      <c r="H318" s="47"/>
      <c r="I318" s="47"/>
      <c r="J318" s="47"/>
    </row>
    <row r="319" spans="1:10" x14ac:dyDescent="0.3">
      <c r="A319" s="549" t="s">
        <v>709</v>
      </c>
      <c r="B319" s="549" t="s">
        <v>823</v>
      </c>
      <c r="C319" s="549" t="s">
        <v>824</v>
      </c>
      <c r="D319" s="549" t="s">
        <v>733</v>
      </c>
      <c r="E319" s="549"/>
      <c r="F319" s="47"/>
      <c r="G319" s="47"/>
      <c r="H319" s="47"/>
      <c r="I319" s="47"/>
      <c r="J319" s="47"/>
    </row>
    <row r="320" spans="1:10" x14ac:dyDescent="0.3">
      <c r="A320" s="547" t="s">
        <v>709</v>
      </c>
      <c r="B320" s="547" t="s">
        <v>825</v>
      </c>
      <c r="C320" s="547" t="s">
        <v>826</v>
      </c>
      <c r="D320" s="547" t="s">
        <v>712</v>
      </c>
      <c r="E320" s="547"/>
      <c r="F320" s="47"/>
      <c r="G320" s="47"/>
      <c r="H320" s="47"/>
      <c r="I320" s="47"/>
      <c r="J320" s="47"/>
    </row>
    <row r="321" spans="1:10" x14ac:dyDescent="0.3">
      <c r="A321" s="549" t="s">
        <v>709</v>
      </c>
      <c r="B321" s="549" t="s">
        <v>827</v>
      </c>
      <c r="C321" s="549" t="s">
        <v>828</v>
      </c>
      <c r="D321" s="549" t="s">
        <v>712</v>
      </c>
      <c r="E321" s="549"/>
      <c r="F321" s="47"/>
      <c r="G321" s="47"/>
      <c r="H321" s="47"/>
      <c r="I321" s="47"/>
      <c r="J321" s="47"/>
    </row>
    <row r="322" spans="1:10" x14ac:dyDescent="0.3">
      <c r="A322" s="547" t="s">
        <v>829</v>
      </c>
      <c r="B322" s="547" t="s">
        <v>830</v>
      </c>
      <c r="C322" s="547" t="s">
        <v>831</v>
      </c>
      <c r="D322" s="547" t="s">
        <v>832</v>
      </c>
      <c r="E322" s="547"/>
      <c r="F322" s="47"/>
      <c r="G322" s="47"/>
      <c r="H322" s="47"/>
      <c r="I322" s="47"/>
      <c r="J322" s="47"/>
    </row>
    <row r="323" spans="1:10" x14ac:dyDescent="0.3">
      <c r="A323" s="549" t="s">
        <v>678</v>
      </c>
      <c r="B323" s="549" t="s">
        <v>833</v>
      </c>
      <c r="C323" s="549" t="s">
        <v>834</v>
      </c>
      <c r="D323" s="549" t="s">
        <v>688</v>
      </c>
      <c r="E323" s="549"/>
      <c r="F323" s="47"/>
      <c r="G323" s="47"/>
      <c r="H323" s="47"/>
      <c r="I323" s="47"/>
      <c r="J323" s="47"/>
    </row>
    <row r="324" spans="1:10" x14ac:dyDescent="0.3">
      <c r="A324" s="547" t="s">
        <v>678</v>
      </c>
      <c r="B324" s="547" t="s">
        <v>835</v>
      </c>
      <c r="C324" s="547" t="s">
        <v>836</v>
      </c>
      <c r="D324" s="547" t="s">
        <v>679</v>
      </c>
      <c r="E324" s="547"/>
      <c r="F324" s="47"/>
      <c r="G324" s="47"/>
      <c r="H324" s="47"/>
      <c r="I324" s="47"/>
      <c r="J324" s="47"/>
    </row>
    <row r="325" spans="1:10" x14ac:dyDescent="0.3">
      <c r="A325" s="549" t="s">
        <v>678</v>
      </c>
      <c r="B325" s="549" t="s">
        <v>837</v>
      </c>
      <c r="C325" s="549" t="s">
        <v>838</v>
      </c>
      <c r="D325" s="549" t="s">
        <v>688</v>
      </c>
      <c r="E325" s="549"/>
      <c r="F325" s="47"/>
      <c r="G325" s="47"/>
      <c r="H325" s="47"/>
      <c r="I325" s="47"/>
      <c r="J325" s="47"/>
    </row>
    <row r="326" spans="1:10" x14ac:dyDescent="0.3">
      <c r="A326" s="547" t="s">
        <v>709</v>
      </c>
      <c r="B326" s="547" t="s">
        <v>839</v>
      </c>
      <c r="C326" s="547" t="s">
        <v>840</v>
      </c>
      <c r="D326" s="547" t="s">
        <v>733</v>
      </c>
      <c r="E326" s="547"/>
      <c r="F326" s="47"/>
      <c r="G326" s="47"/>
      <c r="H326" s="47"/>
      <c r="I326" s="47"/>
      <c r="J326" s="47"/>
    </row>
    <row r="327" spans="1:10" x14ac:dyDescent="0.3">
      <c r="A327" s="549" t="s">
        <v>678</v>
      </c>
      <c r="B327" s="549" t="s">
        <v>841</v>
      </c>
      <c r="C327" s="549" t="s">
        <v>842</v>
      </c>
      <c r="D327" s="549" t="s">
        <v>804</v>
      </c>
      <c r="E327" s="549"/>
      <c r="F327" s="47"/>
      <c r="G327" s="47"/>
      <c r="H327" s="47"/>
      <c r="I327" s="47"/>
      <c r="J327" s="47"/>
    </row>
    <row r="328" spans="1:10" x14ac:dyDescent="0.3">
      <c r="A328" s="547" t="s">
        <v>709</v>
      </c>
      <c r="B328" s="547" t="s">
        <v>843</v>
      </c>
      <c r="C328" s="547" t="s">
        <v>844</v>
      </c>
      <c r="D328" s="547" t="s">
        <v>733</v>
      </c>
      <c r="E328" s="547"/>
      <c r="F328" s="47"/>
      <c r="G328" s="47"/>
      <c r="H328" s="47"/>
      <c r="I328" s="47"/>
      <c r="J328" s="47"/>
    </row>
    <row r="329" spans="1:10" x14ac:dyDescent="0.3">
      <c r="A329" s="549" t="s">
        <v>709</v>
      </c>
      <c r="B329" s="549" t="s">
        <v>845</v>
      </c>
      <c r="C329" s="549" t="s">
        <v>846</v>
      </c>
      <c r="D329" s="549" t="s">
        <v>712</v>
      </c>
      <c r="E329" s="549"/>
      <c r="F329" s="47"/>
      <c r="G329" s="47"/>
      <c r="H329" s="47"/>
      <c r="I329" s="47"/>
      <c r="J329" s="47"/>
    </row>
    <row r="330" spans="1:10" x14ac:dyDescent="0.3">
      <c r="A330" s="547" t="s">
        <v>678</v>
      </c>
      <c r="B330" s="547" t="s">
        <v>847</v>
      </c>
      <c r="C330" s="547" t="s">
        <v>848</v>
      </c>
      <c r="D330" s="547" t="s">
        <v>804</v>
      </c>
      <c r="E330" s="547"/>
      <c r="F330" s="47"/>
      <c r="G330" s="47"/>
      <c r="H330" s="47"/>
      <c r="I330" s="47"/>
      <c r="J330" s="47"/>
    </row>
    <row r="331" spans="1:10" x14ac:dyDescent="0.3">
      <c r="A331" s="549" t="s">
        <v>709</v>
      </c>
      <c r="B331" s="549" t="s">
        <v>849</v>
      </c>
      <c r="C331" s="549" t="s">
        <v>850</v>
      </c>
      <c r="D331" s="549" t="s">
        <v>733</v>
      </c>
      <c r="E331" s="549"/>
      <c r="F331" s="47"/>
      <c r="G331" s="47"/>
      <c r="H331" s="47"/>
      <c r="I331" s="47"/>
      <c r="J331" s="47"/>
    </row>
    <row r="332" spans="1:10" x14ac:dyDescent="0.3">
      <c r="A332" s="547" t="s">
        <v>678</v>
      </c>
      <c r="B332" s="547" t="s">
        <v>851</v>
      </c>
      <c r="C332" s="547" t="s">
        <v>852</v>
      </c>
      <c r="D332" s="547" t="s">
        <v>679</v>
      </c>
      <c r="E332" s="547"/>
      <c r="F332" s="47"/>
      <c r="G332" s="47"/>
      <c r="H332" s="47"/>
      <c r="I332" s="47"/>
      <c r="J332" s="47"/>
    </row>
    <row r="333" spans="1:10" x14ac:dyDescent="0.3">
      <c r="A333" s="549" t="s">
        <v>678</v>
      </c>
      <c r="B333" s="549" t="s">
        <v>853</v>
      </c>
      <c r="C333" s="549" t="s">
        <v>854</v>
      </c>
      <c r="D333" s="549" t="s">
        <v>679</v>
      </c>
      <c r="E333" s="549"/>
      <c r="F333" s="47"/>
      <c r="G333" s="47"/>
      <c r="H333" s="47"/>
      <c r="I333" s="47"/>
      <c r="J333" s="47"/>
    </row>
    <row r="334" spans="1:10" x14ac:dyDescent="0.3">
      <c r="A334" s="547" t="s">
        <v>678</v>
      </c>
      <c r="B334" s="547" t="s">
        <v>855</v>
      </c>
      <c r="C334" s="547" t="s">
        <v>856</v>
      </c>
      <c r="D334" s="547" t="s">
        <v>679</v>
      </c>
      <c r="E334" s="547"/>
      <c r="F334" s="47"/>
      <c r="G334" s="47"/>
      <c r="H334" s="47"/>
      <c r="I334" s="47"/>
      <c r="J334" s="47"/>
    </row>
    <row r="335" spans="1:10" x14ac:dyDescent="0.3">
      <c r="A335" s="549" t="s">
        <v>678</v>
      </c>
      <c r="B335" s="549" t="s">
        <v>857</v>
      </c>
      <c r="C335" s="549" t="s">
        <v>858</v>
      </c>
      <c r="D335" s="549" t="s">
        <v>679</v>
      </c>
      <c r="E335" s="549"/>
      <c r="F335" s="47"/>
      <c r="G335" s="47"/>
      <c r="H335" s="47"/>
      <c r="I335" s="47"/>
      <c r="J335" s="47"/>
    </row>
    <row r="336" spans="1:10" x14ac:dyDescent="0.3">
      <c r="A336" s="547" t="s">
        <v>678</v>
      </c>
      <c r="B336" s="547" t="s">
        <v>859</v>
      </c>
      <c r="C336" s="547" t="s">
        <v>860</v>
      </c>
      <c r="D336" s="547" t="s">
        <v>679</v>
      </c>
      <c r="E336" s="547"/>
      <c r="F336" s="47"/>
      <c r="G336" s="47"/>
      <c r="H336" s="47"/>
      <c r="I336" s="47"/>
      <c r="J336" s="47"/>
    </row>
    <row r="337" spans="1:10" x14ac:dyDescent="0.3">
      <c r="A337" s="549" t="s">
        <v>678</v>
      </c>
      <c r="B337" s="549" t="s">
        <v>861</v>
      </c>
      <c r="C337" s="549" t="s">
        <v>862</v>
      </c>
      <c r="D337" s="549" t="s">
        <v>679</v>
      </c>
      <c r="E337" s="549"/>
      <c r="F337" s="47"/>
      <c r="G337" s="47"/>
      <c r="H337" s="47"/>
      <c r="I337" s="47"/>
      <c r="J337" s="47"/>
    </row>
    <row r="338" spans="1:10" x14ac:dyDescent="0.3">
      <c r="A338" s="547" t="s">
        <v>678</v>
      </c>
      <c r="B338" s="547" t="s">
        <v>863</v>
      </c>
      <c r="C338" s="547" t="s">
        <v>864</v>
      </c>
      <c r="D338" s="547" t="s">
        <v>679</v>
      </c>
      <c r="E338" s="547"/>
      <c r="F338" s="47"/>
      <c r="G338" s="47"/>
      <c r="H338" s="47"/>
      <c r="I338" s="47"/>
      <c r="J338" s="47"/>
    </row>
    <row r="339" spans="1:10" x14ac:dyDescent="0.3">
      <c r="A339" s="549" t="s">
        <v>678</v>
      </c>
      <c r="B339" s="549" t="s">
        <v>865</v>
      </c>
      <c r="C339" s="549" t="s">
        <v>866</v>
      </c>
      <c r="D339" s="549" t="s">
        <v>679</v>
      </c>
      <c r="E339" s="549"/>
      <c r="F339" s="47"/>
      <c r="G339" s="47"/>
      <c r="H339" s="47"/>
      <c r="I339" s="47"/>
      <c r="J339" s="47"/>
    </row>
    <row r="340" spans="1:10" ht="21" x14ac:dyDescent="0.3">
      <c r="A340" s="113"/>
      <c r="B340" s="113"/>
      <c r="C340" s="113"/>
      <c r="D340" s="113"/>
      <c r="E340" s="364">
        <f>(COUNTIF(E230:E339,"Sim")/(COUNTA(B230:B339)))</f>
        <v>0</v>
      </c>
      <c r="F340" s="47"/>
      <c r="G340" s="47"/>
      <c r="H340" s="47"/>
      <c r="I340" s="47"/>
      <c r="J340" s="47"/>
    </row>
    <row r="341" spans="1:10" x14ac:dyDescent="0.3">
      <c r="H341" s="47"/>
      <c r="I341" s="47"/>
      <c r="J341" s="47"/>
    </row>
    <row r="342" spans="1:10" ht="15.6" x14ac:dyDescent="0.3">
      <c r="A342" s="100" t="s">
        <v>547</v>
      </c>
      <c r="B342" s="100"/>
      <c r="C342" s="100"/>
      <c r="D342" s="99" t="s">
        <v>548</v>
      </c>
      <c r="E342" s="99" t="s">
        <v>73</v>
      </c>
      <c r="F342" s="99" t="s">
        <v>74</v>
      </c>
      <c r="H342" s="47"/>
      <c r="I342" s="47"/>
      <c r="J342" s="47"/>
    </row>
    <row r="343" spans="1:10" x14ac:dyDescent="0.3">
      <c r="A343" s="112" t="s">
        <v>867</v>
      </c>
      <c r="B343" s="112" t="s">
        <v>551</v>
      </c>
      <c r="C343" s="333"/>
      <c r="D343" s="109">
        <v>1</v>
      </c>
      <c r="E343" s="650" t="s">
        <v>287</v>
      </c>
      <c r="F343" s="109" t="s">
        <v>488</v>
      </c>
      <c r="H343" s="47"/>
      <c r="I343" s="47"/>
      <c r="J343" s="47"/>
    </row>
    <row r="344" spans="1:10" x14ac:dyDescent="0.3">
      <c r="A344" s="344" t="s">
        <v>867</v>
      </c>
      <c r="B344" s="345" t="s">
        <v>559</v>
      </c>
      <c r="C344" s="346"/>
      <c r="D344" s="106">
        <v>1</v>
      </c>
      <c r="E344" s="106" t="s">
        <v>287</v>
      </c>
      <c r="F344" s="106" t="s">
        <v>287</v>
      </c>
      <c r="H344" s="47"/>
      <c r="I344" s="47"/>
      <c r="J344" s="47"/>
    </row>
    <row r="345" spans="1:10" x14ac:dyDescent="0.3">
      <c r="A345" s="112" t="s">
        <v>867</v>
      </c>
      <c r="B345" s="112" t="s">
        <v>868</v>
      </c>
      <c r="C345" s="333"/>
      <c r="D345" s="109">
        <v>1</v>
      </c>
      <c r="E345" s="109" t="s">
        <v>287</v>
      </c>
      <c r="F345" s="109" t="s">
        <v>287</v>
      </c>
      <c r="H345" s="47"/>
      <c r="I345" s="47"/>
      <c r="J345" s="47"/>
    </row>
    <row r="346" spans="1:10" x14ac:dyDescent="0.3">
      <c r="A346" s="344" t="s">
        <v>867</v>
      </c>
      <c r="B346" s="345" t="s">
        <v>645</v>
      </c>
      <c r="C346" s="346"/>
      <c r="D346" s="106">
        <v>1</v>
      </c>
      <c r="E346" s="106" t="s">
        <v>488</v>
      </c>
      <c r="F346" s="106" t="s">
        <v>488</v>
      </c>
      <c r="H346" s="47"/>
      <c r="I346" s="47"/>
      <c r="J346" s="47"/>
    </row>
    <row r="347" spans="1:10" x14ac:dyDescent="0.3">
      <c r="A347" s="112" t="s">
        <v>867</v>
      </c>
      <c r="B347" s="112" t="s">
        <v>602</v>
      </c>
      <c r="C347" s="333"/>
      <c r="D347" s="109">
        <v>1</v>
      </c>
      <c r="E347" s="650" t="s">
        <v>287</v>
      </c>
      <c r="F347" s="109" t="s">
        <v>488</v>
      </c>
      <c r="H347" s="47"/>
      <c r="I347" s="47"/>
      <c r="J347" s="47"/>
    </row>
    <row r="348" spans="1:10" x14ac:dyDescent="0.3">
      <c r="A348" s="344" t="s">
        <v>869</v>
      </c>
      <c r="B348" s="345" t="s">
        <v>583</v>
      </c>
      <c r="C348" s="541"/>
      <c r="D348" s="106">
        <v>1</v>
      </c>
      <c r="E348" s="106" t="s">
        <v>488</v>
      </c>
      <c r="F348" s="106" t="s">
        <v>488</v>
      </c>
      <c r="H348" s="47"/>
      <c r="I348" s="47"/>
      <c r="J348" s="47"/>
    </row>
    <row r="349" spans="1:10" x14ac:dyDescent="0.3">
      <c r="A349" s="112" t="s">
        <v>869</v>
      </c>
      <c r="B349" s="112" t="s">
        <v>639</v>
      </c>
      <c r="C349" s="333"/>
      <c r="D349" s="109">
        <v>1</v>
      </c>
      <c r="E349" s="109" t="s">
        <v>287</v>
      </c>
      <c r="F349" s="109" t="s">
        <v>287</v>
      </c>
      <c r="H349" s="47"/>
      <c r="I349" s="47"/>
      <c r="J349" s="47"/>
    </row>
    <row r="350" spans="1:10" x14ac:dyDescent="0.3">
      <c r="A350" s="344" t="s">
        <v>869</v>
      </c>
      <c r="B350" s="345" t="s">
        <v>599</v>
      </c>
      <c r="C350" s="346"/>
      <c r="D350" s="106">
        <v>1</v>
      </c>
      <c r="E350" s="664" t="s">
        <v>287</v>
      </c>
      <c r="F350" s="106" t="s">
        <v>488</v>
      </c>
      <c r="H350" s="47"/>
      <c r="I350" s="47"/>
      <c r="J350" s="47"/>
    </row>
    <row r="351" spans="1:10" x14ac:dyDescent="0.3">
      <c r="A351" s="112" t="s">
        <v>869</v>
      </c>
      <c r="B351" s="112" t="s">
        <v>870</v>
      </c>
      <c r="C351" s="333"/>
      <c r="D351" s="109">
        <v>1</v>
      </c>
      <c r="E351" s="109" t="s">
        <v>488</v>
      </c>
      <c r="F351" s="109" t="s">
        <v>488</v>
      </c>
      <c r="H351" s="47"/>
      <c r="I351" s="47"/>
      <c r="J351" s="47"/>
    </row>
    <row r="352" spans="1:10" x14ac:dyDescent="0.3">
      <c r="A352" s="344" t="s">
        <v>869</v>
      </c>
      <c r="B352" s="345" t="s">
        <v>642</v>
      </c>
      <c r="C352" s="346"/>
      <c r="D352" s="106">
        <v>1</v>
      </c>
      <c r="E352" s="106" t="s">
        <v>488</v>
      </c>
      <c r="F352" s="106" t="s">
        <v>488</v>
      </c>
      <c r="H352" s="47"/>
      <c r="I352" s="47"/>
      <c r="J352" s="47"/>
    </row>
    <row r="353" spans="1:6" x14ac:dyDescent="0.3">
      <c r="A353" s="112" t="s">
        <v>871</v>
      </c>
      <c r="B353" s="112" t="s">
        <v>627</v>
      </c>
      <c r="C353" s="333"/>
      <c r="D353" s="109">
        <v>1</v>
      </c>
      <c r="E353" s="109" t="s">
        <v>488</v>
      </c>
      <c r="F353" s="109" t="s">
        <v>488</v>
      </c>
    </row>
    <row r="354" spans="1:6" x14ac:dyDescent="0.3">
      <c r="A354" s="344" t="s">
        <v>871</v>
      </c>
      <c r="B354" s="345" t="s">
        <v>872</v>
      </c>
      <c r="C354" s="346"/>
      <c r="D354" s="106">
        <v>1</v>
      </c>
      <c r="E354" s="106" t="s">
        <v>488</v>
      </c>
      <c r="F354" s="106" t="s">
        <v>488</v>
      </c>
    </row>
    <row r="355" spans="1:6" x14ac:dyDescent="0.3">
      <c r="A355" s="112" t="s">
        <v>871</v>
      </c>
      <c r="B355" s="112" t="s">
        <v>634</v>
      </c>
      <c r="C355" s="333"/>
      <c r="D355" s="109">
        <v>1</v>
      </c>
      <c r="E355" s="109" t="s">
        <v>488</v>
      </c>
      <c r="F355" s="109" t="s">
        <v>488</v>
      </c>
    </row>
    <row r="356" spans="1:6" x14ac:dyDescent="0.3">
      <c r="A356" s="344" t="s">
        <v>871</v>
      </c>
      <c r="B356" s="345" t="s">
        <v>873</v>
      </c>
      <c r="C356" s="346"/>
      <c r="D356" s="106">
        <v>1</v>
      </c>
      <c r="E356" s="106" t="s">
        <v>488</v>
      </c>
      <c r="F356" s="106" t="s">
        <v>488</v>
      </c>
    </row>
    <row r="357" spans="1:6" x14ac:dyDescent="0.3">
      <c r="A357" s="112" t="s">
        <v>871</v>
      </c>
      <c r="B357" s="112" t="s">
        <v>874</v>
      </c>
      <c r="C357" s="333"/>
      <c r="D357" s="109">
        <v>1</v>
      </c>
      <c r="E357" s="650" t="s">
        <v>287</v>
      </c>
      <c r="F357" s="109" t="s">
        <v>488</v>
      </c>
    </row>
    <row r="358" spans="1:6" x14ac:dyDescent="0.3">
      <c r="A358" s="344" t="s">
        <v>871</v>
      </c>
      <c r="B358" s="345" t="s">
        <v>875</v>
      </c>
      <c r="C358" s="346"/>
      <c r="D358" s="106">
        <v>1</v>
      </c>
      <c r="E358" s="664" t="s">
        <v>287</v>
      </c>
      <c r="F358" s="106" t="s">
        <v>488</v>
      </c>
    </row>
    <row r="359" spans="1:6" x14ac:dyDescent="0.3">
      <c r="A359" s="112" t="s">
        <v>871</v>
      </c>
      <c r="B359" s="112" t="s">
        <v>876</v>
      </c>
      <c r="C359" s="333"/>
      <c r="D359" s="109">
        <v>1</v>
      </c>
      <c r="E359" s="650" t="s">
        <v>287</v>
      </c>
      <c r="F359" s="109" t="s">
        <v>488</v>
      </c>
    </row>
    <row r="360" spans="1:6" x14ac:dyDescent="0.3">
      <c r="A360" s="344" t="s">
        <v>877</v>
      </c>
      <c r="B360" s="345" t="s">
        <v>563</v>
      </c>
      <c r="C360" s="346"/>
      <c r="D360" s="106">
        <v>1</v>
      </c>
      <c r="E360" s="106" t="s">
        <v>287</v>
      </c>
      <c r="F360" s="106" t="s">
        <v>287</v>
      </c>
    </row>
    <row r="361" spans="1:6" x14ac:dyDescent="0.3">
      <c r="A361" s="112" t="s">
        <v>877</v>
      </c>
      <c r="B361" s="112" t="s">
        <v>596</v>
      </c>
      <c r="C361" s="333"/>
      <c r="D361" s="109">
        <v>1</v>
      </c>
      <c r="E361" s="109" t="s">
        <v>488</v>
      </c>
      <c r="F361" s="109" t="s">
        <v>488</v>
      </c>
    </row>
    <row r="362" spans="1:6" x14ac:dyDescent="0.3">
      <c r="A362" s="344" t="s">
        <v>877</v>
      </c>
      <c r="B362" s="345" t="s">
        <v>587</v>
      </c>
      <c r="C362" s="541"/>
      <c r="D362" s="106">
        <v>1</v>
      </c>
      <c r="E362" s="106" t="s">
        <v>488</v>
      </c>
      <c r="F362" s="106" t="s">
        <v>488</v>
      </c>
    </row>
    <row r="363" spans="1:6" x14ac:dyDescent="0.3">
      <c r="A363" s="112" t="s">
        <v>877</v>
      </c>
      <c r="B363" s="112" t="s">
        <v>878</v>
      </c>
      <c r="C363" s="333"/>
      <c r="D363" s="109">
        <v>1</v>
      </c>
      <c r="E363" s="650" t="s">
        <v>287</v>
      </c>
      <c r="F363" s="109" t="s">
        <v>488</v>
      </c>
    </row>
    <row r="364" spans="1:6" x14ac:dyDescent="0.3">
      <c r="A364" s="344" t="s">
        <v>877</v>
      </c>
      <c r="B364" s="345" t="s">
        <v>590</v>
      </c>
      <c r="C364" s="346"/>
      <c r="D364" s="106">
        <v>1</v>
      </c>
      <c r="E364" s="106" t="s">
        <v>287</v>
      </c>
      <c r="F364" s="106" t="s">
        <v>287</v>
      </c>
    </row>
    <row r="365" spans="1:6" x14ac:dyDescent="0.3">
      <c r="A365" s="112" t="s">
        <v>877</v>
      </c>
      <c r="B365" s="112" t="s">
        <v>593</v>
      </c>
      <c r="C365" s="333"/>
      <c r="D365" s="109">
        <v>1</v>
      </c>
      <c r="E365" s="109" t="s">
        <v>287</v>
      </c>
      <c r="F365" s="109" t="s">
        <v>287</v>
      </c>
    </row>
    <row r="366" spans="1:6" x14ac:dyDescent="0.3">
      <c r="A366" s="344" t="s">
        <v>877</v>
      </c>
      <c r="B366" s="345" t="s">
        <v>879</v>
      </c>
      <c r="C366" s="346"/>
      <c r="D366" s="106">
        <v>1</v>
      </c>
      <c r="E366" s="746" t="s">
        <v>287</v>
      </c>
      <c r="F366" s="106" t="s">
        <v>287</v>
      </c>
    </row>
    <row r="367" spans="1:6" x14ac:dyDescent="0.3">
      <c r="A367" s="112" t="s">
        <v>877</v>
      </c>
      <c r="B367" s="112" t="s">
        <v>880</v>
      </c>
      <c r="C367" s="333"/>
      <c r="D367" s="109">
        <v>1</v>
      </c>
      <c r="E367" s="650" t="s">
        <v>287</v>
      </c>
      <c r="F367" s="109" t="s">
        <v>488</v>
      </c>
    </row>
    <row r="368" spans="1:6" x14ac:dyDescent="0.3">
      <c r="A368" s="344" t="s">
        <v>877</v>
      </c>
      <c r="B368" s="345" t="s">
        <v>881</v>
      </c>
      <c r="C368" s="346"/>
      <c r="D368" s="106">
        <v>1</v>
      </c>
      <c r="E368" s="106" t="s">
        <v>287</v>
      </c>
      <c r="F368" s="106" t="s">
        <v>287</v>
      </c>
    </row>
    <row r="369" spans="1:6" x14ac:dyDescent="0.3">
      <c r="A369" s="112" t="s">
        <v>877</v>
      </c>
      <c r="B369" s="112" t="s">
        <v>882</v>
      </c>
      <c r="C369" s="333"/>
      <c r="D369" s="109">
        <v>1</v>
      </c>
      <c r="E369" s="109" t="s">
        <v>287</v>
      </c>
      <c r="F369" s="109" t="s">
        <v>287</v>
      </c>
    </row>
    <row r="370" spans="1:6" x14ac:dyDescent="0.3">
      <c r="A370" s="344" t="s">
        <v>877</v>
      </c>
      <c r="B370" s="345" t="s">
        <v>575</v>
      </c>
      <c r="C370" s="346"/>
      <c r="D370" s="106">
        <v>1</v>
      </c>
      <c r="E370" s="106" t="s">
        <v>287</v>
      </c>
      <c r="F370" s="106" t="s">
        <v>287</v>
      </c>
    </row>
    <row r="371" spans="1:6" x14ac:dyDescent="0.3">
      <c r="A371" s="112" t="s">
        <v>877</v>
      </c>
      <c r="B371" s="112" t="s">
        <v>883</v>
      </c>
      <c r="C371" s="333"/>
      <c r="D371" s="109">
        <v>1</v>
      </c>
      <c r="E371" s="109" t="s">
        <v>287</v>
      </c>
      <c r="F371" s="109" t="s">
        <v>287</v>
      </c>
    </row>
    <row r="372" spans="1:6" x14ac:dyDescent="0.3">
      <c r="A372" s="344" t="s">
        <v>877</v>
      </c>
      <c r="B372" s="345" t="s">
        <v>579</v>
      </c>
      <c r="C372" s="346"/>
      <c r="D372" s="106">
        <v>1</v>
      </c>
      <c r="E372" s="106" t="s">
        <v>287</v>
      </c>
      <c r="F372" s="106" t="s">
        <v>287</v>
      </c>
    </row>
    <row r="373" spans="1:6" x14ac:dyDescent="0.3">
      <c r="A373" s="112" t="s">
        <v>877</v>
      </c>
      <c r="B373" s="112" t="s">
        <v>617</v>
      </c>
      <c r="C373" s="333"/>
      <c r="D373" s="109">
        <v>1</v>
      </c>
      <c r="E373" s="109" t="s">
        <v>287</v>
      </c>
      <c r="F373" s="109" t="s">
        <v>287</v>
      </c>
    </row>
    <row r="374" spans="1:6" x14ac:dyDescent="0.3">
      <c r="A374" s="344" t="s">
        <v>871</v>
      </c>
      <c r="B374" s="345" t="s">
        <v>611</v>
      </c>
      <c r="C374" s="346"/>
      <c r="D374" s="106">
        <v>2</v>
      </c>
      <c r="E374" s="106" t="s">
        <v>287</v>
      </c>
      <c r="F374" s="106" t="s">
        <v>488</v>
      </c>
    </row>
    <row r="375" spans="1:6" x14ac:dyDescent="0.3">
      <c r="A375" s="112" t="s">
        <v>871</v>
      </c>
      <c r="B375" s="112" t="s">
        <v>884</v>
      </c>
      <c r="C375" s="333"/>
      <c r="D375" s="109">
        <v>2</v>
      </c>
      <c r="E375" s="109" t="s">
        <v>287</v>
      </c>
      <c r="F375" s="109" t="s">
        <v>287</v>
      </c>
    </row>
    <row r="376" spans="1:6" x14ac:dyDescent="0.3">
      <c r="A376" s="344" t="s">
        <v>871</v>
      </c>
      <c r="B376" s="345" t="s">
        <v>636</v>
      </c>
      <c r="C376" s="346"/>
      <c r="D376" s="106">
        <v>2</v>
      </c>
      <c r="E376" s="106" t="s">
        <v>287</v>
      </c>
      <c r="F376" s="106" t="s">
        <v>287</v>
      </c>
    </row>
    <row r="377" spans="1:6" x14ac:dyDescent="0.3">
      <c r="A377" s="112" t="s">
        <v>871</v>
      </c>
      <c r="B377" s="112" t="s">
        <v>630</v>
      </c>
      <c r="C377" s="333"/>
      <c r="D377" s="109">
        <v>2</v>
      </c>
      <c r="E377" s="650" t="s">
        <v>287</v>
      </c>
      <c r="F377" s="109" t="s">
        <v>488</v>
      </c>
    </row>
    <row r="378" spans="1:6" x14ac:dyDescent="0.3">
      <c r="A378" s="344" t="s">
        <v>871</v>
      </c>
      <c r="B378" s="345" t="s">
        <v>567</v>
      </c>
      <c r="C378" s="346"/>
      <c r="D378" s="106">
        <v>2</v>
      </c>
      <c r="E378" s="106" t="s">
        <v>287</v>
      </c>
      <c r="F378" s="106" t="s">
        <v>287</v>
      </c>
    </row>
    <row r="379" spans="1:6" x14ac:dyDescent="0.3">
      <c r="A379" s="112" t="s">
        <v>877</v>
      </c>
      <c r="B379" s="112" t="s">
        <v>608</v>
      </c>
      <c r="C379" s="333"/>
      <c r="D379" s="109">
        <v>2</v>
      </c>
      <c r="E379" s="109" t="s">
        <v>488</v>
      </c>
      <c r="F379" s="109" t="s">
        <v>488</v>
      </c>
    </row>
    <row r="380" spans="1:6" x14ac:dyDescent="0.3">
      <c r="A380" s="344" t="s">
        <v>877</v>
      </c>
      <c r="B380" s="345" t="s">
        <v>614</v>
      </c>
      <c r="C380" s="346"/>
      <c r="D380" s="106">
        <v>2</v>
      </c>
      <c r="E380" s="106" t="s">
        <v>488</v>
      </c>
      <c r="F380" s="106" t="s">
        <v>488</v>
      </c>
    </row>
    <row r="381" spans="1:6" x14ac:dyDescent="0.3">
      <c r="A381" s="112" t="s">
        <v>877</v>
      </c>
      <c r="B381" s="112" t="s">
        <v>885</v>
      </c>
      <c r="C381" s="333"/>
      <c r="D381" s="109">
        <v>2</v>
      </c>
      <c r="E381" s="109" t="s">
        <v>287</v>
      </c>
      <c r="F381" s="109" t="s">
        <v>287</v>
      </c>
    </row>
    <row r="382" spans="1:6" x14ac:dyDescent="0.3">
      <c r="A382" s="344" t="s">
        <v>877</v>
      </c>
      <c r="B382" s="345" t="s">
        <v>886</v>
      </c>
      <c r="C382" s="346"/>
      <c r="D382" s="106">
        <v>2</v>
      </c>
      <c r="E382" s="746" t="s">
        <v>287</v>
      </c>
      <c r="F382" s="106" t="s">
        <v>287</v>
      </c>
    </row>
    <row r="383" spans="1:6" x14ac:dyDescent="0.3">
      <c r="A383" s="648" t="s">
        <v>877</v>
      </c>
      <c r="B383" s="649" t="s">
        <v>887</v>
      </c>
      <c r="C383" s="540"/>
      <c r="D383" s="749">
        <v>2</v>
      </c>
      <c r="E383" s="650" t="s">
        <v>287</v>
      </c>
      <c r="F383" s="109" t="s">
        <v>488</v>
      </c>
    </row>
    <row r="384" spans="1:6" x14ac:dyDescent="0.3">
      <c r="A384" s="344" t="s">
        <v>877</v>
      </c>
      <c r="B384" s="345" t="s">
        <v>571</v>
      </c>
      <c r="C384" s="346"/>
      <c r="D384" s="106">
        <v>2</v>
      </c>
      <c r="E384" s="106" t="s">
        <v>287</v>
      </c>
      <c r="F384" s="106" t="s">
        <v>287</v>
      </c>
    </row>
    <row r="385" spans="1:6" x14ac:dyDescent="0.3">
      <c r="A385" s="112" t="s">
        <v>871</v>
      </c>
      <c r="B385" s="112" t="s">
        <v>621</v>
      </c>
      <c r="C385" s="333"/>
      <c r="D385" s="109">
        <v>3</v>
      </c>
      <c r="E385" s="109" t="s">
        <v>488</v>
      </c>
      <c r="F385" s="109" t="s">
        <v>488</v>
      </c>
    </row>
    <row r="386" spans="1:6" x14ac:dyDescent="0.3">
      <c r="A386" s="344" t="s">
        <v>871</v>
      </c>
      <c r="B386" s="345" t="s">
        <v>888</v>
      </c>
      <c r="C386" s="346"/>
      <c r="D386" s="106">
        <v>3</v>
      </c>
      <c r="E386" s="106" t="s">
        <v>287</v>
      </c>
      <c r="F386" s="106" t="s">
        <v>287</v>
      </c>
    </row>
    <row r="387" spans="1:6" x14ac:dyDescent="0.3">
      <c r="A387" s="112" t="s">
        <v>877</v>
      </c>
      <c r="B387" s="112" t="s">
        <v>605</v>
      </c>
      <c r="C387" s="333"/>
      <c r="D387" s="109">
        <v>3</v>
      </c>
      <c r="E387" s="650" t="s">
        <v>287</v>
      </c>
      <c r="F387" s="109" t="s">
        <v>488</v>
      </c>
    </row>
    <row r="388" spans="1:6" x14ac:dyDescent="0.3">
      <c r="A388" s="344" t="s">
        <v>877</v>
      </c>
      <c r="B388" s="344" t="s">
        <v>889</v>
      </c>
      <c r="C388" s="346"/>
      <c r="D388" s="106">
        <v>3</v>
      </c>
      <c r="E388" s="106" t="s">
        <v>287</v>
      </c>
      <c r="F388" s="106" t="s">
        <v>287</v>
      </c>
    </row>
    <row r="389" spans="1:6" x14ac:dyDescent="0.3">
      <c r="A389" s="648" t="s">
        <v>877</v>
      </c>
      <c r="B389" s="649" t="s">
        <v>624</v>
      </c>
      <c r="C389" s="661"/>
      <c r="D389" s="749">
        <v>3</v>
      </c>
      <c r="E389" s="109" t="s">
        <v>488</v>
      </c>
      <c r="F389" s="109" t="s">
        <v>488</v>
      </c>
    </row>
    <row r="390" spans="1:6" ht="21" x14ac:dyDescent="0.3">
      <c r="E390" s="113">
        <f>(COUNTIF(E343:E389,"OK")+COUNTIF(E343:E389,"N/A"))/47</f>
        <v>0.7021276595744681</v>
      </c>
      <c r="F390" s="113">
        <f>(COUNTIF(F343:F389,"OK")+COUNTIF(F343:F389,"N/A"))/47</f>
        <v>0.44680851063829785</v>
      </c>
    </row>
  </sheetData>
  <sheetProtection formatCells="0" formatColumns="0" formatRows="0" insertHyperlinks="0"/>
  <autoFilter ref="A54:AL176" xr:uid="{00000000-0001-0000-0100-000000000000}"/>
  <mergeCells count="1214">
    <mergeCell ref="H163:H164"/>
    <mergeCell ref="I163:I164"/>
    <mergeCell ref="J163:J164"/>
    <mergeCell ref="K163:K164"/>
    <mergeCell ref="L163:L164"/>
    <mergeCell ref="A163:A164"/>
    <mergeCell ref="A149:A150"/>
    <mergeCell ref="A147:A148"/>
    <mergeCell ref="C147:C148"/>
    <mergeCell ref="D147:D148"/>
    <mergeCell ref="A153:A154"/>
    <mergeCell ref="C153:C154"/>
    <mergeCell ref="D153:D154"/>
    <mergeCell ref="E153:E154"/>
    <mergeCell ref="F153:F154"/>
    <mergeCell ref="A157:A158"/>
    <mergeCell ref="C157:C158"/>
    <mergeCell ref="F149:F150"/>
    <mergeCell ref="G149:G150"/>
    <mergeCell ref="B163:B164"/>
    <mergeCell ref="P167:P168"/>
    <mergeCell ref="I165:I166"/>
    <mergeCell ref="J165:J166"/>
    <mergeCell ref="F155:F156"/>
    <mergeCell ref="G155:G156"/>
    <mergeCell ref="H155:H156"/>
    <mergeCell ref="I155:I156"/>
    <mergeCell ref="J155:J156"/>
    <mergeCell ref="K155:K156"/>
    <mergeCell ref="L155:L156"/>
    <mergeCell ref="M155:M156"/>
    <mergeCell ref="N155:N156"/>
    <mergeCell ref="O155:O156"/>
    <mergeCell ref="P155:P156"/>
    <mergeCell ref="F167:F168"/>
    <mergeCell ref="O165:O166"/>
    <mergeCell ref="L165:L166"/>
    <mergeCell ref="M163:M164"/>
    <mergeCell ref="O157:O158"/>
    <mergeCell ref="K157:K158"/>
    <mergeCell ref="L157:L158"/>
    <mergeCell ref="M157:M158"/>
    <mergeCell ref="N157:N158"/>
    <mergeCell ref="J159:J160"/>
    <mergeCell ref="F161:F162"/>
    <mergeCell ref="G161:G162"/>
    <mergeCell ref="M159:M160"/>
    <mergeCell ref="N159:N160"/>
    <mergeCell ref="N163:N164"/>
    <mergeCell ref="O163:O164"/>
    <mergeCell ref="P163:P164"/>
    <mergeCell ref="G163:G164"/>
    <mergeCell ref="AK159:AK160"/>
    <mergeCell ref="AL159:AL160"/>
    <mergeCell ref="J161:J162"/>
    <mergeCell ref="AK163:AK164"/>
    <mergeCell ref="I157:I158"/>
    <mergeCell ref="J157:J158"/>
    <mergeCell ref="G159:G160"/>
    <mergeCell ref="H159:H160"/>
    <mergeCell ref="I159:I160"/>
    <mergeCell ref="AK145:AK146"/>
    <mergeCell ref="K141:K142"/>
    <mergeCell ref="A151:A152"/>
    <mergeCell ref="C151:C152"/>
    <mergeCell ref="D151:D152"/>
    <mergeCell ref="E151:E152"/>
    <mergeCell ref="F151:F152"/>
    <mergeCell ref="G151:G152"/>
    <mergeCell ref="P157:P158"/>
    <mergeCell ref="AK157:AK158"/>
    <mergeCell ref="O143:O144"/>
    <mergeCell ref="O145:O146"/>
    <mergeCell ref="L145:L146"/>
    <mergeCell ref="J143:J144"/>
    <mergeCell ref="K161:K162"/>
    <mergeCell ref="L161:L162"/>
    <mergeCell ref="M161:M162"/>
    <mergeCell ref="J153:J154"/>
    <mergeCell ref="M153:M154"/>
    <mergeCell ref="G145:G146"/>
    <mergeCell ref="A145:A146"/>
    <mergeCell ref="C145:C146"/>
    <mergeCell ref="D145:D146"/>
    <mergeCell ref="O137:O138"/>
    <mergeCell ref="A137:A138"/>
    <mergeCell ref="P139:P140"/>
    <mergeCell ref="O139:O140"/>
    <mergeCell ref="N139:N140"/>
    <mergeCell ref="M139:M140"/>
    <mergeCell ref="L139:L140"/>
    <mergeCell ref="I139:I140"/>
    <mergeCell ref="H139:H140"/>
    <mergeCell ref="G139:G140"/>
    <mergeCell ref="F139:F140"/>
    <mergeCell ref="E139:E140"/>
    <mergeCell ref="D139:D140"/>
    <mergeCell ref="C139:C140"/>
    <mergeCell ref="A139:A140"/>
    <mergeCell ref="P137:P138"/>
    <mergeCell ref="P141:P142"/>
    <mergeCell ref="K139:K140"/>
    <mergeCell ref="J137:J138"/>
    <mergeCell ref="G141:G142"/>
    <mergeCell ref="H141:H142"/>
    <mergeCell ref="I141:I142"/>
    <mergeCell ref="L141:L142"/>
    <mergeCell ref="J141:J142"/>
    <mergeCell ref="L137:L138"/>
    <mergeCell ref="H173:H174"/>
    <mergeCell ref="N153:N154"/>
    <mergeCell ref="O153:O154"/>
    <mergeCell ref="A169:A170"/>
    <mergeCell ref="C169:C170"/>
    <mergeCell ref="D169:D170"/>
    <mergeCell ref="E169:E170"/>
    <mergeCell ref="F169:F170"/>
    <mergeCell ref="G169:G170"/>
    <mergeCell ref="H169:H170"/>
    <mergeCell ref="I169:I170"/>
    <mergeCell ref="L169:L170"/>
    <mergeCell ref="AM153:AM154"/>
    <mergeCell ref="A155:A156"/>
    <mergeCell ref="C155:C156"/>
    <mergeCell ref="D155:D156"/>
    <mergeCell ref="E155:E156"/>
    <mergeCell ref="AK155:AK156"/>
    <mergeCell ref="K153:K154"/>
    <mergeCell ref="L153:L154"/>
    <mergeCell ref="K159:K160"/>
    <mergeCell ref="L159:L160"/>
    <mergeCell ref="G153:G154"/>
    <mergeCell ref="H153:H154"/>
    <mergeCell ref="I153:I154"/>
    <mergeCell ref="K165:K166"/>
    <mergeCell ref="M165:M166"/>
    <mergeCell ref="A165:A166"/>
    <mergeCell ref="C165:C166"/>
    <mergeCell ref="D165:D166"/>
    <mergeCell ref="E165:E166"/>
    <mergeCell ref="F165:F166"/>
    <mergeCell ref="I145:I146"/>
    <mergeCell ref="F147:F148"/>
    <mergeCell ref="G147:G148"/>
    <mergeCell ref="H147:H148"/>
    <mergeCell ref="I147:I148"/>
    <mergeCell ref="J147:J148"/>
    <mergeCell ref="C149:C150"/>
    <mergeCell ref="D149:D150"/>
    <mergeCell ref="E149:E150"/>
    <mergeCell ref="A161:A162"/>
    <mergeCell ref="C161:C162"/>
    <mergeCell ref="D161:D162"/>
    <mergeCell ref="E161:E162"/>
    <mergeCell ref="H149:H150"/>
    <mergeCell ref="I149:I150"/>
    <mergeCell ref="J149:J150"/>
    <mergeCell ref="H161:H162"/>
    <mergeCell ref="I161:I162"/>
    <mergeCell ref="H151:H152"/>
    <mergeCell ref="E145:E146"/>
    <mergeCell ref="F145:F146"/>
    <mergeCell ref="E147:E148"/>
    <mergeCell ref="H145:H146"/>
    <mergeCell ref="B157:B158"/>
    <mergeCell ref="B159:B160"/>
    <mergeCell ref="B161:B162"/>
    <mergeCell ref="AK171:AK172"/>
    <mergeCell ref="AM141:AM142"/>
    <mergeCell ref="AM171:AM172"/>
    <mergeCell ref="AM173:AM174"/>
    <mergeCell ref="AM175:AM176"/>
    <mergeCell ref="M147:M148"/>
    <mergeCell ref="N147:N148"/>
    <mergeCell ref="O147:O148"/>
    <mergeCell ref="P147:P148"/>
    <mergeCell ref="AK147:AK148"/>
    <mergeCell ref="AL147:AL148"/>
    <mergeCell ref="AM147:AM148"/>
    <mergeCell ref="AM149:AM150"/>
    <mergeCell ref="AM151:AM152"/>
    <mergeCell ref="AM159:AM160"/>
    <mergeCell ref="N161:N162"/>
    <mergeCell ref="O161:O162"/>
    <mergeCell ref="P161:P162"/>
    <mergeCell ref="AK161:AK162"/>
    <mergeCell ref="AL161:AL162"/>
    <mergeCell ref="P173:P174"/>
    <mergeCell ref="P145:P146"/>
    <mergeCell ref="O159:O160"/>
    <mergeCell ref="P149:P150"/>
    <mergeCell ref="N165:N166"/>
    <mergeCell ref="N151:N152"/>
    <mergeCell ref="O151:O152"/>
    <mergeCell ref="AK153:AK154"/>
    <mergeCell ref="AL153:AL154"/>
    <mergeCell ref="AK151:AK152"/>
    <mergeCell ref="AL151:AL152"/>
    <mergeCell ref="P159:P160"/>
    <mergeCell ref="J169:J170"/>
    <mergeCell ref="P153:P154"/>
    <mergeCell ref="O169:O170"/>
    <mergeCell ref="M145:M146"/>
    <mergeCell ref="N145:N146"/>
    <mergeCell ref="M175:M176"/>
    <mergeCell ref="P143:P144"/>
    <mergeCell ref="K127:K128"/>
    <mergeCell ref="K125:K126"/>
    <mergeCell ref="J123:J124"/>
    <mergeCell ref="J139:J140"/>
    <mergeCell ref="K137:K138"/>
    <mergeCell ref="N129:N130"/>
    <mergeCell ref="K147:K148"/>
    <mergeCell ref="K169:K170"/>
    <mergeCell ref="N175:N176"/>
    <mergeCell ref="L173:L174"/>
    <mergeCell ref="L175:L176"/>
    <mergeCell ref="J171:J172"/>
    <mergeCell ref="J173:J174"/>
    <mergeCell ref="J175:J176"/>
    <mergeCell ref="L171:L172"/>
    <mergeCell ref="M171:M172"/>
    <mergeCell ref="N171:N172"/>
    <mergeCell ref="O173:O174"/>
    <mergeCell ref="O175:O176"/>
    <mergeCell ref="L167:L168"/>
    <mergeCell ref="M167:M168"/>
    <mergeCell ref="N167:N168"/>
    <mergeCell ref="P151:P152"/>
    <mergeCell ref="O167:O168"/>
    <mergeCell ref="M151:M152"/>
    <mergeCell ref="K123:K124"/>
    <mergeCell ref="J93:J94"/>
    <mergeCell ref="K89:K90"/>
    <mergeCell ref="K91:K92"/>
    <mergeCell ref="K93:K94"/>
    <mergeCell ref="J97:J98"/>
    <mergeCell ref="J99:J100"/>
    <mergeCell ref="J121:J122"/>
    <mergeCell ref="J113:J114"/>
    <mergeCell ref="J115:J116"/>
    <mergeCell ref="K101:K102"/>
    <mergeCell ref="J73:J74"/>
    <mergeCell ref="J75:J76"/>
    <mergeCell ref="K75:K76"/>
    <mergeCell ref="K87:K88"/>
    <mergeCell ref="AM167:AM168"/>
    <mergeCell ref="P165:P166"/>
    <mergeCell ref="AK165:AK166"/>
    <mergeCell ref="AL165:AL166"/>
    <mergeCell ref="AM165:AM166"/>
    <mergeCell ref="AM155:AM156"/>
    <mergeCell ref="N149:N150"/>
    <mergeCell ref="O149:O150"/>
    <mergeCell ref="AL155:AL156"/>
    <mergeCell ref="AK167:AK168"/>
    <mergeCell ref="AL167:AL168"/>
    <mergeCell ref="AM161:AM162"/>
    <mergeCell ref="AL157:AL158"/>
    <mergeCell ref="AL163:AL164"/>
    <mergeCell ref="K149:K150"/>
    <mergeCell ref="M149:M150"/>
    <mergeCell ref="AK149:AK150"/>
    <mergeCell ref="A121:A122"/>
    <mergeCell ref="C121:C122"/>
    <mergeCell ref="D121:D122"/>
    <mergeCell ref="P125:P126"/>
    <mergeCell ref="AK125:AK126"/>
    <mergeCell ref="AL125:AL126"/>
    <mergeCell ref="AM125:AM126"/>
    <mergeCell ref="A127:A128"/>
    <mergeCell ref="C127:C128"/>
    <mergeCell ref="D127:D128"/>
    <mergeCell ref="E127:E128"/>
    <mergeCell ref="F127:F128"/>
    <mergeCell ref="G127:G128"/>
    <mergeCell ref="H127:H128"/>
    <mergeCell ref="I127:I128"/>
    <mergeCell ref="L127:L128"/>
    <mergeCell ref="M127:M128"/>
    <mergeCell ref="N127:N128"/>
    <mergeCell ref="O127:O128"/>
    <mergeCell ref="P127:P128"/>
    <mergeCell ref="AK127:AK128"/>
    <mergeCell ref="AL127:AL128"/>
    <mergeCell ref="AM127:AM128"/>
    <mergeCell ref="A125:A126"/>
    <mergeCell ref="C125:C126"/>
    <mergeCell ref="D125:D126"/>
    <mergeCell ref="E125:E126"/>
    <mergeCell ref="F125:F126"/>
    <mergeCell ref="G125:G126"/>
    <mergeCell ref="H125:H126"/>
    <mergeCell ref="I125:I126"/>
    <mergeCell ref="J125:J126"/>
    <mergeCell ref="A119:A120"/>
    <mergeCell ref="C119:C120"/>
    <mergeCell ref="D119:D120"/>
    <mergeCell ref="E119:E120"/>
    <mergeCell ref="F119:F120"/>
    <mergeCell ref="G119:G120"/>
    <mergeCell ref="H119:H120"/>
    <mergeCell ref="AK117:AK118"/>
    <mergeCell ref="AL117:AL118"/>
    <mergeCell ref="O121:O122"/>
    <mergeCell ref="M125:M126"/>
    <mergeCell ref="N125:N126"/>
    <mergeCell ref="P121:P122"/>
    <mergeCell ref="AK121:AK122"/>
    <mergeCell ref="AL121:AL122"/>
    <mergeCell ref="AM121:AM122"/>
    <mergeCell ref="A123:A124"/>
    <mergeCell ref="C123:C124"/>
    <mergeCell ref="D123:D124"/>
    <mergeCell ref="E123:E124"/>
    <mergeCell ref="F123:F124"/>
    <mergeCell ref="G123:G124"/>
    <mergeCell ref="H123:H124"/>
    <mergeCell ref="I123:I124"/>
    <mergeCell ref="L123:L124"/>
    <mergeCell ref="M123:M124"/>
    <mergeCell ref="N123:N124"/>
    <mergeCell ref="O123:O124"/>
    <mergeCell ref="P123:P124"/>
    <mergeCell ref="AK123:AK124"/>
    <mergeCell ref="AL123:AL124"/>
    <mergeCell ref="AM123:AM124"/>
    <mergeCell ref="L135:L136"/>
    <mergeCell ref="P133:P134"/>
    <mergeCell ref="F111:F112"/>
    <mergeCell ref="G111:G112"/>
    <mergeCell ref="H111:H112"/>
    <mergeCell ref="I111:I112"/>
    <mergeCell ref="D113:D114"/>
    <mergeCell ref="E113:E114"/>
    <mergeCell ref="F113:F114"/>
    <mergeCell ref="G113:G114"/>
    <mergeCell ref="H113:H114"/>
    <mergeCell ref="K111:K112"/>
    <mergeCell ref="O117:O118"/>
    <mergeCell ref="P117:P118"/>
    <mergeCell ref="O119:O120"/>
    <mergeCell ref="D117:D118"/>
    <mergeCell ref="E117:E118"/>
    <mergeCell ref="F117:F118"/>
    <mergeCell ref="G117:G118"/>
    <mergeCell ref="J117:J118"/>
    <mergeCell ref="J119:J120"/>
    <mergeCell ref="K119:K120"/>
    <mergeCell ref="K117:K118"/>
    <mergeCell ref="L125:L126"/>
    <mergeCell ref="O125:O126"/>
    <mergeCell ref="J127:J128"/>
    <mergeCell ref="J135:J136"/>
    <mergeCell ref="K121:K122"/>
    <mergeCell ref="M129:M130"/>
    <mergeCell ref="O129:O130"/>
    <mergeCell ref="P129:P130"/>
    <mergeCell ref="M131:M132"/>
    <mergeCell ref="AK111:AK112"/>
    <mergeCell ref="AL111:AL112"/>
    <mergeCell ref="A141:A142"/>
    <mergeCell ref="C141:C142"/>
    <mergeCell ref="O141:O142"/>
    <mergeCell ref="D141:D142"/>
    <mergeCell ref="M115:M116"/>
    <mergeCell ref="N115:N116"/>
    <mergeCell ref="F133:F134"/>
    <mergeCell ref="G133:G134"/>
    <mergeCell ref="H133:H134"/>
    <mergeCell ref="I133:I134"/>
    <mergeCell ref="P131:P132"/>
    <mergeCell ref="E121:E122"/>
    <mergeCell ref="F121:F122"/>
    <mergeCell ref="G121:G122"/>
    <mergeCell ref="H121:H122"/>
    <mergeCell ref="M121:M122"/>
    <mergeCell ref="N121:N122"/>
    <mergeCell ref="M117:M118"/>
    <mergeCell ref="K115:K116"/>
    <mergeCell ref="O115:O116"/>
    <mergeCell ref="P115:P116"/>
    <mergeCell ref="I119:I120"/>
    <mergeCell ref="L119:L120"/>
    <mergeCell ref="N117:N118"/>
    <mergeCell ref="M119:M120"/>
    <mergeCell ref="N119:N120"/>
    <mergeCell ref="I121:I122"/>
    <mergeCell ref="F141:F142"/>
    <mergeCell ref="A131:A132"/>
    <mergeCell ref="L121:L122"/>
    <mergeCell ref="A109:A110"/>
    <mergeCell ref="C109:C110"/>
    <mergeCell ref="D109:D110"/>
    <mergeCell ref="E109:E110"/>
    <mergeCell ref="H117:H118"/>
    <mergeCell ref="I117:I118"/>
    <mergeCell ref="L117:L118"/>
    <mergeCell ref="O113:O114"/>
    <mergeCell ref="P113:P114"/>
    <mergeCell ref="A115:A116"/>
    <mergeCell ref="C115:C116"/>
    <mergeCell ref="D115:D116"/>
    <mergeCell ref="E115:E116"/>
    <mergeCell ref="F115:F116"/>
    <mergeCell ref="G115:G116"/>
    <mergeCell ref="H115:H116"/>
    <mergeCell ref="I115:I116"/>
    <mergeCell ref="L115:L116"/>
    <mergeCell ref="M113:M114"/>
    <mergeCell ref="N113:N114"/>
    <mergeCell ref="K113:K114"/>
    <mergeCell ref="A117:A118"/>
    <mergeCell ref="C117:C118"/>
    <mergeCell ref="F109:F110"/>
    <mergeCell ref="G109:G110"/>
    <mergeCell ref="H109:H110"/>
    <mergeCell ref="E111:E112"/>
    <mergeCell ref="J109:J110"/>
    <mergeCell ref="M109:M110"/>
    <mergeCell ref="N109:N110"/>
    <mergeCell ref="K109:K110"/>
    <mergeCell ref="K143:K144"/>
    <mergeCell ref="K145:K146"/>
    <mergeCell ref="I151:I152"/>
    <mergeCell ref="J151:J152"/>
    <mergeCell ref="K151:K152"/>
    <mergeCell ref="L151:L152"/>
    <mergeCell ref="G165:G166"/>
    <mergeCell ref="H165:H166"/>
    <mergeCell ref="A167:A168"/>
    <mergeCell ref="C167:C168"/>
    <mergeCell ref="D167:D168"/>
    <mergeCell ref="E167:E168"/>
    <mergeCell ref="L149:L150"/>
    <mergeCell ref="G167:G168"/>
    <mergeCell ref="H167:H168"/>
    <mergeCell ref="I167:I168"/>
    <mergeCell ref="J167:J168"/>
    <mergeCell ref="K167:K168"/>
    <mergeCell ref="D157:D158"/>
    <mergeCell ref="E157:E158"/>
    <mergeCell ref="F157:F158"/>
    <mergeCell ref="G157:G158"/>
    <mergeCell ref="H157:H158"/>
    <mergeCell ref="A159:A160"/>
    <mergeCell ref="C159:C160"/>
    <mergeCell ref="D159:D160"/>
    <mergeCell ref="E159:E160"/>
    <mergeCell ref="F159:F160"/>
    <mergeCell ref="C163:C164"/>
    <mergeCell ref="D163:D164"/>
    <mergeCell ref="E163:E164"/>
    <mergeCell ref="F163:F164"/>
    <mergeCell ref="C131:C132"/>
    <mergeCell ref="D131:D132"/>
    <mergeCell ref="E131:E132"/>
    <mergeCell ref="F131:F132"/>
    <mergeCell ref="G131:G132"/>
    <mergeCell ref="H131:H132"/>
    <mergeCell ref="I131:I132"/>
    <mergeCell ref="L131:L132"/>
    <mergeCell ref="C129:C130"/>
    <mergeCell ref="D129:D130"/>
    <mergeCell ref="E129:E130"/>
    <mergeCell ref="F129:F130"/>
    <mergeCell ref="G129:G130"/>
    <mergeCell ref="H129:H130"/>
    <mergeCell ref="I129:I130"/>
    <mergeCell ref="A133:A134"/>
    <mergeCell ref="J133:J134"/>
    <mergeCell ref="L129:L130"/>
    <mergeCell ref="K131:K132"/>
    <mergeCell ref="K133:K134"/>
    <mergeCell ref="J129:J130"/>
    <mergeCell ref="J131:J132"/>
    <mergeCell ref="I173:I174"/>
    <mergeCell ref="D175:D176"/>
    <mergeCell ref="G175:G176"/>
    <mergeCell ref="F175:F176"/>
    <mergeCell ref="K171:K172"/>
    <mergeCell ref="K173:K174"/>
    <mergeCell ref="K175:K176"/>
    <mergeCell ref="O133:O134"/>
    <mergeCell ref="L133:L134"/>
    <mergeCell ref="J111:J112"/>
    <mergeCell ref="I113:I114"/>
    <mergeCell ref="L113:L114"/>
    <mergeCell ref="O109:O110"/>
    <mergeCell ref="P109:P110"/>
    <mergeCell ref="AK109:AK110"/>
    <mergeCell ref="AL109:AL110"/>
    <mergeCell ref="M111:M112"/>
    <mergeCell ref="N111:N112"/>
    <mergeCell ref="O111:O112"/>
    <mergeCell ref="P111:P112"/>
    <mergeCell ref="O171:O172"/>
    <mergeCell ref="M173:M174"/>
    <mergeCell ref="N173:N174"/>
    <mergeCell ref="O135:O136"/>
    <mergeCell ref="K135:K136"/>
    <mergeCell ref="O131:O132"/>
    <mergeCell ref="I137:I138"/>
    <mergeCell ref="I135:I136"/>
    <mergeCell ref="J145:J146"/>
    <mergeCell ref="P171:P172"/>
    <mergeCell ref="L111:L112"/>
    <mergeCell ref="K129:K130"/>
    <mergeCell ref="AL113:AL114"/>
    <mergeCell ref="AK173:AK174"/>
    <mergeCell ref="AK175:AK176"/>
    <mergeCell ref="AK101:AK102"/>
    <mergeCell ref="AL101:AL102"/>
    <mergeCell ref="AM101:AM102"/>
    <mergeCell ref="AK103:AK104"/>
    <mergeCell ref="AL103:AL104"/>
    <mergeCell ref="AM103:AM104"/>
    <mergeCell ref="AK105:AK106"/>
    <mergeCell ref="AL105:AL106"/>
    <mergeCell ref="AM105:AM106"/>
    <mergeCell ref="AK95:AK96"/>
    <mergeCell ref="AK131:AK132"/>
    <mergeCell ref="P135:P136"/>
    <mergeCell ref="AK135:AK136"/>
    <mergeCell ref="AM133:AM134"/>
    <mergeCell ref="AK133:AK134"/>
    <mergeCell ref="AL133:AL134"/>
    <mergeCell ref="P119:P120"/>
    <mergeCell ref="AK119:AK120"/>
    <mergeCell ref="AL119:AL120"/>
    <mergeCell ref="AM119:AM120"/>
    <mergeCell ref="AM169:AM170"/>
    <mergeCell ref="P169:P170"/>
    <mergeCell ref="AK169:AK170"/>
    <mergeCell ref="AL169:AL170"/>
    <mergeCell ref="AM157:AM158"/>
    <mergeCell ref="AL149:AL150"/>
    <mergeCell ref="AM163:AM164"/>
    <mergeCell ref="AL99:AL100"/>
    <mergeCell ref="AL141:AL142"/>
    <mergeCell ref="AL115:AL116"/>
    <mergeCell ref="AL65:AL66"/>
    <mergeCell ref="AK113:AK114"/>
    <mergeCell ref="AL107:AL108"/>
    <mergeCell ref="AL171:AL172"/>
    <mergeCell ref="AL173:AL174"/>
    <mergeCell ref="AL175:AL176"/>
    <mergeCell ref="AK129:AK130"/>
    <mergeCell ref="AL129:AL130"/>
    <mergeCell ref="AM129:AM130"/>
    <mergeCell ref="AL131:AL132"/>
    <mergeCell ref="AM131:AM132"/>
    <mergeCell ref="AL135:AL136"/>
    <mergeCell ref="AM135:AM136"/>
    <mergeCell ref="AM109:AM110"/>
    <mergeCell ref="AM111:AM112"/>
    <mergeCell ref="AM113:AM114"/>
    <mergeCell ref="AM115:AM116"/>
    <mergeCell ref="AM117:AM118"/>
    <mergeCell ref="AL145:AL146"/>
    <mergeCell ref="AM145:AM146"/>
    <mergeCell ref="AM107:AM108"/>
    <mergeCell ref="AK143:AK144"/>
    <mergeCell ref="AL143:AL144"/>
    <mergeCell ref="AM143:AM144"/>
    <mergeCell ref="AK141:AK142"/>
    <mergeCell ref="AM139:AM140"/>
    <mergeCell ref="AL139:AL140"/>
    <mergeCell ref="AK139:AK140"/>
    <mergeCell ref="AM137:AM138"/>
    <mergeCell ref="AL137:AL138"/>
    <mergeCell ref="AK137:AK138"/>
    <mergeCell ref="AM93:AM94"/>
    <mergeCell ref="AK83:AK84"/>
    <mergeCell ref="AL83:AL84"/>
    <mergeCell ref="AM83:AM84"/>
    <mergeCell ref="AK85:AK86"/>
    <mergeCell ref="AL85:AL86"/>
    <mergeCell ref="AM85:AM86"/>
    <mergeCell ref="AK87:AK88"/>
    <mergeCell ref="AL87:AL88"/>
    <mergeCell ref="AM87:AM88"/>
    <mergeCell ref="AF53:AI53"/>
    <mergeCell ref="AK77:AK78"/>
    <mergeCell ref="AL77:AL78"/>
    <mergeCell ref="AM77:AM78"/>
    <mergeCell ref="AK79:AK80"/>
    <mergeCell ref="AL79:AL80"/>
    <mergeCell ref="AM79:AM80"/>
    <mergeCell ref="AK81:AK82"/>
    <mergeCell ref="AL81:AL82"/>
    <mergeCell ref="AM81:AM82"/>
    <mergeCell ref="AK71:AK72"/>
    <mergeCell ref="AL71:AL72"/>
    <mergeCell ref="AM71:AM72"/>
    <mergeCell ref="AK73:AK74"/>
    <mergeCell ref="AL73:AL74"/>
    <mergeCell ref="AM73:AM74"/>
    <mergeCell ref="AK75:AK76"/>
    <mergeCell ref="AL75:AL76"/>
    <mergeCell ref="AM75:AM76"/>
    <mergeCell ref="AM63:AM64"/>
    <mergeCell ref="AK65:AK66"/>
    <mergeCell ref="AL63:AL64"/>
    <mergeCell ref="AK91:AK92"/>
    <mergeCell ref="AL91:AL92"/>
    <mergeCell ref="AM91:AM92"/>
    <mergeCell ref="AK93:AK94"/>
    <mergeCell ref="AL93:AL94"/>
    <mergeCell ref="M177:P177"/>
    <mergeCell ref="M178:P178"/>
    <mergeCell ref="M179:P179"/>
    <mergeCell ref="P175:P176"/>
    <mergeCell ref="N77:N78"/>
    <mergeCell ref="N79:N80"/>
    <mergeCell ref="O95:O96"/>
    <mergeCell ref="P81:P82"/>
    <mergeCell ref="P99:P100"/>
    <mergeCell ref="P85:P86"/>
    <mergeCell ref="P87:P88"/>
    <mergeCell ref="O87:O88"/>
    <mergeCell ref="P89:P90"/>
    <mergeCell ref="P91:P92"/>
    <mergeCell ref="O97:O98"/>
    <mergeCell ref="O99:O100"/>
    <mergeCell ref="P83:P84"/>
    <mergeCell ref="O77:O78"/>
    <mergeCell ref="AL95:AL96"/>
    <mergeCell ref="AM95:AM96"/>
    <mergeCell ref="AK97:AK98"/>
    <mergeCell ref="AL97:AL98"/>
    <mergeCell ref="AM97:AM98"/>
    <mergeCell ref="AK99:AK100"/>
    <mergeCell ref="N169:N170"/>
    <mergeCell ref="AM99:AM100"/>
    <mergeCell ref="AK115:AK116"/>
    <mergeCell ref="H7:J7"/>
    <mergeCell ref="M8:M9"/>
    <mergeCell ref="AK107:AK108"/>
    <mergeCell ref="A5:B5"/>
    <mergeCell ref="E4:F4"/>
    <mergeCell ref="E5:F5"/>
    <mergeCell ref="AK67:AK68"/>
    <mergeCell ref="AL67:AL68"/>
    <mergeCell ref="AM67:AM68"/>
    <mergeCell ref="AK69:AK70"/>
    <mergeCell ref="AL69:AL70"/>
    <mergeCell ref="AM69:AM70"/>
    <mergeCell ref="AK89:AK90"/>
    <mergeCell ref="AL89:AL90"/>
    <mergeCell ref="AM89:AM90"/>
    <mergeCell ref="AG45:AH45"/>
    <mergeCell ref="AK53:AM53"/>
    <mergeCell ref="AK55:AK56"/>
    <mergeCell ref="AL55:AL56"/>
    <mergeCell ref="AM55:AM56"/>
    <mergeCell ref="AK57:AK58"/>
    <mergeCell ref="AL57:AL58"/>
    <mergeCell ref="AM57:AM58"/>
    <mergeCell ref="AK59:AK60"/>
    <mergeCell ref="AL59:AL60"/>
    <mergeCell ref="AM59:AM60"/>
    <mergeCell ref="AK61:AK62"/>
    <mergeCell ref="AL61:AL62"/>
    <mergeCell ref="AM61:AM62"/>
    <mergeCell ref="F89:F90"/>
    <mergeCell ref="AK63:AK64"/>
    <mergeCell ref="AM65:AM66"/>
    <mergeCell ref="M169:M170"/>
    <mergeCell ref="C133:C134"/>
    <mergeCell ref="D133:D134"/>
    <mergeCell ref="E133:E134"/>
    <mergeCell ref="C137:C138"/>
    <mergeCell ref="A143:A144"/>
    <mergeCell ref="C143:C144"/>
    <mergeCell ref="D143:D144"/>
    <mergeCell ref="C95:C96"/>
    <mergeCell ref="E95:E96"/>
    <mergeCell ref="F83:F84"/>
    <mergeCell ref="F85:F86"/>
    <mergeCell ref="F95:F96"/>
    <mergeCell ref="A81:A82"/>
    <mergeCell ref="M10:M11"/>
    <mergeCell ref="A1:V1"/>
    <mergeCell ref="J5:K5"/>
    <mergeCell ref="J4:K4"/>
    <mergeCell ref="L4:M4"/>
    <mergeCell ref="L5:M5"/>
    <mergeCell ref="U6:Y6"/>
    <mergeCell ref="U7:Y7"/>
    <mergeCell ref="A2:X2"/>
    <mergeCell ref="U5:Y5"/>
    <mergeCell ref="K8:K9"/>
    <mergeCell ref="K10:K11"/>
    <mergeCell ref="L8:L9"/>
    <mergeCell ref="A75:A76"/>
    <mergeCell ref="C75:C76"/>
    <mergeCell ref="E75:E76"/>
    <mergeCell ref="F75:F76"/>
    <mergeCell ref="A73:A74"/>
    <mergeCell ref="E83:E84"/>
    <mergeCell ref="G81:G82"/>
    <mergeCell ref="L10:L11"/>
    <mergeCell ref="G4:I4"/>
    <mergeCell ref="G5:I5"/>
    <mergeCell ref="A4:B4"/>
    <mergeCell ref="A171:A172"/>
    <mergeCell ref="D171:D172"/>
    <mergeCell ref="C171:C172"/>
    <mergeCell ref="E171:E172"/>
    <mergeCell ref="H171:H172"/>
    <mergeCell ref="I171:I172"/>
    <mergeCell ref="H97:H98"/>
    <mergeCell ref="I97:I98"/>
    <mergeCell ref="G73:G74"/>
    <mergeCell ref="H99:H100"/>
    <mergeCell ref="I99:I100"/>
    <mergeCell ref="G93:G94"/>
    <mergeCell ref="G71:G72"/>
    <mergeCell ref="A89:A90"/>
    <mergeCell ref="C73:C74"/>
    <mergeCell ref="E73:E74"/>
    <mergeCell ref="F73:F74"/>
    <mergeCell ref="D75:D76"/>
    <mergeCell ref="I75:I76"/>
    <mergeCell ref="D61:D62"/>
    <mergeCell ref="E65:E66"/>
    <mergeCell ref="A71:A72"/>
    <mergeCell ref="C71:C72"/>
    <mergeCell ref="E71:E72"/>
    <mergeCell ref="A7:F7"/>
    <mergeCell ref="K7:M7"/>
    <mergeCell ref="K105:K106"/>
    <mergeCell ref="A63:A64"/>
    <mergeCell ref="C63:C64"/>
    <mergeCell ref="E63:E64"/>
    <mergeCell ref="F63:F64"/>
    <mergeCell ref="G63:G64"/>
    <mergeCell ref="A69:A70"/>
    <mergeCell ref="C69:C70"/>
    <mergeCell ref="E69:E70"/>
    <mergeCell ref="F69:F70"/>
    <mergeCell ref="G69:G70"/>
    <mergeCell ref="G85:G86"/>
    <mergeCell ref="D69:D70"/>
    <mergeCell ref="L85:L86"/>
    <mergeCell ref="K69:K70"/>
    <mergeCell ref="H69:H70"/>
    <mergeCell ref="L63:L64"/>
    <mergeCell ref="I67:I68"/>
    <mergeCell ref="F67:F68"/>
    <mergeCell ref="L65:L66"/>
    <mergeCell ref="L67:L68"/>
    <mergeCell ref="L69:L70"/>
    <mergeCell ref="D73:D74"/>
    <mergeCell ref="H65:H66"/>
    <mergeCell ref="H67:H68"/>
    <mergeCell ref="H63:H64"/>
    <mergeCell ref="C81:C82"/>
    <mergeCell ref="E81:E82"/>
    <mergeCell ref="F81:F82"/>
    <mergeCell ref="A79:A80"/>
    <mergeCell ref="C79:C80"/>
    <mergeCell ref="E79:E80"/>
    <mergeCell ref="A99:A100"/>
    <mergeCell ref="C99:C100"/>
    <mergeCell ref="E99:E100"/>
    <mergeCell ref="F99:F100"/>
    <mergeCell ref="A95:A96"/>
    <mergeCell ref="K95:K96"/>
    <mergeCell ref="K97:K98"/>
    <mergeCell ref="K99:K100"/>
    <mergeCell ref="A85:A86"/>
    <mergeCell ref="C85:C86"/>
    <mergeCell ref="E85:E86"/>
    <mergeCell ref="M75:M76"/>
    <mergeCell ref="H75:H76"/>
    <mergeCell ref="L75:L76"/>
    <mergeCell ref="A103:A104"/>
    <mergeCell ref="C103:C104"/>
    <mergeCell ref="D103:D104"/>
    <mergeCell ref="E101:E102"/>
    <mergeCell ref="M83:M84"/>
    <mergeCell ref="H87:H88"/>
    <mergeCell ref="I87:I88"/>
    <mergeCell ref="A87:A88"/>
    <mergeCell ref="C87:C88"/>
    <mergeCell ref="E87:E88"/>
    <mergeCell ref="F87:F88"/>
    <mergeCell ref="G87:G88"/>
    <mergeCell ref="D85:D86"/>
    <mergeCell ref="H79:H80"/>
    <mergeCell ref="I79:I80"/>
    <mergeCell ref="H81:H82"/>
    <mergeCell ref="I81:I82"/>
    <mergeCell ref="G83:G84"/>
    <mergeCell ref="A173:A174"/>
    <mergeCell ref="C173:C174"/>
    <mergeCell ref="E173:E174"/>
    <mergeCell ref="F173:F174"/>
    <mergeCell ref="G173:G174"/>
    <mergeCell ref="D173:D174"/>
    <mergeCell ref="F101:F102"/>
    <mergeCell ref="D93:D94"/>
    <mergeCell ref="D99:D100"/>
    <mergeCell ref="A77:A78"/>
    <mergeCell ref="C77:C78"/>
    <mergeCell ref="E77:E78"/>
    <mergeCell ref="F77:F78"/>
    <mergeCell ref="G77:G78"/>
    <mergeCell ref="F143:F144"/>
    <mergeCell ref="G143:G144"/>
    <mergeCell ref="A113:A114"/>
    <mergeCell ref="C113:C114"/>
    <mergeCell ref="A111:A112"/>
    <mergeCell ref="C111:C112"/>
    <mergeCell ref="D111:D112"/>
    <mergeCell ref="F79:F80"/>
    <mergeCell ref="A91:A92"/>
    <mergeCell ref="C91:C92"/>
    <mergeCell ref="A93:A94"/>
    <mergeCell ref="A83:A84"/>
    <mergeCell ref="C83:C84"/>
    <mergeCell ref="E91:E92"/>
    <mergeCell ref="F91:F92"/>
    <mergeCell ref="A105:A106"/>
    <mergeCell ref="C105:C106"/>
    <mergeCell ref="D105:D106"/>
    <mergeCell ref="M133:M134"/>
    <mergeCell ref="N133:N134"/>
    <mergeCell ref="M137:M138"/>
    <mergeCell ref="N137:N138"/>
    <mergeCell ref="M141:M142"/>
    <mergeCell ref="N141:N142"/>
    <mergeCell ref="N131:N132"/>
    <mergeCell ref="M135:M136"/>
    <mergeCell ref="N135:N136"/>
    <mergeCell ref="F171:F172"/>
    <mergeCell ref="G171:G172"/>
    <mergeCell ref="A129:A130"/>
    <mergeCell ref="E137:E138"/>
    <mergeCell ref="F137:F138"/>
    <mergeCell ref="G137:G138"/>
    <mergeCell ref="H137:H138"/>
    <mergeCell ref="D137:D138"/>
    <mergeCell ref="A135:A136"/>
    <mergeCell ref="C135:C136"/>
    <mergeCell ref="D135:D136"/>
    <mergeCell ref="E135:E136"/>
    <mergeCell ref="F135:F136"/>
    <mergeCell ref="G135:G136"/>
    <mergeCell ref="H135:H136"/>
    <mergeCell ref="H143:H144"/>
    <mergeCell ref="I143:I144"/>
    <mergeCell ref="L143:L144"/>
    <mergeCell ref="M143:M144"/>
    <mergeCell ref="N143:N144"/>
    <mergeCell ref="L147:L148"/>
    <mergeCell ref="E143:E144"/>
    <mergeCell ref="E141:E142"/>
    <mergeCell ref="C57:C58"/>
    <mergeCell ref="E57:E58"/>
    <mergeCell ref="A57:A58"/>
    <mergeCell ref="A175:A176"/>
    <mergeCell ref="C175:C176"/>
    <mergeCell ref="E175:E176"/>
    <mergeCell ref="H175:H176"/>
    <mergeCell ref="I175:I176"/>
    <mergeCell ref="C89:C90"/>
    <mergeCell ref="E89:E90"/>
    <mergeCell ref="G95:G96"/>
    <mergeCell ref="D95:D96"/>
    <mergeCell ref="A97:A98"/>
    <mergeCell ref="C97:C98"/>
    <mergeCell ref="E97:E98"/>
    <mergeCell ref="F97:F98"/>
    <mergeCell ref="G97:G98"/>
    <mergeCell ref="D97:D98"/>
    <mergeCell ref="A107:A108"/>
    <mergeCell ref="C107:C108"/>
    <mergeCell ref="C93:C94"/>
    <mergeCell ref="E93:E94"/>
    <mergeCell ref="F93:F94"/>
    <mergeCell ref="E105:E106"/>
    <mergeCell ref="F105:F106"/>
    <mergeCell ref="D107:D108"/>
    <mergeCell ref="A101:A102"/>
    <mergeCell ref="C101:C102"/>
    <mergeCell ref="D101:D102"/>
    <mergeCell ref="E107:E108"/>
    <mergeCell ref="F107:F108"/>
    <mergeCell ref="I69:I70"/>
    <mergeCell ref="O89:O90"/>
    <mergeCell ref="D77:D78"/>
    <mergeCell ref="J65:J66"/>
    <mergeCell ref="J67:J68"/>
    <mergeCell ref="A59:A60"/>
    <mergeCell ref="C59:C60"/>
    <mergeCell ref="E59:E60"/>
    <mergeCell ref="F59:F60"/>
    <mergeCell ref="G59:G60"/>
    <mergeCell ref="F55:F56"/>
    <mergeCell ref="G55:G56"/>
    <mergeCell ref="F57:F58"/>
    <mergeCell ref="G57:G58"/>
    <mergeCell ref="D57:D58"/>
    <mergeCell ref="D55:D56"/>
    <mergeCell ref="D59:D60"/>
    <mergeCell ref="E55:E56"/>
    <mergeCell ref="A55:A56"/>
    <mergeCell ref="C55:C56"/>
    <mergeCell ref="E67:E68"/>
    <mergeCell ref="G67:G68"/>
    <mergeCell ref="D67:D68"/>
    <mergeCell ref="A65:A66"/>
    <mergeCell ref="C65:C66"/>
    <mergeCell ref="D63:D64"/>
    <mergeCell ref="A67:A68"/>
    <mergeCell ref="C67:C68"/>
    <mergeCell ref="A61:A62"/>
    <mergeCell ref="C61:C62"/>
    <mergeCell ref="E61:E62"/>
    <mergeCell ref="F61:F62"/>
    <mergeCell ref="G61:G62"/>
    <mergeCell ref="I61:I62"/>
    <mergeCell ref="O83:O84"/>
    <mergeCell ref="O75:O76"/>
    <mergeCell ref="D71:D72"/>
    <mergeCell ref="G91:G92"/>
    <mergeCell ref="D91:D92"/>
    <mergeCell ref="D65:D66"/>
    <mergeCell ref="F65:F66"/>
    <mergeCell ref="G65:G66"/>
    <mergeCell ref="G79:G80"/>
    <mergeCell ref="D81:D82"/>
    <mergeCell ref="D83:D84"/>
    <mergeCell ref="D87:D88"/>
    <mergeCell ref="G89:G90"/>
    <mergeCell ref="D89:D90"/>
    <mergeCell ref="H91:H92"/>
    <mergeCell ref="M79:M80"/>
    <mergeCell ref="D79:D80"/>
    <mergeCell ref="L77:L78"/>
    <mergeCell ref="L79:L80"/>
    <mergeCell ref="J77:J78"/>
    <mergeCell ref="J79:J80"/>
    <mergeCell ref="K77:K78"/>
    <mergeCell ref="K79:K80"/>
    <mergeCell ref="I71:I72"/>
    <mergeCell ref="L89:L90"/>
    <mergeCell ref="L71:L72"/>
    <mergeCell ref="L73:L74"/>
    <mergeCell ref="H71:H72"/>
    <mergeCell ref="M87:M88"/>
    <mergeCell ref="N87:N88"/>
    <mergeCell ref="M89:M90"/>
    <mergeCell ref="N99:N100"/>
    <mergeCell ref="N63:N64"/>
    <mergeCell ref="J55:J56"/>
    <mergeCell ref="J57:J58"/>
    <mergeCell ref="J59:J60"/>
    <mergeCell ref="F71:F72"/>
    <mergeCell ref="L61:L62"/>
    <mergeCell ref="L81:L82"/>
    <mergeCell ref="J81:J82"/>
    <mergeCell ref="I73:I74"/>
    <mergeCell ref="I63:I64"/>
    <mergeCell ref="M63:M64"/>
    <mergeCell ref="K71:K72"/>
    <mergeCell ref="K73:K74"/>
    <mergeCell ref="H77:H78"/>
    <mergeCell ref="I77:I78"/>
    <mergeCell ref="M77:M78"/>
    <mergeCell ref="H57:H58"/>
    <mergeCell ref="I57:I58"/>
    <mergeCell ref="M57:M58"/>
    <mergeCell ref="K55:K56"/>
    <mergeCell ref="G75:G76"/>
    <mergeCell ref="H73:H74"/>
    <mergeCell ref="K57:K58"/>
    <mergeCell ref="K59:K60"/>
    <mergeCell ref="K61:K62"/>
    <mergeCell ref="K63:K64"/>
    <mergeCell ref="K65:K66"/>
    <mergeCell ref="I65:I66"/>
    <mergeCell ref="I55:I56"/>
    <mergeCell ref="H55:H56"/>
    <mergeCell ref="H61:H62"/>
    <mergeCell ref="J83:J84"/>
    <mergeCell ref="H83:H84"/>
    <mergeCell ref="I83:I84"/>
    <mergeCell ref="I85:I86"/>
    <mergeCell ref="H85:H86"/>
    <mergeCell ref="M99:M100"/>
    <mergeCell ref="K81:K82"/>
    <mergeCell ref="K83:K84"/>
    <mergeCell ref="K85:K86"/>
    <mergeCell ref="H89:H90"/>
    <mergeCell ref="I89:I90"/>
    <mergeCell ref="H95:H96"/>
    <mergeCell ref="I95:I96"/>
    <mergeCell ref="G99:G100"/>
    <mergeCell ref="I91:I92"/>
    <mergeCell ref="H93:H94"/>
    <mergeCell ref="I93:I94"/>
    <mergeCell ref="L83:L84"/>
    <mergeCell ref="X53:AA53"/>
    <mergeCell ref="O79:O80"/>
    <mergeCell ref="P79:P80"/>
    <mergeCell ref="O81:O82"/>
    <mergeCell ref="O69:O70"/>
    <mergeCell ref="O71:O72"/>
    <mergeCell ref="P71:P72"/>
    <mergeCell ref="M71:M72"/>
    <mergeCell ref="N71:N72"/>
    <mergeCell ref="N73:N74"/>
    <mergeCell ref="P69:P70"/>
    <mergeCell ref="M81:M82"/>
    <mergeCell ref="M69:M70"/>
    <mergeCell ref="N69:N70"/>
    <mergeCell ref="M85:M86"/>
    <mergeCell ref="N85:N86"/>
    <mergeCell ref="N67:N68"/>
    <mergeCell ref="N55:N56"/>
    <mergeCell ref="N57:N58"/>
    <mergeCell ref="N81:N82"/>
    <mergeCell ref="N75:N76"/>
    <mergeCell ref="N83:N84"/>
    <mergeCell ref="M67:M68"/>
    <mergeCell ref="L55:L56"/>
    <mergeCell ref="L57:L58"/>
    <mergeCell ref="L59:L60"/>
    <mergeCell ref="I109:I110"/>
    <mergeCell ref="L109:L110"/>
    <mergeCell ref="H101:H102"/>
    <mergeCell ref="J95:J96"/>
    <mergeCell ref="AB53:AE53"/>
    <mergeCell ref="P67:P68"/>
    <mergeCell ref="O59:O60"/>
    <mergeCell ref="O61:O62"/>
    <mergeCell ref="P65:P66"/>
    <mergeCell ref="P59:P60"/>
    <mergeCell ref="P55:P56"/>
    <mergeCell ref="P57:P58"/>
    <mergeCell ref="U53:W53"/>
    <mergeCell ref="P61:P62"/>
    <mergeCell ref="P63:P64"/>
    <mergeCell ref="O55:O56"/>
    <mergeCell ref="O57:O58"/>
    <mergeCell ref="O63:O64"/>
    <mergeCell ref="O65:O66"/>
    <mergeCell ref="O67:O68"/>
    <mergeCell ref="M65:M66"/>
    <mergeCell ref="N65:N66"/>
    <mergeCell ref="M55:M56"/>
    <mergeCell ref="M59:M60"/>
    <mergeCell ref="O107:O108"/>
    <mergeCell ref="N59:N60"/>
    <mergeCell ref="L91:L92"/>
    <mergeCell ref="P107:P108"/>
    <mergeCell ref="N101:N102"/>
    <mergeCell ref="H59:H60"/>
    <mergeCell ref="I59:I60"/>
    <mergeCell ref="K107:K108"/>
    <mergeCell ref="L101:L102"/>
    <mergeCell ref="K103:K104"/>
    <mergeCell ref="P101:P102"/>
    <mergeCell ref="O103:O104"/>
    <mergeCell ref="P103:P104"/>
    <mergeCell ref="M101:M102"/>
    <mergeCell ref="G107:G108"/>
    <mergeCell ref="H107:H108"/>
    <mergeCell ref="I107:I108"/>
    <mergeCell ref="L107:L108"/>
    <mergeCell ref="G105:G106"/>
    <mergeCell ref="H105:H106"/>
    <mergeCell ref="I105:I106"/>
    <mergeCell ref="L105:L106"/>
    <mergeCell ref="I101:I102"/>
    <mergeCell ref="G101:G102"/>
    <mergeCell ref="G103:G104"/>
    <mergeCell ref="H103:H104"/>
    <mergeCell ref="I103:I104"/>
    <mergeCell ref="L103:L104"/>
    <mergeCell ref="M103:M104"/>
    <mergeCell ref="N103:N104"/>
    <mergeCell ref="J103:J104"/>
    <mergeCell ref="J105:J106"/>
    <mergeCell ref="J107:J108"/>
    <mergeCell ref="O105:O106"/>
    <mergeCell ref="M105:M106"/>
    <mergeCell ref="N105:N106"/>
    <mergeCell ref="M107:M108"/>
    <mergeCell ref="N107:N108"/>
    <mergeCell ref="P93:P94"/>
    <mergeCell ref="P95:P96"/>
    <mergeCell ref="M97:M98"/>
    <mergeCell ref="N97:N98"/>
    <mergeCell ref="P97:P98"/>
    <mergeCell ref="O85:O86"/>
    <mergeCell ref="P77:P78"/>
    <mergeCell ref="P75:P76"/>
    <mergeCell ref="P73:P74"/>
    <mergeCell ref="O73:O74"/>
    <mergeCell ref="J101:J102"/>
    <mergeCell ref="P105:P106"/>
    <mergeCell ref="O93:O94"/>
    <mergeCell ref="M61:M62"/>
    <mergeCell ref="N61:N62"/>
    <mergeCell ref="L95:L96"/>
    <mergeCell ref="L97:L98"/>
    <mergeCell ref="L99:L100"/>
    <mergeCell ref="J61:J62"/>
    <mergeCell ref="O91:O92"/>
    <mergeCell ref="L87:L88"/>
    <mergeCell ref="K67:K68"/>
    <mergeCell ref="M73:M74"/>
    <mergeCell ref="J63:J64"/>
    <mergeCell ref="J69:J70"/>
    <mergeCell ref="J71:J72"/>
    <mergeCell ref="L93:L94"/>
    <mergeCell ref="J85:J86"/>
    <mergeCell ref="J87:J88"/>
    <mergeCell ref="J89:J90"/>
    <mergeCell ref="J91:J92"/>
    <mergeCell ref="U9:Y9"/>
    <mergeCell ref="U8:Y8"/>
    <mergeCell ref="U10:Y10"/>
    <mergeCell ref="U11:Y11"/>
    <mergeCell ref="U12:Y12"/>
    <mergeCell ref="U13:Y13"/>
    <mergeCell ref="E103:E104"/>
    <mergeCell ref="O4:AF4"/>
    <mergeCell ref="W1:AF1"/>
    <mergeCell ref="Y2:AF2"/>
    <mergeCell ref="N89:N90"/>
    <mergeCell ref="M91:M92"/>
    <mergeCell ref="N91:N92"/>
    <mergeCell ref="M93:M94"/>
    <mergeCell ref="N93:N94"/>
    <mergeCell ref="M95:M96"/>
    <mergeCell ref="N95:N96"/>
    <mergeCell ref="O101:O102"/>
    <mergeCell ref="F103:F104"/>
    <mergeCell ref="U14:Y14"/>
    <mergeCell ref="U15:Y15"/>
    <mergeCell ref="U16:Y16"/>
    <mergeCell ref="U17:Y17"/>
    <mergeCell ref="U18:Y18"/>
    <mergeCell ref="O26:P26"/>
    <mergeCell ref="U19:Y19"/>
    <mergeCell ref="U20:Y20"/>
    <mergeCell ref="U21:Y21"/>
    <mergeCell ref="U22:Y22"/>
    <mergeCell ref="U23:Y23"/>
    <mergeCell ref="U24:Y24"/>
    <mergeCell ref="U25:Y25"/>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65:B166"/>
    <mergeCell ref="B167:B168"/>
    <mergeCell ref="B169:B170"/>
    <mergeCell ref="B171:B172"/>
    <mergeCell ref="B173:B174"/>
    <mergeCell ref="B175:B176"/>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s>
  <conditionalFormatting sqref="F9:F12">
    <cfRule type="dataBar" priority="23">
      <dataBar showValue="0">
        <cfvo type="num" val="0"/>
        <cfvo type="num" val="1"/>
        <color rgb="FF00B050"/>
      </dataBar>
      <extLst>
        <ext xmlns:x14="http://schemas.microsoft.com/office/spreadsheetml/2009/9/main" uri="{B025F937-C7B1-47D3-B67F-A62EFF666E3E}">
          <x14:id>{92CA1A61-2C91-4C63-B047-EA6F3E69C404}</x14:id>
        </ext>
      </extLst>
    </cfRule>
  </conditionalFormatting>
  <conditionalFormatting sqref="S6:S25">
    <cfRule type="containsText" dxfId="130" priority="10" operator="containsText" text="Concluído">
      <formula>NOT(ISERROR(SEARCH("Concluído",S6)))</formula>
    </cfRule>
    <cfRule type="containsText" dxfId="129" priority="11" operator="containsText" text="Conforme Planejado">
      <formula>NOT(ISERROR(SEARCH("Conforme Planejado",S6)))</formula>
    </cfRule>
    <cfRule type="containsText" dxfId="128" priority="12" operator="containsText" text="FALTA PLANEJAMENTO">
      <formula>NOT(ISERROR(SEARCH("FALTA PLANEJAMENTO",S6)))</formula>
    </cfRule>
    <cfRule type="containsText" dxfId="127" priority="13" operator="containsText" text="Atraso">
      <formula>NOT(ISERROR(SEARCH("Atraso",S6)))</formula>
    </cfRule>
  </conditionalFormatting>
  <conditionalFormatting sqref="T6:T25">
    <cfRule type="cellIs" dxfId="126" priority="3" operator="lessThan">
      <formula>0</formula>
    </cfRule>
  </conditionalFormatting>
  <conditionalFormatting sqref="AA6:AA25">
    <cfRule type="cellIs" dxfId="125" priority="21" operator="lessThanOrEqual">
      <formula>0.81</formula>
    </cfRule>
  </conditionalFormatting>
  <conditionalFormatting sqref="AD6:AD25">
    <cfRule type="containsText" dxfId="124" priority="5" operator="containsText" text="ADIANTADO">
      <formula>NOT(ISERROR(SEARCH("ADIANTADO",AD6)))</formula>
    </cfRule>
    <cfRule type="containsText" dxfId="123" priority="9" operator="containsText" text="FALTA DE ACOMPANHAMENTO">
      <formula>NOT(ISERROR(SEARCH("FALTA DE ACOMPANHAMENTO",AD6)))</formula>
    </cfRule>
    <cfRule type="containsText" dxfId="122" priority="14" operator="containsText" text="Concluído">
      <formula>NOT(ISERROR(SEARCH("Concluído",AD6)))</formula>
    </cfRule>
    <cfRule type="containsText" dxfId="121" priority="17" operator="containsText" text="Conforme Planejado">
      <formula>NOT(ISERROR(SEARCH("Conforme Planejado",AD6)))</formula>
    </cfRule>
    <cfRule type="containsText" dxfId="120" priority="18" operator="containsText" text="PROJETO NÃO INICIADO">
      <formula>NOT(ISERROR(SEARCH("PROJETO NÃO INICIADO",AD6)))</formula>
    </cfRule>
    <cfRule type="containsText" dxfId="119" priority="19" operator="containsText" text="Atraso">
      <formula>NOT(ISERROR(SEARCH("Atraso",AD6)))</formula>
    </cfRule>
  </conditionalFormatting>
  <conditionalFormatting sqref="AP55:AP176">
    <cfRule type="cellIs" dxfId="118" priority="1" operator="lessThan">
      <formula>0</formula>
    </cfRule>
  </conditionalFormatting>
  <dataValidations disablePrompts="1" count="21">
    <dataValidation type="list" allowBlank="1" showInputMessage="1" showErrorMessage="1" sqref="I47:I48 AC47:AC48 K47:K48 M47:M48 AE47:AE48 Q47:Q48 S47:S48 U47:U48 W47:W48 Y47:Y48 AA47:AA48" xr:uid="{90FDA76B-6A28-4E66-89E4-B51F4D048E4A}">
      <formula1>"Qualidade/dimensional,Rebarbas,Linhas de corte/ajustes,Ajuste de posicionamento,Quebra de faca,Ferramenta Acidentada,Falta de MO,Polimento"</formula1>
    </dataValidation>
    <dataValidation type="list" allowBlank="1" showInputMessage="1" showErrorMessage="1" sqref="I31:I35 AC31:AC35 K31:K35 M31:M35 AE31:AE35 Q31:Q35 S31:S35 U31:U35 W31:W35 Y31:Y35 AA31:AA35" xr:uid="{C7CE2EB3-145F-46E6-95F6-BF55B30310AE}">
      <formula1>"Manutenção, Ferramentaria, Falta de Material, Ajuste de ferramenta, Falta de Ar Comprimido,, Falta de OP, Aguardando Setup, Ajuste Transfer, Falta de energia, Blank c/ defeito, Quebra de qualidade, Troca de Fardo/Bobina"</formula1>
    </dataValidation>
    <dataValidation type="list" allowBlank="1" showInputMessage="1" showErrorMessage="1" sqref="I44 AC44 K44 M44 AE44 Q44 S44 U44 W44 Y44 AA44" xr:uid="{468624FA-7B3B-41B1-8EDC-E63C487D5E17}">
      <formula1>"Lesão dedos,Lesão mãos,Lesão pernas,Lesão pés,Lesão braços,Lesão olhos,Lesão cabeça,Lesão face"</formula1>
    </dataValidation>
    <dataValidation type="list" allowBlank="1" showInputMessage="1" showErrorMessage="1" sqref="I43 K43" xr:uid="{2E9294E5-95A1-4982-A62C-B595970BAEBC}">
      <formula1>"Rebarba,Risco profundo,Trica,Rachadura,Deformação,Falta de material,Peça amassada,Oxidação  -Dimensional  -Falta de operação,Falta de componente,Solda irregular,Rosca obstruída"</formula1>
    </dataValidation>
    <dataValidation type="list" allowBlank="1" showInputMessage="1" showErrorMessage="1" sqref="I40:I41 AC40:AC41 K40:K41 AE40:AE41 M40 Q40:Q41 S40:S41 U40:U41 W40:W41 Y40:Y41 AA40:AA41" xr:uid="{E075C580-B1A0-4387-8962-06973883630D}">
      <formula1>"Trinca,Rachadura,Deformação,Falta de material,Peça amassada,Oxidação,Dimensional,Falta de operação ,Falta de componente,Solda irregular,Falta de rosca,Risco profundo,Rosca obstruída,Rebarba"</formula1>
    </dataValidation>
    <dataValidation type="list" allowBlank="1" showInputMessage="1" showErrorMessage="1" sqref="AE36:AE37 AC36:AC37 K36:K37 M36:M37 AA36:AA37 Q36:Q37 S36:S37 U36:U37 W36:W37 Y36:Y37" xr:uid="{A893F995-BEE2-40C2-811D-AC923600223B}">
      <formula1>"Quebra mecânica  ,Quebra elétrica,Problema com PLC,Falta de spare parts,Falta de MO,Quebra por mal uso"</formula1>
    </dataValidation>
    <dataValidation type="list" allowBlank="1" showInputMessage="1" showErrorMessage="1" sqref="I30 K30 M30 AE30 Q30 S30 U30 W30 Y30 AA30 AC30" xr:uid="{659C9A92-7518-46D6-ACB1-EE58EF91BED5}">
      <formula1>"Trinca, Rachadura, Deformação, Falta de Material, Peça amassada, Oxidação, Dimensional, Falta de operação, Falta de componente, Solda irregular, Falta de rosca, Risco profundo, Rosca obstruída, Rebarba"</formula1>
    </dataValidation>
    <dataValidation type="list" allowBlank="1" showInputMessage="1" showErrorMessage="1" sqref="I38 K38 M38 AE38 Q38 S38 U38 W38 Y38 AA38 AC38" xr:uid="{C7D1909A-B6B7-437B-A882-07617C522665}">
      <formula1>"Produção, Logística, Qualidade, Engenharia, Corpotativo, Custos, Segurança, Manutenção, Ferramentaria"</formula1>
    </dataValidation>
    <dataValidation type="list" allowBlank="1" showInputMessage="1" showErrorMessage="1" sqref="I39 K39 M39 AE39 Q39 S39 U39 W39 Y39 AA39 AC39" xr:uid="{4FD3A477-6C65-41FD-8666-6D319D14EFBA}">
      <formula1>"Erro invent. anual, Erro ID invent. anual, Apontamento incorreto, Receb. qtd incorreta, Receb. cod. Incorreto, Mat. sem saldo, Entrada fiscal incorreto, Mat. rec. sem ent. de saldo fiscal, Mat. não encont. fisicamente"</formula1>
    </dataValidation>
    <dataValidation type="list" allowBlank="1" showInputMessage="1" showErrorMessage="1" sqref="I42 K42 M42 AE42 Q42 S42 U42 W42 Y42 AA42 AC42" xr:uid="{ECE3E148-5328-4DD9-A6A0-22C368F32E55}">
      <formula1>"Refugo, Frete estra, Horas extras, Nota de débitos, Receita líquida"</formula1>
    </dataValidation>
    <dataValidation type="list" allowBlank="1" showInputMessage="1" showErrorMessage="1" sqref="I45 K45 M45 AE45 Q45 S45 U45 W45 Y45 AA45 AC45" xr:uid="{81F96CCD-80E0-48E7-BEB0-B644EC409AEF}">
      <formula1>"Engenharia, Custos"</formula1>
    </dataValidation>
    <dataValidation type="list" allowBlank="1" showInputMessage="1" showErrorMessage="1" sqref="I46 K46 M46 AE46 Q46 S46 U46 W46 Y46 AA46 AC46" xr:uid="{751DB958-04AD-4370-9C34-50E40EAF5E00}">
      <formula1>"Produção, Logística, Qualidade, Engenharia, Corporativo, Custos, Segurança, Manutenção, Ferramentaria"</formula1>
    </dataValidation>
    <dataValidation type="list" allowBlank="1" showInputMessage="1" showErrorMessage="1" sqref="E227:E317" xr:uid="{29E85B1C-D87E-4272-85D7-B13502DC08DE}">
      <formula1>"Sim,Não"</formula1>
    </dataValidation>
    <dataValidation type="list" allowBlank="1" showInputMessage="1" showErrorMessage="1" sqref="I36:I37" xr:uid="{D681F326-D204-4064-B3B6-693EDB7DAB9B}">
      <formula1>"Quebra mecânica  ,Quebra elétrica,Problema com PLC,Falta de spare parts,Falta de MO,Quebra por mal uso, Problema com CLP"</formula1>
    </dataValidation>
    <dataValidation type="list" allowBlank="1" showInputMessage="1" showErrorMessage="1" sqref="M43 AE43 AC43 S43 U43 W43 Y43 AA43" xr:uid="{0AE49229-CC69-484F-B092-145F52937887}">
      <formula1>"Rebarba,Risco profundo,Trica,Rachadura,Deformação,Falta de material,Peça amassada,Oxidação  -Dimensional  -Falta de operação,Falta de componente,Solda irregular,Rosca obstruída, Quebra de FIFO"</formula1>
    </dataValidation>
    <dataValidation type="list" allowBlank="1" showInputMessage="1" showErrorMessage="1" sqref="D177:D181 D186:D192 D200 D202 D204:D206" xr:uid="{1ADB668A-F8C1-4527-B6FB-BB57D853F01D}">
      <formula1>"1,2,3"</formula1>
    </dataValidation>
    <dataValidation type="list" allowBlank="1" showInputMessage="1" showErrorMessage="1" sqref="M41" xr:uid="{182A432E-ED06-4E05-BC28-FFDAF2390F2D}">
      <formula1>"Quebra de FIFO, Trinca,Rachadura,Deformação,Falta de material,Peça amassada,Oxidação,Dimensional,Falta de operação ,Falta de componente,Solda irregular,Falta de rosca,Risco profundo,Rosca obstruída,Rebarba"</formula1>
    </dataValidation>
    <dataValidation type="list" allowBlank="1" showInputMessage="1" showErrorMessage="1" sqref="E180:F206" xr:uid="{CCDE3FFB-CC65-4B10-9FE4-5125B01A4A5B}">
      <formula1>"OK,NOK"</formula1>
    </dataValidation>
    <dataValidation type="list" allowBlank="1" showInputMessage="1" showErrorMessage="1" sqref="AK55:AK136 AK147:AK168" xr:uid="{57FE36A7-6F81-4EB0-B48B-04B2FADE87BD}">
      <formula1>$AG$47:$AG$51</formula1>
    </dataValidation>
    <dataValidation type="list" allowBlank="1" showInputMessage="1" showErrorMessage="1" sqref="B55:B176" xr:uid="{4998933B-9ABD-486A-8589-6B1C1E3A4192}">
      <formula1>"VA,GGF,MA,Outros"</formula1>
    </dataValidation>
    <dataValidation type="list" allowBlank="1" showInputMessage="1" showErrorMessage="1" sqref="Q43" xr:uid="{BEE45A27-00E5-482C-BD46-5ADEF5DC8D9B}">
      <formula1>"Dimensional, Rebarba,Risco profundo,Trica,Rachadura,Deformação,Falta de material,Peça amassada,Oxidação  -Dimensional  -Falta de operação,Falta de componente,Solda irregular,Rosca obstruída, Quebra de FIFO"</formula1>
    </dataValidation>
  </dataValidations>
  <hyperlinks>
    <hyperlink ref="A59:A60" r:id="rId1" display="Kaizen" xr:uid="{1E68BFCC-1295-4E6C-8798-472046954F04}"/>
    <hyperlink ref="A55:A56" r:id="rId2" display="Kaizen" xr:uid="{53AF5BB3-952B-43C6-A616-1A511FDA410B}"/>
    <hyperlink ref="H188" r:id="rId3" xr:uid="{A0FF9844-2382-42F0-90F1-AD0E7F83E3DA}"/>
    <hyperlink ref="H189" r:id="rId4" xr:uid="{31AB57B0-82C1-4243-9DDE-FAEAC4DFFF3D}"/>
    <hyperlink ref="D61" r:id="rId5" xr:uid="{A0708AE6-C5F6-4578-9B6D-0267B06B3AB7}"/>
    <hyperlink ref="D77" r:id="rId6" xr:uid="{7D8EE43E-62BD-41BA-9870-1C81273EE126}"/>
    <hyperlink ref="D65" r:id="rId7" xr:uid="{8ACC4E10-59A2-4AA8-8265-2DE38E5CCC7F}"/>
    <hyperlink ref="H180" r:id="rId8" xr:uid="{07D041A6-C999-4C45-994B-946902A6824C}"/>
    <hyperlink ref="H181" r:id="rId9" xr:uid="{1538283D-3B27-46B0-9E9D-0D0B6C239E23}"/>
    <hyperlink ref="H187" r:id="rId10" xr:uid="{67EE0A68-62DC-4A52-A8F6-40E83386A4F7}"/>
    <hyperlink ref="H200" r:id="rId11" display="VW000887Z" xr:uid="{205F1E3A-AEA0-4D29-839A-3868FF25AB01}"/>
    <hyperlink ref="D119" r:id="rId12" xr:uid="{64ED541A-D36E-4325-8426-BE31A609A903}"/>
    <hyperlink ref="D117" r:id="rId13" xr:uid="{EF5B8C39-0A21-48B7-8AA6-A9F163321B5E}"/>
    <hyperlink ref="H192" r:id="rId14" xr:uid="{E4184166-3B8B-4484-9DC1-AB25D26EE7D7}"/>
    <hyperlink ref="H193" r:id="rId15" xr:uid="{3CF61132-C14B-40B8-A21B-6D2DF5C4C500}"/>
    <hyperlink ref="D91" r:id="rId16" xr:uid="{5D7047F6-BA21-41F3-93A4-A34D6B596753}"/>
    <hyperlink ref="D105" r:id="rId17" xr:uid="{28C82278-B806-4B96-89EC-0A2169F7B0B5}"/>
    <hyperlink ref="D79" r:id="rId18" xr:uid="{434127DF-0F99-417C-8353-FFC75748263E}"/>
    <hyperlink ref="D85" r:id="rId19" xr:uid="{27957303-EF49-4DF8-898C-73A07982E109}"/>
    <hyperlink ref="D93" r:id="rId20" xr:uid="{C14B3C43-5225-4707-8ED7-21F294E815BA}"/>
    <hyperlink ref="D97" r:id="rId21" xr:uid="{49156D6F-2CB0-42FE-A9A5-62A03A6D4ABA}"/>
    <hyperlink ref="D101" r:id="rId22" xr:uid="{425ABF33-548E-464D-AF80-29EAAF44C76E}"/>
    <hyperlink ref="D115" r:id="rId23" xr:uid="{9CCA9FC2-ECEF-478C-8899-0182ADCC0404}"/>
    <hyperlink ref="D121" r:id="rId24" xr:uid="{AD3805F5-B159-4ACD-8E61-7CCB0470E718}"/>
    <hyperlink ref="D123" r:id="rId25" xr:uid="{DC304558-0A65-406A-BA66-A23DF4C26464}"/>
    <hyperlink ref="D125" r:id="rId26" xr:uid="{0BB172E2-5E33-4171-B19E-B23DE6931701}"/>
    <hyperlink ref="D127" r:id="rId27" xr:uid="{EB582ED5-2E92-4D82-A314-3B23E90D930D}"/>
    <hyperlink ref="D129" r:id="rId28" xr:uid="{60F84FB4-A10B-47E6-BCB4-B2ADE8059AEA}"/>
    <hyperlink ref="D131" r:id="rId29" xr:uid="{07CD5529-3994-4568-9CF4-692F0310C789}"/>
    <hyperlink ref="D133" r:id="rId30" xr:uid="{0557E9BB-4520-49D1-8F58-F921ABA7306F}"/>
    <hyperlink ref="D135" r:id="rId31" xr:uid="{54CA9384-3F7A-4B4A-9E8D-BA0FBA3EAE04}"/>
    <hyperlink ref="D57" r:id="rId32" xr:uid="{B5566BEA-108E-42A3-B61E-E8FE0F930132}"/>
    <hyperlink ref="D55" r:id="rId33" xr:uid="{E4E59668-62AE-4617-9949-130E41A9B2A6}"/>
    <hyperlink ref="D59" r:id="rId34" xr:uid="{EAB3B23E-B1FB-4DCC-B8A5-B32A2298A18D}"/>
    <hyperlink ref="D63" r:id="rId35" xr:uid="{908F2596-5093-4829-922C-757D13F63E5A}"/>
    <hyperlink ref="D67" r:id="rId36" xr:uid="{9B45B0DD-1D26-4A82-8730-F53205812EA6}"/>
    <hyperlink ref="D69" r:id="rId37" xr:uid="{571168C5-A5B8-45D2-A366-D22B1A1ABB23}"/>
    <hyperlink ref="D73" r:id="rId38" xr:uid="{CD637249-D09D-45AD-B1B9-A04228202CBD}"/>
    <hyperlink ref="D81" r:id="rId39" xr:uid="{6C0128A6-5909-4B5F-BC62-16106F5D7996}"/>
    <hyperlink ref="D83" r:id="rId40" xr:uid="{D4102031-43BE-4BA7-B74A-A6A3BCEF3150}"/>
    <hyperlink ref="D87" r:id="rId41" xr:uid="{0E2B14B0-2B34-4DCC-9313-6C4A75584019}"/>
    <hyperlink ref="D89" r:id="rId42" xr:uid="{523F8C50-41C4-478E-B3F6-417152279401}"/>
    <hyperlink ref="D95" r:id="rId43" xr:uid="{79535EE2-F1D7-4E2E-A45A-E360F545430C}"/>
    <hyperlink ref="D99" r:id="rId44" xr:uid="{3A62A4DF-AA4F-4B8D-B666-AC6B528A9F80}"/>
    <hyperlink ref="D103" r:id="rId45" xr:uid="{DAA4ECBF-97CF-4A2D-93A7-31FD370E73AE}"/>
    <hyperlink ref="D107" r:id="rId46" xr:uid="{D1EF1ADE-EFF0-4742-BD1A-26468CB196A9}"/>
    <hyperlink ref="D109" r:id="rId47" xr:uid="{C304F5D3-52D5-4FCA-88D1-86C4C40277EE}"/>
    <hyperlink ref="D111" r:id="rId48" xr:uid="{B0F15815-F355-4C68-806E-75E06686776E}"/>
    <hyperlink ref="D113" r:id="rId49" xr:uid="{9350C42A-235A-4572-97AE-50A4B67C8025}"/>
    <hyperlink ref="D71" r:id="rId50" xr:uid="{4522AE15-CF3D-4517-839F-6241B174E893}"/>
    <hyperlink ref="D145" r:id="rId51" xr:uid="{3C668C24-7BA1-4B09-AADA-6C2F0A46B050}"/>
    <hyperlink ref="D143" r:id="rId52" xr:uid="{BE09B1C0-1FFB-403C-ADB5-6584097A1443}"/>
    <hyperlink ref="D141" r:id="rId53" xr:uid="{E752E6EA-C3EA-46ED-BF93-2309DE22AF33}"/>
    <hyperlink ref="D139" r:id="rId54" xr:uid="{80F0994F-F42F-44A4-97EE-D9ABBFFC4B54}"/>
    <hyperlink ref="D137" r:id="rId55" xr:uid="{AFDEB65D-8AB5-4275-96B5-2BDB8442F610}"/>
    <hyperlink ref="D147" r:id="rId56" xr:uid="{BFDAE7E6-9F1E-4A47-B9AE-56DB388CBD60}"/>
    <hyperlink ref="D149" r:id="rId57" xr:uid="{05B848BC-9E00-45AE-AA41-10F64C13C141}"/>
    <hyperlink ref="D151" r:id="rId58" xr:uid="{D060ABF7-2F1F-45FB-A668-8CF208C70621}"/>
    <hyperlink ref="D153" r:id="rId59" xr:uid="{A7E71160-44CE-4500-829D-643883651649}"/>
    <hyperlink ref="D155" r:id="rId60" xr:uid="{7C4A142A-0E4B-476C-AF2B-EB1AB0644548}"/>
    <hyperlink ref="D157" r:id="rId61" xr:uid="{3A35027D-5C1A-4FB8-B739-773C8091E050}"/>
    <hyperlink ref="D159" r:id="rId62" xr:uid="{BA4B740B-AB0C-466F-B96C-E1BAC9739A77}"/>
    <hyperlink ref="D161" r:id="rId63" xr:uid="{790E8810-9564-40F1-AB3E-4ADE27BEFB28}"/>
    <hyperlink ref="D163" r:id="rId64" xr:uid="{A64B7811-E47E-4821-AC9A-B2540BD469B4}"/>
    <hyperlink ref="D165" r:id="rId65" xr:uid="{978AE611-31FD-4B66-AF0D-3E8E66844345}"/>
    <hyperlink ref="D167" r:id="rId66" xr:uid="{7F84D023-0919-4CA0-B9DB-FAC1FECFCFEF}"/>
  </hyperlinks>
  <pageMargins left="0.75" right="0.75" top="1" bottom="1" header="0.5" footer="0.5"/>
  <pageSetup paperSize="9" orientation="portrait" r:id="rId67"/>
  <drawing r:id="rId68"/>
  <legacyDrawing r:id="rId69"/>
  <mc:AlternateContent xmlns:mc="http://schemas.openxmlformats.org/markup-compatibility/2006">
    <mc:Choice Requires="x14">
      <controls>
        <mc:AlternateContent xmlns:mc="http://schemas.openxmlformats.org/markup-compatibility/2006">
          <mc:Choice Requires="x14">
            <control shapeId="3144" r:id="rId70" name="Check Box 72">
              <controlPr defaultSize="0" autoFill="0" autoLine="0" autoPict="0">
                <anchor moveWithCells="1">
                  <from>
                    <xdr:col>11</xdr:col>
                    <xdr:colOff>0</xdr:colOff>
                    <xdr:row>54</xdr:row>
                    <xdr:rowOff>30480</xdr:rowOff>
                  </from>
                  <to>
                    <xdr:col>12</xdr:col>
                    <xdr:colOff>175260</xdr:colOff>
                    <xdr:row>54</xdr:row>
                    <xdr:rowOff>266700</xdr:rowOff>
                  </to>
                </anchor>
              </controlPr>
            </control>
          </mc:Choice>
        </mc:AlternateContent>
        <mc:AlternateContent xmlns:mc="http://schemas.openxmlformats.org/markup-compatibility/2006">
          <mc:Choice Requires="x14">
            <control shapeId="3146" r:id="rId71" name="Check Box 74">
              <controlPr defaultSize="0" autoFill="0" autoLine="0" autoPict="0">
                <anchor moveWithCells="1">
                  <from>
                    <xdr:col>11</xdr:col>
                    <xdr:colOff>0</xdr:colOff>
                    <xdr:row>54</xdr:row>
                    <xdr:rowOff>259080</xdr:rowOff>
                  </from>
                  <to>
                    <xdr:col>12</xdr:col>
                    <xdr:colOff>175260</xdr:colOff>
                    <xdr:row>55</xdr:row>
                    <xdr:rowOff>144780</xdr:rowOff>
                  </to>
                </anchor>
              </controlPr>
            </control>
          </mc:Choice>
        </mc:AlternateContent>
        <mc:AlternateContent xmlns:mc="http://schemas.openxmlformats.org/markup-compatibility/2006">
          <mc:Choice Requires="x14">
            <control shapeId="3147" r:id="rId72" name="Check Box 75">
              <controlPr defaultSize="0" autoFill="0" autoLine="0" autoPict="0">
                <anchor moveWithCells="1">
                  <from>
                    <xdr:col>11</xdr:col>
                    <xdr:colOff>0</xdr:colOff>
                    <xdr:row>55</xdr:row>
                    <xdr:rowOff>106680</xdr:rowOff>
                  </from>
                  <to>
                    <xdr:col>12</xdr:col>
                    <xdr:colOff>175260</xdr:colOff>
                    <xdr:row>55</xdr:row>
                    <xdr:rowOff>320040</xdr:rowOff>
                  </to>
                </anchor>
              </controlPr>
            </control>
          </mc:Choice>
        </mc:AlternateContent>
        <mc:AlternateContent xmlns:mc="http://schemas.openxmlformats.org/markup-compatibility/2006">
          <mc:Choice Requires="x14">
            <control shapeId="3149" r:id="rId73" name="Check Box 77">
              <controlPr defaultSize="0" autoFill="0" autoLine="0" autoPict="0">
                <anchor moveWithCells="1">
                  <from>
                    <xdr:col>11</xdr:col>
                    <xdr:colOff>0</xdr:colOff>
                    <xdr:row>56</xdr:row>
                    <xdr:rowOff>30480</xdr:rowOff>
                  </from>
                  <to>
                    <xdr:col>12</xdr:col>
                    <xdr:colOff>175260</xdr:colOff>
                    <xdr:row>56</xdr:row>
                    <xdr:rowOff>243840</xdr:rowOff>
                  </to>
                </anchor>
              </controlPr>
            </control>
          </mc:Choice>
        </mc:AlternateContent>
        <mc:AlternateContent xmlns:mc="http://schemas.openxmlformats.org/markup-compatibility/2006">
          <mc:Choice Requires="x14">
            <control shapeId="3150" r:id="rId74" name="Check Box 78">
              <controlPr defaultSize="0" autoFill="0" autoLine="0" autoPict="0">
                <anchor moveWithCells="1">
                  <from>
                    <xdr:col>11</xdr:col>
                    <xdr:colOff>0</xdr:colOff>
                    <xdr:row>56</xdr:row>
                    <xdr:rowOff>259080</xdr:rowOff>
                  </from>
                  <to>
                    <xdr:col>12</xdr:col>
                    <xdr:colOff>175260</xdr:colOff>
                    <xdr:row>57</xdr:row>
                    <xdr:rowOff>190500</xdr:rowOff>
                  </to>
                </anchor>
              </controlPr>
            </control>
          </mc:Choice>
        </mc:AlternateContent>
        <mc:AlternateContent xmlns:mc="http://schemas.openxmlformats.org/markup-compatibility/2006">
          <mc:Choice Requires="x14">
            <control shapeId="3151" r:id="rId75" name="Check Box 79">
              <controlPr defaultSize="0" autoFill="0" autoLine="0" autoPict="0">
                <anchor moveWithCells="1">
                  <from>
                    <xdr:col>11</xdr:col>
                    <xdr:colOff>0</xdr:colOff>
                    <xdr:row>57</xdr:row>
                    <xdr:rowOff>106680</xdr:rowOff>
                  </from>
                  <to>
                    <xdr:col>12</xdr:col>
                    <xdr:colOff>175260</xdr:colOff>
                    <xdr:row>57</xdr:row>
                    <xdr:rowOff>320040</xdr:rowOff>
                  </to>
                </anchor>
              </controlPr>
            </control>
          </mc:Choice>
        </mc:AlternateContent>
        <mc:AlternateContent xmlns:mc="http://schemas.openxmlformats.org/markup-compatibility/2006">
          <mc:Choice Requires="x14">
            <control shapeId="3152" r:id="rId76" name="Check Box 80">
              <controlPr defaultSize="0" autoFill="0" autoLine="0" autoPict="0">
                <anchor moveWithCells="1">
                  <from>
                    <xdr:col>11</xdr:col>
                    <xdr:colOff>0</xdr:colOff>
                    <xdr:row>58</xdr:row>
                    <xdr:rowOff>30480</xdr:rowOff>
                  </from>
                  <to>
                    <xdr:col>12</xdr:col>
                    <xdr:colOff>175260</xdr:colOff>
                    <xdr:row>58</xdr:row>
                    <xdr:rowOff>243840</xdr:rowOff>
                  </to>
                </anchor>
              </controlPr>
            </control>
          </mc:Choice>
        </mc:AlternateContent>
        <mc:AlternateContent xmlns:mc="http://schemas.openxmlformats.org/markup-compatibility/2006">
          <mc:Choice Requires="x14">
            <control shapeId="3153" r:id="rId77" name="Check Box 81">
              <controlPr defaultSize="0" autoFill="0" autoLine="0" autoPict="0">
                <anchor moveWithCells="1">
                  <from>
                    <xdr:col>11</xdr:col>
                    <xdr:colOff>0</xdr:colOff>
                    <xdr:row>58</xdr:row>
                    <xdr:rowOff>259080</xdr:rowOff>
                  </from>
                  <to>
                    <xdr:col>12</xdr:col>
                    <xdr:colOff>175260</xdr:colOff>
                    <xdr:row>59</xdr:row>
                    <xdr:rowOff>175260</xdr:rowOff>
                  </to>
                </anchor>
              </controlPr>
            </control>
          </mc:Choice>
        </mc:AlternateContent>
        <mc:AlternateContent xmlns:mc="http://schemas.openxmlformats.org/markup-compatibility/2006">
          <mc:Choice Requires="x14">
            <control shapeId="3154" r:id="rId78" name="Check Box 82">
              <controlPr defaultSize="0" autoFill="0" autoLine="0" autoPict="0">
                <anchor moveWithCells="1">
                  <from>
                    <xdr:col>11</xdr:col>
                    <xdr:colOff>0</xdr:colOff>
                    <xdr:row>59</xdr:row>
                    <xdr:rowOff>106680</xdr:rowOff>
                  </from>
                  <to>
                    <xdr:col>12</xdr:col>
                    <xdr:colOff>175260</xdr:colOff>
                    <xdr:row>59</xdr:row>
                    <xdr:rowOff>320040</xdr:rowOff>
                  </to>
                </anchor>
              </controlPr>
            </control>
          </mc:Choice>
        </mc:AlternateContent>
        <mc:AlternateContent xmlns:mc="http://schemas.openxmlformats.org/markup-compatibility/2006">
          <mc:Choice Requires="x14">
            <control shapeId="3156" r:id="rId79" name="Check Box 84">
              <controlPr defaultSize="0" autoFill="0" autoLine="0" autoPict="0">
                <anchor moveWithCells="1">
                  <from>
                    <xdr:col>11</xdr:col>
                    <xdr:colOff>0</xdr:colOff>
                    <xdr:row>60</xdr:row>
                    <xdr:rowOff>259080</xdr:rowOff>
                  </from>
                  <to>
                    <xdr:col>12</xdr:col>
                    <xdr:colOff>175260</xdr:colOff>
                    <xdr:row>61</xdr:row>
                    <xdr:rowOff>175260</xdr:rowOff>
                  </to>
                </anchor>
              </controlPr>
            </control>
          </mc:Choice>
        </mc:AlternateContent>
        <mc:AlternateContent xmlns:mc="http://schemas.openxmlformats.org/markup-compatibility/2006">
          <mc:Choice Requires="x14">
            <control shapeId="3157" r:id="rId80" name="Check Box 85">
              <controlPr defaultSize="0" autoFill="0" autoLine="0" autoPict="0">
                <anchor moveWithCells="1">
                  <from>
                    <xdr:col>11</xdr:col>
                    <xdr:colOff>0</xdr:colOff>
                    <xdr:row>61</xdr:row>
                    <xdr:rowOff>106680</xdr:rowOff>
                  </from>
                  <to>
                    <xdr:col>12</xdr:col>
                    <xdr:colOff>175260</xdr:colOff>
                    <xdr:row>61</xdr:row>
                    <xdr:rowOff>320040</xdr:rowOff>
                  </to>
                </anchor>
              </controlPr>
            </control>
          </mc:Choice>
        </mc:AlternateContent>
        <mc:AlternateContent xmlns:mc="http://schemas.openxmlformats.org/markup-compatibility/2006">
          <mc:Choice Requires="x14">
            <control shapeId="3159" r:id="rId81" name="Check Box 87">
              <controlPr defaultSize="0" autoFill="0" autoLine="0" autoPict="0">
                <anchor moveWithCells="1">
                  <from>
                    <xdr:col>11</xdr:col>
                    <xdr:colOff>0</xdr:colOff>
                    <xdr:row>62</xdr:row>
                    <xdr:rowOff>259080</xdr:rowOff>
                  </from>
                  <to>
                    <xdr:col>12</xdr:col>
                    <xdr:colOff>175260</xdr:colOff>
                    <xdr:row>63</xdr:row>
                    <xdr:rowOff>175260</xdr:rowOff>
                  </to>
                </anchor>
              </controlPr>
            </control>
          </mc:Choice>
        </mc:AlternateContent>
        <mc:AlternateContent xmlns:mc="http://schemas.openxmlformats.org/markup-compatibility/2006">
          <mc:Choice Requires="x14">
            <control shapeId="3160" r:id="rId82" name="Check Box 88">
              <controlPr defaultSize="0" autoFill="0" autoLine="0" autoPict="0">
                <anchor moveWithCells="1">
                  <from>
                    <xdr:col>11</xdr:col>
                    <xdr:colOff>0</xdr:colOff>
                    <xdr:row>63</xdr:row>
                    <xdr:rowOff>106680</xdr:rowOff>
                  </from>
                  <to>
                    <xdr:col>12</xdr:col>
                    <xdr:colOff>175260</xdr:colOff>
                    <xdr:row>63</xdr:row>
                    <xdr:rowOff>320040</xdr:rowOff>
                  </to>
                </anchor>
              </controlPr>
            </control>
          </mc:Choice>
        </mc:AlternateContent>
        <mc:AlternateContent xmlns:mc="http://schemas.openxmlformats.org/markup-compatibility/2006">
          <mc:Choice Requires="x14">
            <control shapeId="3162" r:id="rId83" name="Check Box 90">
              <controlPr defaultSize="0" autoFill="0" autoLine="0" autoPict="0">
                <anchor moveWithCells="1">
                  <from>
                    <xdr:col>11</xdr:col>
                    <xdr:colOff>0</xdr:colOff>
                    <xdr:row>64</xdr:row>
                    <xdr:rowOff>259080</xdr:rowOff>
                  </from>
                  <to>
                    <xdr:col>12</xdr:col>
                    <xdr:colOff>175260</xdr:colOff>
                    <xdr:row>65</xdr:row>
                    <xdr:rowOff>175260</xdr:rowOff>
                  </to>
                </anchor>
              </controlPr>
            </control>
          </mc:Choice>
        </mc:AlternateContent>
        <mc:AlternateContent xmlns:mc="http://schemas.openxmlformats.org/markup-compatibility/2006">
          <mc:Choice Requires="x14">
            <control shapeId="3163" r:id="rId84" name="Check Box 91">
              <controlPr defaultSize="0" autoFill="0" autoLine="0" autoPict="0">
                <anchor moveWithCells="1">
                  <from>
                    <xdr:col>11</xdr:col>
                    <xdr:colOff>0</xdr:colOff>
                    <xdr:row>65</xdr:row>
                    <xdr:rowOff>106680</xdr:rowOff>
                  </from>
                  <to>
                    <xdr:col>12</xdr:col>
                    <xdr:colOff>175260</xdr:colOff>
                    <xdr:row>65</xdr:row>
                    <xdr:rowOff>320040</xdr:rowOff>
                  </to>
                </anchor>
              </controlPr>
            </control>
          </mc:Choice>
        </mc:AlternateContent>
        <mc:AlternateContent xmlns:mc="http://schemas.openxmlformats.org/markup-compatibility/2006">
          <mc:Choice Requires="x14">
            <control shapeId="3165" r:id="rId85" name="Check Box 93">
              <controlPr defaultSize="0" autoFill="0" autoLine="0" autoPict="0">
                <anchor moveWithCells="1">
                  <from>
                    <xdr:col>11</xdr:col>
                    <xdr:colOff>0</xdr:colOff>
                    <xdr:row>66</xdr:row>
                    <xdr:rowOff>259080</xdr:rowOff>
                  </from>
                  <to>
                    <xdr:col>12</xdr:col>
                    <xdr:colOff>175260</xdr:colOff>
                    <xdr:row>67</xdr:row>
                    <xdr:rowOff>175260</xdr:rowOff>
                  </to>
                </anchor>
              </controlPr>
            </control>
          </mc:Choice>
        </mc:AlternateContent>
        <mc:AlternateContent xmlns:mc="http://schemas.openxmlformats.org/markup-compatibility/2006">
          <mc:Choice Requires="x14">
            <control shapeId="3166" r:id="rId86" name="Check Box 94">
              <controlPr defaultSize="0" autoFill="0" autoLine="0" autoPict="0">
                <anchor moveWithCells="1">
                  <from>
                    <xdr:col>11</xdr:col>
                    <xdr:colOff>0</xdr:colOff>
                    <xdr:row>67</xdr:row>
                    <xdr:rowOff>106680</xdr:rowOff>
                  </from>
                  <to>
                    <xdr:col>12</xdr:col>
                    <xdr:colOff>175260</xdr:colOff>
                    <xdr:row>67</xdr:row>
                    <xdr:rowOff>320040</xdr:rowOff>
                  </to>
                </anchor>
              </controlPr>
            </control>
          </mc:Choice>
        </mc:AlternateContent>
        <mc:AlternateContent xmlns:mc="http://schemas.openxmlformats.org/markup-compatibility/2006">
          <mc:Choice Requires="x14">
            <control shapeId="3168" r:id="rId87" name="Check Box 96">
              <controlPr defaultSize="0" autoFill="0" autoLine="0" autoPict="0">
                <anchor moveWithCells="1">
                  <from>
                    <xdr:col>11</xdr:col>
                    <xdr:colOff>0</xdr:colOff>
                    <xdr:row>68</xdr:row>
                    <xdr:rowOff>259080</xdr:rowOff>
                  </from>
                  <to>
                    <xdr:col>12</xdr:col>
                    <xdr:colOff>175260</xdr:colOff>
                    <xdr:row>69</xdr:row>
                    <xdr:rowOff>144780</xdr:rowOff>
                  </to>
                </anchor>
              </controlPr>
            </control>
          </mc:Choice>
        </mc:AlternateContent>
        <mc:AlternateContent xmlns:mc="http://schemas.openxmlformats.org/markup-compatibility/2006">
          <mc:Choice Requires="x14">
            <control shapeId="3169" r:id="rId88" name="Check Box 97">
              <controlPr defaultSize="0" autoFill="0" autoLine="0" autoPict="0">
                <anchor moveWithCells="1">
                  <from>
                    <xdr:col>11</xdr:col>
                    <xdr:colOff>0</xdr:colOff>
                    <xdr:row>69</xdr:row>
                    <xdr:rowOff>106680</xdr:rowOff>
                  </from>
                  <to>
                    <xdr:col>12</xdr:col>
                    <xdr:colOff>175260</xdr:colOff>
                    <xdr:row>69</xdr:row>
                    <xdr:rowOff>320040</xdr:rowOff>
                  </to>
                </anchor>
              </controlPr>
            </control>
          </mc:Choice>
        </mc:AlternateContent>
        <mc:AlternateContent xmlns:mc="http://schemas.openxmlformats.org/markup-compatibility/2006">
          <mc:Choice Requires="x14">
            <control shapeId="3171" r:id="rId89" name="Check Box 99">
              <controlPr defaultSize="0" autoFill="0" autoLine="0" autoPict="0">
                <anchor moveWithCells="1">
                  <from>
                    <xdr:col>11</xdr:col>
                    <xdr:colOff>0</xdr:colOff>
                    <xdr:row>70</xdr:row>
                    <xdr:rowOff>259080</xdr:rowOff>
                  </from>
                  <to>
                    <xdr:col>12</xdr:col>
                    <xdr:colOff>175260</xdr:colOff>
                    <xdr:row>71</xdr:row>
                    <xdr:rowOff>175260</xdr:rowOff>
                  </to>
                </anchor>
              </controlPr>
            </control>
          </mc:Choice>
        </mc:AlternateContent>
        <mc:AlternateContent xmlns:mc="http://schemas.openxmlformats.org/markup-compatibility/2006">
          <mc:Choice Requires="x14">
            <control shapeId="3172" r:id="rId90" name="Check Box 100">
              <controlPr defaultSize="0" autoFill="0" autoLine="0" autoPict="0">
                <anchor moveWithCells="1">
                  <from>
                    <xdr:col>11</xdr:col>
                    <xdr:colOff>0</xdr:colOff>
                    <xdr:row>71</xdr:row>
                    <xdr:rowOff>106680</xdr:rowOff>
                  </from>
                  <to>
                    <xdr:col>12</xdr:col>
                    <xdr:colOff>175260</xdr:colOff>
                    <xdr:row>71</xdr:row>
                    <xdr:rowOff>320040</xdr:rowOff>
                  </to>
                </anchor>
              </controlPr>
            </control>
          </mc:Choice>
        </mc:AlternateContent>
        <mc:AlternateContent xmlns:mc="http://schemas.openxmlformats.org/markup-compatibility/2006">
          <mc:Choice Requires="x14">
            <control shapeId="3174" r:id="rId91" name="Check Box 102">
              <controlPr defaultSize="0" autoFill="0" autoLine="0" autoPict="0">
                <anchor moveWithCells="1">
                  <from>
                    <xdr:col>11</xdr:col>
                    <xdr:colOff>0</xdr:colOff>
                    <xdr:row>72</xdr:row>
                    <xdr:rowOff>259080</xdr:rowOff>
                  </from>
                  <to>
                    <xdr:col>12</xdr:col>
                    <xdr:colOff>175260</xdr:colOff>
                    <xdr:row>73</xdr:row>
                    <xdr:rowOff>175260</xdr:rowOff>
                  </to>
                </anchor>
              </controlPr>
            </control>
          </mc:Choice>
        </mc:AlternateContent>
        <mc:AlternateContent xmlns:mc="http://schemas.openxmlformats.org/markup-compatibility/2006">
          <mc:Choice Requires="x14">
            <control shapeId="3175" r:id="rId92" name="Check Box 103">
              <controlPr defaultSize="0" autoFill="0" autoLine="0" autoPict="0">
                <anchor moveWithCells="1">
                  <from>
                    <xdr:col>11</xdr:col>
                    <xdr:colOff>0</xdr:colOff>
                    <xdr:row>73</xdr:row>
                    <xdr:rowOff>106680</xdr:rowOff>
                  </from>
                  <to>
                    <xdr:col>12</xdr:col>
                    <xdr:colOff>175260</xdr:colOff>
                    <xdr:row>73</xdr:row>
                    <xdr:rowOff>320040</xdr:rowOff>
                  </to>
                </anchor>
              </controlPr>
            </control>
          </mc:Choice>
        </mc:AlternateContent>
        <mc:AlternateContent xmlns:mc="http://schemas.openxmlformats.org/markup-compatibility/2006">
          <mc:Choice Requires="x14">
            <control shapeId="3177" r:id="rId93" name="Check Box 105">
              <controlPr defaultSize="0" autoFill="0" autoLine="0" autoPict="0">
                <anchor moveWithCells="1">
                  <from>
                    <xdr:col>11</xdr:col>
                    <xdr:colOff>0</xdr:colOff>
                    <xdr:row>74</xdr:row>
                    <xdr:rowOff>259080</xdr:rowOff>
                  </from>
                  <to>
                    <xdr:col>12</xdr:col>
                    <xdr:colOff>175260</xdr:colOff>
                    <xdr:row>75</xdr:row>
                    <xdr:rowOff>175260</xdr:rowOff>
                  </to>
                </anchor>
              </controlPr>
            </control>
          </mc:Choice>
        </mc:AlternateContent>
        <mc:AlternateContent xmlns:mc="http://schemas.openxmlformats.org/markup-compatibility/2006">
          <mc:Choice Requires="x14">
            <control shapeId="3178" r:id="rId94" name="Check Box 106">
              <controlPr defaultSize="0" autoFill="0" autoLine="0" autoPict="0">
                <anchor moveWithCells="1">
                  <from>
                    <xdr:col>11</xdr:col>
                    <xdr:colOff>0</xdr:colOff>
                    <xdr:row>75</xdr:row>
                    <xdr:rowOff>106680</xdr:rowOff>
                  </from>
                  <to>
                    <xdr:col>12</xdr:col>
                    <xdr:colOff>175260</xdr:colOff>
                    <xdr:row>75</xdr:row>
                    <xdr:rowOff>320040</xdr:rowOff>
                  </to>
                </anchor>
              </controlPr>
            </control>
          </mc:Choice>
        </mc:AlternateContent>
        <mc:AlternateContent xmlns:mc="http://schemas.openxmlformats.org/markup-compatibility/2006">
          <mc:Choice Requires="x14">
            <control shapeId="3180" r:id="rId95" name="Check Box 108">
              <controlPr defaultSize="0" autoFill="0" autoLine="0" autoPict="0">
                <anchor moveWithCells="1">
                  <from>
                    <xdr:col>11</xdr:col>
                    <xdr:colOff>0</xdr:colOff>
                    <xdr:row>76</xdr:row>
                    <xdr:rowOff>259080</xdr:rowOff>
                  </from>
                  <to>
                    <xdr:col>12</xdr:col>
                    <xdr:colOff>175260</xdr:colOff>
                    <xdr:row>77</xdr:row>
                    <xdr:rowOff>190500</xdr:rowOff>
                  </to>
                </anchor>
              </controlPr>
            </control>
          </mc:Choice>
        </mc:AlternateContent>
        <mc:AlternateContent xmlns:mc="http://schemas.openxmlformats.org/markup-compatibility/2006">
          <mc:Choice Requires="x14">
            <control shapeId="3181" r:id="rId96" name="Check Box 109">
              <controlPr defaultSize="0" autoFill="0" autoLine="0" autoPict="0">
                <anchor moveWithCells="1">
                  <from>
                    <xdr:col>11</xdr:col>
                    <xdr:colOff>0</xdr:colOff>
                    <xdr:row>77</xdr:row>
                    <xdr:rowOff>106680</xdr:rowOff>
                  </from>
                  <to>
                    <xdr:col>12</xdr:col>
                    <xdr:colOff>175260</xdr:colOff>
                    <xdr:row>77</xdr:row>
                    <xdr:rowOff>320040</xdr:rowOff>
                  </to>
                </anchor>
              </controlPr>
            </control>
          </mc:Choice>
        </mc:AlternateContent>
        <mc:AlternateContent xmlns:mc="http://schemas.openxmlformats.org/markup-compatibility/2006">
          <mc:Choice Requires="x14">
            <control shapeId="3182" r:id="rId97" name="Check Box 110">
              <controlPr defaultSize="0" autoFill="0" autoLine="0" autoPict="0">
                <anchor moveWithCells="1">
                  <from>
                    <xdr:col>11</xdr:col>
                    <xdr:colOff>0</xdr:colOff>
                    <xdr:row>78</xdr:row>
                    <xdr:rowOff>30480</xdr:rowOff>
                  </from>
                  <to>
                    <xdr:col>12</xdr:col>
                    <xdr:colOff>175260</xdr:colOff>
                    <xdr:row>78</xdr:row>
                    <xdr:rowOff>243840</xdr:rowOff>
                  </to>
                </anchor>
              </controlPr>
            </control>
          </mc:Choice>
        </mc:AlternateContent>
        <mc:AlternateContent xmlns:mc="http://schemas.openxmlformats.org/markup-compatibility/2006">
          <mc:Choice Requires="x14">
            <control shapeId="3183" r:id="rId98" name="Check Box 111">
              <controlPr defaultSize="0" autoFill="0" autoLine="0" autoPict="0">
                <anchor moveWithCells="1">
                  <from>
                    <xdr:col>11</xdr:col>
                    <xdr:colOff>0</xdr:colOff>
                    <xdr:row>78</xdr:row>
                    <xdr:rowOff>259080</xdr:rowOff>
                  </from>
                  <to>
                    <xdr:col>12</xdr:col>
                    <xdr:colOff>175260</xdr:colOff>
                    <xdr:row>79</xdr:row>
                    <xdr:rowOff>175260</xdr:rowOff>
                  </to>
                </anchor>
              </controlPr>
            </control>
          </mc:Choice>
        </mc:AlternateContent>
        <mc:AlternateContent xmlns:mc="http://schemas.openxmlformats.org/markup-compatibility/2006">
          <mc:Choice Requires="x14">
            <control shapeId="3184" r:id="rId99" name="Check Box 112">
              <controlPr defaultSize="0" autoFill="0" autoLine="0" autoPict="0">
                <anchor moveWithCells="1">
                  <from>
                    <xdr:col>11</xdr:col>
                    <xdr:colOff>0</xdr:colOff>
                    <xdr:row>79</xdr:row>
                    <xdr:rowOff>106680</xdr:rowOff>
                  </from>
                  <to>
                    <xdr:col>12</xdr:col>
                    <xdr:colOff>175260</xdr:colOff>
                    <xdr:row>79</xdr:row>
                    <xdr:rowOff>320040</xdr:rowOff>
                  </to>
                </anchor>
              </controlPr>
            </control>
          </mc:Choice>
        </mc:AlternateContent>
        <mc:AlternateContent xmlns:mc="http://schemas.openxmlformats.org/markup-compatibility/2006">
          <mc:Choice Requires="x14">
            <control shapeId="3186" r:id="rId100" name="Check Box 114">
              <controlPr defaultSize="0" autoFill="0" autoLine="0" autoPict="0">
                <anchor moveWithCells="1">
                  <from>
                    <xdr:col>11</xdr:col>
                    <xdr:colOff>0</xdr:colOff>
                    <xdr:row>80</xdr:row>
                    <xdr:rowOff>259080</xdr:rowOff>
                  </from>
                  <to>
                    <xdr:col>12</xdr:col>
                    <xdr:colOff>175260</xdr:colOff>
                    <xdr:row>81</xdr:row>
                    <xdr:rowOff>144780</xdr:rowOff>
                  </to>
                </anchor>
              </controlPr>
            </control>
          </mc:Choice>
        </mc:AlternateContent>
        <mc:AlternateContent xmlns:mc="http://schemas.openxmlformats.org/markup-compatibility/2006">
          <mc:Choice Requires="x14">
            <control shapeId="3187" r:id="rId101" name="Check Box 115">
              <controlPr defaultSize="0" autoFill="0" autoLine="0" autoPict="0">
                <anchor moveWithCells="1">
                  <from>
                    <xdr:col>11</xdr:col>
                    <xdr:colOff>0</xdr:colOff>
                    <xdr:row>81</xdr:row>
                    <xdr:rowOff>106680</xdr:rowOff>
                  </from>
                  <to>
                    <xdr:col>12</xdr:col>
                    <xdr:colOff>175260</xdr:colOff>
                    <xdr:row>81</xdr:row>
                    <xdr:rowOff>320040</xdr:rowOff>
                  </to>
                </anchor>
              </controlPr>
            </control>
          </mc:Choice>
        </mc:AlternateContent>
        <mc:AlternateContent xmlns:mc="http://schemas.openxmlformats.org/markup-compatibility/2006">
          <mc:Choice Requires="x14">
            <control shapeId="3189" r:id="rId102" name="Check Box 117">
              <controlPr defaultSize="0" autoFill="0" autoLine="0" autoPict="0">
                <anchor moveWithCells="1">
                  <from>
                    <xdr:col>11</xdr:col>
                    <xdr:colOff>0</xdr:colOff>
                    <xdr:row>82</xdr:row>
                    <xdr:rowOff>259080</xdr:rowOff>
                  </from>
                  <to>
                    <xdr:col>12</xdr:col>
                    <xdr:colOff>175260</xdr:colOff>
                    <xdr:row>83</xdr:row>
                    <xdr:rowOff>190500</xdr:rowOff>
                  </to>
                </anchor>
              </controlPr>
            </control>
          </mc:Choice>
        </mc:AlternateContent>
        <mc:AlternateContent xmlns:mc="http://schemas.openxmlformats.org/markup-compatibility/2006">
          <mc:Choice Requires="x14">
            <control shapeId="3190" r:id="rId103" name="Check Box 118">
              <controlPr defaultSize="0" autoFill="0" autoLine="0" autoPict="0">
                <anchor moveWithCells="1">
                  <from>
                    <xdr:col>11</xdr:col>
                    <xdr:colOff>0</xdr:colOff>
                    <xdr:row>83</xdr:row>
                    <xdr:rowOff>106680</xdr:rowOff>
                  </from>
                  <to>
                    <xdr:col>12</xdr:col>
                    <xdr:colOff>175260</xdr:colOff>
                    <xdr:row>83</xdr:row>
                    <xdr:rowOff>320040</xdr:rowOff>
                  </to>
                </anchor>
              </controlPr>
            </control>
          </mc:Choice>
        </mc:AlternateContent>
        <mc:AlternateContent xmlns:mc="http://schemas.openxmlformats.org/markup-compatibility/2006">
          <mc:Choice Requires="x14">
            <control shapeId="3192" r:id="rId104" name="Check Box 120">
              <controlPr defaultSize="0" autoFill="0" autoLine="0" autoPict="0">
                <anchor moveWithCells="1">
                  <from>
                    <xdr:col>11</xdr:col>
                    <xdr:colOff>0</xdr:colOff>
                    <xdr:row>84</xdr:row>
                    <xdr:rowOff>259080</xdr:rowOff>
                  </from>
                  <to>
                    <xdr:col>12</xdr:col>
                    <xdr:colOff>175260</xdr:colOff>
                    <xdr:row>85</xdr:row>
                    <xdr:rowOff>144780</xdr:rowOff>
                  </to>
                </anchor>
              </controlPr>
            </control>
          </mc:Choice>
        </mc:AlternateContent>
        <mc:AlternateContent xmlns:mc="http://schemas.openxmlformats.org/markup-compatibility/2006">
          <mc:Choice Requires="x14">
            <control shapeId="3193" r:id="rId105" name="Check Box 121">
              <controlPr defaultSize="0" autoFill="0" autoLine="0" autoPict="0">
                <anchor moveWithCells="1">
                  <from>
                    <xdr:col>11</xdr:col>
                    <xdr:colOff>0</xdr:colOff>
                    <xdr:row>85</xdr:row>
                    <xdr:rowOff>106680</xdr:rowOff>
                  </from>
                  <to>
                    <xdr:col>12</xdr:col>
                    <xdr:colOff>175260</xdr:colOff>
                    <xdr:row>85</xdr:row>
                    <xdr:rowOff>320040</xdr:rowOff>
                  </to>
                </anchor>
              </controlPr>
            </control>
          </mc:Choice>
        </mc:AlternateContent>
        <mc:AlternateContent xmlns:mc="http://schemas.openxmlformats.org/markup-compatibility/2006">
          <mc:Choice Requires="x14">
            <control shapeId="3196" r:id="rId106" name="Check Box 124">
              <controlPr defaultSize="0" autoFill="0" autoLine="0" autoPict="0">
                <anchor moveWithCells="1">
                  <from>
                    <xdr:col>11</xdr:col>
                    <xdr:colOff>0</xdr:colOff>
                    <xdr:row>86</xdr:row>
                    <xdr:rowOff>259080</xdr:rowOff>
                  </from>
                  <to>
                    <xdr:col>12</xdr:col>
                    <xdr:colOff>175260</xdr:colOff>
                    <xdr:row>87</xdr:row>
                    <xdr:rowOff>144780</xdr:rowOff>
                  </to>
                </anchor>
              </controlPr>
            </control>
          </mc:Choice>
        </mc:AlternateContent>
        <mc:AlternateContent xmlns:mc="http://schemas.openxmlformats.org/markup-compatibility/2006">
          <mc:Choice Requires="x14">
            <control shapeId="3197" r:id="rId107" name="Check Box 125">
              <controlPr defaultSize="0" autoFill="0" autoLine="0" autoPict="0">
                <anchor moveWithCells="1">
                  <from>
                    <xdr:col>11</xdr:col>
                    <xdr:colOff>0</xdr:colOff>
                    <xdr:row>87</xdr:row>
                    <xdr:rowOff>106680</xdr:rowOff>
                  </from>
                  <to>
                    <xdr:col>12</xdr:col>
                    <xdr:colOff>175260</xdr:colOff>
                    <xdr:row>87</xdr:row>
                    <xdr:rowOff>320040</xdr:rowOff>
                  </to>
                </anchor>
              </controlPr>
            </control>
          </mc:Choice>
        </mc:AlternateContent>
        <mc:AlternateContent xmlns:mc="http://schemas.openxmlformats.org/markup-compatibility/2006">
          <mc:Choice Requires="x14">
            <control shapeId="3202" r:id="rId108" name="Check Box 130">
              <controlPr defaultSize="0" autoFill="0" autoLine="0" autoPict="0">
                <anchor moveWithCells="1">
                  <from>
                    <xdr:col>11</xdr:col>
                    <xdr:colOff>0</xdr:colOff>
                    <xdr:row>90</xdr:row>
                    <xdr:rowOff>259080</xdr:rowOff>
                  </from>
                  <to>
                    <xdr:col>12</xdr:col>
                    <xdr:colOff>175260</xdr:colOff>
                    <xdr:row>91</xdr:row>
                    <xdr:rowOff>175260</xdr:rowOff>
                  </to>
                </anchor>
              </controlPr>
            </control>
          </mc:Choice>
        </mc:AlternateContent>
        <mc:AlternateContent xmlns:mc="http://schemas.openxmlformats.org/markup-compatibility/2006">
          <mc:Choice Requires="x14">
            <control shapeId="3203" r:id="rId109" name="Check Box 131">
              <controlPr defaultSize="0" autoFill="0" autoLine="0" autoPict="0">
                <anchor moveWithCells="1">
                  <from>
                    <xdr:col>11</xdr:col>
                    <xdr:colOff>0</xdr:colOff>
                    <xdr:row>91</xdr:row>
                    <xdr:rowOff>106680</xdr:rowOff>
                  </from>
                  <to>
                    <xdr:col>12</xdr:col>
                    <xdr:colOff>175260</xdr:colOff>
                    <xdr:row>91</xdr:row>
                    <xdr:rowOff>320040</xdr:rowOff>
                  </to>
                </anchor>
              </controlPr>
            </control>
          </mc:Choice>
        </mc:AlternateContent>
        <mc:AlternateContent xmlns:mc="http://schemas.openxmlformats.org/markup-compatibility/2006">
          <mc:Choice Requires="x14">
            <control shapeId="3208" r:id="rId110" name="Check Box 136">
              <controlPr defaultSize="0" autoFill="0" autoLine="0" autoPict="0">
                <anchor moveWithCells="1">
                  <from>
                    <xdr:col>11</xdr:col>
                    <xdr:colOff>0</xdr:colOff>
                    <xdr:row>94</xdr:row>
                    <xdr:rowOff>259080</xdr:rowOff>
                  </from>
                  <to>
                    <xdr:col>12</xdr:col>
                    <xdr:colOff>175260</xdr:colOff>
                    <xdr:row>95</xdr:row>
                    <xdr:rowOff>144780</xdr:rowOff>
                  </to>
                </anchor>
              </controlPr>
            </control>
          </mc:Choice>
        </mc:AlternateContent>
        <mc:AlternateContent xmlns:mc="http://schemas.openxmlformats.org/markup-compatibility/2006">
          <mc:Choice Requires="x14">
            <control shapeId="3209" r:id="rId111" name="Check Box 137">
              <controlPr defaultSize="0" autoFill="0" autoLine="0" autoPict="0">
                <anchor moveWithCells="1">
                  <from>
                    <xdr:col>11</xdr:col>
                    <xdr:colOff>0</xdr:colOff>
                    <xdr:row>95</xdr:row>
                    <xdr:rowOff>106680</xdr:rowOff>
                  </from>
                  <to>
                    <xdr:col>12</xdr:col>
                    <xdr:colOff>175260</xdr:colOff>
                    <xdr:row>95</xdr:row>
                    <xdr:rowOff>320040</xdr:rowOff>
                  </to>
                </anchor>
              </controlPr>
            </control>
          </mc:Choice>
        </mc:AlternateContent>
        <mc:AlternateContent xmlns:mc="http://schemas.openxmlformats.org/markup-compatibility/2006">
          <mc:Choice Requires="x14">
            <control shapeId="3211" r:id="rId112" name="Check Box 139">
              <controlPr defaultSize="0" autoFill="0" autoLine="0" autoPict="0">
                <anchor moveWithCells="1">
                  <from>
                    <xdr:col>11</xdr:col>
                    <xdr:colOff>0</xdr:colOff>
                    <xdr:row>96</xdr:row>
                    <xdr:rowOff>259080</xdr:rowOff>
                  </from>
                  <to>
                    <xdr:col>12</xdr:col>
                    <xdr:colOff>175260</xdr:colOff>
                    <xdr:row>97</xdr:row>
                    <xdr:rowOff>144780</xdr:rowOff>
                  </to>
                </anchor>
              </controlPr>
            </control>
          </mc:Choice>
        </mc:AlternateContent>
        <mc:AlternateContent xmlns:mc="http://schemas.openxmlformats.org/markup-compatibility/2006">
          <mc:Choice Requires="x14">
            <control shapeId="3212" r:id="rId113" name="Check Box 140">
              <controlPr defaultSize="0" autoFill="0" autoLine="0" autoPict="0">
                <anchor moveWithCells="1">
                  <from>
                    <xdr:col>11</xdr:col>
                    <xdr:colOff>0</xdr:colOff>
                    <xdr:row>97</xdr:row>
                    <xdr:rowOff>106680</xdr:rowOff>
                  </from>
                  <to>
                    <xdr:col>12</xdr:col>
                    <xdr:colOff>175260</xdr:colOff>
                    <xdr:row>97</xdr:row>
                    <xdr:rowOff>320040</xdr:rowOff>
                  </to>
                </anchor>
              </controlPr>
            </control>
          </mc:Choice>
        </mc:AlternateContent>
        <mc:AlternateContent xmlns:mc="http://schemas.openxmlformats.org/markup-compatibility/2006">
          <mc:Choice Requires="x14">
            <control shapeId="3214" r:id="rId114" name="Check Box 142">
              <controlPr defaultSize="0" autoFill="0" autoLine="0" autoPict="0">
                <anchor moveWithCells="1">
                  <from>
                    <xdr:col>11</xdr:col>
                    <xdr:colOff>0</xdr:colOff>
                    <xdr:row>98</xdr:row>
                    <xdr:rowOff>259080</xdr:rowOff>
                  </from>
                  <to>
                    <xdr:col>12</xdr:col>
                    <xdr:colOff>175260</xdr:colOff>
                    <xdr:row>99</xdr:row>
                    <xdr:rowOff>144780</xdr:rowOff>
                  </to>
                </anchor>
              </controlPr>
            </control>
          </mc:Choice>
        </mc:AlternateContent>
        <mc:AlternateContent xmlns:mc="http://schemas.openxmlformats.org/markup-compatibility/2006">
          <mc:Choice Requires="x14">
            <control shapeId="3215" r:id="rId115" name="Check Box 143">
              <controlPr defaultSize="0" autoFill="0" autoLine="0" autoPict="0">
                <anchor moveWithCells="1">
                  <from>
                    <xdr:col>11</xdr:col>
                    <xdr:colOff>0</xdr:colOff>
                    <xdr:row>99</xdr:row>
                    <xdr:rowOff>106680</xdr:rowOff>
                  </from>
                  <to>
                    <xdr:col>12</xdr:col>
                    <xdr:colOff>175260</xdr:colOff>
                    <xdr:row>99</xdr:row>
                    <xdr:rowOff>320040</xdr:rowOff>
                  </to>
                </anchor>
              </controlPr>
            </control>
          </mc:Choice>
        </mc:AlternateContent>
        <mc:AlternateContent xmlns:mc="http://schemas.openxmlformats.org/markup-compatibility/2006">
          <mc:Choice Requires="x14">
            <control shapeId="3232" r:id="rId116" name="Check Box 160">
              <controlPr defaultSize="0" autoFill="0" autoLine="0" autoPict="0">
                <anchor moveWithCells="1">
                  <from>
                    <xdr:col>11</xdr:col>
                    <xdr:colOff>0</xdr:colOff>
                    <xdr:row>60</xdr:row>
                    <xdr:rowOff>30480</xdr:rowOff>
                  </from>
                  <to>
                    <xdr:col>12</xdr:col>
                    <xdr:colOff>175260</xdr:colOff>
                    <xdr:row>60</xdr:row>
                    <xdr:rowOff>243840</xdr:rowOff>
                  </to>
                </anchor>
              </controlPr>
            </control>
          </mc:Choice>
        </mc:AlternateContent>
        <mc:AlternateContent xmlns:mc="http://schemas.openxmlformats.org/markup-compatibility/2006">
          <mc:Choice Requires="x14">
            <control shapeId="3234" r:id="rId117" name="Check Box 162">
              <controlPr defaultSize="0" autoFill="0" autoLine="0" autoPict="0">
                <anchor moveWithCells="1">
                  <from>
                    <xdr:col>11</xdr:col>
                    <xdr:colOff>0</xdr:colOff>
                    <xdr:row>62</xdr:row>
                    <xdr:rowOff>30480</xdr:rowOff>
                  </from>
                  <to>
                    <xdr:col>12</xdr:col>
                    <xdr:colOff>175260</xdr:colOff>
                    <xdr:row>62</xdr:row>
                    <xdr:rowOff>243840</xdr:rowOff>
                  </to>
                </anchor>
              </controlPr>
            </control>
          </mc:Choice>
        </mc:AlternateContent>
        <mc:AlternateContent xmlns:mc="http://schemas.openxmlformats.org/markup-compatibility/2006">
          <mc:Choice Requires="x14">
            <control shapeId="3236" r:id="rId118" name="Check Box 164">
              <controlPr defaultSize="0" autoFill="0" autoLine="0" autoPict="0">
                <anchor moveWithCells="1">
                  <from>
                    <xdr:col>11</xdr:col>
                    <xdr:colOff>0</xdr:colOff>
                    <xdr:row>64</xdr:row>
                    <xdr:rowOff>30480</xdr:rowOff>
                  </from>
                  <to>
                    <xdr:col>12</xdr:col>
                    <xdr:colOff>175260</xdr:colOff>
                    <xdr:row>64</xdr:row>
                    <xdr:rowOff>243840</xdr:rowOff>
                  </to>
                </anchor>
              </controlPr>
            </control>
          </mc:Choice>
        </mc:AlternateContent>
        <mc:AlternateContent xmlns:mc="http://schemas.openxmlformats.org/markup-compatibility/2006">
          <mc:Choice Requires="x14">
            <control shapeId="3238" r:id="rId119" name="Check Box 166">
              <controlPr defaultSize="0" autoFill="0" autoLine="0" autoPict="0">
                <anchor moveWithCells="1">
                  <from>
                    <xdr:col>11</xdr:col>
                    <xdr:colOff>0</xdr:colOff>
                    <xdr:row>66</xdr:row>
                    <xdr:rowOff>30480</xdr:rowOff>
                  </from>
                  <to>
                    <xdr:col>12</xdr:col>
                    <xdr:colOff>175260</xdr:colOff>
                    <xdr:row>66</xdr:row>
                    <xdr:rowOff>243840</xdr:rowOff>
                  </to>
                </anchor>
              </controlPr>
            </control>
          </mc:Choice>
        </mc:AlternateContent>
        <mc:AlternateContent xmlns:mc="http://schemas.openxmlformats.org/markup-compatibility/2006">
          <mc:Choice Requires="x14">
            <control shapeId="3239" r:id="rId120" name="Check Box 167">
              <controlPr defaultSize="0" autoFill="0" autoLine="0" autoPict="0">
                <anchor moveWithCells="1">
                  <from>
                    <xdr:col>11</xdr:col>
                    <xdr:colOff>0</xdr:colOff>
                    <xdr:row>68</xdr:row>
                    <xdr:rowOff>30480</xdr:rowOff>
                  </from>
                  <to>
                    <xdr:col>12</xdr:col>
                    <xdr:colOff>175260</xdr:colOff>
                    <xdr:row>68</xdr:row>
                    <xdr:rowOff>243840</xdr:rowOff>
                  </to>
                </anchor>
              </controlPr>
            </control>
          </mc:Choice>
        </mc:AlternateContent>
        <mc:AlternateContent xmlns:mc="http://schemas.openxmlformats.org/markup-compatibility/2006">
          <mc:Choice Requires="x14">
            <control shapeId="3241" r:id="rId121" name="Check Box 169">
              <controlPr defaultSize="0" autoFill="0" autoLine="0" autoPict="0">
                <anchor moveWithCells="1">
                  <from>
                    <xdr:col>11</xdr:col>
                    <xdr:colOff>0</xdr:colOff>
                    <xdr:row>70</xdr:row>
                    <xdr:rowOff>30480</xdr:rowOff>
                  </from>
                  <to>
                    <xdr:col>12</xdr:col>
                    <xdr:colOff>175260</xdr:colOff>
                    <xdr:row>70</xdr:row>
                    <xdr:rowOff>243840</xdr:rowOff>
                  </to>
                </anchor>
              </controlPr>
            </control>
          </mc:Choice>
        </mc:AlternateContent>
        <mc:AlternateContent xmlns:mc="http://schemas.openxmlformats.org/markup-compatibility/2006">
          <mc:Choice Requires="x14">
            <control shapeId="3243" r:id="rId122" name="Check Box 171">
              <controlPr defaultSize="0" autoFill="0" autoLine="0" autoPict="0">
                <anchor moveWithCells="1">
                  <from>
                    <xdr:col>11</xdr:col>
                    <xdr:colOff>0</xdr:colOff>
                    <xdr:row>72</xdr:row>
                    <xdr:rowOff>30480</xdr:rowOff>
                  </from>
                  <to>
                    <xdr:col>12</xdr:col>
                    <xdr:colOff>175260</xdr:colOff>
                    <xdr:row>72</xdr:row>
                    <xdr:rowOff>243840</xdr:rowOff>
                  </to>
                </anchor>
              </controlPr>
            </control>
          </mc:Choice>
        </mc:AlternateContent>
        <mc:AlternateContent xmlns:mc="http://schemas.openxmlformats.org/markup-compatibility/2006">
          <mc:Choice Requires="x14">
            <control shapeId="3245" r:id="rId123" name="Check Box 173">
              <controlPr defaultSize="0" autoFill="0" autoLine="0" autoPict="0">
                <anchor moveWithCells="1">
                  <from>
                    <xdr:col>11</xdr:col>
                    <xdr:colOff>0</xdr:colOff>
                    <xdr:row>74</xdr:row>
                    <xdr:rowOff>30480</xdr:rowOff>
                  </from>
                  <to>
                    <xdr:col>12</xdr:col>
                    <xdr:colOff>175260</xdr:colOff>
                    <xdr:row>74</xdr:row>
                    <xdr:rowOff>243840</xdr:rowOff>
                  </to>
                </anchor>
              </controlPr>
            </control>
          </mc:Choice>
        </mc:AlternateContent>
        <mc:AlternateContent xmlns:mc="http://schemas.openxmlformats.org/markup-compatibility/2006">
          <mc:Choice Requires="x14">
            <control shapeId="3246" r:id="rId124" name="Check Box 174">
              <controlPr defaultSize="0" autoFill="0" autoLine="0" autoPict="0">
                <anchor moveWithCells="1">
                  <from>
                    <xdr:col>11</xdr:col>
                    <xdr:colOff>0</xdr:colOff>
                    <xdr:row>76</xdr:row>
                    <xdr:rowOff>30480</xdr:rowOff>
                  </from>
                  <to>
                    <xdr:col>12</xdr:col>
                    <xdr:colOff>175260</xdr:colOff>
                    <xdr:row>76</xdr:row>
                    <xdr:rowOff>243840</xdr:rowOff>
                  </to>
                </anchor>
              </controlPr>
            </control>
          </mc:Choice>
        </mc:AlternateContent>
        <mc:AlternateContent xmlns:mc="http://schemas.openxmlformats.org/markup-compatibility/2006">
          <mc:Choice Requires="x14">
            <control shapeId="3247" r:id="rId125" name="Check Box 175">
              <controlPr defaultSize="0" autoFill="0" autoLine="0" autoPict="0">
                <anchor moveWithCells="1">
                  <from>
                    <xdr:col>11</xdr:col>
                    <xdr:colOff>0</xdr:colOff>
                    <xdr:row>80</xdr:row>
                    <xdr:rowOff>30480</xdr:rowOff>
                  </from>
                  <to>
                    <xdr:col>12</xdr:col>
                    <xdr:colOff>175260</xdr:colOff>
                    <xdr:row>80</xdr:row>
                    <xdr:rowOff>266700</xdr:rowOff>
                  </to>
                </anchor>
              </controlPr>
            </control>
          </mc:Choice>
        </mc:AlternateContent>
        <mc:AlternateContent xmlns:mc="http://schemas.openxmlformats.org/markup-compatibility/2006">
          <mc:Choice Requires="x14">
            <control shapeId="3248" r:id="rId126" name="Check Box 176">
              <controlPr defaultSize="0" autoFill="0" autoLine="0" autoPict="0">
                <anchor moveWithCells="1">
                  <from>
                    <xdr:col>11</xdr:col>
                    <xdr:colOff>0</xdr:colOff>
                    <xdr:row>82</xdr:row>
                    <xdr:rowOff>30480</xdr:rowOff>
                  </from>
                  <to>
                    <xdr:col>12</xdr:col>
                    <xdr:colOff>175260</xdr:colOff>
                    <xdr:row>82</xdr:row>
                    <xdr:rowOff>243840</xdr:rowOff>
                  </to>
                </anchor>
              </controlPr>
            </control>
          </mc:Choice>
        </mc:AlternateContent>
        <mc:AlternateContent xmlns:mc="http://schemas.openxmlformats.org/markup-compatibility/2006">
          <mc:Choice Requires="x14">
            <control shapeId="3249" r:id="rId127" name="Check Box 177">
              <controlPr defaultSize="0" autoFill="0" autoLine="0" autoPict="0">
                <anchor moveWithCells="1">
                  <from>
                    <xdr:col>11</xdr:col>
                    <xdr:colOff>0</xdr:colOff>
                    <xdr:row>84</xdr:row>
                    <xdr:rowOff>30480</xdr:rowOff>
                  </from>
                  <to>
                    <xdr:col>12</xdr:col>
                    <xdr:colOff>175260</xdr:colOff>
                    <xdr:row>84</xdr:row>
                    <xdr:rowOff>243840</xdr:rowOff>
                  </to>
                </anchor>
              </controlPr>
            </control>
          </mc:Choice>
        </mc:AlternateContent>
        <mc:AlternateContent xmlns:mc="http://schemas.openxmlformats.org/markup-compatibility/2006">
          <mc:Choice Requires="x14">
            <control shapeId="3250" r:id="rId128" name="Check Box 178">
              <controlPr defaultSize="0" autoFill="0" autoLine="0" autoPict="0">
                <anchor moveWithCells="1">
                  <from>
                    <xdr:col>11</xdr:col>
                    <xdr:colOff>0</xdr:colOff>
                    <xdr:row>86</xdr:row>
                    <xdr:rowOff>30480</xdr:rowOff>
                  </from>
                  <to>
                    <xdr:col>12</xdr:col>
                    <xdr:colOff>175260</xdr:colOff>
                    <xdr:row>86</xdr:row>
                    <xdr:rowOff>266700</xdr:rowOff>
                  </to>
                </anchor>
              </controlPr>
            </control>
          </mc:Choice>
        </mc:AlternateContent>
        <mc:AlternateContent xmlns:mc="http://schemas.openxmlformats.org/markup-compatibility/2006">
          <mc:Choice Requires="x14">
            <control shapeId="3251" r:id="rId129" name="Check Box 179">
              <controlPr defaultSize="0" autoFill="0" autoLine="0" autoPict="0">
                <anchor moveWithCells="1">
                  <from>
                    <xdr:col>11</xdr:col>
                    <xdr:colOff>30480</xdr:colOff>
                    <xdr:row>88</xdr:row>
                    <xdr:rowOff>228600</xdr:rowOff>
                  </from>
                  <to>
                    <xdr:col>12</xdr:col>
                    <xdr:colOff>175260</xdr:colOff>
                    <xdr:row>89</xdr:row>
                    <xdr:rowOff>129540</xdr:rowOff>
                  </to>
                </anchor>
              </controlPr>
            </control>
          </mc:Choice>
        </mc:AlternateContent>
        <mc:AlternateContent xmlns:mc="http://schemas.openxmlformats.org/markup-compatibility/2006">
          <mc:Choice Requires="x14">
            <control shapeId="3252" r:id="rId130" name="Check Box 180">
              <controlPr defaultSize="0" autoFill="0" autoLine="0" autoPict="0">
                <anchor moveWithCells="1">
                  <from>
                    <xdr:col>11</xdr:col>
                    <xdr:colOff>0</xdr:colOff>
                    <xdr:row>90</xdr:row>
                    <xdr:rowOff>30480</xdr:rowOff>
                  </from>
                  <to>
                    <xdr:col>12</xdr:col>
                    <xdr:colOff>175260</xdr:colOff>
                    <xdr:row>90</xdr:row>
                    <xdr:rowOff>243840</xdr:rowOff>
                  </to>
                </anchor>
              </controlPr>
            </control>
          </mc:Choice>
        </mc:AlternateContent>
        <mc:AlternateContent xmlns:mc="http://schemas.openxmlformats.org/markup-compatibility/2006">
          <mc:Choice Requires="x14">
            <control shapeId="3254" r:id="rId131" name="Check Box 182">
              <controlPr defaultSize="0" autoFill="0" autoLine="0" autoPict="0">
                <anchor moveWithCells="1">
                  <from>
                    <xdr:col>11</xdr:col>
                    <xdr:colOff>0</xdr:colOff>
                    <xdr:row>94</xdr:row>
                    <xdr:rowOff>30480</xdr:rowOff>
                  </from>
                  <to>
                    <xdr:col>12</xdr:col>
                    <xdr:colOff>175260</xdr:colOff>
                    <xdr:row>94</xdr:row>
                    <xdr:rowOff>266700</xdr:rowOff>
                  </to>
                </anchor>
              </controlPr>
            </control>
          </mc:Choice>
        </mc:AlternateContent>
        <mc:AlternateContent xmlns:mc="http://schemas.openxmlformats.org/markup-compatibility/2006">
          <mc:Choice Requires="x14">
            <control shapeId="3255" r:id="rId132" name="Check Box 183">
              <controlPr defaultSize="0" autoFill="0" autoLine="0" autoPict="0">
                <anchor moveWithCells="1">
                  <from>
                    <xdr:col>11</xdr:col>
                    <xdr:colOff>0</xdr:colOff>
                    <xdr:row>96</xdr:row>
                    <xdr:rowOff>30480</xdr:rowOff>
                  </from>
                  <to>
                    <xdr:col>12</xdr:col>
                    <xdr:colOff>175260</xdr:colOff>
                    <xdr:row>96</xdr:row>
                    <xdr:rowOff>266700</xdr:rowOff>
                  </to>
                </anchor>
              </controlPr>
            </control>
          </mc:Choice>
        </mc:AlternateContent>
        <mc:AlternateContent xmlns:mc="http://schemas.openxmlformats.org/markup-compatibility/2006">
          <mc:Choice Requires="x14">
            <control shapeId="3256" r:id="rId133" name="Check Box 184">
              <controlPr defaultSize="0" autoFill="0" autoLine="0" autoPict="0">
                <anchor moveWithCells="1">
                  <from>
                    <xdr:col>11</xdr:col>
                    <xdr:colOff>0</xdr:colOff>
                    <xdr:row>98</xdr:row>
                    <xdr:rowOff>30480</xdr:rowOff>
                  </from>
                  <to>
                    <xdr:col>12</xdr:col>
                    <xdr:colOff>175260</xdr:colOff>
                    <xdr:row>98</xdr:row>
                    <xdr:rowOff>243840</xdr:rowOff>
                  </to>
                </anchor>
              </controlPr>
            </control>
          </mc:Choice>
        </mc:AlternateContent>
        <mc:AlternateContent xmlns:mc="http://schemas.openxmlformats.org/markup-compatibility/2006">
          <mc:Choice Requires="x14">
            <control shapeId="3261" r:id="rId134" name="Check Box 189">
              <controlPr defaultSize="0" autoFill="0" autoLine="0" autoPict="0">
                <anchor moveWithCells="1">
                  <from>
                    <xdr:col>11</xdr:col>
                    <xdr:colOff>0</xdr:colOff>
                    <xdr:row>104</xdr:row>
                    <xdr:rowOff>259080</xdr:rowOff>
                  </from>
                  <to>
                    <xdr:col>12</xdr:col>
                    <xdr:colOff>175260</xdr:colOff>
                    <xdr:row>105</xdr:row>
                    <xdr:rowOff>190500</xdr:rowOff>
                  </to>
                </anchor>
              </controlPr>
            </control>
          </mc:Choice>
        </mc:AlternateContent>
        <mc:AlternateContent xmlns:mc="http://schemas.openxmlformats.org/markup-compatibility/2006">
          <mc:Choice Requires="x14">
            <control shapeId="3262" r:id="rId135" name="Check Box 190">
              <controlPr defaultSize="0" autoFill="0" autoLine="0" autoPict="0">
                <anchor moveWithCells="1">
                  <from>
                    <xdr:col>11</xdr:col>
                    <xdr:colOff>0</xdr:colOff>
                    <xdr:row>105</xdr:row>
                    <xdr:rowOff>106680</xdr:rowOff>
                  </from>
                  <to>
                    <xdr:col>12</xdr:col>
                    <xdr:colOff>175260</xdr:colOff>
                    <xdr:row>105</xdr:row>
                    <xdr:rowOff>320040</xdr:rowOff>
                  </to>
                </anchor>
              </controlPr>
            </control>
          </mc:Choice>
        </mc:AlternateContent>
        <mc:AlternateContent xmlns:mc="http://schemas.openxmlformats.org/markup-compatibility/2006">
          <mc:Choice Requires="x14">
            <control shapeId="3263" r:id="rId136" name="Check Box 191">
              <controlPr defaultSize="0" autoFill="0" autoLine="0" autoPict="0">
                <anchor moveWithCells="1">
                  <from>
                    <xdr:col>11</xdr:col>
                    <xdr:colOff>0</xdr:colOff>
                    <xdr:row>106</xdr:row>
                    <xdr:rowOff>259080</xdr:rowOff>
                  </from>
                  <to>
                    <xdr:col>12</xdr:col>
                    <xdr:colOff>175260</xdr:colOff>
                    <xdr:row>107</xdr:row>
                    <xdr:rowOff>190500</xdr:rowOff>
                  </to>
                </anchor>
              </controlPr>
            </control>
          </mc:Choice>
        </mc:AlternateContent>
        <mc:AlternateContent xmlns:mc="http://schemas.openxmlformats.org/markup-compatibility/2006">
          <mc:Choice Requires="x14">
            <control shapeId="3264" r:id="rId137" name="Check Box 192">
              <controlPr defaultSize="0" autoFill="0" autoLine="0" autoPict="0">
                <anchor moveWithCells="1">
                  <from>
                    <xdr:col>11</xdr:col>
                    <xdr:colOff>0</xdr:colOff>
                    <xdr:row>107</xdr:row>
                    <xdr:rowOff>106680</xdr:rowOff>
                  </from>
                  <to>
                    <xdr:col>12</xdr:col>
                    <xdr:colOff>175260</xdr:colOff>
                    <xdr:row>107</xdr:row>
                    <xdr:rowOff>320040</xdr:rowOff>
                  </to>
                </anchor>
              </controlPr>
            </control>
          </mc:Choice>
        </mc:AlternateContent>
        <mc:AlternateContent xmlns:mc="http://schemas.openxmlformats.org/markup-compatibility/2006">
          <mc:Choice Requires="x14">
            <control shapeId="3265" r:id="rId138" name="Check Box 193">
              <controlPr defaultSize="0" autoFill="0" autoLine="0" autoPict="0">
                <anchor moveWithCells="1">
                  <from>
                    <xdr:col>11</xdr:col>
                    <xdr:colOff>0</xdr:colOff>
                    <xdr:row>104</xdr:row>
                    <xdr:rowOff>30480</xdr:rowOff>
                  </from>
                  <to>
                    <xdr:col>12</xdr:col>
                    <xdr:colOff>175260</xdr:colOff>
                    <xdr:row>104</xdr:row>
                    <xdr:rowOff>266700</xdr:rowOff>
                  </to>
                </anchor>
              </controlPr>
            </control>
          </mc:Choice>
        </mc:AlternateContent>
        <mc:AlternateContent xmlns:mc="http://schemas.openxmlformats.org/markup-compatibility/2006">
          <mc:Choice Requires="x14">
            <control shapeId="3266" r:id="rId139" name="Check Box 194">
              <controlPr defaultSize="0" autoFill="0" autoLine="0" autoPict="0">
                <anchor moveWithCells="1">
                  <from>
                    <xdr:col>11</xdr:col>
                    <xdr:colOff>0</xdr:colOff>
                    <xdr:row>106</xdr:row>
                    <xdr:rowOff>30480</xdr:rowOff>
                  </from>
                  <to>
                    <xdr:col>12</xdr:col>
                    <xdr:colOff>175260</xdr:colOff>
                    <xdr:row>106</xdr:row>
                    <xdr:rowOff>266700</xdr:rowOff>
                  </to>
                </anchor>
              </controlPr>
            </control>
          </mc:Choice>
        </mc:AlternateContent>
        <mc:AlternateContent xmlns:mc="http://schemas.openxmlformats.org/markup-compatibility/2006">
          <mc:Choice Requires="x14">
            <control shapeId="3267" r:id="rId140" name="Check Box 195">
              <controlPr defaultSize="0" autoFill="0" autoLine="0" autoPict="0">
                <anchor moveWithCells="1">
                  <from>
                    <xdr:col>11</xdr:col>
                    <xdr:colOff>0</xdr:colOff>
                    <xdr:row>100</xdr:row>
                    <xdr:rowOff>259080</xdr:rowOff>
                  </from>
                  <to>
                    <xdr:col>12</xdr:col>
                    <xdr:colOff>175260</xdr:colOff>
                    <xdr:row>101</xdr:row>
                    <xdr:rowOff>144780</xdr:rowOff>
                  </to>
                </anchor>
              </controlPr>
            </control>
          </mc:Choice>
        </mc:AlternateContent>
        <mc:AlternateContent xmlns:mc="http://schemas.openxmlformats.org/markup-compatibility/2006">
          <mc:Choice Requires="x14">
            <control shapeId="3268" r:id="rId141" name="Check Box 196">
              <controlPr defaultSize="0" autoFill="0" autoLine="0" autoPict="0">
                <anchor moveWithCells="1">
                  <from>
                    <xdr:col>11</xdr:col>
                    <xdr:colOff>0</xdr:colOff>
                    <xdr:row>101</xdr:row>
                    <xdr:rowOff>106680</xdr:rowOff>
                  </from>
                  <to>
                    <xdr:col>12</xdr:col>
                    <xdr:colOff>175260</xdr:colOff>
                    <xdr:row>101</xdr:row>
                    <xdr:rowOff>320040</xdr:rowOff>
                  </to>
                </anchor>
              </controlPr>
            </control>
          </mc:Choice>
        </mc:AlternateContent>
        <mc:AlternateContent xmlns:mc="http://schemas.openxmlformats.org/markup-compatibility/2006">
          <mc:Choice Requires="x14">
            <control shapeId="3269" r:id="rId142" name="Check Box 197">
              <controlPr defaultSize="0" autoFill="0" autoLine="0" autoPict="0">
                <anchor moveWithCells="1">
                  <from>
                    <xdr:col>11</xdr:col>
                    <xdr:colOff>0</xdr:colOff>
                    <xdr:row>102</xdr:row>
                    <xdr:rowOff>259080</xdr:rowOff>
                  </from>
                  <to>
                    <xdr:col>12</xdr:col>
                    <xdr:colOff>175260</xdr:colOff>
                    <xdr:row>103</xdr:row>
                    <xdr:rowOff>144780</xdr:rowOff>
                  </to>
                </anchor>
              </controlPr>
            </control>
          </mc:Choice>
        </mc:AlternateContent>
        <mc:AlternateContent xmlns:mc="http://schemas.openxmlformats.org/markup-compatibility/2006">
          <mc:Choice Requires="x14">
            <control shapeId="3270" r:id="rId143" name="Check Box 198">
              <controlPr defaultSize="0" autoFill="0" autoLine="0" autoPict="0">
                <anchor moveWithCells="1">
                  <from>
                    <xdr:col>11</xdr:col>
                    <xdr:colOff>0</xdr:colOff>
                    <xdr:row>103</xdr:row>
                    <xdr:rowOff>106680</xdr:rowOff>
                  </from>
                  <to>
                    <xdr:col>12</xdr:col>
                    <xdr:colOff>175260</xdr:colOff>
                    <xdr:row>103</xdr:row>
                    <xdr:rowOff>320040</xdr:rowOff>
                  </to>
                </anchor>
              </controlPr>
            </control>
          </mc:Choice>
        </mc:AlternateContent>
        <mc:AlternateContent xmlns:mc="http://schemas.openxmlformats.org/markup-compatibility/2006">
          <mc:Choice Requires="x14">
            <control shapeId="3271" r:id="rId144" name="Check Box 199">
              <controlPr defaultSize="0" autoFill="0" autoLine="0" autoPict="0">
                <anchor moveWithCells="1">
                  <from>
                    <xdr:col>11</xdr:col>
                    <xdr:colOff>0</xdr:colOff>
                    <xdr:row>100</xdr:row>
                    <xdr:rowOff>30480</xdr:rowOff>
                  </from>
                  <to>
                    <xdr:col>12</xdr:col>
                    <xdr:colOff>175260</xdr:colOff>
                    <xdr:row>100</xdr:row>
                    <xdr:rowOff>266700</xdr:rowOff>
                  </to>
                </anchor>
              </controlPr>
            </control>
          </mc:Choice>
        </mc:AlternateContent>
        <mc:AlternateContent xmlns:mc="http://schemas.openxmlformats.org/markup-compatibility/2006">
          <mc:Choice Requires="x14">
            <control shapeId="3272" r:id="rId145" name="Check Box 200">
              <controlPr defaultSize="0" autoFill="0" autoLine="0" autoPict="0">
                <anchor moveWithCells="1">
                  <from>
                    <xdr:col>11</xdr:col>
                    <xdr:colOff>0</xdr:colOff>
                    <xdr:row>102</xdr:row>
                    <xdr:rowOff>30480</xdr:rowOff>
                  </from>
                  <to>
                    <xdr:col>12</xdr:col>
                    <xdr:colOff>175260</xdr:colOff>
                    <xdr:row>102</xdr:row>
                    <xdr:rowOff>266700</xdr:rowOff>
                  </to>
                </anchor>
              </controlPr>
            </control>
          </mc:Choice>
        </mc:AlternateContent>
        <mc:AlternateContent xmlns:mc="http://schemas.openxmlformats.org/markup-compatibility/2006">
          <mc:Choice Requires="x14">
            <control shapeId="3281" r:id="rId146" name="Check Box 209">
              <controlPr defaultSize="0" autoFill="0" autoLine="0" autoPict="0">
                <anchor moveWithCells="1">
                  <from>
                    <xdr:col>11</xdr:col>
                    <xdr:colOff>0</xdr:colOff>
                    <xdr:row>128</xdr:row>
                    <xdr:rowOff>266700</xdr:rowOff>
                  </from>
                  <to>
                    <xdr:col>12</xdr:col>
                    <xdr:colOff>175260</xdr:colOff>
                    <xdr:row>129</xdr:row>
                    <xdr:rowOff>175260</xdr:rowOff>
                  </to>
                </anchor>
              </controlPr>
            </control>
          </mc:Choice>
        </mc:AlternateContent>
        <mc:AlternateContent xmlns:mc="http://schemas.openxmlformats.org/markup-compatibility/2006">
          <mc:Choice Requires="x14">
            <control shapeId="3282" r:id="rId147" name="Check Box 210">
              <controlPr defaultSize="0" autoFill="0" autoLine="0" autoPict="0">
                <anchor moveWithCells="1">
                  <from>
                    <xdr:col>11</xdr:col>
                    <xdr:colOff>0</xdr:colOff>
                    <xdr:row>129</xdr:row>
                    <xdr:rowOff>144780</xdr:rowOff>
                  </from>
                  <to>
                    <xdr:col>12</xdr:col>
                    <xdr:colOff>175260</xdr:colOff>
                    <xdr:row>130</xdr:row>
                    <xdr:rowOff>0</xdr:rowOff>
                  </to>
                </anchor>
              </controlPr>
            </control>
          </mc:Choice>
        </mc:AlternateContent>
        <mc:AlternateContent xmlns:mc="http://schemas.openxmlformats.org/markup-compatibility/2006">
          <mc:Choice Requires="x14">
            <control shapeId="3283" r:id="rId148" name="Check Box 211">
              <controlPr defaultSize="0" autoFill="0" autoLine="0" autoPict="0">
                <anchor moveWithCells="1">
                  <from>
                    <xdr:col>11</xdr:col>
                    <xdr:colOff>0</xdr:colOff>
                    <xdr:row>128</xdr:row>
                    <xdr:rowOff>30480</xdr:rowOff>
                  </from>
                  <to>
                    <xdr:col>12</xdr:col>
                    <xdr:colOff>175260</xdr:colOff>
                    <xdr:row>128</xdr:row>
                    <xdr:rowOff>320040</xdr:rowOff>
                  </to>
                </anchor>
              </controlPr>
            </control>
          </mc:Choice>
        </mc:AlternateContent>
        <mc:AlternateContent xmlns:mc="http://schemas.openxmlformats.org/markup-compatibility/2006">
          <mc:Choice Requires="x14">
            <control shapeId="3284" r:id="rId149" name="Check Box 212">
              <controlPr defaultSize="0" autoFill="0" autoLine="0" autoPict="0">
                <anchor moveWithCells="1">
                  <from>
                    <xdr:col>11</xdr:col>
                    <xdr:colOff>0</xdr:colOff>
                    <xdr:row>130</xdr:row>
                    <xdr:rowOff>266700</xdr:rowOff>
                  </from>
                  <to>
                    <xdr:col>12</xdr:col>
                    <xdr:colOff>175260</xdr:colOff>
                    <xdr:row>131</xdr:row>
                    <xdr:rowOff>175260</xdr:rowOff>
                  </to>
                </anchor>
              </controlPr>
            </control>
          </mc:Choice>
        </mc:AlternateContent>
        <mc:AlternateContent xmlns:mc="http://schemas.openxmlformats.org/markup-compatibility/2006">
          <mc:Choice Requires="x14">
            <control shapeId="3285" r:id="rId150" name="Check Box 213">
              <controlPr defaultSize="0" autoFill="0" autoLine="0" autoPict="0">
                <anchor moveWithCells="1">
                  <from>
                    <xdr:col>11</xdr:col>
                    <xdr:colOff>0</xdr:colOff>
                    <xdr:row>131</xdr:row>
                    <xdr:rowOff>144780</xdr:rowOff>
                  </from>
                  <to>
                    <xdr:col>12</xdr:col>
                    <xdr:colOff>175260</xdr:colOff>
                    <xdr:row>132</xdr:row>
                    <xdr:rowOff>0</xdr:rowOff>
                  </to>
                </anchor>
              </controlPr>
            </control>
          </mc:Choice>
        </mc:AlternateContent>
        <mc:AlternateContent xmlns:mc="http://schemas.openxmlformats.org/markup-compatibility/2006">
          <mc:Choice Requires="x14">
            <control shapeId="3286" r:id="rId151" name="Check Box 214">
              <controlPr defaultSize="0" autoFill="0" autoLine="0" autoPict="0">
                <anchor moveWithCells="1">
                  <from>
                    <xdr:col>11</xdr:col>
                    <xdr:colOff>0</xdr:colOff>
                    <xdr:row>130</xdr:row>
                    <xdr:rowOff>30480</xdr:rowOff>
                  </from>
                  <to>
                    <xdr:col>12</xdr:col>
                    <xdr:colOff>175260</xdr:colOff>
                    <xdr:row>130</xdr:row>
                    <xdr:rowOff>320040</xdr:rowOff>
                  </to>
                </anchor>
              </controlPr>
            </control>
          </mc:Choice>
        </mc:AlternateContent>
        <mc:AlternateContent xmlns:mc="http://schemas.openxmlformats.org/markup-compatibility/2006">
          <mc:Choice Requires="x14">
            <control shapeId="3311" r:id="rId152" name="Check Box 239">
              <controlPr defaultSize="0" autoFill="0" autoLine="0" autoPict="0">
                <anchor moveWithCells="1">
                  <from>
                    <xdr:col>11</xdr:col>
                    <xdr:colOff>0</xdr:colOff>
                    <xdr:row>108</xdr:row>
                    <xdr:rowOff>266700</xdr:rowOff>
                  </from>
                  <to>
                    <xdr:col>12</xdr:col>
                    <xdr:colOff>175260</xdr:colOff>
                    <xdr:row>109</xdr:row>
                    <xdr:rowOff>175260</xdr:rowOff>
                  </to>
                </anchor>
              </controlPr>
            </control>
          </mc:Choice>
        </mc:AlternateContent>
        <mc:AlternateContent xmlns:mc="http://schemas.openxmlformats.org/markup-compatibility/2006">
          <mc:Choice Requires="x14">
            <control shapeId="3312" r:id="rId153" name="Check Box 240">
              <controlPr defaultSize="0" autoFill="0" autoLine="0" autoPict="0">
                <anchor moveWithCells="1">
                  <from>
                    <xdr:col>11</xdr:col>
                    <xdr:colOff>0</xdr:colOff>
                    <xdr:row>109</xdr:row>
                    <xdr:rowOff>144780</xdr:rowOff>
                  </from>
                  <to>
                    <xdr:col>12</xdr:col>
                    <xdr:colOff>175260</xdr:colOff>
                    <xdr:row>110</xdr:row>
                    <xdr:rowOff>0</xdr:rowOff>
                  </to>
                </anchor>
              </controlPr>
            </control>
          </mc:Choice>
        </mc:AlternateContent>
        <mc:AlternateContent xmlns:mc="http://schemas.openxmlformats.org/markup-compatibility/2006">
          <mc:Choice Requires="x14">
            <control shapeId="3313" r:id="rId154" name="Check Box 241">
              <controlPr defaultSize="0" autoFill="0" autoLine="0" autoPict="0">
                <anchor moveWithCells="1">
                  <from>
                    <xdr:col>11</xdr:col>
                    <xdr:colOff>0</xdr:colOff>
                    <xdr:row>108</xdr:row>
                    <xdr:rowOff>30480</xdr:rowOff>
                  </from>
                  <to>
                    <xdr:col>12</xdr:col>
                    <xdr:colOff>175260</xdr:colOff>
                    <xdr:row>108</xdr:row>
                    <xdr:rowOff>289560</xdr:rowOff>
                  </to>
                </anchor>
              </controlPr>
            </control>
          </mc:Choice>
        </mc:AlternateContent>
        <mc:AlternateContent xmlns:mc="http://schemas.openxmlformats.org/markup-compatibility/2006">
          <mc:Choice Requires="x14">
            <control shapeId="3314" r:id="rId155" name="Check Box 242">
              <controlPr defaultSize="0" autoFill="0" autoLine="0" autoPict="0">
                <anchor moveWithCells="1">
                  <from>
                    <xdr:col>11</xdr:col>
                    <xdr:colOff>0</xdr:colOff>
                    <xdr:row>110</xdr:row>
                    <xdr:rowOff>266700</xdr:rowOff>
                  </from>
                  <to>
                    <xdr:col>12</xdr:col>
                    <xdr:colOff>175260</xdr:colOff>
                    <xdr:row>111</xdr:row>
                    <xdr:rowOff>175260</xdr:rowOff>
                  </to>
                </anchor>
              </controlPr>
            </control>
          </mc:Choice>
        </mc:AlternateContent>
        <mc:AlternateContent xmlns:mc="http://schemas.openxmlformats.org/markup-compatibility/2006">
          <mc:Choice Requires="x14">
            <control shapeId="3315" r:id="rId156" name="Check Box 243">
              <controlPr defaultSize="0" autoFill="0" autoLine="0" autoPict="0">
                <anchor moveWithCells="1">
                  <from>
                    <xdr:col>11</xdr:col>
                    <xdr:colOff>0</xdr:colOff>
                    <xdr:row>111</xdr:row>
                    <xdr:rowOff>144780</xdr:rowOff>
                  </from>
                  <to>
                    <xdr:col>12</xdr:col>
                    <xdr:colOff>175260</xdr:colOff>
                    <xdr:row>112</xdr:row>
                    <xdr:rowOff>0</xdr:rowOff>
                  </to>
                </anchor>
              </controlPr>
            </control>
          </mc:Choice>
        </mc:AlternateContent>
        <mc:AlternateContent xmlns:mc="http://schemas.openxmlformats.org/markup-compatibility/2006">
          <mc:Choice Requires="x14">
            <control shapeId="3316" r:id="rId157" name="Check Box 244">
              <controlPr defaultSize="0" autoFill="0" autoLine="0" autoPict="0">
                <anchor moveWithCells="1">
                  <from>
                    <xdr:col>11</xdr:col>
                    <xdr:colOff>0</xdr:colOff>
                    <xdr:row>110</xdr:row>
                    <xdr:rowOff>30480</xdr:rowOff>
                  </from>
                  <to>
                    <xdr:col>12</xdr:col>
                    <xdr:colOff>175260</xdr:colOff>
                    <xdr:row>110</xdr:row>
                    <xdr:rowOff>320040</xdr:rowOff>
                  </to>
                </anchor>
              </controlPr>
            </control>
          </mc:Choice>
        </mc:AlternateContent>
        <mc:AlternateContent xmlns:mc="http://schemas.openxmlformats.org/markup-compatibility/2006">
          <mc:Choice Requires="x14">
            <control shapeId="3317" r:id="rId158" name="Check Box 245">
              <controlPr defaultSize="0" autoFill="0" autoLine="0" autoPict="0">
                <anchor moveWithCells="1">
                  <from>
                    <xdr:col>11</xdr:col>
                    <xdr:colOff>0</xdr:colOff>
                    <xdr:row>112</xdr:row>
                    <xdr:rowOff>266700</xdr:rowOff>
                  </from>
                  <to>
                    <xdr:col>12</xdr:col>
                    <xdr:colOff>175260</xdr:colOff>
                    <xdr:row>113</xdr:row>
                    <xdr:rowOff>175260</xdr:rowOff>
                  </to>
                </anchor>
              </controlPr>
            </control>
          </mc:Choice>
        </mc:AlternateContent>
        <mc:AlternateContent xmlns:mc="http://schemas.openxmlformats.org/markup-compatibility/2006">
          <mc:Choice Requires="x14">
            <control shapeId="3318" r:id="rId159" name="Check Box 246">
              <controlPr defaultSize="0" autoFill="0" autoLine="0" autoPict="0">
                <anchor moveWithCells="1">
                  <from>
                    <xdr:col>11</xdr:col>
                    <xdr:colOff>0</xdr:colOff>
                    <xdr:row>113</xdr:row>
                    <xdr:rowOff>144780</xdr:rowOff>
                  </from>
                  <to>
                    <xdr:col>12</xdr:col>
                    <xdr:colOff>175260</xdr:colOff>
                    <xdr:row>114</xdr:row>
                    <xdr:rowOff>0</xdr:rowOff>
                  </to>
                </anchor>
              </controlPr>
            </control>
          </mc:Choice>
        </mc:AlternateContent>
        <mc:AlternateContent xmlns:mc="http://schemas.openxmlformats.org/markup-compatibility/2006">
          <mc:Choice Requires="x14">
            <control shapeId="3319" r:id="rId160" name="Check Box 247">
              <controlPr defaultSize="0" autoFill="0" autoLine="0" autoPict="0">
                <anchor moveWithCells="1">
                  <from>
                    <xdr:col>11</xdr:col>
                    <xdr:colOff>0</xdr:colOff>
                    <xdr:row>112</xdr:row>
                    <xdr:rowOff>30480</xdr:rowOff>
                  </from>
                  <to>
                    <xdr:col>12</xdr:col>
                    <xdr:colOff>175260</xdr:colOff>
                    <xdr:row>112</xdr:row>
                    <xdr:rowOff>289560</xdr:rowOff>
                  </to>
                </anchor>
              </controlPr>
            </control>
          </mc:Choice>
        </mc:AlternateContent>
        <mc:AlternateContent xmlns:mc="http://schemas.openxmlformats.org/markup-compatibility/2006">
          <mc:Choice Requires="x14">
            <control shapeId="3320" r:id="rId161" name="Check Box 248">
              <controlPr defaultSize="0" autoFill="0" autoLine="0" autoPict="0">
                <anchor moveWithCells="1">
                  <from>
                    <xdr:col>11</xdr:col>
                    <xdr:colOff>0</xdr:colOff>
                    <xdr:row>114</xdr:row>
                    <xdr:rowOff>266700</xdr:rowOff>
                  </from>
                  <to>
                    <xdr:col>12</xdr:col>
                    <xdr:colOff>175260</xdr:colOff>
                    <xdr:row>115</xdr:row>
                    <xdr:rowOff>76200</xdr:rowOff>
                  </to>
                </anchor>
              </controlPr>
            </control>
          </mc:Choice>
        </mc:AlternateContent>
        <mc:AlternateContent xmlns:mc="http://schemas.openxmlformats.org/markup-compatibility/2006">
          <mc:Choice Requires="x14">
            <control shapeId="3321" r:id="rId162" name="Check Box 249">
              <controlPr defaultSize="0" autoFill="0" autoLine="0" autoPict="0">
                <anchor moveWithCells="1">
                  <from>
                    <xdr:col>11</xdr:col>
                    <xdr:colOff>0</xdr:colOff>
                    <xdr:row>115</xdr:row>
                    <xdr:rowOff>106680</xdr:rowOff>
                  </from>
                  <to>
                    <xdr:col>12</xdr:col>
                    <xdr:colOff>175260</xdr:colOff>
                    <xdr:row>115</xdr:row>
                    <xdr:rowOff>320040</xdr:rowOff>
                  </to>
                </anchor>
              </controlPr>
            </control>
          </mc:Choice>
        </mc:AlternateContent>
        <mc:AlternateContent xmlns:mc="http://schemas.openxmlformats.org/markup-compatibility/2006">
          <mc:Choice Requires="x14">
            <control shapeId="3322" r:id="rId163" name="Check Box 250">
              <controlPr defaultSize="0" autoFill="0" autoLine="0" autoPict="0">
                <anchor moveWithCells="1">
                  <from>
                    <xdr:col>11</xdr:col>
                    <xdr:colOff>0</xdr:colOff>
                    <xdr:row>114</xdr:row>
                    <xdr:rowOff>30480</xdr:rowOff>
                  </from>
                  <to>
                    <xdr:col>12</xdr:col>
                    <xdr:colOff>175260</xdr:colOff>
                    <xdr:row>114</xdr:row>
                    <xdr:rowOff>320040</xdr:rowOff>
                  </to>
                </anchor>
              </controlPr>
            </control>
          </mc:Choice>
        </mc:AlternateContent>
        <mc:AlternateContent xmlns:mc="http://schemas.openxmlformats.org/markup-compatibility/2006">
          <mc:Choice Requires="x14">
            <control shapeId="3323" r:id="rId164" name="Check Box 251">
              <controlPr defaultSize="0" autoFill="0" autoLine="0" autoPict="0">
                <anchor moveWithCells="1">
                  <from>
                    <xdr:col>11</xdr:col>
                    <xdr:colOff>0</xdr:colOff>
                    <xdr:row>116</xdr:row>
                    <xdr:rowOff>266700</xdr:rowOff>
                  </from>
                  <to>
                    <xdr:col>12</xdr:col>
                    <xdr:colOff>175260</xdr:colOff>
                    <xdr:row>117</xdr:row>
                    <xdr:rowOff>175260</xdr:rowOff>
                  </to>
                </anchor>
              </controlPr>
            </control>
          </mc:Choice>
        </mc:AlternateContent>
        <mc:AlternateContent xmlns:mc="http://schemas.openxmlformats.org/markup-compatibility/2006">
          <mc:Choice Requires="x14">
            <control shapeId="3324" r:id="rId165" name="Check Box 252">
              <controlPr defaultSize="0" autoFill="0" autoLine="0" autoPict="0">
                <anchor moveWithCells="1">
                  <from>
                    <xdr:col>11</xdr:col>
                    <xdr:colOff>0</xdr:colOff>
                    <xdr:row>117</xdr:row>
                    <xdr:rowOff>144780</xdr:rowOff>
                  </from>
                  <to>
                    <xdr:col>12</xdr:col>
                    <xdr:colOff>175260</xdr:colOff>
                    <xdr:row>118</xdr:row>
                    <xdr:rowOff>0</xdr:rowOff>
                  </to>
                </anchor>
              </controlPr>
            </control>
          </mc:Choice>
        </mc:AlternateContent>
        <mc:AlternateContent xmlns:mc="http://schemas.openxmlformats.org/markup-compatibility/2006">
          <mc:Choice Requires="x14">
            <control shapeId="3325" r:id="rId166" name="Check Box 253">
              <controlPr defaultSize="0" autoFill="0" autoLine="0" autoPict="0">
                <anchor moveWithCells="1">
                  <from>
                    <xdr:col>11</xdr:col>
                    <xdr:colOff>0</xdr:colOff>
                    <xdr:row>116</xdr:row>
                    <xdr:rowOff>30480</xdr:rowOff>
                  </from>
                  <to>
                    <xdr:col>12</xdr:col>
                    <xdr:colOff>175260</xdr:colOff>
                    <xdr:row>116</xdr:row>
                    <xdr:rowOff>320040</xdr:rowOff>
                  </to>
                </anchor>
              </controlPr>
            </control>
          </mc:Choice>
        </mc:AlternateContent>
        <mc:AlternateContent xmlns:mc="http://schemas.openxmlformats.org/markup-compatibility/2006">
          <mc:Choice Requires="x14">
            <control shapeId="3326" r:id="rId167" name="Check Box 254">
              <controlPr defaultSize="0" autoFill="0" autoLine="0" autoPict="0">
                <anchor moveWithCells="1">
                  <from>
                    <xdr:col>11</xdr:col>
                    <xdr:colOff>0</xdr:colOff>
                    <xdr:row>118</xdr:row>
                    <xdr:rowOff>266700</xdr:rowOff>
                  </from>
                  <to>
                    <xdr:col>12</xdr:col>
                    <xdr:colOff>175260</xdr:colOff>
                    <xdr:row>119</xdr:row>
                    <xdr:rowOff>175260</xdr:rowOff>
                  </to>
                </anchor>
              </controlPr>
            </control>
          </mc:Choice>
        </mc:AlternateContent>
        <mc:AlternateContent xmlns:mc="http://schemas.openxmlformats.org/markup-compatibility/2006">
          <mc:Choice Requires="x14">
            <control shapeId="3327" r:id="rId168" name="Check Box 255">
              <controlPr defaultSize="0" autoFill="0" autoLine="0" autoPict="0">
                <anchor moveWithCells="1">
                  <from>
                    <xdr:col>11</xdr:col>
                    <xdr:colOff>0</xdr:colOff>
                    <xdr:row>119</xdr:row>
                    <xdr:rowOff>144780</xdr:rowOff>
                  </from>
                  <to>
                    <xdr:col>12</xdr:col>
                    <xdr:colOff>175260</xdr:colOff>
                    <xdr:row>120</xdr:row>
                    <xdr:rowOff>0</xdr:rowOff>
                  </to>
                </anchor>
              </controlPr>
            </control>
          </mc:Choice>
        </mc:AlternateContent>
        <mc:AlternateContent xmlns:mc="http://schemas.openxmlformats.org/markup-compatibility/2006">
          <mc:Choice Requires="x14">
            <control shapeId="3328" r:id="rId169" name="Check Box 256">
              <controlPr defaultSize="0" autoFill="0" autoLine="0" autoPict="0">
                <anchor moveWithCells="1">
                  <from>
                    <xdr:col>11</xdr:col>
                    <xdr:colOff>0</xdr:colOff>
                    <xdr:row>118</xdr:row>
                    <xdr:rowOff>30480</xdr:rowOff>
                  </from>
                  <to>
                    <xdr:col>12</xdr:col>
                    <xdr:colOff>175260</xdr:colOff>
                    <xdr:row>118</xdr:row>
                    <xdr:rowOff>320040</xdr:rowOff>
                  </to>
                </anchor>
              </controlPr>
            </control>
          </mc:Choice>
        </mc:AlternateContent>
        <mc:AlternateContent xmlns:mc="http://schemas.openxmlformats.org/markup-compatibility/2006">
          <mc:Choice Requires="x14">
            <control shapeId="3329" r:id="rId170" name="Check Box 257">
              <controlPr defaultSize="0" autoFill="0" autoLine="0" autoPict="0">
                <anchor moveWithCells="1">
                  <from>
                    <xdr:col>11</xdr:col>
                    <xdr:colOff>0</xdr:colOff>
                    <xdr:row>120</xdr:row>
                    <xdr:rowOff>266700</xdr:rowOff>
                  </from>
                  <to>
                    <xdr:col>12</xdr:col>
                    <xdr:colOff>175260</xdr:colOff>
                    <xdr:row>121</xdr:row>
                    <xdr:rowOff>175260</xdr:rowOff>
                  </to>
                </anchor>
              </controlPr>
            </control>
          </mc:Choice>
        </mc:AlternateContent>
        <mc:AlternateContent xmlns:mc="http://schemas.openxmlformats.org/markup-compatibility/2006">
          <mc:Choice Requires="x14">
            <control shapeId="3330" r:id="rId171" name="Check Box 258">
              <controlPr defaultSize="0" autoFill="0" autoLine="0" autoPict="0">
                <anchor moveWithCells="1">
                  <from>
                    <xdr:col>11</xdr:col>
                    <xdr:colOff>0</xdr:colOff>
                    <xdr:row>121</xdr:row>
                    <xdr:rowOff>144780</xdr:rowOff>
                  </from>
                  <to>
                    <xdr:col>12</xdr:col>
                    <xdr:colOff>175260</xdr:colOff>
                    <xdr:row>122</xdr:row>
                    <xdr:rowOff>0</xdr:rowOff>
                  </to>
                </anchor>
              </controlPr>
            </control>
          </mc:Choice>
        </mc:AlternateContent>
        <mc:AlternateContent xmlns:mc="http://schemas.openxmlformats.org/markup-compatibility/2006">
          <mc:Choice Requires="x14">
            <control shapeId="3331" r:id="rId172" name="Check Box 259">
              <controlPr defaultSize="0" autoFill="0" autoLine="0" autoPict="0">
                <anchor moveWithCells="1">
                  <from>
                    <xdr:col>11</xdr:col>
                    <xdr:colOff>0</xdr:colOff>
                    <xdr:row>120</xdr:row>
                    <xdr:rowOff>30480</xdr:rowOff>
                  </from>
                  <to>
                    <xdr:col>12</xdr:col>
                    <xdr:colOff>175260</xdr:colOff>
                    <xdr:row>120</xdr:row>
                    <xdr:rowOff>320040</xdr:rowOff>
                  </to>
                </anchor>
              </controlPr>
            </control>
          </mc:Choice>
        </mc:AlternateContent>
        <mc:AlternateContent xmlns:mc="http://schemas.openxmlformats.org/markup-compatibility/2006">
          <mc:Choice Requires="x14">
            <control shapeId="3332" r:id="rId173" name="Check Box 260">
              <controlPr defaultSize="0" autoFill="0" autoLine="0" autoPict="0">
                <anchor moveWithCells="1">
                  <from>
                    <xdr:col>11</xdr:col>
                    <xdr:colOff>0</xdr:colOff>
                    <xdr:row>122</xdr:row>
                    <xdr:rowOff>266700</xdr:rowOff>
                  </from>
                  <to>
                    <xdr:col>12</xdr:col>
                    <xdr:colOff>175260</xdr:colOff>
                    <xdr:row>123</xdr:row>
                    <xdr:rowOff>175260</xdr:rowOff>
                  </to>
                </anchor>
              </controlPr>
            </control>
          </mc:Choice>
        </mc:AlternateContent>
        <mc:AlternateContent xmlns:mc="http://schemas.openxmlformats.org/markup-compatibility/2006">
          <mc:Choice Requires="x14">
            <control shapeId="3333" r:id="rId174" name="Check Box 261">
              <controlPr defaultSize="0" autoFill="0" autoLine="0" autoPict="0">
                <anchor moveWithCells="1">
                  <from>
                    <xdr:col>11</xdr:col>
                    <xdr:colOff>0</xdr:colOff>
                    <xdr:row>123</xdr:row>
                    <xdr:rowOff>144780</xdr:rowOff>
                  </from>
                  <to>
                    <xdr:col>12</xdr:col>
                    <xdr:colOff>175260</xdr:colOff>
                    <xdr:row>124</xdr:row>
                    <xdr:rowOff>0</xdr:rowOff>
                  </to>
                </anchor>
              </controlPr>
            </control>
          </mc:Choice>
        </mc:AlternateContent>
        <mc:AlternateContent xmlns:mc="http://schemas.openxmlformats.org/markup-compatibility/2006">
          <mc:Choice Requires="x14">
            <control shapeId="3334" r:id="rId175" name="Check Box 262">
              <controlPr defaultSize="0" autoFill="0" autoLine="0" autoPict="0">
                <anchor moveWithCells="1">
                  <from>
                    <xdr:col>11</xdr:col>
                    <xdr:colOff>0</xdr:colOff>
                    <xdr:row>122</xdr:row>
                    <xdr:rowOff>30480</xdr:rowOff>
                  </from>
                  <to>
                    <xdr:col>12</xdr:col>
                    <xdr:colOff>175260</xdr:colOff>
                    <xdr:row>122</xdr:row>
                    <xdr:rowOff>320040</xdr:rowOff>
                  </to>
                </anchor>
              </controlPr>
            </control>
          </mc:Choice>
        </mc:AlternateContent>
        <mc:AlternateContent xmlns:mc="http://schemas.openxmlformats.org/markup-compatibility/2006">
          <mc:Choice Requires="x14">
            <control shapeId="3335" r:id="rId176" name="Check Box 263">
              <controlPr defaultSize="0" autoFill="0" autoLine="0" autoPict="0">
                <anchor moveWithCells="1">
                  <from>
                    <xdr:col>11</xdr:col>
                    <xdr:colOff>0</xdr:colOff>
                    <xdr:row>124</xdr:row>
                    <xdr:rowOff>266700</xdr:rowOff>
                  </from>
                  <to>
                    <xdr:col>12</xdr:col>
                    <xdr:colOff>175260</xdr:colOff>
                    <xdr:row>125</xdr:row>
                    <xdr:rowOff>175260</xdr:rowOff>
                  </to>
                </anchor>
              </controlPr>
            </control>
          </mc:Choice>
        </mc:AlternateContent>
        <mc:AlternateContent xmlns:mc="http://schemas.openxmlformats.org/markup-compatibility/2006">
          <mc:Choice Requires="x14">
            <control shapeId="3336" r:id="rId177" name="Check Box 264">
              <controlPr defaultSize="0" autoFill="0" autoLine="0" autoPict="0">
                <anchor moveWithCells="1">
                  <from>
                    <xdr:col>11</xdr:col>
                    <xdr:colOff>0</xdr:colOff>
                    <xdr:row>125</xdr:row>
                    <xdr:rowOff>144780</xdr:rowOff>
                  </from>
                  <to>
                    <xdr:col>12</xdr:col>
                    <xdr:colOff>175260</xdr:colOff>
                    <xdr:row>126</xdr:row>
                    <xdr:rowOff>0</xdr:rowOff>
                  </to>
                </anchor>
              </controlPr>
            </control>
          </mc:Choice>
        </mc:AlternateContent>
        <mc:AlternateContent xmlns:mc="http://schemas.openxmlformats.org/markup-compatibility/2006">
          <mc:Choice Requires="x14">
            <control shapeId="3337" r:id="rId178" name="Check Box 265">
              <controlPr defaultSize="0" autoFill="0" autoLine="0" autoPict="0">
                <anchor moveWithCells="1">
                  <from>
                    <xdr:col>11</xdr:col>
                    <xdr:colOff>0</xdr:colOff>
                    <xdr:row>124</xdr:row>
                    <xdr:rowOff>30480</xdr:rowOff>
                  </from>
                  <to>
                    <xdr:col>12</xdr:col>
                    <xdr:colOff>175260</xdr:colOff>
                    <xdr:row>124</xdr:row>
                    <xdr:rowOff>320040</xdr:rowOff>
                  </to>
                </anchor>
              </controlPr>
            </control>
          </mc:Choice>
        </mc:AlternateContent>
        <mc:AlternateContent xmlns:mc="http://schemas.openxmlformats.org/markup-compatibility/2006">
          <mc:Choice Requires="x14">
            <control shapeId="3338" r:id="rId179" name="Check Box 266">
              <controlPr defaultSize="0" autoFill="0" autoLine="0" autoPict="0">
                <anchor moveWithCells="1">
                  <from>
                    <xdr:col>11</xdr:col>
                    <xdr:colOff>0</xdr:colOff>
                    <xdr:row>126</xdr:row>
                    <xdr:rowOff>266700</xdr:rowOff>
                  </from>
                  <to>
                    <xdr:col>12</xdr:col>
                    <xdr:colOff>175260</xdr:colOff>
                    <xdr:row>127</xdr:row>
                    <xdr:rowOff>175260</xdr:rowOff>
                  </to>
                </anchor>
              </controlPr>
            </control>
          </mc:Choice>
        </mc:AlternateContent>
        <mc:AlternateContent xmlns:mc="http://schemas.openxmlformats.org/markup-compatibility/2006">
          <mc:Choice Requires="x14">
            <control shapeId="3339" r:id="rId180" name="Check Box 267">
              <controlPr defaultSize="0" autoFill="0" autoLine="0" autoPict="0">
                <anchor moveWithCells="1">
                  <from>
                    <xdr:col>11</xdr:col>
                    <xdr:colOff>0</xdr:colOff>
                    <xdr:row>127</xdr:row>
                    <xdr:rowOff>144780</xdr:rowOff>
                  </from>
                  <to>
                    <xdr:col>12</xdr:col>
                    <xdr:colOff>175260</xdr:colOff>
                    <xdr:row>128</xdr:row>
                    <xdr:rowOff>0</xdr:rowOff>
                  </to>
                </anchor>
              </controlPr>
            </control>
          </mc:Choice>
        </mc:AlternateContent>
        <mc:AlternateContent xmlns:mc="http://schemas.openxmlformats.org/markup-compatibility/2006">
          <mc:Choice Requires="x14">
            <control shapeId="3340" r:id="rId181" name="Check Box 268">
              <controlPr defaultSize="0" autoFill="0" autoLine="0" autoPict="0">
                <anchor moveWithCells="1">
                  <from>
                    <xdr:col>11</xdr:col>
                    <xdr:colOff>0</xdr:colOff>
                    <xdr:row>126</xdr:row>
                    <xdr:rowOff>30480</xdr:rowOff>
                  </from>
                  <to>
                    <xdr:col>12</xdr:col>
                    <xdr:colOff>175260</xdr:colOff>
                    <xdr:row>126</xdr:row>
                    <xdr:rowOff>320040</xdr:rowOff>
                  </to>
                </anchor>
              </controlPr>
            </control>
          </mc:Choice>
        </mc:AlternateContent>
        <mc:AlternateContent xmlns:mc="http://schemas.openxmlformats.org/markup-compatibility/2006">
          <mc:Choice Requires="x14">
            <control shapeId="3350" r:id="rId182" name="Check Box 278">
              <controlPr defaultSize="0" autoFill="0" autoLine="0" autoPict="0">
                <anchor moveWithCells="1">
                  <from>
                    <xdr:col>11</xdr:col>
                    <xdr:colOff>0</xdr:colOff>
                    <xdr:row>134</xdr:row>
                    <xdr:rowOff>266700</xdr:rowOff>
                  </from>
                  <to>
                    <xdr:col>12</xdr:col>
                    <xdr:colOff>175260</xdr:colOff>
                    <xdr:row>135</xdr:row>
                    <xdr:rowOff>175260</xdr:rowOff>
                  </to>
                </anchor>
              </controlPr>
            </control>
          </mc:Choice>
        </mc:AlternateContent>
        <mc:AlternateContent xmlns:mc="http://schemas.openxmlformats.org/markup-compatibility/2006">
          <mc:Choice Requires="x14">
            <control shapeId="3351" r:id="rId183" name="Check Box 279">
              <controlPr defaultSize="0" autoFill="0" autoLine="0" autoPict="0">
                <anchor moveWithCells="1">
                  <from>
                    <xdr:col>11</xdr:col>
                    <xdr:colOff>0</xdr:colOff>
                    <xdr:row>135</xdr:row>
                    <xdr:rowOff>144780</xdr:rowOff>
                  </from>
                  <to>
                    <xdr:col>12</xdr:col>
                    <xdr:colOff>175260</xdr:colOff>
                    <xdr:row>136</xdr:row>
                    <xdr:rowOff>0</xdr:rowOff>
                  </to>
                </anchor>
              </controlPr>
            </control>
          </mc:Choice>
        </mc:AlternateContent>
        <mc:AlternateContent xmlns:mc="http://schemas.openxmlformats.org/markup-compatibility/2006">
          <mc:Choice Requires="x14">
            <control shapeId="3352" r:id="rId184" name="Check Box 280">
              <controlPr defaultSize="0" autoFill="0" autoLine="0" autoPict="0">
                <anchor moveWithCells="1">
                  <from>
                    <xdr:col>11</xdr:col>
                    <xdr:colOff>0</xdr:colOff>
                    <xdr:row>134</xdr:row>
                    <xdr:rowOff>30480</xdr:rowOff>
                  </from>
                  <to>
                    <xdr:col>12</xdr:col>
                    <xdr:colOff>175260</xdr:colOff>
                    <xdr:row>134</xdr:row>
                    <xdr:rowOff>320040</xdr:rowOff>
                  </to>
                </anchor>
              </controlPr>
            </control>
          </mc:Choice>
        </mc:AlternateContent>
        <mc:AlternateContent xmlns:mc="http://schemas.openxmlformats.org/markup-compatibility/2006">
          <mc:Choice Requires="x14">
            <control shapeId="3392" r:id="rId185" name="Check Box 320">
              <controlPr defaultSize="0" autoFill="0" autoLine="0" autoPict="0">
                <anchor moveWithCells="1">
                  <from>
                    <xdr:col>11</xdr:col>
                    <xdr:colOff>0</xdr:colOff>
                    <xdr:row>132</xdr:row>
                    <xdr:rowOff>266700</xdr:rowOff>
                  </from>
                  <to>
                    <xdr:col>12</xdr:col>
                    <xdr:colOff>175260</xdr:colOff>
                    <xdr:row>133</xdr:row>
                    <xdr:rowOff>175260</xdr:rowOff>
                  </to>
                </anchor>
              </controlPr>
            </control>
          </mc:Choice>
        </mc:AlternateContent>
        <mc:AlternateContent xmlns:mc="http://schemas.openxmlformats.org/markup-compatibility/2006">
          <mc:Choice Requires="x14">
            <control shapeId="3393" r:id="rId186" name="Check Box 321">
              <controlPr defaultSize="0" autoFill="0" autoLine="0" autoPict="0">
                <anchor moveWithCells="1">
                  <from>
                    <xdr:col>11</xdr:col>
                    <xdr:colOff>0</xdr:colOff>
                    <xdr:row>133</xdr:row>
                    <xdr:rowOff>144780</xdr:rowOff>
                  </from>
                  <to>
                    <xdr:col>12</xdr:col>
                    <xdr:colOff>175260</xdr:colOff>
                    <xdr:row>134</xdr:row>
                    <xdr:rowOff>0</xdr:rowOff>
                  </to>
                </anchor>
              </controlPr>
            </control>
          </mc:Choice>
        </mc:AlternateContent>
        <mc:AlternateContent xmlns:mc="http://schemas.openxmlformats.org/markup-compatibility/2006">
          <mc:Choice Requires="x14">
            <control shapeId="3394" r:id="rId187" name="Check Box 322">
              <controlPr defaultSize="0" autoFill="0" autoLine="0" autoPict="0">
                <anchor moveWithCells="1">
                  <from>
                    <xdr:col>11</xdr:col>
                    <xdr:colOff>0</xdr:colOff>
                    <xdr:row>132</xdr:row>
                    <xdr:rowOff>30480</xdr:rowOff>
                  </from>
                  <to>
                    <xdr:col>12</xdr:col>
                    <xdr:colOff>175260</xdr:colOff>
                    <xdr:row>132</xdr:row>
                    <xdr:rowOff>320040</xdr:rowOff>
                  </to>
                </anchor>
              </controlPr>
            </control>
          </mc:Choice>
        </mc:AlternateContent>
        <mc:AlternateContent xmlns:mc="http://schemas.openxmlformats.org/markup-compatibility/2006">
          <mc:Choice Requires="x14">
            <control shapeId="3205" r:id="rId188" name="Check Box 133">
              <controlPr defaultSize="0" autoFill="0" autoLine="0" autoPict="0">
                <anchor moveWithCells="1">
                  <from>
                    <xdr:col>11</xdr:col>
                    <xdr:colOff>0</xdr:colOff>
                    <xdr:row>92</xdr:row>
                    <xdr:rowOff>259080</xdr:rowOff>
                  </from>
                  <to>
                    <xdr:col>12</xdr:col>
                    <xdr:colOff>175260</xdr:colOff>
                    <xdr:row>93</xdr:row>
                    <xdr:rowOff>175260</xdr:rowOff>
                  </to>
                </anchor>
              </controlPr>
            </control>
          </mc:Choice>
        </mc:AlternateContent>
        <mc:AlternateContent xmlns:mc="http://schemas.openxmlformats.org/markup-compatibility/2006">
          <mc:Choice Requires="x14">
            <control shapeId="3206" r:id="rId189" name="Check Box 134">
              <controlPr defaultSize="0" autoFill="0" autoLine="0" autoPict="0">
                <anchor moveWithCells="1">
                  <from>
                    <xdr:col>11</xdr:col>
                    <xdr:colOff>0</xdr:colOff>
                    <xdr:row>93</xdr:row>
                    <xdr:rowOff>106680</xdr:rowOff>
                  </from>
                  <to>
                    <xdr:col>12</xdr:col>
                    <xdr:colOff>175260</xdr:colOff>
                    <xdr:row>93</xdr:row>
                    <xdr:rowOff>320040</xdr:rowOff>
                  </to>
                </anchor>
              </controlPr>
            </control>
          </mc:Choice>
        </mc:AlternateContent>
        <mc:AlternateContent xmlns:mc="http://schemas.openxmlformats.org/markup-compatibility/2006">
          <mc:Choice Requires="x14">
            <control shapeId="3253" r:id="rId190" name="Check Box 181">
              <controlPr defaultSize="0" autoFill="0" autoLine="0" autoPict="0">
                <anchor moveWithCells="1">
                  <from>
                    <xdr:col>11</xdr:col>
                    <xdr:colOff>0</xdr:colOff>
                    <xdr:row>92</xdr:row>
                    <xdr:rowOff>30480</xdr:rowOff>
                  </from>
                  <to>
                    <xdr:col>12</xdr:col>
                    <xdr:colOff>175260</xdr:colOff>
                    <xdr:row>92</xdr:row>
                    <xdr:rowOff>243840</xdr:rowOff>
                  </to>
                </anchor>
              </controlPr>
            </control>
          </mc:Choice>
        </mc:AlternateContent>
        <mc:AlternateContent xmlns:mc="http://schemas.openxmlformats.org/markup-compatibility/2006">
          <mc:Choice Requires="x14">
            <control shapeId="3416" r:id="rId191" name="Check Box 344">
              <controlPr defaultSize="0" autoFill="0" autoLine="0" autoPict="0">
                <anchor moveWithCells="1">
                  <from>
                    <xdr:col>11</xdr:col>
                    <xdr:colOff>0</xdr:colOff>
                    <xdr:row>142</xdr:row>
                    <xdr:rowOff>266700</xdr:rowOff>
                  </from>
                  <to>
                    <xdr:col>12</xdr:col>
                    <xdr:colOff>175260</xdr:colOff>
                    <xdr:row>143</xdr:row>
                    <xdr:rowOff>175260</xdr:rowOff>
                  </to>
                </anchor>
              </controlPr>
            </control>
          </mc:Choice>
        </mc:AlternateContent>
        <mc:AlternateContent xmlns:mc="http://schemas.openxmlformats.org/markup-compatibility/2006">
          <mc:Choice Requires="x14">
            <control shapeId="3417" r:id="rId192" name="Check Box 345">
              <controlPr defaultSize="0" autoFill="0" autoLine="0" autoPict="0">
                <anchor moveWithCells="1">
                  <from>
                    <xdr:col>11</xdr:col>
                    <xdr:colOff>0</xdr:colOff>
                    <xdr:row>143</xdr:row>
                    <xdr:rowOff>144780</xdr:rowOff>
                  </from>
                  <to>
                    <xdr:col>12</xdr:col>
                    <xdr:colOff>175260</xdr:colOff>
                    <xdr:row>144</xdr:row>
                    <xdr:rowOff>0</xdr:rowOff>
                  </to>
                </anchor>
              </controlPr>
            </control>
          </mc:Choice>
        </mc:AlternateContent>
        <mc:AlternateContent xmlns:mc="http://schemas.openxmlformats.org/markup-compatibility/2006">
          <mc:Choice Requires="x14">
            <control shapeId="3418" r:id="rId193" name="Check Box 346">
              <controlPr defaultSize="0" autoFill="0" autoLine="0" autoPict="0">
                <anchor moveWithCells="1">
                  <from>
                    <xdr:col>11</xdr:col>
                    <xdr:colOff>0</xdr:colOff>
                    <xdr:row>142</xdr:row>
                    <xdr:rowOff>30480</xdr:rowOff>
                  </from>
                  <to>
                    <xdr:col>12</xdr:col>
                    <xdr:colOff>175260</xdr:colOff>
                    <xdr:row>142</xdr:row>
                    <xdr:rowOff>320040</xdr:rowOff>
                  </to>
                </anchor>
              </controlPr>
            </control>
          </mc:Choice>
        </mc:AlternateContent>
        <mc:AlternateContent xmlns:mc="http://schemas.openxmlformats.org/markup-compatibility/2006">
          <mc:Choice Requires="x14">
            <control shapeId="3419" r:id="rId194" name="Check Box 347">
              <controlPr defaultSize="0" autoFill="0" autoLine="0" autoPict="0">
                <anchor moveWithCells="1">
                  <from>
                    <xdr:col>11</xdr:col>
                    <xdr:colOff>0</xdr:colOff>
                    <xdr:row>140</xdr:row>
                    <xdr:rowOff>266700</xdr:rowOff>
                  </from>
                  <to>
                    <xdr:col>12</xdr:col>
                    <xdr:colOff>175260</xdr:colOff>
                    <xdr:row>141</xdr:row>
                    <xdr:rowOff>175260</xdr:rowOff>
                  </to>
                </anchor>
              </controlPr>
            </control>
          </mc:Choice>
        </mc:AlternateContent>
        <mc:AlternateContent xmlns:mc="http://schemas.openxmlformats.org/markup-compatibility/2006">
          <mc:Choice Requires="x14">
            <control shapeId="3420" r:id="rId195" name="Check Box 348">
              <controlPr defaultSize="0" autoFill="0" autoLine="0" autoPict="0">
                <anchor moveWithCells="1">
                  <from>
                    <xdr:col>11</xdr:col>
                    <xdr:colOff>0</xdr:colOff>
                    <xdr:row>141</xdr:row>
                    <xdr:rowOff>144780</xdr:rowOff>
                  </from>
                  <to>
                    <xdr:col>12</xdr:col>
                    <xdr:colOff>175260</xdr:colOff>
                    <xdr:row>142</xdr:row>
                    <xdr:rowOff>0</xdr:rowOff>
                  </to>
                </anchor>
              </controlPr>
            </control>
          </mc:Choice>
        </mc:AlternateContent>
        <mc:AlternateContent xmlns:mc="http://schemas.openxmlformats.org/markup-compatibility/2006">
          <mc:Choice Requires="x14">
            <control shapeId="3421" r:id="rId196" name="Check Box 349">
              <controlPr defaultSize="0" autoFill="0" autoLine="0" autoPict="0">
                <anchor moveWithCells="1">
                  <from>
                    <xdr:col>11</xdr:col>
                    <xdr:colOff>0</xdr:colOff>
                    <xdr:row>140</xdr:row>
                    <xdr:rowOff>30480</xdr:rowOff>
                  </from>
                  <to>
                    <xdr:col>12</xdr:col>
                    <xdr:colOff>175260</xdr:colOff>
                    <xdr:row>140</xdr:row>
                    <xdr:rowOff>289560</xdr:rowOff>
                  </to>
                </anchor>
              </controlPr>
            </control>
          </mc:Choice>
        </mc:AlternateContent>
        <mc:AlternateContent xmlns:mc="http://schemas.openxmlformats.org/markup-compatibility/2006">
          <mc:Choice Requires="x14">
            <control shapeId="3423" r:id="rId197" name="Check Box 351">
              <controlPr defaultSize="0" autoFill="0" autoLine="0" autoPict="0">
                <anchor moveWithCells="1">
                  <from>
                    <xdr:col>11</xdr:col>
                    <xdr:colOff>0</xdr:colOff>
                    <xdr:row>144</xdr:row>
                    <xdr:rowOff>266700</xdr:rowOff>
                  </from>
                  <to>
                    <xdr:col>12</xdr:col>
                    <xdr:colOff>175260</xdr:colOff>
                    <xdr:row>145</xdr:row>
                    <xdr:rowOff>175260</xdr:rowOff>
                  </to>
                </anchor>
              </controlPr>
            </control>
          </mc:Choice>
        </mc:AlternateContent>
        <mc:AlternateContent xmlns:mc="http://schemas.openxmlformats.org/markup-compatibility/2006">
          <mc:Choice Requires="x14">
            <control shapeId="3424" r:id="rId198" name="Check Box 352">
              <controlPr defaultSize="0" autoFill="0" autoLine="0" autoPict="0">
                <anchor moveWithCells="1">
                  <from>
                    <xdr:col>11</xdr:col>
                    <xdr:colOff>0</xdr:colOff>
                    <xdr:row>145</xdr:row>
                    <xdr:rowOff>144780</xdr:rowOff>
                  </from>
                  <to>
                    <xdr:col>12</xdr:col>
                    <xdr:colOff>175260</xdr:colOff>
                    <xdr:row>146</xdr:row>
                    <xdr:rowOff>0</xdr:rowOff>
                  </to>
                </anchor>
              </controlPr>
            </control>
          </mc:Choice>
        </mc:AlternateContent>
        <mc:AlternateContent xmlns:mc="http://schemas.openxmlformats.org/markup-compatibility/2006">
          <mc:Choice Requires="x14">
            <control shapeId="3425" r:id="rId199" name="Check Box 353">
              <controlPr defaultSize="0" autoFill="0" autoLine="0" autoPict="0">
                <anchor moveWithCells="1">
                  <from>
                    <xdr:col>11</xdr:col>
                    <xdr:colOff>0</xdr:colOff>
                    <xdr:row>144</xdr:row>
                    <xdr:rowOff>30480</xdr:rowOff>
                  </from>
                  <to>
                    <xdr:col>12</xdr:col>
                    <xdr:colOff>175260</xdr:colOff>
                    <xdr:row>144</xdr:row>
                    <xdr:rowOff>289560</xdr:rowOff>
                  </to>
                </anchor>
              </controlPr>
            </control>
          </mc:Choice>
        </mc:AlternateContent>
        <mc:AlternateContent xmlns:mc="http://schemas.openxmlformats.org/markup-compatibility/2006">
          <mc:Choice Requires="x14">
            <control shapeId="3427" r:id="rId200" name="Check Box 355">
              <controlPr defaultSize="0" autoFill="0" autoLine="0" autoPict="0">
                <anchor moveWithCells="1">
                  <from>
                    <xdr:col>11</xdr:col>
                    <xdr:colOff>0</xdr:colOff>
                    <xdr:row>160</xdr:row>
                    <xdr:rowOff>266700</xdr:rowOff>
                  </from>
                  <to>
                    <xdr:col>12</xdr:col>
                    <xdr:colOff>175260</xdr:colOff>
                    <xdr:row>161</xdr:row>
                    <xdr:rowOff>175260</xdr:rowOff>
                  </to>
                </anchor>
              </controlPr>
            </control>
          </mc:Choice>
        </mc:AlternateContent>
        <mc:AlternateContent xmlns:mc="http://schemas.openxmlformats.org/markup-compatibility/2006">
          <mc:Choice Requires="x14">
            <control shapeId="3428" r:id="rId201" name="Check Box 356">
              <controlPr defaultSize="0" autoFill="0" autoLine="0" autoPict="0">
                <anchor moveWithCells="1">
                  <from>
                    <xdr:col>11</xdr:col>
                    <xdr:colOff>0</xdr:colOff>
                    <xdr:row>161</xdr:row>
                    <xdr:rowOff>144780</xdr:rowOff>
                  </from>
                  <to>
                    <xdr:col>12</xdr:col>
                    <xdr:colOff>175260</xdr:colOff>
                    <xdr:row>162</xdr:row>
                    <xdr:rowOff>0</xdr:rowOff>
                  </to>
                </anchor>
              </controlPr>
            </control>
          </mc:Choice>
        </mc:AlternateContent>
        <mc:AlternateContent xmlns:mc="http://schemas.openxmlformats.org/markup-compatibility/2006">
          <mc:Choice Requires="x14">
            <control shapeId="3429" r:id="rId202" name="Check Box 357">
              <controlPr defaultSize="0" autoFill="0" autoLine="0" autoPict="0">
                <anchor moveWithCells="1">
                  <from>
                    <xdr:col>11</xdr:col>
                    <xdr:colOff>0</xdr:colOff>
                    <xdr:row>160</xdr:row>
                    <xdr:rowOff>30480</xdr:rowOff>
                  </from>
                  <to>
                    <xdr:col>12</xdr:col>
                    <xdr:colOff>175260</xdr:colOff>
                    <xdr:row>160</xdr:row>
                    <xdr:rowOff>289560</xdr:rowOff>
                  </to>
                </anchor>
              </controlPr>
            </control>
          </mc:Choice>
        </mc:AlternateContent>
        <mc:AlternateContent xmlns:mc="http://schemas.openxmlformats.org/markup-compatibility/2006">
          <mc:Choice Requires="x14">
            <control shapeId="3430" r:id="rId203" name="Check Box 358">
              <controlPr defaultSize="0" autoFill="0" autoLine="0" autoPict="0">
                <anchor moveWithCells="1">
                  <from>
                    <xdr:col>11</xdr:col>
                    <xdr:colOff>0</xdr:colOff>
                    <xdr:row>162</xdr:row>
                    <xdr:rowOff>266700</xdr:rowOff>
                  </from>
                  <to>
                    <xdr:col>12</xdr:col>
                    <xdr:colOff>175260</xdr:colOff>
                    <xdr:row>163</xdr:row>
                    <xdr:rowOff>175260</xdr:rowOff>
                  </to>
                </anchor>
              </controlPr>
            </control>
          </mc:Choice>
        </mc:AlternateContent>
        <mc:AlternateContent xmlns:mc="http://schemas.openxmlformats.org/markup-compatibility/2006">
          <mc:Choice Requires="x14">
            <control shapeId="3431" r:id="rId204" name="Check Box 359">
              <controlPr defaultSize="0" autoFill="0" autoLine="0" autoPict="0">
                <anchor moveWithCells="1">
                  <from>
                    <xdr:col>11</xdr:col>
                    <xdr:colOff>0</xdr:colOff>
                    <xdr:row>163</xdr:row>
                    <xdr:rowOff>144780</xdr:rowOff>
                  </from>
                  <to>
                    <xdr:col>12</xdr:col>
                    <xdr:colOff>175260</xdr:colOff>
                    <xdr:row>164</xdr:row>
                    <xdr:rowOff>0</xdr:rowOff>
                  </to>
                </anchor>
              </controlPr>
            </control>
          </mc:Choice>
        </mc:AlternateContent>
        <mc:AlternateContent xmlns:mc="http://schemas.openxmlformats.org/markup-compatibility/2006">
          <mc:Choice Requires="x14">
            <control shapeId="3432" r:id="rId205" name="Check Box 360">
              <controlPr defaultSize="0" autoFill="0" autoLine="0" autoPict="0">
                <anchor moveWithCells="1">
                  <from>
                    <xdr:col>11</xdr:col>
                    <xdr:colOff>0</xdr:colOff>
                    <xdr:row>162</xdr:row>
                    <xdr:rowOff>30480</xdr:rowOff>
                  </from>
                  <to>
                    <xdr:col>12</xdr:col>
                    <xdr:colOff>175260</xdr:colOff>
                    <xdr:row>162</xdr:row>
                    <xdr:rowOff>289560</xdr:rowOff>
                  </to>
                </anchor>
              </controlPr>
            </control>
          </mc:Choice>
        </mc:AlternateContent>
        <mc:AlternateContent xmlns:mc="http://schemas.openxmlformats.org/markup-compatibility/2006">
          <mc:Choice Requires="x14">
            <control shapeId="3433" r:id="rId206" name="Check Box 361">
              <controlPr defaultSize="0" autoFill="0" autoLine="0" autoPict="0">
                <anchor moveWithCells="1">
                  <from>
                    <xdr:col>11</xdr:col>
                    <xdr:colOff>0</xdr:colOff>
                    <xdr:row>146</xdr:row>
                    <xdr:rowOff>266700</xdr:rowOff>
                  </from>
                  <to>
                    <xdr:col>12</xdr:col>
                    <xdr:colOff>53340</xdr:colOff>
                    <xdr:row>147</xdr:row>
                    <xdr:rowOff>76200</xdr:rowOff>
                  </to>
                </anchor>
              </controlPr>
            </control>
          </mc:Choice>
        </mc:AlternateContent>
        <mc:AlternateContent xmlns:mc="http://schemas.openxmlformats.org/markup-compatibility/2006">
          <mc:Choice Requires="x14">
            <control shapeId="3434" r:id="rId207" name="Check Box 362">
              <controlPr defaultSize="0" autoFill="0" autoLine="0" autoPict="0">
                <anchor moveWithCells="1">
                  <from>
                    <xdr:col>11</xdr:col>
                    <xdr:colOff>0</xdr:colOff>
                    <xdr:row>147</xdr:row>
                    <xdr:rowOff>106680</xdr:rowOff>
                  </from>
                  <to>
                    <xdr:col>12</xdr:col>
                    <xdr:colOff>53340</xdr:colOff>
                    <xdr:row>147</xdr:row>
                    <xdr:rowOff>320040</xdr:rowOff>
                  </to>
                </anchor>
              </controlPr>
            </control>
          </mc:Choice>
        </mc:AlternateContent>
        <mc:AlternateContent xmlns:mc="http://schemas.openxmlformats.org/markup-compatibility/2006">
          <mc:Choice Requires="x14">
            <control shapeId="3435" r:id="rId208" name="Check Box 363">
              <controlPr defaultSize="0" autoFill="0" autoLine="0" autoPict="0">
                <anchor moveWithCells="1">
                  <from>
                    <xdr:col>11</xdr:col>
                    <xdr:colOff>0</xdr:colOff>
                    <xdr:row>146</xdr:row>
                    <xdr:rowOff>30480</xdr:rowOff>
                  </from>
                  <to>
                    <xdr:col>12</xdr:col>
                    <xdr:colOff>53340</xdr:colOff>
                    <xdr:row>146</xdr:row>
                    <xdr:rowOff>289560</xdr:rowOff>
                  </to>
                </anchor>
              </controlPr>
            </control>
          </mc:Choice>
        </mc:AlternateContent>
        <mc:AlternateContent xmlns:mc="http://schemas.openxmlformats.org/markup-compatibility/2006">
          <mc:Choice Requires="x14">
            <control shapeId="3436" r:id="rId209" name="Check Box 364">
              <controlPr defaultSize="0" autoFill="0" autoLine="0" autoPict="0">
                <anchor moveWithCells="1">
                  <from>
                    <xdr:col>11</xdr:col>
                    <xdr:colOff>0</xdr:colOff>
                    <xdr:row>148</xdr:row>
                    <xdr:rowOff>266700</xdr:rowOff>
                  </from>
                  <to>
                    <xdr:col>12</xdr:col>
                    <xdr:colOff>53340</xdr:colOff>
                    <xdr:row>149</xdr:row>
                    <xdr:rowOff>175260</xdr:rowOff>
                  </to>
                </anchor>
              </controlPr>
            </control>
          </mc:Choice>
        </mc:AlternateContent>
        <mc:AlternateContent xmlns:mc="http://schemas.openxmlformats.org/markup-compatibility/2006">
          <mc:Choice Requires="x14">
            <control shapeId="3437" r:id="rId210" name="Check Box 365">
              <controlPr defaultSize="0" autoFill="0" autoLine="0" autoPict="0">
                <anchor moveWithCells="1">
                  <from>
                    <xdr:col>11</xdr:col>
                    <xdr:colOff>0</xdr:colOff>
                    <xdr:row>149</xdr:row>
                    <xdr:rowOff>144780</xdr:rowOff>
                  </from>
                  <to>
                    <xdr:col>12</xdr:col>
                    <xdr:colOff>53340</xdr:colOff>
                    <xdr:row>150</xdr:row>
                    <xdr:rowOff>0</xdr:rowOff>
                  </to>
                </anchor>
              </controlPr>
            </control>
          </mc:Choice>
        </mc:AlternateContent>
        <mc:AlternateContent xmlns:mc="http://schemas.openxmlformats.org/markup-compatibility/2006">
          <mc:Choice Requires="x14">
            <control shapeId="3438" r:id="rId211" name="Check Box 366">
              <controlPr defaultSize="0" autoFill="0" autoLine="0" autoPict="0">
                <anchor moveWithCells="1">
                  <from>
                    <xdr:col>11</xdr:col>
                    <xdr:colOff>0</xdr:colOff>
                    <xdr:row>148</xdr:row>
                    <xdr:rowOff>30480</xdr:rowOff>
                  </from>
                  <to>
                    <xdr:col>12</xdr:col>
                    <xdr:colOff>53340</xdr:colOff>
                    <xdr:row>148</xdr:row>
                    <xdr:rowOff>289560</xdr:rowOff>
                  </to>
                </anchor>
              </controlPr>
            </control>
          </mc:Choice>
        </mc:AlternateContent>
        <mc:AlternateContent xmlns:mc="http://schemas.openxmlformats.org/markup-compatibility/2006">
          <mc:Choice Requires="x14">
            <control shapeId="3439" r:id="rId212" name="Check Box 367">
              <controlPr defaultSize="0" autoFill="0" autoLine="0" autoPict="0">
                <anchor moveWithCells="1">
                  <from>
                    <xdr:col>11</xdr:col>
                    <xdr:colOff>0</xdr:colOff>
                    <xdr:row>150</xdr:row>
                    <xdr:rowOff>266700</xdr:rowOff>
                  </from>
                  <to>
                    <xdr:col>12</xdr:col>
                    <xdr:colOff>53340</xdr:colOff>
                    <xdr:row>151</xdr:row>
                    <xdr:rowOff>175260</xdr:rowOff>
                  </to>
                </anchor>
              </controlPr>
            </control>
          </mc:Choice>
        </mc:AlternateContent>
        <mc:AlternateContent xmlns:mc="http://schemas.openxmlformats.org/markup-compatibility/2006">
          <mc:Choice Requires="x14">
            <control shapeId="3440" r:id="rId213" name="Check Box 368">
              <controlPr defaultSize="0" autoFill="0" autoLine="0" autoPict="0">
                <anchor moveWithCells="1">
                  <from>
                    <xdr:col>11</xdr:col>
                    <xdr:colOff>0</xdr:colOff>
                    <xdr:row>151</xdr:row>
                    <xdr:rowOff>144780</xdr:rowOff>
                  </from>
                  <to>
                    <xdr:col>12</xdr:col>
                    <xdr:colOff>53340</xdr:colOff>
                    <xdr:row>152</xdr:row>
                    <xdr:rowOff>0</xdr:rowOff>
                  </to>
                </anchor>
              </controlPr>
            </control>
          </mc:Choice>
        </mc:AlternateContent>
        <mc:AlternateContent xmlns:mc="http://schemas.openxmlformats.org/markup-compatibility/2006">
          <mc:Choice Requires="x14">
            <control shapeId="3441" r:id="rId214" name="Check Box 369">
              <controlPr defaultSize="0" autoFill="0" autoLine="0" autoPict="0">
                <anchor moveWithCells="1">
                  <from>
                    <xdr:col>11</xdr:col>
                    <xdr:colOff>0</xdr:colOff>
                    <xdr:row>150</xdr:row>
                    <xdr:rowOff>30480</xdr:rowOff>
                  </from>
                  <to>
                    <xdr:col>12</xdr:col>
                    <xdr:colOff>53340</xdr:colOff>
                    <xdr:row>150</xdr:row>
                    <xdr:rowOff>289560</xdr:rowOff>
                  </to>
                </anchor>
              </controlPr>
            </control>
          </mc:Choice>
        </mc:AlternateContent>
        <mc:AlternateContent xmlns:mc="http://schemas.openxmlformats.org/markup-compatibility/2006">
          <mc:Choice Requires="x14">
            <control shapeId="3442" r:id="rId215" name="Check Box 370">
              <controlPr defaultSize="0" autoFill="0" autoLine="0" autoPict="0">
                <anchor moveWithCells="1">
                  <from>
                    <xdr:col>11</xdr:col>
                    <xdr:colOff>0</xdr:colOff>
                    <xdr:row>152</xdr:row>
                    <xdr:rowOff>266700</xdr:rowOff>
                  </from>
                  <to>
                    <xdr:col>12</xdr:col>
                    <xdr:colOff>53340</xdr:colOff>
                    <xdr:row>153</xdr:row>
                    <xdr:rowOff>175260</xdr:rowOff>
                  </to>
                </anchor>
              </controlPr>
            </control>
          </mc:Choice>
        </mc:AlternateContent>
        <mc:AlternateContent xmlns:mc="http://schemas.openxmlformats.org/markup-compatibility/2006">
          <mc:Choice Requires="x14">
            <control shapeId="3443" r:id="rId216" name="Check Box 371">
              <controlPr defaultSize="0" autoFill="0" autoLine="0" autoPict="0">
                <anchor moveWithCells="1">
                  <from>
                    <xdr:col>11</xdr:col>
                    <xdr:colOff>0</xdr:colOff>
                    <xdr:row>153</xdr:row>
                    <xdr:rowOff>144780</xdr:rowOff>
                  </from>
                  <to>
                    <xdr:col>12</xdr:col>
                    <xdr:colOff>53340</xdr:colOff>
                    <xdr:row>154</xdr:row>
                    <xdr:rowOff>0</xdr:rowOff>
                  </to>
                </anchor>
              </controlPr>
            </control>
          </mc:Choice>
        </mc:AlternateContent>
        <mc:AlternateContent xmlns:mc="http://schemas.openxmlformats.org/markup-compatibility/2006">
          <mc:Choice Requires="x14">
            <control shapeId="3444" r:id="rId217" name="Check Box 372">
              <controlPr defaultSize="0" autoFill="0" autoLine="0" autoPict="0">
                <anchor moveWithCells="1">
                  <from>
                    <xdr:col>11</xdr:col>
                    <xdr:colOff>0</xdr:colOff>
                    <xdr:row>152</xdr:row>
                    <xdr:rowOff>30480</xdr:rowOff>
                  </from>
                  <to>
                    <xdr:col>12</xdr:col>
                    <xdr:colOff>53340</xdr:colOff>
                    <xdr:row>152</xdr:row>
                    <xdr:rowOff>289560</xdr:rowOff>
                  </to>
                </anchor>
              </controlPr>
            </control>
          </mc:Choice>
        </mc:AlternateContent>
        <mc:AlternateContent xmlns:mc="http://schemas.openxmlformats.org/markup-compatibility/2006">
          <mc:Choice Requires="x14">
            <control shapeId="3445" r:id="rId218" name="Check Box 373">
              <controlPr defaultSize="0" autoFill="0" autoLine="0" autoPict="0">
                <anchor moveWithCells="1">
                  <from>
                    <xdr:col>11</xdr:col>
                    <xdr:colOff>0</xdr:colOff>
                    <xdr:row>154</xdr:row>
                    <xdr:rowOff>266700</xdr:rowOff>
                  </from>
                  <to>
                    <xdr:col>12</xdr:col>
                    <xdr:colOff>53340</xdr:colOff>
                    <xdr:row>155</xdr:row>
                    <xdr:rowOff>175260</xdr:rowOff>
                  </to>
                </anchor>
              </controlPr>
            </control>
          </mc:Choice>
        </mc:AlternateContent>
        <mc:AlternateContent xmlns:mc="http://schemas.openxmlformats.org/markup-compatibility/2006">
          <mc:Choice Requires="x14">
            <control shapeId="3446" r:id="rId219" name="Check Box 374">
              <controlPr defaultSize="0" autoFill="0" autoLine="0" autoPict="0">
                <anchor moveWithCells="1">
                  <from>
                    <xdr:col>11</xdr:col>
                    <xdr:colOff>0</xdr:colOff>
                    <xdr:row>155</xdr:row>
                    <xdr:rowOff>144780</xdr:rowOff>
                  </from>
                  <to>
                    <xdr:col>12</xdr:col>
                    <xdr:colOff>53340</xdr:colOff>
                    <xdr:row>156</xdr:row>
                    <xdr:rowOff>0</xdr:rowOff>
                  </to>
                </anchor>
              </controlPr>
            </control>
          </mc:Choice>
        </mc:AlternateContent>
        <mc:AlternateContent xmlns:mc="http://schemas.openxmlformats.org/markup-compatibility/2006">
          <mc:Choice Requires="x14">
            <control shapeId="3447" r:id="rId220" name="Check Box 375">
              <controlPr defaultSize="0" autoFill="0" autoLine="0" autoPict="0">
                <anchor moveWithCells="1">
                  <from>
                    <xdr:col>11</xdr:col>
                    <xdr:colOff>0</xdr:colOff>
                    <xdr:row>154</xdr:row>
                    <xdr:rowOff>30480</xdr:rowOff>
                  </from>
                  <to>
                    <xdr:col>12</xdr:col>
                    <xdr:colOff>53340</xdr:colOff>
                    <xdr:row>154</xdr:row>
                    <xdr:rowOff>289560</xdr:rowOff>
                  </to>
                </anchor>
              </controlPr>
            </control>
          </mc:Choice>
        </mc:AlternateContent>
        <mc:AlternateContent xmlns:mc="http://schemas.openxmlformats.org/markup-compatibility/2006">
          <mc:Choice Requires="x14">
            <control shapeId="3448" r:id="rId221" name="Check Box 376">
              <controlPr defaultSize="0" autoFill="0" autoLine="0" autoPict="0">
                <anchor moveWithCells="1">
                  <from>
                    <xdr:col>11</xdr:col>
                    <xdr:colOff>0</xdr:colOff>
                    <xdr:row>156</xdr:row>
                    <xdr:rowOff>266700</xdr:rowOff>
                  </from>
                  <to>
                    <xdr:col>12</xdr:col>
                    <xdr:colOff>53340</xdr:colOff>
                    <xdr:row>157</xdr:row>
                    <xdr:rowOff>175260</xdr:rowOff>
                  </to>
                </anchor>
              </controlPr>
            </control>
          </mc:Choice>
        </mc:AlternateContent>
        <mc:AlternateContent xmlns:mc="http://schemas.openxmlformats.org/markup-compatibility/2006">
          <mc:Choice Requires="x14">
            <control shapeId="3449" r:id="rId222" name="Check Box 377">
              <controlPr defaultSize="0" autoFill="0" autoLine="0" autoPict="0">
                <anchor moveWithCells="1">
                  <from>
                    <xdr:col>11</xdr:col>
                    <xdr:colOff>0</xdr:colOff>
                    <xdr:row>157</xdr:row>
                    <xdr:rowOff>144780</xdr:rowOff>
                  </from>
                  <to>
                    <xdr:col>12</xdr:col>
                    <xdr:colOff>53340</xdr:colOff>
                    <xdr:row>158</xdr:row>
                    <xdr:rowOff>0</xdr:rowOff>
                  </to>
                </anchor>
              </controlPr>
            </control>
          </mc:Choice>
        </mc:AlternateContent>
        <mc:AlternateContent xmlns:mc="http://schemas.openxmlformats.org/markup-compatibility/2006">
          <mc:Choice Requires="x14">
            <control shapeId="3450" r:id="rId223" name="Check Box 378">
              <controlPr defaultSize="0" autoFill="0" autoLine="0" autoPict="0">
                <anchor moveWithCells="1">
                  <from>
                    <xdr:col>11</xdr:col>
                    <xdr:colOff>0</xdr:colOff>
                    <xdr:row>156</xdr:row>
                    <xdr:rowOff>30480</xdr:rowOff>
                  </from>
                  <to>
                    <xdr:col>12</xdr:col>
                    <xdr:colOff>53340</xdr:colOff>
                    <xdr:row>156</xdr:row>
                    <xdr:rowOff>320040</xdr:rowOff>
                  </to>
                </anchor>
              </controlPr>
            </control>
          </mc:Choice>
        </mc:AlternateContent>
        <mc:AlternateContent xmlns:mc="http://schemas.openxmlformats.org/markup-compatibility/2006">
          <mc:Choice Requires="x14">
            <control shapeId="3451" r:id="rId224" name="Check Box 379">
              <controlPr defaultSize="0" autoFill="0" autoLine="0" autoPict="0">
                <anchor moveWithCells="1">
                  <from>
                    <xdr:col>11</xdr:col>
                    <xdr:colOff>0</xdr:colOff>
                    <xdr:row>158</xdr:row>
                    <xdr:rowOff>266700</xdr:rowOff>
                  </from>
                  <to>
                    <xdr:col>12</xdr:col>
                    <xdr:colOff>53340</xdr:colOff>
                    <xdr:row>159</xdr:row>
                    <xdr:rowOff>175260</xdr:rowOff>
                  </to>
                </anchor>
              </controlPr>
            </control>
          </mc:Choice>
        </mc:AlternateContent>
        <mc:AlternateContent xmlns:mc="http://schemas.openxmlformats.org/markup-compatibility/2006">
          <mc:Choice Requires="x14">
            <control shapeId="3452" r:id="rId225" name="Check Box 380">
              <controlPr defaultSize="0" autoFill="0" autoLine="0" autoPict="0">
                <anchor moveWithCells="1">
                  <from>
                    <xdr:col>11</xdr:col>
                    <xdr:colOff>0</xdr:colOff>
                    <xdr:row>159</xdr:row>
                    <xdr:rowOff>144780</xdr:rowOff>
                  </from>
                  <to>
                    <xdr:col>12</xdr:col>
                    <xdr:colOff>53340</xdr:colOff>
                    <xdr:row>160</xdr:row>
                    <xdr:rowOff>0</xdr:rowOff>
                  </to>
                </anchor>
              </controlPr>
            </control>
          </mc:Choice>
        </mc:AlternateContent>
        <mc:AlternateContent xmlns:mc="http://schemas.openxmlformats.org/markup-compatibility/2006">
          <mc:Choice Requires="x14">
            <control shapeId="3453" r:id="rId226" name="Check Box 381">
              <controlPr defaultSize="0" autoFill="0" autoLine="0" autoPict="0">
                <anchor moveWithCells="1">
                  <from>
                    <xdr:col>11</xdr:col>
                    <xdr:colOff>0</xdr:colOff>
                    <xdr:row>158</xdr:row>
                    <xdr:rowOff>30480</xdr:rowOff>
                  </from>
                  <to>
                    <xdr:col>12</xdr:col>
                    <xdr:colOff>53340</xdr:colOff>
                    <xdr:row>158</xdr:row>
                    <xdr:rowOff>289560</xdr:rowOff>
                  </to>
                </anchor>
              </controlPr>
            </control>
          </mc:Choice>
        </mc:AlternateContent>
        <mc:AlternateContent xmlns:mc="http://schemas.openxmlformats.org/markup-compatibility/2006">
          <mc:Choice Requires="x14">
            <control shapeId="3454" r:id="rId227" name="Check Box 382">
              <controlPr defaultSize="0" autoFill="0" autoLine="0" autoPict="0">
                <anchor moveWithCells="1">
                  <from>
                    <xdr:col>11</xdr:col>
                    <xdr:colOff>0</xdr:colOff>
                    <xdr:row>166</xdr:row>
                    <xdr:rowOff>266700</xdr:rowOff>
                  </from>
                  <to>
                    <xdr:col>12</xdr:col>
                    <xdr:colOff>175260</xdr:colOff>
                    <xdr:row>167</xdr:row>
                    <xdr:rowOff>175260</xdr:rowOff>
                  </to>
                </anchor>
              </controlPr>
            </control>
          </mc:Choice>
        </mc:AlternateContent>
        <mc:AlternateContent xmlns:mc="http://schemas.openxmlformats.org/markup-compatibility/2006">
          <mc:Choice Requires="x14">
            <control shapeId="3455" r:id="rId228" name="Check Box 383">
              <controlPr defaultSize="0" autoFill="0" autoLine="0" autoPict="0">
                <anchor moveWithCells="1">
                  <from>
                    <xdr:col>11</xdr:col>
                    <xdr:colOff>0</xdr:colOff>
                    <xdr:row>167</xdr:row>
                    <xdr:rowOff>144780</xdr:rowOff>
                  </from>
                  <to>
                    <xdr:col>12</xdr:col>
                    <xdr:colOff>175260</xdr:colOff>
                    <xdr:row>168</xdr:row>
                    <xdr:rowOff>0</xdr:rowOff>
                  </to>
                </anchor>
              </controlPr>
            </control>
          </mc:Choice>
        </mc:AlternateContent>
        <mc:AlternateContent xmlns:mc="http://schemas.openxmlformats.org/markup-compatibility/2006">
          <mc:Choice Requires="x14">
            <control shapeId="3456" r:id="rId229" name="Check Box 384">
              <controlPr defaultSize="0" autoFill="0" autoLine="0" autoPict="0">
                <anchor moveWithCells="1">
                  <from>
                    <xdr:col>11</xdr:col>
                    <xdr:colOff>0</xdr:colOff>
                    <xdr:row>166</xdr:row>
                    <xdr:rowOff>30480</xdr:rowOff>
                  </from>
                  <to>
                    <xdr:col>12</xdr:col>
                    <xdr:colOff>175260</xdr:colOff>
                    <xdr:row>166</xdr:row>
                    <xdr:rowOff>320040</xdr:rowOff>
                  </to>
                </anchor>
              </controlPr>
            </control>
          </mc:Choice>
        </mc:AlternateContent>
        <mc:AlternateContent xmlns:mc="http://schemas.openxmlformats.org/markup-compatibility/2006">
          <mc:Choice Requires="x14">
            <control shapeId="3457" r:id="rId230" name="Check Box 385">
              <controlPr defaultSize="0" autoFill="0" autoLine="0" autoPict="0">
                <anchor moveWithCells="1">
                  <from>
                    <xdr:col>11</xdr:col>
                    <xdr:colOff>0</xdr:colOff>
                    <xdr:row>164</xdr:row>
                    <xdr:rowOff>266700</xdr:rowOff>
                  </from>
                  <to>
                    <xdr:col>12</xdr:col>
                    <xdr:colOff>175260</xdr:colOff>
                    <xdr:row>165</xdr:row>
                    <xdr:rowOff>175260</xdr:rowOff>
                  </to>
                </anchor>
              </controlPr>
            </control>
          </mc:Choice>
        </mc:AlternateContent>
        <mc:AlternateContent xmlns:mc="http://schemas.openxmlformats.org/markup-compatibility/2006">
          <mc:Choice Requires="x14">
            <control shapeId="3458" r:id="rId231" name="Check Box 386">
              <controlPr defaultSize="0" autoFill="0" autoLine="0" autoPict="0">
                <anchor moveWithCells="1">
                  <from>
                    <xdr:col>11</xdr:col>
                    <xdr:colOff>0</xdr:colOff>
                    <xdr:row>165</xdr:row>
                    <xdr:rowOff>144780</xdr:rowOff>
                  </from>
                  <to>
                    <xdr:col>12</xdr:col>
                    <xdr:colOff>175260</xdr:colOff>
                    <xdr:row>166</xdr:row>
                    <xdr:rowOff>0</xdr:rowOff>
                  </to>
                </anchor>
              </controlPr>
            </control>
          </mc:Choice>
        </mc:AlternateContent>
        <mc:AlternateContent xmlns:mc="http://schemas.openxmlformats.org/markup-compatibility/2006">
          <mc:Choice Requires="x14">
            <control shapeId="3459" r:id="rId232" name="Check Box 387">
              <controlPr defaultSize="0" autoFill="0" autoLine="0" autoPict="0">
                <anchor moveWithCells="1">
                  <from>
                    <xdr:col>11</xdr:col>
                    <xdr:colOff>0</xdr:colOff>
                    <xdr:row>164</xdr:row>
                    <xdr:rowOff>30480</xdr:rowOff>
                  </from>
                  <to>
                    <xdr:col>12</xdr:col>
                    <xdr:colOff>175260</xdr:colOff>
                    <xdr:row>164</xdr:row>
                    <xdr:rowOff>289560</xdr:rowOff>
                  </to>
                </anchor>
              </controlPr>
            </control>
          </mc:Choice>
        </mc:AlternateContent>
        <mc:AlternateContent xmlns:mc="http://schemas.openxmlformats.org/markup-compatibility/2006">
          <mc:Choice Requires="x14">
            <control shapeId="3465" r:id="rId233" name="Check Box 393">
              <controlPr defaultSize="0" autoFill="0" autoLine="0" autoPict="0">
                <anchor moveWithCells="1">
                  <from>
                    <xdr:col>11</xdr:col>
                    <xdr:colOff>0</xdr:colOff>
                    <xdr:row>168</xdr:row>
                    <xdr:rowOff>266700</xdr:rowOff>
                  </from>
                  <to>
                    <xdr:col>12</xdr:col>
                    <xdr:colOff>175260</xdr:colOff>
                    <xdr:row>169</xdr:row>
                    <xdr:rowOff>175260</xdr:rowOff>
                  </to>
                </anchor>
              </controlPr>
            </control>
          </mc:Choice>
        </mc:AlternateContent>
        <mc:AlternateContent xmlns:mc="http://schemas.openxmlformats.org/markup-compatibility/2006">
          <mc:Choice Requires="x14">
            <control shapeId="3466" r:id="rId234" name="Check Box 394">
              <controlPr defaultSize="0" autoFill="0" autoLine="0" autoPict="0">
                <anchor moveWithCells="1">
                  <from>
                    <xdr:col>11</xdr:col>
                    <xdr:colOff>0</xdr:colOff>
                    <xdr:row>169</xdr:row>
                    <xdr:rowOff>144780</xdr:rowOff>
                  </from>
                  <to>
                    <xdr:col>12</xdr:col>
                    <xdr:colOff>175260</xdr:colOff>
                    <xdr:row>170</xdr:row>
                    <xdr:rowOff>0</xdr:rowOff>
                  </to>
                </anchor>
              </controlPr>
            </control>
          </mc:Choice>
        </mc:AlternateContent>
        <mc:AlternateContent xmlns:mc="http://schemas.openxmlformats.org/markup-compatibility/2006">
          <mc:Choice Requires="x14">
            <control shapeId="3467" r:id="rId235" name="Check Box 395">
              <controlPr defaultSize="0" autoFill="0" autoLine="0" autoPict="0">
                <anchor moveWithCells="1">
                  <from>
                    <xdr:col>11</xdr:col>
                    <xdr:colOff>0</xdr:colOff>
                    <xdr:row>168</xdr:row>
                    <xdr:rowOff>30480</xdr:rowOff>
                  </from>
                  <to>
                    <xdr:col>12</xdr:col>
                    <xdr:colOff>175260</xdr:colOff>
                    <xdr:row>168</xdr:row>
                    <xdr:rowOff>289560</xdr:rowOff>
                  </to>
                </anchor>
              </controlPr>
            </control>
          </mc:Choice>
        </mc:AlternateContent>
        <mc:AlternateContent xmlns:mc="http://schemas.openxmlformats.org/markup-compatibility/2006">
          <mc:Choice Requires="x14">
            <control shapeId="3468" r:id="rId236" name="Check Box 396">
              <controlPr defaultSize="0" autoFill="0" autoLine="0" autoPict="0">
                <anchor moveWithCells="1">
                  <from>
                    <xdr:col>11</xdr:col>
                    <xdr:colOff>0</xdr:colOff>
                    <xdr:row>170</xdr:row>
                    <xdr:rowOff>266700</xdr:rowOff>
                  </from>
                  <to>
                    <xdr:col>12</xdr:col>
                    <xdr:colOff>175260</xdr:colOff>
                    <xdr:row>171</xdr:row>
                    <xdr:rowOff>175260</xdr:rowOff>
                  </to>
                </anchor>
              </controlPr>
            </control>
          </mc:Choice>
        </mc:AlternateContent>
        <mc:AlternateContent xmlns:mc="http://schemas.openxmlformats.org/markup-compatibility/2006">
          <mc:Choice Requires="x14">
            <control shapeId="3469" r:id="rId237" name="Check Box 397">
              <controlPr defaultSize="0" autoFill="0" autoLine="0" autoPict="0">
                <anchor moveWithCells="1">
                  <from>
                    <xdr:col>11</xdr:col>
                    <xdr:colOff>0</xdr:colOff>
                    <xdr:row>171</xdr:row>
                    <xdr:rowOff>144780</xdr:rowOff>
                  </from>
                  <to>
                    <xdr:col>12</xdr:col>
                    <xdr:colOff>175260</xdr:colOff>
                    <xdr:row>172</xdr:row>
                    <xdr:rowOff>0</xdr:rowOff>
                  </to>
                </anchor>
              </controlPr>
            </control>
          </mc:Choice>
        </mc:AlternateContent>
        <mc:AlternateContent xmlns:mc="http://schemas.openxmlformats.org/markup-compatibility/2006">
          <mc:Choice Requires="x14">
            <control shapeId="3470" r:id="rId238" name="Check Box 398">
              <controlPr defaultSize="0" autoFill="0" autoLine="0" autoPict="0">
                <anchor moveWithCells="1">
                  <from>
                    <xdr:col>11</xdr:col>
                    <xdr:colOff>0</xdr:colOff>
                    <xdr:row>170</xdr:row>
                    <xdr:rowOff>30480</xdr:rowOff>
                  </from>
                  <to>
                    <xdr:col>12</xdr:col>
                    <xdr:colOff>175260</xdr:colOff>
                    <xdr:row>170</xdr:row>
                    <xdr:rowOff>289560</xdr:rowOff>
                  </to>
                </anchor>
              </controlPr>
            </control>
          </mc:Choice>
        </mc:AlternateContent>
        <mc:AlternateContent xmlns:mc="http://schemas.openxmlformats.org/markup-compatibility/2006">
          <mc:Choice Requires="x14">
            <control shapeId="3471" r:id="rId239" name="Check Box 399">
              <controlPr defaultSize="0" autoFill="0" autoLine="0" autoPict="0">
                <anchor moveWithCells="1">
                  <from>
                    <xdr:col>11</xdr:col>
                    <xdr:colOff>0</xdr:colOff>
                    <xdr:row>172</xdr:row>
                    <xdr:rowOff>266700</xdr:rowOff>
                  </from>
                  <to>
                    <xdr:col>12</xdr:col>
                    <xdr:colOff>175260</xdr:colOff>
                    <xdr:row>173</xdr:row>
                    <xdr:rowOff>175260</xdr:rowOff>
                  </to>
                </anchor>
              </controlPr>
            </control>
          </mc:Choice>
        </mc:AlternateContent>
        <mc:AlternateContent xmlns:mc="http://schemas.openxmlformats.org/markup-compatibility/2006">
          <mc:Choice Requires="x14">
            <control shapeId="3472" r:id="rId240" name="Check Box 400">
              <controlPr defaultSize="0" autoFill="0" autoLine="0" autoPict="0">
                <anchor moveWithCells="1">
                  <from>
                    <xdr:col>11</xdr:col>
                    <xdr:colOff>0</xdr:colOff>
                    <xdr:row>173</xdr:row>
                    <xdr:rowOff>144780</xdr:rowOff>
                  </from>
                  <to>
                    <xdr:col>12</xdr:col>
                    <xdr:colOff>175260</xdr:colOff>
                    <xdr:row>174</xdr:row>
                    <xdr:rowOff>0</xdr:rowOff>
                  </to>
                </anchor>
              </controlPr>
            </control>
          </mc:Choice>
        </mc:AlternateContent>
        <mc:AlternateContent xmlns:mc="http://schemas.openxmlformats.org/markup-compatibility/2006">
          <mc:Choice Requires="x14">
            <control shapeId="3473" r:id="rId241" name="Check Box 401">
              <controlPr defaultSize="0" autoFill="0" autoLine="0" autoPict="0">
                <anchor moveWithCells="1">
                  <from>
                    <xdr:col>11</xdr:col>
                    <xdr:colOff>0</xdr:colOff>
                    <xdr:row>172</xdr:row>
                    <xdr:rowOff>30480</xdr:rowOff>
                  </from>
                  <to>
                    <xdr:col>12</xdr:col>
                    <xdr:colOff>175260</xdr:colOff>
                    <xdr:row>172</xdr:row>
                    <xdr:rowOff>289560</xdr:rowOff>
                  </to>
                </anchor>
              </controlPr>
            </control>
          </mc:Choice>
        </mc:AlternateContent>
        <mc:AlternateContent xmlns:mc="http://schemas.openxmlformats.org/markup-compatibility/2006">
          <mc:Choice Requires="x14">
            <control shapeId="3474" r:id="rId242" name="Check Box 402">
              <controlPr defaultSize="0" autoFill="0" autoLine="0" autoPict="0">
                <anchor moveWithCells="1">
                  <from>
                    <xdr:col>11</xdr:col>
                    <xdr:colOff>0</xdr:colOff>
                    <xdr:row>174</xdr:row>
                    <xdr:rowOff>266700</xdr:rowOff>
                  </from>
                  <to>
                    <xdr:col>12</xdr:col>
                    <xdr:colOff>175260</xdr:colOff>
                    <xdr:row>175</xdr:row>
                    <xdr:rowOff>175260</xdr:rowOff>
                  </to>
                </anchor>
              </controlPr>
            </control>
          </mc:Choice>
        </mc:AlternateContent>
        <mc:AlternateContent xmlns:mc="http://schemas.openxmlformats.org/markup-compatibility/2006">
          <mc:Choice Requires="x14">
            <control shapeId="3475" r:id="rId243" name="Check Box 403">
              <controlPr defaultSize="0" autoFill="0" autoLine="0" autoPict="0">
                <anchor moveWithCells="1">
                  <from>
                    <xdr:col>11</xdr:col>
                    <xdr:colOff>0</xdr:colOff>
                    <xdr:row>175</xdr:row>
                    <xdr:rowOff>144780</xdr:rowOff>
                  </from>
                  <to>
                    <xdr:col>12</xdr:col>
                    <xdr:colOff>175260</xdr:colOff>
                    <xdr:row>176</xdr:row>
                    <xdr:rowOff>0</xdr:rowOff>
                  </to>
                </anchor>
              </controlPr>
            </control>
          </mc:Choice>
        </mc:AlternateContent>
        <mc:AlternateContent xmlns:mc="http://schemas.openxmlformats.org/markup-compatibility/2006">
          <mc:Choice Requires="x14">
            <control shapeId="3476" r:id="rId244" name="Check Box 404">
              <controlPr defaultSize="0" autoFill="0" autoLine="0" autoPict="0">
                <anchor moveWithCells="1">
                  <from>
                    <xdr:col>11</xdr:col>
                    <xdr:colOff>0</xdr:colOff>
                    <xdr:row>174</xdr:row>
                    <xdr:rowOff>30480</xdr:rowOff>
                  </from>
                  <to>
                    <xdr:col>12</xdr:col>
                    <xdr:colOff>175260</xdr:colOff>
                    <xdr:row>174</xdr:row>
                    <xdr:rowOff>289560</xdr:rowOff>
                  </to>
                </anchor>
              </controlPr>
            </control>
          </mc:Choice>
        </mc:AlternateContent>
        <mc:AlternateContent xmlns:mc="http://schemas.openxmlformats.org/markup-compatibility/2006">
          <mc:Choice Requires="x14">
            <control shapeId="3506" r:id="rId245" name="Check Box 434">
              <controlPr defaultSize="0" autoFill="0" autoLine="0" autoPict="0">
                <anchor moveWithCells="1">
                  <from>
                    <xdr:col>11</xdr:col>
                    <xdr:colOff>0</xdr:colOff>
                    <xdr:row>136</xdr:row>
                    <xdr:rowOff>266700</xdr:rowOff>
                  </from>
                  <to>
                    <xdr:col>12</xdr:col>
                    <xdr:colOff>175260</xdr:colOff>
                    <xdr:row>137</xdr:row>
                    <xdr:rowOff>175260</xdr:rowOff>
                  </to>
                </anchor>
              </controlPr>
            </control>
          </mc:Choice>
        </mc:AlternateContent>
        <mc:AlternateContent xmlns:mc="http://schemas.openxmlformats.org/markup-compatibility/2006">
          <mc:Choice Requires="x14">
            <control shapeId="3507" r:id="rId246" name="Check Box 435">
              <controlPr defaultSize="0" autoFill="0" autoLine="0" autoPict="0">
                <anchor moveWithCells="1">
                  <from>
                    <xdr:col>11</xdr:col>
                    <xdr:colOff>0</xdr:colOff>
                    <xdr:row>137</xdr:row>
                    <xdr:rowOff>144780</xdr:rowOff>
                  </from>
                  <to>
                    <xdr:col>12</xdr:col>
                    <xdr:colOff>175260</xdr:colOff>
                    <xdr:row>138</xdr:row>
                    <xdr:rowOff>0</xdr:rowOff>
                  </to>
                </anchor>
              </controlPr>
            </control>
          </mc:Choice>
        </mc:AlternateContent>
        <mc:AlternateContent xmlns:mc="http://schemas.openxmlformats.org/markup-compatibility/2006">
          <mc:Choice Requires="x14">
            <control shapeId="3508" r:id="rId247" name="Check Box 436">
              <controlPr defaultSize="0" autoFill="0" autoLine="0" autoPict="0">
                <anchor moveWithCells="1">
                  <from>
                    <xdr:col>11</xdr:col>
                    <xdr:colOff>0</xdr:colOff>
                    <xdr:row>136</xdr:row>
                    <xdr:rowOff>30480</xdr:rowOff>
                  </from>
                  <to>
                    <xdr:col>12</xdr:col>
                    <xdr:colOff>175260</xdr:colOff>
                    <xdr:row>136</xdr:row>
                    <xdr:rowOff>289560</xdr:rowOff>
                  </to>
                </anchor>
              </controlPr>
            </control>
          </mc:Choice>
        </mc:AlternateContent>
        <mc:AlternateContent xmlns:mc="http://schemas.openxmlformats.org/markup-compatibility/2006">
          <mc:Choice Requires="x14">
            <control shapeId="3531" r:id="rId248" name="Check Box 459">
              <controlPr defaultSize="0" autoFill="0" autoLine="0" autoPict="0">
                <anchor moveWithCells="1">
                  <from>
                    <xdr:col>11</xdr:col>
                    <xdr:colOff>0</xdr:colOff>
                    <xdr:row>138</xdr:row>
                    <xdr:rowOff>266700</xdr:rowOff>
                  </from>
                  <to>
                    <xdr:col>12</xdr:col>
                    <xdr:colOff>175260</xdr:colOff>
                    <xdr:row>139</xdr:row>
                    <xdr:rowOff>175260</xdr:rowOff>
                  </to>
                </anchor>
              </controlPr>
            </control>
          </mc:Choice>
        </mc:AlternateContent>
        <mc:AlternateContent xmlns:mc="http://schemas.openxmlformats.org/markup-compatibility/2006">
          <mc:Choice Requires="x14">
            <control shapeId="3532" r:id="rId249" name="Check Box 460">
              <controlPr defaultSize="0" autoFill="0" autoLine="0" autoPict="0">
                <anchor moveWithCells="1">
                  <from>
                    <xdr:col>11</xdr:col>
                    <xdr:colOff>0</xdr:colOff>
                    <xdr:row>139</xdr:row>
                    <xdr:rowOff>144780</xdr:rowOff>
                  </from>
                  <to>
                    <xdr:col>12</xdr:col>
                    <xdr:colOff>175260</xdr:colOff>
                    <xdr:row>140</xdr:row>
                    <xdr:rowOff>0</xdr:rowOff>
                  </to>
                </anchor>
              </controlPr>
            </control>
          </mc:Choice>
        </mc:AlternateContent>
        <mc:AlternateContent xmlns:mc="http://schemas.openxmlformats.org/markup-compatibility/2006">
          <mc:Choice Requires="x14">
            <control shapeId="3533" r:id="rId250" name="Check Box 461">
              <controlPr defaultSize="0" autoFill="0" autoLine="0" autoPict="0">
                <anchor moveWithCells="1">
                  <from>
                    <xdr:col>11</xdr:col>
                    <xdr:colOff>0</xdr:colOff>
                    <xdr:row>138</xdr:row>
                    <xdr:rowOff>30480</xdr:rowOff>
                  </from>
                  <to>
                    <xdr:col>12</xdr:col>
                    <xdr:colOff>175260</xdr:colOff>
                    <xdr:row>138</xdr:row>
                    <xdr:rowOff>289560</xdr:rowOff>
                  </to>
                </anchor>
              </controlPr>
            </control>
          </mc:Choice>
        </mc:AlternateContent>
      </controls>
    </mc:Choice>
  </mc:AlternateContent>
  <tableParts count="1">
    <tablePart r:id="rId251"/>
  </tableParts>
  <extLst>
    <ext xmlns:x14="http://schemas.microsoft.com/office/spreadsheetml/2009/9/main" uri="{78C0D931-6437-407d-A8EE-F0AAD7539E65}">
      <x14:conditionalFormattings>
        <x14:conditionalFormatting xmlns:xm="http://schemas.microsoft.com/office/excel/2006/main">
          <x14:cfRule type="dataBar" id="{92CA1A61-2C91-4C63-B047-EA6F3E69C404}">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20" id="{86421FFC-5EC7-44F0-AD3D-91DBC0E7FF7D}">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disablePrompts="1" count="4">
        <x14:dataValidation type="list" allowBlank="1" showInputMessage="1" showErrorMessage="1" xr:uid="{4B8AC0BF-4DF2-4C21-AAF3-D0F605190B70}">
          <x14:formula1>
            <xm:f>Parâmetros!$A$24:$A$27</xm:f>
          </x14:formula1>
          <xm:sqref>A155:A168 A55:A136</xm:sqref>
        </x14:dataValidation>
        <x14:dataValidation type="list" allowBlank="1" showInputMessage="1" showErrorMessage="1" xr:uid="{A6BC52A5-1F9A-410E-8042-E5ABF275AEE9}">
          <x14:formula1>
            <xm:f>Parâmetros!$A$28:$A$29</xm:f>
          </x14:formula1>
          <xm:sqref>J137:K140 M55:M136 J143:K146 M147:M168 J169:K176 I177:K179</xm:sqref>
        </x14:dataValidation>
        <x14:dataValidation type="list" allowBlank="1" showInputMessage="1" showErrorMessage="1" xr:uid="{B3657941-ED2F-493A-8EA8-935017D35FE2}">
          <x14:formula1>
            <xm:f>Parâmetros!$A$31:$A$33</xm:f>
          </x14:formula1>
          <xm:sqref>O55 O57 O59 O61 O63 O65 O67 O69:O138 O147:O168 O143:O144</xm:sqref>
        </x14:dataValidation>
        <x14:dataValidation type="list" allowBlank="1" showInputMessage="1" showErrorMessage="1" xr:uid="{C05E2E0C-7CE7-40A6-BE4B-FCA2976C7FAF}">
          <x14:formula1>
            <xm:f>Parâmetros!$A$36:$A$38</xm:f>
          </x14:formula1>
          <xm:sqref>Y49:Y51 AA49:AA51 Q51 Q29 S49 S29 S51 W51 AE49 Y29 AE51 I51 I49 AC49:AC51 I29 W29 AA29 K51 K49 AC29 W49 Q49 M51 M49 K29 AE29 U29 O51 O49 M29 U51 U49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C6E6-FA33-4918-9D46-4C713F7C7FAD}">
  <dimension ref="A1:AP402"/>
  <sheetViews>
    <sheetView topLeftCell="E113" zoomScale="85" zoomScaleNormal="85" workbookViewId="0">
      <selection activeCell="N119" sqref="N119:N120"/>
    </sheetView>
  </sheetViews>
  <sheetFormatPr defaultColWidth="8.5546875" defaultRowHeight="14.4" x14ac:dyDescent="0.3"/>
  <cols>
    <col min="1" max="1" width="33.44140625" style="62" customWidth="1"/>
    <col min="2" max="2" width="35.44140625" style="263" customWidth="1"/>
    <col min="3" max="3" width="25.44140625" style="62" customWidth="1"/>
    <col min="4" max="4" width="32.5546875" style="271" customWidth="1"/>
    <col min="5" max="5" width="27.21875" style="62" customWidth="1"/>
    <col min="6" max="6" width="17.77734375" style="62" customWidth="1"/>
    <col min="7" max="7" width="17.5546875" style="62" customWidth="1"/>
    <col min="8" max="8" width="27.5546875" style="62" customWidth="1"/>
    <col min="9" max="9" width="34.21875" style="62" bestFit="1" customWidth="1"/>
    <col min="10" max="10" width="13.21875" style="62" bestFit="1" customWidth="1"/>
    <col min="11" max="11" width="13.44140625" style="62" customWidth="1"/>
    <col min="12" max="12" width="30.21875" style="62" customWidth="1"/>
    <col min="13" max="13" width="43.21875" style="62" bestFit="1" customWidth="1"/>
    <col min="14" max="14" width="26.109375" style="62" bestFit="1" customWidth="1"/>
    <col min="15" max="15" width="23.5546875" style="62" customWidth="1"/>
    <col min="16" max="16" width="29.44140625" style="62" customWidth="1"/>
    <col min="17" max="17" width="23.77734375" style="62" customWidth="1"/>
    <col min="18" max="18" width="22.21875" style="62" bestFit="1" customWidth="1"/>
    <col min="19" max="19" width="20.5546875" style="62" bestFit="1" customWidth="1"/>
    <col min="20" max="20" width="22.21875" style="62" bestFit="1" customWidth="1"/>
    <col min="21" max="21" width="73.21875" style="62" bestFit="1" customWidth="1"/>
    <col min="22" max="22" width="19.5546875" style="62" bestFit="1" customWidth="1"/>
    <col min="23" max="23" width="20.44140625" style="62" bestFit="1" customWidth="1"/>
    <col min="24" max="24" width="19.5546875" style="62" bestFit="1" customWidth="1"/>
    <col min="25" max="25" width="18.5546875" style="62" bestFit="1" customWidth="1"/>
    <col min="26" max="27" width="20.44140625" style="62" bestFit="1" customWidth="1"/>
    <col min="28" max="29" width="19.5546875" style="62" bestFit="1" customWidth="1"/>
    <col min="30" max="30" width="36.5546875" style="62" bestFit="1" customWidth="1"/>
    <col min="31" max="31" width="20.77734375" style="62" customWidth="1"/>
    <col min="32" max="32" width="18.44140625" style="62" bestFit="1" customWidth="1"/>
    <col min="33" max="33" width="17.44140625" style="62" bestFit="1" customWidth="1"/>
    <col min="34" max="34" width="22.44140625" style="62" bestFit="1" customWidth="1"/>
    <col min="35" max="35" width="15.44140625" style="62" bestFit="1" customWidth="1"/>
    <col min="36" max="36" width="255.5546875" style="62" bestFit="1" customWidth="1"/>
    <col min="37" max="37" width="20.44140625" style="62" bestFit="1" customWidth="1"/>
    <col min="38" max="38" width="17.44140625" style="62" bestFit="1" customWidth="1"/>
    <col min="39" max="39" width="19" style="62" bestFit="1" customWidth="1"/>
    <col min="40" max="40" width="8.5546875" style="62"/>
    <col min="41" max="41" width="18.5546875" style="62" bestFit="1" customWidth="1"/>
    <col min="42" max="42" width="20.5546875" style="62" bestFit="1" customWidth="1"/>
    <col min="43" max="16384" width="8.5546875" style="62"/>
  </cols>
  <sheetData>
    <row r="1" spans="1:41" ht="50.1" customHeight="1" x14ac:dyDescent="0.3">
      <c r="A1" s="1181" t="s">
        <v>890</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c r="AF1" s="1181"/>
      <c r="AG1" s="47"/>
      <c r="AH1" s="47"/>
      <c r="AI1" s="47"/>
      <c r="AJ1" s="47"/>
      <c r="AK1" s="47"/>
      <c r="AL1" s="47"/>
    </row>
    <row r="2" spans="1:41"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c r="AF2" s="1183"/>
      <c r="AG2" s="47"/>
      <c r="AH2" s="47"/>
      <c r="AI2" s="47"/>
      <c r="AJ2" s="47"/>
      <c r="AK2" s="47"/>
      <c r="AL2" s="47"/>
    </row>
    <row r="3" spans="1:41" ht="8.1" customHeight="1" x14ac:dyDescent="0.3">
      <c r="A3" s="47"/>
      <c r="B3" s="239"/>
      <c r="C3" s="1027"/>
      <c r="D3" s="266"/>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row>
    <row r="4" spans="1:41" ht="22.35" customHeight="1" x14ac:dyDescent="0.3">
      <c r="A4" s="385" t="s">
        <v>89</v>
      </c>
      <c r="B4" s="508" t="s">
        <v>110</v>
      </c>
      <c r="C4" s="1194" t="s">
        <v>49</v>
      </c>
      <c r="D4" s="1195"/>
      <c r="E4" s="1187" t="s">
        <v>50</v>
      </c>
      <c r="F4" s="1187"/>
      <c r="G4" s="1188" t="s">
        <v>51</v>
      </c>
      <c r="H4" s="1188"/>
      <c r="I4" s="1188"/>
      <c r="J4" s="1189" t="s">
        <v>53</v>
      </c>
      <c r="K4" s="1191"/>
      <c r="L4" s="1189" t="s">
        <v>54</v>
      </c>
      <c r="M4" s="1191"/>
      <c r="N4" s="47"/>
      <c r="O4" s="1192" t="s">
        <v>112</v>
      </c>
      <c r="P4" s="1193"/>
      <c r="Q4" s="1193"/>
      <c r="R4" s="1193"/>
      <c r="S4" s="1193"/>
      <c r="T4" s="1193"/>
      <c r="U4" s="1193"/>
      <c r="V4" s="1193"/>
      <c r="W4" s="1193"/>
      <c r="X4" s="1193"/>
      <c r="Y4" s="1193"/>
      <c r="Z4" s="1193"/>
      <c r="AA4" s="1193"/>
      <c r="AB4" s="1193"/>
      <c r="AC4" s="1193"/>
      <c r="AD4" s="1193"/>
      <c r="AE4" s="1193"/>
      <c r="AF4" s="1193"/>
      <c r="AG4" s="47"/>
      <c r="AH4" s="47"/>
      <c r="AI4" s="47"/>
      <c r="AJ4" s="47"/>
      <c r="AK4" s="47"/>
      <c r="AL4" s="47"/>
    </row>
    <row r="5" spans="1:41" ht="45" customHeight="1" x14ac:dyDescent="0.3">
      <c r="A5" s="509">
        <f>Parâmetros!E8</f>
        <v>5356000</v>
      </c>
      <c r="B5" s="510">
        <f>SUM(I55:I128)</f>
        <v>3919443.0038800002</v>
      </c>
      <c r="C5" s="1200">
        <f>SUMIF(Q55:Q128,"Previsto",AI55:AI128)</f>
        <v>2392012.1859299997</v>
      </c>
      <c r="D5" s="1201"/>
      <c r="E5" s="1198">
        <f>SUM(N55:N128)</f>
        <v>2819031.7910000002</v>
      </c>
      <c r="F5" s="1198"/>
      <c r="G5" s="1078">
        <f>SUMIF(Q55:Q128,"Real",AI55:AI128)</f>
        <v>393297.1713301104</v>
      </c>
      <c r="H5" s="1078"/>
      <c r="I5" s="1078"/>
      <c r="J5" s="1050">
        <f>G5/A5</f>
        <v>7.3431137290909332E-2</v>
      </c>
      <c r="K5" s="1052"/>
      <c r="L5" s="1060">
        <f ca="1">SUM(I9:I11)</f>
        <v>34</v>
      </c>
      <c r="M5" s="1061"/>
      <c r="N5" s="242"/>
      <c r="O5" s="382" t="s">
        <v>115</v>
      </c>
      <c r="P5" s="382" t="s">
        <v>72</v>
      </c>
      <c r="Q5" s="382" t="s">
        <v>891</v>
      </c>
      <c r="R5" s="386" t="s">
        <v>117</v>
      </c>
      <c r="S5" s="386" t="s">
        <v>118</v>
      </c>
      <c r="T5" s="542" t="s">
        <v>119</v>
      </c>
      <c r="U5" s="1468" t="s">
        <v>120</v>
      </c>
      <c r="V5" s="1469"/>
      <c r="W5" s="1469"/>
      <c r="X5" s="1469"/>
      <c r="Y5" s="1470"/>
      <c r="Z5" s="382" t="s">
        <v>121</v>
      </c>
      <c r="AA5" s="382" t="s">
        <v>122</v>
      </c>
      <c r="AB5" s="382" t="s">
        <v>123</v>
      </c>
      <c r="AC5" s="382" t="s">
        <v>124</v>
      </c>
      <c r="AD5" s="382" t="s">
        <v>125</v>
      </c>
      <c r="AE5" s="386" t="s">
        <v>126</v>
      </c>
      <c r="AG5" s="47"/>
      <c r="AH5" s="47"/>
      <c r="AI5" s="47"/>
      <c r="AJ5" s="47"/>
      <c r="AK5" s="47"/>
      <c r="AL5" s="47"/>
      <c r="AM5" s="47"/>
      <c r="AN5" s="47"/>
    </row>
    <row r="6" spans="1:41" ht="20.100000000000001" customHeight="1" x14ac:dyDescent="0.3">
      <c r="A6" s="47"/>
      <c r="B6" s="239"/>
      <c r="C6" s="47"/>
      <c r="D6" s="266"/>
      <c r="E6" s="47"/>
      <c r="G6" s="47"/>
      <c r="H6" s="47"/>
      <c r="I6" s="47"/>
      <c r="J6" s="47"/>
      <c r="K6" s="47"/>
      <c r="L6" s="47"/>
      <c r="M6" s="47"/>
      <c r="N6" s="47"/>
      <c r="O6" s="372" cm="1">
        <f t="array" ref="O6:O25">_xlfn.SEQUENCE(20)</f>
        <v>1</v>
      </c>
      <c r="P6" s="398" t="str">
        <f t="shared" ref="P6:P24" si="0">_xlfn.XLOOKUP(U6,$C$55:$C$128,$A$55:$A$128)</f>
        <v>BSW</v>
      </c>
      <c r="Q6" s="373">
        <f>MAX(I55:I128)</f>
        <v>1063359</v>
      </c>
      <c r="R6" s="465">
        <f>_xlfn.XLOOKUP(Q6,$I$55:$I$128,$N$55:$N$128)</f>
        <v>1145830.24</v>
      </c>
      <c r="S6" s="534" t="e">
        <f t="shared" ref="S6:S24" si="1">_xlfn.XLOOKUP(U6,$B$55:$B$144,$I$55:$I$144)</f>
        <v>#N/A</v>
      </c>
      <c r="T6" s="543" t="e" cm="1">
        <f t="array" aca="1" ref="T6" ca="1">SUMPRODUCT(($B$55:$B$143=U6)*(S$54:$AG$54&lt;=TODAY())*(ISNUMBER(R$56:$AF$144)),R$56:$AF$144)</f>
        <v>#REF!</v>
      </c>
      <c r="U6" s="1069" t="str">
        <f t="shared" ref="U6:U25" si="2">IFERROR(HYPERLINK(INDEX($D$55:$D$128,MATCH(Q6,$I$55:$I$128,0)),INDEX($C$55:$C$128,MATCH(Q6,$I$55:$I$128,0))
   ),
   ""
)</f>
        <v>06 - Redução consumo MTP aplicando tolerância mínima</v>
      </c>
      <c r="V6" s="1070"/>
      <c r="W6" s="1070"/>
      <c r="X6" s="1070"/>
      <c r="Y6" s="1071"/>
      <c r="Z6" s="402">
        <f t="shared" ref="Z6:Z25" si="3">Q6/$C$5</f>
        <v>0.44454581220562323</v>
      </c>
      <c r="AA6" s="375">
        <f>Pareto!E70</f>
        <v>0.27130360077882038</v>
      </c>
      <c r="AB6" s="376" cm="1">
        <f t="array" ref="AB6">IFERROR(INDEX($R$55:$R$128,MATCH(1,($AN$55:$AN$128=U6)*($Q$55:$Q$128="Previsto"), 0) ), "")</f>
        <v>0.32939189189189189</v>
      </c>
      <c r="AC6" s="376">
        <v>0.28999999999999998</v>
      </c>
      <c r="AD6" s="400" t="str">
        <f t="shared" ref="AD6:AD13" si="4">IF(OR(AB6="",AC6=""),"",IF(AC6=100%,"CONCLUÍDO",IF(AC6=0,IF(AB6=0,"PROJETO NÃO INICIADO","FALTA DE ACOMPANHAMENTO"),IF(AC6&gt;AB6,"ADIANTADO",IF(AC6=AB6,"CONFORME PLANEJADO","ATRASO")))))</f>
        <v>ATRASO</v>
      </c>
      <c r="AE6" s="376" cm="1">
        <f t="array" ref="AE6:AE24">_xlfn.XLOOKUP($U$6:$U$24,$C$55:$C$128,$P$55:$P$128)</f>
        <v>0.1</v>
      </c>
      <c r="AG6" s="47"/>
      <c r="AH6" s="47"/>
      <c r="AI6" s="47"/>
      <c r="AJ6" s="47"/>
      <c r="AK6" s="47"/>
      <c r="AL6" s="47"/>
      <c r="AM6" s="47"/>
      <c r="AN6" s="47"/>
    </row>
    <row r="7" spans="1:41" ht="20.100000000000001" customHeight="1" x14ac:dyDescent="0.3">
      <c r="A7" s="1392" t="s">
        <v>129</v>
      </c>
      <c r="B7" s="1392"/>
      <c r="C7" s="1392"/>
      <c r="D7" s="1392"/>
      <c r="E7" s="1392"/>
      <c r="F7" s="1392"/>
      <c r="G7" s="47"/>
      <c r="H7" s="1059" t="s">
        <v>59</v>
      </c>
      <c r="I7" s="1059"/>
      <c r="J7" s="1059"/>
      <c r="K7" s="878" t="s">
        <v>60</v>
      </c>
      <c r="L7" s="879"/>
      <c r="M7" s="879"/>
      <c r="N7" s="47"/>
      <c r="O7" s="377">
        <v>2</v>
      </c>
      <c r="P7" s="399" t="str">
        <f t="shared" si="0"/>
        <v>BSW</v>
      </c>
      <c r="Q7" s="378">
        <f t="shared" ref="Q7:Q25" si="5">IFERROR(LARGE($I$55:$I$128,O7)," ")</f>
        <v>513721</v>
      </c>
      <c r="R7" s="466">
        <f t="shared" ref="R7:R25" si="6">_xlfn.XLOOKUP(Q7,$I$55:$I$128,$N$55:$N$128)</f>
        <v>0</v>
      </c>
      <c r="S7" s="535" t="e">
        <f t="shared" si="1"/>
        <v>#N/A</v>
      </c>
      <c r="T7" s="544" t="e" cm="1">
        <f t="array" aca="1" ref="T7" ca="1">SUMPRODUCT(($B$55:$B$143=U7)*(S$54:$AG$54&lt;=TODAY())*(ISNUMBER(R$56:$AF$144)),R$56:$AF$144)</f>
        <v>#REF!</v>
      </c>
      <c r="U7" s="516" t="str">
        <f t="shared" si="2"/>
        <v>03 - Redução de consumo de MP dos blanks com a técnica de corte Wave</v>
      </c>
      <c r="V7" s="517"/>
      <c r="W7" s="517"/>
      <c r="X7" s="517"/>
      <c r="Y7" s="518"/>
      <c r="Z7" s="403">
        <f t="shared" si="3"/>
        <v>0.21476521023669803</v>
      </c>
      <c r="AA7" s="380">
        <f>Pareto!E71</f>
        <v>0.40237350012203033</v>
      </c>
      <c r="AB7" s="381" t="str" cm="1">
        <f t="array" ref="AB7">IFERROR(INDEX($R$55:$R$128,MATCH(1,($AN$55:$AN$128=U7)*($Q$55:$Q$128="Previsto"), 0) ), "")</f>
        <v/>
      </c>
      <c r="AC7" s="381" t="str" cm="1">
        <f t="array" ref="AC7">IFERROR( INDEX($R$55:$R$128,MATCH(1,($AN$55:$AN$128=U7)*($Q$55:$Q$128="Real"),0)),"")</f>
        <v/>
      </c>
      <c r="AD7" s="400" t="str">
        <f t="shared" si="4"/>
        <v/>
      </c>
      <c r="AE7" s="381">
        <v>0.9</v>
      </c>
      <c r="AH7" s="47"/>
      <c r="AI7" s="47"/>
      <c r="AJ7" s="47"/>
      <c r="AK7" s="47"/>
      <c r="AL7" s="47"/>
      <c r="AM7" s="47"/>
      <c r="AN7" s="47"/>
      <c r="AO7" s="47"/>
    </row>
    <row r="8" spans="1:41" ht="20.100000000000001" customHeight="1" x14ac:dyDescent="0.3">
      <c r="A8" s="385" t="s">
        <v>62</v>
      </c>
      <c r="B8" s="862" t="s">
        <v>63</v>
      </c>
      <c r="C8" s="385" t="s">
        <v>64</v>
      </c>
      <c r="D8" s="855" t="s">
        <v>65</v>
      </c>
      <c r="E8" s="385" t="s">
        <v>66</v>
      </c>
      <c r="F8" s="385" t="s">
        <v>131</v>
      </c>
      <c r="G8" s="47"/>
      <c r="H8" s="15" t="s">
        <v>67</v>
      </c>
      <c r="I8" s="15" t="s">
        <v>63</v>
      </c>
      <c r="J8" s="15" t="s">
        <v>68</v>
      </c>
      <c r="K8" s="1404" t="s">
        <v>69</v>
      </c>
      <c r="L8" s="1408" t="s">
        <v>70</v>
      </c>
      <c r="M8" s="1408" t="s">
        <v>132</v>
      </c>
      <c r="N8" s="47"/>
      <c r="O8" s="372">
        <v>3</v>
      </c>
      <c r="P8" s="398" t="str">
        <f t="shared" si="0"/>
        <v>BSW</v>
      </c>
      <c r="Q8" s="373">
        <f t="shared" si="5"/>
        <v>435138</v>
      </c>
      <c r="R8" s="465">
        <f t="shared" si="6"/>
        <v>442663.07</v>
      </c>
      <c r="S8" s="534" t="e">
        <f t="shared" si="1"/>
        <v>#N/A</v>
      </c>
      <c r="T8" s="543" t="e" cm="1">
        <f t="array" aca="1" ref="T8" ca="1">SUMPRODUCT(($B$55:$B$143=U8)*(S$54:$AG$54&lt;=TODAY())*(ISNUMBER(R$56:$AF$144)),R$56:$AF$144)</f>
        <v>#REF!</v>
      </c>
      <c r="U8" s="519" t="str">
        <f t="shared" si="2"/>
        <v>27 - Redução consumo MTP aplicando tolerância mínima curva B</v>
      </c>
      <c r="V8" s="520"/>
      <c r="W8" s="520"/>
      <c r="X8" s="520"/>
      <c r="Y8" s="521"/>
      <c r="Z8" s="402">
        <f t="shared" si="3"/>
        <v>0.18191295285179368</v>
      </c>
      <c r="AA8" s="375">
        <f>Pareto!E72</f>
        <v>0.51339386693671318</v>
      </c>
      <c r="AB8" s="376" cm="1">
        <f t="array" ref="AB8">IFERROR(INDEX($R$55:$R$128,MATCH(1,($AN$55:$AN$128=U8)*($Q$55:$Q$128="Previsto"), 0) ), "")</f>
        <v>0.2</v>
      </c>
      <c r="AC8" s="376" cm="1">
        <f t="array" ref="AC8">IFERROR( INDEX($R$55:$R$128,MATCH(1,($AN$55:$AN$128=U8)*($Q$55:$Q$128="Real"),0)),"")</f>
        <v>0</v>
      </c>
      <c r="AD8" s="400" t="str">
        <f t="shared" si="4"/>
        <v>FALTA DE ACOMPANHAMENTO</v>
      </c>
      <c r="AE8" s="376">
        <v>0</v>
      </c>
      <c r="AH8" s="47"/>
      <c r="AI8" s="47"/>
      <c r="AJ8" s="47"/>
      <c r="AK8" s="47"/>
      <c r="AL8" s="47"/>
      <c r="AM8" s="47"/>
      <c r="AN8" s="47"/>
      <c r="AO8" s="47"/>
    </row>
    <row r="9" spans="1:41" ht="20.100000000000001" customHeight="1" x14ac:dyDescent="0.3">
      <c r="A9" s="16" t="s">
        <v>76</v>
      </c>
      <c r="B9" s="257">
        <f>COUNTIF($A$55:$A$128,A9)</f>
        <v>4</v>
      </c>
      <c r="C9" s="18">
        <f>SUMIF($A$55:$A$128,A9,$I$55:$I$128)</f>
        <v>731000.00387999997</v>
      </c>
      <c r="D9" s="18">
        <f>SUMIF($A$55:$A$128,A9,$N$55:$N$128)</f>
        <v>390000</v>
      </c>
      <c r="E9" s="861">
        <f>IF($D$13=0,"",D9/$D$13)</f>
        <v>0.13834537135945338</v>
      </c>
      <c r="F9" s="19">
        <f>E9</f>
        <v>0.13834537135945338</v>
      </c>
      <c r="G9" s="47"/>
      <c r="H9" s="21" t="s">
        <v>77</v>
      </c>
      <c r="I9" s="24">
        <f ca="1">COUNTIF($O$55:$O$128,H9)</f>
        <v>7</v>
      </c>
      <c r="J9" s="193">
        <f ca="1">SUMIF($O$55:$O$128,H9,$I$55:$I$128)</f>
        <v>414120.00300000003</v>
      </c>
      <c r="K9" s="1405"/>
      <c r="L9" s="1409"/>
      <c r="M9" s="1409"/>
      <c r="N9" s="47"/>
      <c r="O9" s="377">
        <v>4</v>
      </c>
      <c r="P9" s="399" t="str">
        <f t="shared" si="0"/>
        <v>Kaizen</v>
      </c>
      <c r="Q9" s="378">
        <f t="shared" si="5"/>
        <v>390000.00300000003</v>
      </c>
      <c r="R9" s="466">
        <f t="shared" si="6"/>
        <v>390000</v>
      </c>
      <c r="S9" s="535" t="e">
        <f t="shared" si="1"/>
        <v>#N/A</v>
      </c>
      <c r="T9" s="544" t="e" cm="1">
        <f t="array" aca="1" ref="T9" ca="1">SUMPRODUCT(($B$55:$B$143=U9)*(S$54:$AG$54&lt;=TODAY())*(ISNUMBER(R$56:$AF$144)),R$56:$AF$144)</f>
        <v>#REF!</v>
      </c>
      <c r="U9" s="516" t="str">
        <f t="shared" si="2"/>
        <v>36 - Venda Robos</v>
      </c>
      <c r="V9" s="517"/>
      <c r="W9" s="517"/>
      <c r="X9" s="517"/>
      <c r="Y9" s="518"/>
      <c r="Z9" s="403">
        <f t="shared" si="3"/>
        <v>0.16304264890204578</v>
      </c>
      <c r="AA9" s="380">
        <f>Pareto!E73</f>
        <v>0.61289780221882462</v>
      </c>
      <c r="AB9" s="381" cm="1">
        <f t="array" ref="AB9">IFERROR(INDEX($R$55:$R$128,MATCH(1,($AN$55:$AN$128=U9)*($Q$55:$Q$128="Previsto"), 0) ), "")</f>
        <v>1</v>
      </c>
      <c r="AC9" s="381" cm="1">
        <f t="array" ref="AC9">IFERROR( INDEX($R$55:$R$128,MATCH(1,($AN$55:$AN$128=U9)*($Q$55:$Q$128="Real"),0)),"")</f>
        <v>1</v>
      </c>
      <c r="AD9" s="401" t="str">
        <f t="shared" si="4"/>
        <v>CONCLUÍDO</v>
      </c>
      <c r="AE9" s="381">
        <v>0</v>
      </c>
      <c r="AH9" s="47"/>
      <c r="AI9" s="47"/>
      <c r="AJ9" s="47"/>
      <c r="AK9" s="47"/>
      <c r="AL9" s="47"/>
      <c r="AM9" s="47"/>
      <c r="AN9" s="47"/>
      <c r="AO9" s="47"/>
    </row>
    <row r="10" spans="1:41" ht="20.100000000000001" customHeight="1" x14ac:dyDescent="0.3">
      <c r="A10" s="16" t="s">
        <v>79</v>
      </c>
      <c r="B10" s="257">
        <f>COUNTIF($A$55:$A$128,A10)</f>
        <v>19</v>
      </c>
      <c r="C10" s="18">
        <f>SUMIF($A$55:$A$128,A10,$I$55:$I$128)</f>
        <v>466969</v>
      </c>
      <c r="D10" s="18">
        <f>SUMIF($A$55:$A$128,A10,$N$55:$N$128)</f>
        <v>549981.18099999998</v>
      </c>
      <c r="E10" s="861">
        <f>IF($D$13=0,"",D10/$D$13)</f>
        <v>0.19509577109270704</v>
      </c>
      <c r="F10" s="19">
        <f t="shared" ref="F10:F11" si="7">E10</f>
        <v>0.19509577109270704</v>
      </c>
      <c r="G10" s="47"/>
      <c r="H10" s="22" t="s">
        <v>80</v>
      </c>
      <c r="I10" s="25">
        <f ca="1">COUNTIF($O$55:$O$128,H10)</f>
        <v>23</v>
      </c>
      <c r="J10" s="194">
        <f ca="1">SUMIF($O$55:$O$128,H10,$I$55:$I$128)</f>
        <v>3403113</v>
      </c>
      <c r="K10" s="1406">
        <f>E159</f>
        <v>0.7142857142857143</v>
      </c>
      <c r="L10" s="1406">
        <f>F159</f>
        <v>0.42857142857142855</v>
      </c>
      <c r="M10" s="1385">
        <f>L154</f>
        <v>0.43333332900000004</v>
      </c>
      <c r="N10" s="47"/>
      <c r="O10" s="372">
        <v>5</v>
      </c>
      <c r="P10" s="398" t="str">
        <f t="shared" si="0"/>
        <v>BSW</v>
      </c>
      <c r="Q10" s="373">
        <f t="shared" si="5"/>
        <v>308498</v>
      </c>
      <c r="R10" s="465">
        <f t="shared" si="6"/>
        <v>209476.06</v>
      </c>
      <c r="S10" s="534" t="e">
        <f t="shared" si="1"/>
        <v>#N/A</v>
      </c>
      <c r="T10" s="543" t="e" cm="1">
        <f t="array" aca="1" ref="T10" ca="1">SUMPRODUCT(($B$55:$B$143=U10)*(S$54:$AG$54&lt;=TODAY())*(ISNUMBER(R$56:$AF$144)),R$56:$AF$144)</f>
        <v>#REF!</v>
      </c>
      <c r="U10" s="519" t="str">
        <f t="shared" si="2"/>
        <v>28 -  Redução consumo MTP aplicando tolerância mínima curva C</v>
      </c>
      <c r="V10" s="520"/>
      <c r="W10" s="520"/>
      <c r="X10" s="520"/>
      <c r="Y10" s="521"/>
      <c r="Z10" s="402">
        <f t="shared" si="3"/>
        <v>0.12897007875403355</v>
      </c>
      <c r="AA10" s="375">
        <f>Pareto!E74</f>
        <v>0.69160745552788061</v>
      </c>
      <c r="AB10" s="376" cm="1">
        <f t="array" ref="AB10">IFERROR(INDEX($R$55:$R$128,MATCH(1,($AN$55:$AN$128=U10)*($Q$55:$Q$128="Previsto"), 0) ), "")</f>
        <v>0.2</v>
      </c>
      <c r="AC10" s="376" cm="1">
        <f t="array" ref="AC10">IFERROR( INDEX($R$55:$R$128,MATCH(1,($AN$55:$AN$128=U10)*($Q$55:$Q$128="Real"),0)),"")</f>
        <v>0.21052631578947367</v>
      </c>
      <c r="AD10" s="400" t="str">
        <f t="shared" si="4"/>
        <v>ADIANTADO</v>
      </c>
      <c r="AE10" s="376">
        <v>0</v>
      </c>
      <c r="AH10" s="47"/>
      <c r="AI10" s="47"/>
      <c r="AJ10" s="47"/>
      <c r="AK10" s="47"/>
      <c r="AL10" s="47"/>
      <c r="AM10" s="47"/>
      <c r="AN10" s="47"/>
      <c r="AO10" s="47"/>
    </row>
    <row r="11" spans="1:41" ht="20.100000000000001" customHeight="1" x14ac:dyDescent="0.3">
      <c r="A11" s="16" t="s">
        <v>82</v>
      </c>
      <c r="B11" s="257">
        <f>COUNTIF($A$55:$A$128,A11)</f>
        <v>1</v>
      </c>
      <c r="C11" s="18">
        <f>SUMIF($A$55:$A$128,A11,$I$55:$I$128)</f>
        <v>0</v>
      </c>
      <c r="D11" s="18">
        <f>SUMIF($A$55:$A$128,A11,$N$55:$N$128)</f>
        <v>0</v>
      </c>
      <c r="E11" s="861">
        <f>IF($D$13=0,"",D11/$D$13)</f>
        <v>0</v>
      </c>
      <c r="F11" s="19">
        <f t="shared" si="7"/>
        <v>0</v>
      </c>
      <c r="G11" s="47"/>
      <c r="H11" s="23" t="s">
        <v>83</v>
      </c>
      <c r="I11" s="26">
        <f ca="1">COUNTIF($O$55:$O$128,H11)</f>
        <v>4</v>
      </c>
      <c r="J11" s="195">
        <f ca="1">SUMIF($O$55:$O$128,H11,$I$55:$I$128)</f>
        <v>0</v>
      </c>
      <c r="K11" s="1407"/>
      <c r="L11" s="1407"/>
      <c r="M11" s="1386"/>
      <c r="N11" s="47"/>
      <c r="O11" s="377">
        <v>6</v>
      </c>
      <c r="P11" s="399" t="str">
        <f t="shared" si="0"/>
        <v>Redução de custo</v>
      </c>
      <c r="Q11" s="378">
        <f t="shared" si="5"/>
        <v>306000</v>
      </c>
      <c r="R11" s="466">
        <f t="shared" si="6"/>
        <v>306000</v>
      </c>
      <c r="S11" s="535" t="e">
        <f t="shared" si="1"/>
        <v>#N/A</v>
      </c>
      <c r="T11" s="544" t="e" cm="1">
        <f t="array" aca="1" ref="T11" ca="1">SUMPRODUCT(($B$55:$B$143=U11)*(S$54:$AG$54&lt;=TODAY())*(ISNUMBER(R$56:$AF$144)),R$56:$AF$144)</f>
        <v>#REF!</v>
      </c>
      <c r="U11" s="516" t="str">
        <f t="shared" si="2"/>
        <v>30 - Redução de Refugo</v>
      </c>
      <c r="V11" s="517"/>
      <c r="W11" s="517"/>
      <c r="X11" s="517"/>
      <c r="Y11" s="518"/>
      <c r="Z11" s="403">
        <f t="shared" si="3"/>
        <v>0.12792576969294539</v>
      </c>
      <c r="AA11" s="380">
        <f>Pareto!E75</f>
        <v>0.76967977337944249</v>
      </c>
      <c r="AB11" s="381" cm="1">
        <f t="array" ref="AB11">IFERROR(INDEX($R$55:$R$128,MATCH(1,($AN$55:$AN$128=U11)*($Q$55:$Q$128="Previsto"), 0) ), "")</f>
        <v>0.8</v>
      </c>
      <c r="AC11" s="381" cm="1">
        <f t="array" ref="AC11">IFERROR( INDEX($R$55:$R$128,MATCH(1,($AN$55:$AN$128=U11)*($Q$55:$Q$128="Real"),0)),"")</f>
        <v>0.8</v>
      </c>
      <c r="AD11" s="401" t="str">
        <f t="shared" si="4"/>
        <v>CONFORME PLANEJADO</v>
      </c>
      <c r="AE11" s="381">
        <v>0</v>
      </c>
      <c r="AH11" s="47"/>
      <c r="AI11" s="47"/>
      <c r="AJ11" s="47"/>
      <c r="AK11" s="47"/>
      <c r="AL11" s="47"/>
      <c r="AM11" s="47"/>
      <c r="AN11" s="47"/>
      <c r="AO11" s="47"/>
    </row>
    <row r="12" spans="1:41" ht="20.100000000000001" customHeight="1" x14ac:dyDescent="0.3">
      <c r="A12" s="16" t="s">
        <v>85</v>
      </c>
      <c r="B12" s="257">
        <f>COUNTIF($A$55:$A$128,A12)</f>
        <v>13</v>
      </c>
      <c r="C12" s="18">
        <f>SUMIF($A$55:$A$128,A12,$I$55:$I$128)</f>
        <v>2721474</v>
      </c>
      <c r="D12" s="18">
        <f>SUMIF($A$55:$A$128,A12,$N$55:$N$128)</f>
        <v>1879050.61</v>
      </c>
      <c r="E12" s="861">
        <f>IF($D$13=0,"",D12/$D$13)</f>
        <v>0.6665588575478395</v>
      </c>
      <c r="F12" s="19">
        <f t="shared" ref="F12" si="8">E12</f>
        <v>0.6665588575478395</v>
      </c>
      <c r="G12" s="47"/>
      <c r="H12" s="47"/>
      <c r="I12" s="47"/>
      <c r="J12" s="47"/>
      <c r="K12" s="47"/>
      <c r="L12" s="47"/>
      <c r="M12" s="47"/>
      <c r="N12" s="47"/>
      <c r="O12" s="372">
        <v>7</v>
      </c>
      <c r="P12" s="398" t="str">
        <f t="shared" si="0"/>
        <v>Kaizen</v>
      </c>
      <c r="Q12" s="373">
        <f t="shared" si="5"/>
        <v>301000</v>
      </c>
      <c r="R12" s="465">
        <f t="shared" si="6"/>
        <v>0</v>
      </c>
      <c r="S12" s="534" t="e">
        <f t="shared" si="1"/>
        <v>#N/A</v>
      </c>
      <c r="T12" s="543" t="e" cm="1">
        <f t="array" aca="1" ref="T12" ca="1">SUMPRODUCT(($B$55:$B$143=U12)*(S$54:$AG$54&lt;=TODAY())*(ISNUMBER(R$56:$AF$144)),R$56:$AF$144)</f>
        <v>#REF!</v>
      </c>
      <c r="U12" s="519" t="str">
        <f t="shared" si="2"/>
        <v>32 - Empilhadeiras Elétricas</v>
      </c>
      <c r="V12" s="520"/>
      <c r="W12" s="520"/>
      <c r="X12" s="520"/>
      <c r="Y12" s="521"/>
      <c r="Z12" s="402">
        <f t="shared" si="3"/>
        <v>0.12583547933848549</v>
      </c>
      <c r="AA12" s="375">
        <f>Pareto!E76</f>
        <v>0.84647639976284161</v>
      </c>
      <c r="AB12" s="376" cm="1">
        <f t="array" aca="1" ref="AB12" ca="1">IFERROR(INDEX($R$55:$R$128,MATCH(1,($AN$55:$AN$128=U12)*($Q$55:$Q$128="Previsto"), 0) ), "")</f>
        <v>0.92307692307692313</v>
      </c>
      <c r="AC12" s="376" cm="1">
        <f t="array" ref="AC12">IFERROR( INDEX($R$55:$R$128,MATCH(1,($AN$55:$AN$128=U12)*($Q$55:$Q$128="Real"),0)),"")</f>
        <v>0</v>
      </c>
      <c r="AD12" s="400" t="str">
        <f t="shared" ca="1" si="4"/>
        <v>FALTA DE ACOMPANHAMENTO</v>
      </c>
      <c r="AE12" s="376">
        <v>0</v>
      </c>
      <c r="AH12" s="47"/>
      <c r="AI12" s="47"/>
      <c r="AJ12" s="47"/>
      <c r="AK12" s="47"/>
      <c r="AL12" s="47"/>
      <c r="AM12" s="47"/>
      <c r="AN12" s="47"/>
      <c r="AO12" s="47"/>
    </row>
    <row r="13" spans="1:41" ht="20.100000000000001" customHeight="1" x14ac:dyDescent="0.35">
      <c r="A13" s="169" t="s">
        <v>29</v>
      </c>
      <c r="B13" s="258">
        <f>SUM(B9:B12)</f>
        <v>37</v>
      </c>
      <c r="C13" s="61">
        <f>SUM(C9:C12)</f>
        <v>3919443.0038799997</v>
      </c>
      <c r="D13" s="61">
        <f>SUM(D9:D12)</f>
        <v>2819031.7910000002</v>
      </c>
      <c r="E13" s="171">
        <f>SUM(E9:E12)</f>
        <v>0.99999999999999989</v>
      </c>
      <c r="F13" s="20"/>
      <c r="G13" s="47"/>
      <c r="H13" s="47"/>
      <c r="I13" s="47"/>
      <c r="J13" s="47"/>
      <c r="K13" s="47"/>
      <c r="L13" s="168"/>
      <c r="M13" s="475"/>
      <c r="N13" s="475"/>
      <c r="O13" s="377">
        <v>8</v>
      </c>
      <c r="P13" s="399" t="str">
        <f t="shared" si="0"/>
        <v>BSW</v>
      </c>
      <c r="Q13" s="378">
        <f t="shared" si="5"/>
        <v>102967</v>
      </c>
      <c r="R13" s="466">
        <f t="shared" si="6"/>
        <v>0</v>
      </c>
      <c r="S13" s="535" t="e">
        <f t="shared" si="1"/>
        <v>#N/A</v>
      </c>
      <c r="T13" s="544" t="e" cm="1">
        <f t="array" aca="1" ref="T13" ca="1">SUMPRODUCT(($B$55:$B$143=U13)*(S$54:$AG$54&lt;=TODAY())*(ISNUMBER(R$56:$AF$144)),R$56:$AF$144)</f>
        <v>#REF!</v>
      </c>
      <c r="U13" s="516" t="str">
        <f t="shared" si="2"/>
        <v>19 - Redução da largura da bobina mãe do Curvão</v>
      </c>
      <c r="V13" s="517"/>
      <c r="W13" s="517"/>
      <c r="X13" s="517"/>
      <c r="Y13" s="518"/>
      <c r="Z13" s="403">
        <f t="shared" si="3"/>
        <v>4.3046185385534341E-2</v>
      </c>
      <c r="AA13" s="380">
        <f>Pareto!E77</f>
        <v>0.87274722444330488</v>
      </c>
      <c r="AB13" s="381" cm="1">
        <f t="array" ref="AB13">IFERROR(INDEX($R$55:$R$128,MATCH(1,($AN$55:$AN$128=U13)*($Q$55:$Q$128="Previsto"), 0) ), "")</f>
        <v>0</v>
      </c>
      <c r="AC13" s="381" cm="1">
        <f t="array" ref="AC13">IFERROR( INDEX($R$55:$R$128,MATCH(1,($AN$55:$AN$128=U13)*($Q$55:$Q$128="Real"),0)),"")</f>
        <v>0</v>
      </c>
      <c r="AD13" s="401" t="str">
        <f t="shared" si="4"/>
        <v>PROJETO NÃO INICIADO</v>
      </c>
      <c r="AE13" s="381">
        <v>0.5</v>
      </c>
      <c r="AH13" s="47"/>
      <c r="AI13" s="47"/>
      <c r="AJ13" s="47"/>
      <c r="AK13" s="47"/>
      <c r="AL13" s="47"/>
      <c r="AM13" s="47"/>
      <c r="AN13" s="47"/>
      <c r="AO13" s="47"/>
    </row>
    <row r="14" spans="1:41" ht="20.100000000000001" customHeight="1" x14ac:dyDescent="0.3">
      <c r="A14" s="47"/>
      <c r="B14" s="239"/>
      <c r="C14" s="47"/>
      <c r="D14" s="266"/>
      <c r="E14" s="47"/>
      <c r="F14" s="47"/>
      <c r="G14" s="47"/>
      <c r="H14" s="47" t="s">
        <v>892</v>
      </c>
      <c r="I14" s="47"/>
      <c r="J14" s="47"/>
      <c r="K14" s="47"/>
      <c r="L14" s="47"/>
      <c r="M14" s="47"/>
      <c r="N14" s="47"/>
      <c r="O14" s="372">
        <v>9</v>
      </c>
      <c r="P14" s="398" t="str">
        <f t="shared" si="0"/>
        <v>BSW</v>
      </c>
      <c r="Q14" s="373">
        <f t="shared" si="5"/>
        <v>91444</v>
      </c>
      <c r="R14" s="465">
        <f t="shared" si="6"/>
        <v>0</v>
      </c>
      <c r="S14" s="534" t="e">
        <f t="shared" si="1"/>
        <v>#N/A</v>
      </c>
      <c r="T14" s="543" t="e" cm="1">
        <f t="array" aca="1" ref="T14" ca="1">SUMPRODUCT(($B$55:$B$143=U14)*(S$54:$AG$54&lt;=TODAY())*(ISNUMBER(R$56:$AF$144)),R$56:$AF$144)</f>
        <v>#REF!</v>
      </c>
      <c r="U14" s="1069" t="str">
        <f t="shared" si="2"/>
        <v xml:space="preserve">05 - Aplicar borda aparadas nas bobinas </v>
      </c>
      <c r="V14" s="1070"/>
      <c r="W14" s="1070"/>
      <c r="X14" s="1070"/>
      <c r="Y14" s="1071"/>
      <c r="Z14" s="402">
        <f t="shared" si="3"/>
        <v>3.8228902234646069E-2</v>
      </c>
      <c r="AA14" s="375">
        <f>Pareto!E78</f>
        <v>0.89607809056624022</v>
      </c>
      <c r="AB14" s="376" cm="1">
        <f t="array" ref="AB14">IFERROR(INDEX($R$55:$R$128,MATCH(1,($AN$55:$AN$128=U14)*($Q$55:$Q$128="Previsto"), 0) ), "")</f>
        <v>0.41666666666666669</v>
      </c>
      <c r="AC14" s="376" cm="1">
        <f t="array" ref="AC14">IFERROR( INDEX($R$55:$R$128,MATCH(1,($AN$55:$AN$128=U14)*($Q$55:$Q$128="Real"),0)),"")</f>
        <v>0.33333333333333331</v>
      </c>
      <c r="AD14" s="400" t="str">
        <f t="shared" ref="AD14:AD25" si="9">IF(OR(AB14="",AC14=""),"",IF(AC14=100%,"CONCLUÍDO",IF(AC14=0,IF(AB14=0,"PROJETO NÃO INICIADO","FALTA DE ACOMPANHAMENTO"),IF(AC14&gt;AB14,"ADIANTADO",IF(AC14=AB14,"CONFORME PLANEJADO","ATRASO")))))</f>
        <v>ATRASO</v>
      </c>
      <c r="AE14" s="376">
        <v>0.8</v>
      </c>
      <c r="AG14" s="47"/>
      <c r="AH14" s="47"/>
      <c r="AI14" s="47"/>
      <c r="AJ14" s="47"/>
      <c r="AK14" s="47"/>
      <c r="AL14" s="47"/>
      <c r="AM14" s="47"/>
      <c r="AN14" s="47"/>
    </row>
    <row r="15" spans="1:41" ht="20.100000000000001" customHeight="1" x14ac:dyDescent="0.3">
      <c r="A15" s="47"/>
      <c r="B15" s="239"/>
      <c r="C15" s="47"/>
      <c r="D15" s="266"/>
      <c r="E15" s="47"/>
      <c r="F15" s="47" t="s">
        <v>90</v>
      </c>
      <c r="G15" s="967">
        <f>SUMIF($B$55:$B$176,F15,$N$55:$N$176)</f>
        <v>1879050.61</v>
      </c>
      <c r="H15" s="47"/>
      <c r="I15" s="47"/>
      <c r="J15" s="47"/>
      <c r="K15" s="47"/>
      <c r="L15" s="47"/>
      <c r="M15" s="47"/>
      <c r="N15" s="47"/>
      <c r="O15" s="377">
        <v>10</v>
      </c>
      <c r="P15" s="399" t="str">
        <f t="shared" si="0"/>
        <v>Redução de custo</v>
      </c>
      <c r="Q15" s="378">
        <f t="shared" si="5"/>
        <v>90850</v>
      </c>
      <c r="R15" s="466">
        <f t="shared" si="6"/>
        <v>165883.51999999999</v>
      </c>
      <c r="S15" s="535" t="e">
        <f t="shared" si="1"/>
        <v>#N/A</v>
      </c>
      <c r="T15" s="544" t="e" cm="1">
        <f t="array" aca="1" ref="T15" ca="1">SUMPRODUCT(($B$55:$B$143=U15)*(S$54:$AG$54&lt;=TODAY())*(ISNUMBER(R$56:$AF$144)),R$56:$AF$144)</f>
        <v>#REF!</v>
      </c>
      <c r="U15" s="1066" t="str">
        <f t="shared" si="2"/>
        <v>24 - Redução de consumo de MTP China 1 porca (-10 mm)</v>
      </c>
      <c r="V15" s="1067"/>
      <c r="W15" s="1067"/>
      <c r="X15" s="1067"/>
      <c r="Y15" s="1068"/>
      <c r="Z15" s="403">
        <f t="shared" si="3"/>
        <v>3.7980575740536239E-2</v>
      </c>
      <c r="AA15" s="380">
        <f>Pareto!E79</f>
        <v>0.91925740454275784</v>
      </c>
      <c r="AB15" s="381" cm="1">
        <f t="array" ref="AB15">IFERROR(INDEX($R$55:$R$128,MATCH(1,($AN$55:$AN$128=U15)*($Q$55:$Q$128="Previsto"), 0) ), "")</f>
        <v>0.875</v>
      </c>
      <c r="AC15" s="381" cm="1">
        <f t="array" ref="AC15">IFERROR( INDEX($R$55:$R$128,MATCH(1,($AN$55:$AN$128=U15)*($Q$55:$Q$128="Real"),0)),"")</f>
        <v>0</v>
      </c>
      <c r="AD15" s="401" t="str">
        <f t="shared" si="9"/>
        <v>FALTA DE ACOMPANHAMENTO</v>
      </c>
      <c r="AE15" s="381">
        <v>0</v>
      </c>
      <c r="AG15" s="47"/>
      <c r="AH15" s="47"/>
      <c r="AI15" s="47"/>
      <c r="AJ15" s="47"/>
      <c r="AK15" s="47"/>
      <c r="AL15" s="47"/>
      <c r="AM15" s="47"/>
      <c r="AN15" s="47"/>
    </row>
    <row r="16" spans="1:41" ht="20.100000000000001" customHeight="1" x14ac:dyDescent="0.3">
      <c r="A16" s="47"/>
      <c r="B16" s="239"/>
      <c r="C16" s="47"/>
      <c r="D16" s="266"/>
      <c r="E16" s="47"/>
      <c r="F16" s="47" t="s">
        <v>91</v>
      </c>
      <c r="G16" s="967">
        <f>SUMIF($B$55:$B$176,F16,$N$55:$N$176)</f>
        <v>549981.18099999998</v>
      </c>
      <c r="H16" s="47"/>
      <c r="I16" s="47"/>
      <c r="J16" s="47"/>
      <c r="K16" s="47"/>
      <c r="L16" s="47"/>
      <c r="M16" s="47"/>
      <c r="N16" s="47"/>
      <c r="O16" s="372">
        <v>11</v>
      </c>
      <c r="P16" s="398" t="str">
        <f t="shared" si="0"/>
        <v>BSW</v>
      </c>
      <c r="Q16" s="373">
        <f t="shared" si="5"/>
        <v>75733</v>
      </c>
      <c r="R16" s="465">
        <f t="shared" si="6"/>
        <v>0</v>
      </c>
      <c r="S16" s="534" t="e">
        <f t="shared" si="1"/>
        <v>#N/A</v>
      </c>
      <c r="T16" s="543" t="e" cm="1">
        <f t="array" aca="1" ref="T16" ca="1">SUMPRODUCT(($B$55:$B$143=U16)*(S$54:$AG$54&lt;=TODAY())*(ISNUMBER(R$56:$AF$144)),R$56:$AF$144)</f>
        <v>#REF!</v>
      </c>
      <c r="U16" s="1069" t="str">
        <f t="shared" si="2"/>
        <v>04 - Redução da largura dos slitters</v>
      </c>
      <c r="V16" s="1070"/>
      <c r="W16" s="1070"/>
      <c r="X16" s="1070"/>
      <c r="Y16" s="1071"/>
      <c r="Z16" s="402">
        <f t="shared" si="3"/>
        <v>3.1660791882862201E-2</v>
      </c>
      <c r="AA16" s="375">
        <f>Pareto!E80</f>
        <v>0.93857979293443217</v>
      </c>
      <c r="AB16" s="381" cm="1">
        <f t="array" ref="AB16">IFERROR(INDEX($R$55:$R$128,MATCH(1,($AN$55:$AN$128=U16)*($Q$55:$Q$128="Previsto"), 0) ), "")</f>
        <v>0.4</v>
      </c>
      <c r="AC16" s="381" cm="1">
        <f t="array" ref="AC16">IFERROR( INDEX($R$55:$R$128,MATCH(1,($AN$55:$AN$128=U16)*($Q$55:$Q$128="Real"),0)),"")</f>
        <v>0.4</v>
      </c>
      <c r="AD16" s="401" t="str">
        <f t="shared" ref="AD16" si="10">IF(OR(AB16="",AC16=""),"",IF(AC16=100%,"CONCLUÍDO",IF(AC16=0,IF(AB16=0,"PROJETO NÃO INICIADO","FALTA DE ACOMPANHAMENTO"),IF(AC16&gt;AB16,"ADIANTADO",IF(AC16=AB16,"CONFORME PLANEJADO","ATRASO")))))</f>
        <v>CONFORME PLANEJADO</v>
      </c>
      <c r="AE16" s="376">
        <v>0.5</v>
      </c>
      <c r="AG16" s="47"/>
      <c r="AH16" s="47"/>
      <c r="AI16" s="47"/>
      <c r="AJ16" s="47"/>
      <c r="AK16" s="47"/>
      <c r="AL16" s="47"/>
      <c r="AM16" s="47"/>
      <c r="AN16" s="47"/>
    </row>
    <row r="17" spans="1:40" ht="20.100000000000001" customHeight="1" x14ac:dyDescent="0.3">
      <c r="A17" s="47"/>
      <c r="B17" s="239"/>
      <c r="C17" s="47"/>
      <c r="D17" s="266"/>
      <c r="E17" s="47"/>
      <c r="F17" s="47" t="s">
        <v>93</v>
      </c>
      <c r="G17" s="967">
        <f>SUMIF($B$55:$B$176,F17,$N$55:$N$176)</f>
        <v>0</v>
      </c>
      <c r="H17" s="47"/>
      <c r="I17" s="47"/>
      <c r="J17" s="47"/>
      <c r="K17" s="47"/>
      <c r="L17" s="47"/>
      <c r="M17" s="47"/>
      <c r="N17" s="47"/>
      <c r="O17" s="377">
        <v>12</v>
      </c>
      <c r="P17" s="399" t="str">
        <f t="shared" si="0"/>
        <v>BSW</v>
      </c>
      <c r="Q17" s="378">
        <f t="shared" si="5"/>
        <v>62210</v>
      </c>
      <c r="R17" s="466">
        <f t="shared" si="6"/>
        <v>0</v>
      </c>
      <c r="S17" s="535" t="e">
        <f t="shared" si="1"/>
        <v>#N/A</v>
      </c>
      <c r="T17" s="544" t="e" cm="1">
        <f t="array" aca="1" ref="T17" ca="1">SUMPRODUCT(($B$55:$B$143=U17)*(S$54:$AG$54&lt;=TODAY())*(ISNUMBER(R$56:$AF$144)),R$56:$AF$144)</f>
        <v>#REF!</v>
      </c>
      <c r="U17" s="1066" t="str">
        <f t="shared" si="2"/>
        <v>40 - Redução de disperdicio bobina.</v>
      </c>
      <c r="V17" s="1067"/>
      <c r="W17" s="1067"/>
      <c r="X17" s="1067"/>
      <c r="Y17" s="1068"/>
      <c r="Z17" s="403">
        <f t="shared" si="3"/>
        <v>2.6007392590189974E-2</v>
      </c>
      <c r="AA17" s="380">
        <f>Pareto!E81</f>
        <v>0.95445194618131346</v>
      </c>
      <c r="AB17" s="381" cm="1">
        <f t="array" ref="AB17">IFERROR(INDEX($R$55:$R$128,MATCH(1,($AN$55:$AN$128=U17)*($Q$55:$Q$128="Previsto"), 0) ), "")</f>
        <v>0</v>
      </c>
      <c r="AC17" s="381">
        <v>0.9</v>
      </c>
      <c r="AD17" s="401" t="str">
        <f t="shared" si="9"/>
        <v>ADIANTADO</v>
      </c>
      <c r="AE17" s="381">
        <v>0</v>
      </c>
      <c r="AG17" s="47"/>
      <c r="AH17" s="47"/>
      <c r="AI17" s="47"/>
      <c r="AJ17" s="47"/>
      <c r="AK17" s="47"/>
      <c r="AL17" s="47"/>
      <c r="AM17" s="47"/>
      <c r="AN17" s="47"/>
    </row>
    <row r="18" spans="1:40" ht="20.100000000000001" customHeight="1" x14ac:dyDescent="0.3">
      <c r="A18" s="47"/>
      <c r="B18" s="239"/>
      <c r="C18" s="47"/>
      <c r="D18" s="266"/>
      <c r="E18" s="47"/>
      <c r="F18" s="47" t="s">
        <v>94</v>
      </c>
      <c r="G18" s="967">
        <f>SUMIF($B$55:$B$176,F18,$N$55:$N$176)</f>
        <v>390000</v>
      </c>
      <c r="H18" s="47"/>
      <c r="I18" s="47"/>
      <c r="J18" s="47"/>
      <c r="K18" s="47"/>
      <c r="L18" s="47"/>
      <c r="M18" s="47"/>
      <c r="N18" s="47"/>
      <c r="O18" s="372">
        <v>13</v>
      </c>
      <c r="P18" s="398" t="str">
        <f t="shared" si="0"/>
        <v>Redução de custo</v>
      </c>
      <c r="Q18" s="373">
        <f t="shared" si="5"/>
        <v>47086</v>
      </c>
      <c r="R18" s="465">
        <f t="shared" si="6"/>
        <v>60984.11</v>
      </c>
      <c r="S18" s="534" t="e">
        <f t="shared" si="1"/>
        <v>#N/A</v>
      </c>
      <c r="T18" s="543" t="e" cm="1">
        <f t="array" aca="1" ref="T18" ca="1">SUMPRODUCT(($B$55:$B$143=U18)*(S$54:$AG$54&lt;=TODAY())*(ISNUMBER(R$56:$AF$144)),R$56:$AF$144)</f>
        <v>#REF!</v>
      </c>
      <c r="U18" s="1069" t="str">
        <f t="shared" si="2"/>
        <v>25 - Redução de consumo de MTP China 2 porca (-10 mm)</v>
      </c>
      <c r="V18" s="1070"/>
      <c r="W18" s="1070"/>
      <c r="X18" s="1070"/>
      <c r="Y18" s="1071"/>
      <c r="Z18" s="402">
        <f t="shared" si="3"/>
        <v>1.9684682326019696E-2</v>
      </c>
      <c r="AA18" s="375">
        <f>Pareto!E82</f>
        <v>0.96646538787529601</v>
      </c>
      <c r="AB18" s="376" cm="1">
        <f t="array" ref="AB18">IFERROR(INDEX($R$55:$R$128,MATCH(1,($AN$55:$AN$128=U18)*($Q$55:$Q$128="Previsto"), 0) ), "")</f>
        <v>0.66666666666666663</v>
      </c>
      <c r="AC18" s="376" cm="1">
        <f t="array" ref="AC18">IFERROR( INDEX($R$55:$R$128,MATCH(1,($AN$55:$AN$128=U18)*($Q$55:$Q$128="Real"),0)),"")</f>
        <v>0</v>
      </c>
      <c r="AD18" s="400" t="str">
        <f t="shared" si="9"/>
        <v>FALTA DE ACOMPANHAMENTO</v>
      </c>
      <c r="AE18" s="376">
        <v>0</v>
      </c>
      <c r="AG18" s="47"/>
      <c r="AH18" s="47"/>
      <c r="AI18" s="47"/>
      <c r="AJ18" s="47"/>
      <c r="AK18" s="47"/>
      <c r="AL18" s="47"/>
      <c r="AM18" s="47"/>
      <c r="AN18" s="47"/>
    </row>
    <row r="19" spans="1:40" ht="20.100000000000001" customHeight="1" x14ac:dyDescent="0.3">
      <c r="A19" s="47"/>
      <c r="B19" s="239"/>
      <c r="C19" s="47"/>
      <c r="D19" s="266"/>
      <c r="E19" s="47"/>
      <c r="F19" s="47"/>
      <c r="G19" s="47"/>
      <c r="H19" s="47"/>
      <c r="I19" s="47"/>
      <c r="J19" s="47"/>
      <c r="K19" s="47"/>
      <c r="L19" s="47"/>
      <c r="M19" s="47"/>
      <c r="N19" s="47"/>
      <c r="O19" s="377">
        <v>14</v>
      </c>
      <c r="P19" s="399" t="str">
        <f t="shared" si="0"/>
        <v>Kaizen</v>
      </c>
      <c r="Q19" s="378">
        <f t="shared" si="5"/>
        <v>40000.00088</v>
      </c>
      <c r="R19" s="466">
        <f t="shared" si="6"/>
        <v>0</v>
      </c>
      <c r="S19" s="535" t="e">
        <f t="shared" si="1"/>
        <v>#N/A</v>
      </c>
      <c r="T19" s="544" t="e" cm="1">
        <f t="array" aca="1" ref="T19" ca="1">SUMPRODUCT(($B$55:$B$143=U19)*(S$54:$AG$54&lt;=TODAY())*(ISNUMBER(R$56:$AF$144)),R$56:$AF$144)</f>
        <v>#REF!</v>
      </c>
      <c r="U19" s="1066" t="str">
        <f t="shared" si="2"/>
        <v>39 - Venda de sucata de cobre</v>
      </c>
      <c r="V19" s="1067"/>
      <c r="W19" s="1067"/>
      <c r="X19" s="1067"/>
      <c r="Y19" s="1068"/>
      <c r="Z19" s="403">
        <f t="shared" si="3"/>
        <v>1.6722323203570238E-2</v>
      </c>
      <c r="AA19" s="380">
        <f>Pareto!E83</f>
        <v>0.97667091984511989</v>
      </c>
      <c r="AB19" s="381" cm="1">
        <f t="array" ref="AB19">IFERROR(INDEX($R$55:$R$128,MATCH(1,($AN$55:$AN$128=U19)*($Q$55:$Q$128="Previsto"), 0) ), "")</f>
        <v>0</v>
      </c>
      <c r="AC19" s="381" cm="1">
        <f t="array" ref="AC19">IFERROR( INDEX($R$55:$R$128,MATCH(1,($AN$55:$AN$128=U19)*($Q$55:$Q$128="Real"),0)),"")</f>
        <v>0</v>
      </c>
      <c r="AD19" s="401" t="str">
        <f t="shared" si="9"/>
        <v>PROJETO NÃO INICIADO</v>
      </c>
      <c r="AE19" s="381">
        <v>0</v>
      </c>
      <c r="AG19" s="47"/>
      <c r="AH19" s="47"/>
      <c r="AI19" s="47"/>
      <c r="AJ19" s="47"/>
      <c r="AK19" s="47"/>
      <c r="AL19" s="47"/>
      <c r="AM19" s="47"/>
      <c r="AN19" s="47"/>
    </row>
    <row r="20" spans="1:40" ht="20.100000000000001" customHeight="1" x14ac:dyDescent="0.3">
      <c r="A20" s="47"/>
      <c r="B20" s="239"/>
      <c r="C20" s="47"/>
      <c r="D20" s="266"/>
      <c r="E20" s="47"/>
      <c r="F20" s="47"/>
      <c r="G20" s="47"/>
      <c r="H20" s="47"/>
      <c r="I20" s="47"/>
      <c r="J20" s="47"/>
      <c r="K20" s="47"/>
      <c r="L20" s="47"/>
      <c r="M20" s="47"/>
      <c r="N20" s="47"/>
      <c r="O20" s="372">
        <v>15</v>
      </c>
      <c r="P20" s="398" t="str">
        <f t="shared" si="0"/>
        <v>BSW</v>
      </c>
      <c r="Q20" s="373">
        <f t="shared" si="5"/>
        <v>34645</v>
      </c>
      <c r="R20" s="465">
        <f t="shared" si="6"/>
        <v>47248.27</v>
      </c>
      <c r="S20" s="534" t="e">
        <f t="shared" si="1"/>
        <v>#N/A</v>
      </c>
      <c r="T20" s="543" t="e" cm="1">
        <f t="array" aca="1" ref="T20" ca="1">SUMPRODUCT(($B$55:$B$143=U20)*(S$54:$AG$54&lt;=TODAY())*(ISNUMBER(R$56:$AF$144)),R$56:$AF$144)</f>
        <v>#REF!</v>
      </c>
      <c r="U20" s="1069" t="str">
        <f t="shared" si="2"/>
        <v>15 - Redução de consumo no slitter dos itens VW000950AA/951AA</v>
      </c>
      <c r="V20" s="1070"/>
      <c r="W20" s="1070"/>
      <c r="X20" s="1070"/>
      <c r="Y20" s="1071"/>
      <c r="Z20" s="402">
        <f t="shared" si="3"/>
        <v>1.4483621866052591E-2</v>
      </c>
      <c r="AA20" s="375">
        <f>Pareto!E84</f>
        <v>0.98551018602801976</v>
      </c>
      <c r="AB20" s="640" cm="1">
        <f t="array" ref="AB20">IFERROR(INDEX($R$55:$R$128,MATCH(1,($AN$55:$AN$128=U20)*($Q$55:$Q$128="Previsto"), 0) ), "")</f>
        <v>0.90909090909090906</v>
      </c>
      <c r="AC20" s="376" cm="1">
        <f t="array" ref="AC20">IFERROR( INDEX($R$55:$R$128,MATCH(1,($AN$55:$AN$128=U20)*($Q$55:$Q$128="Real"),0)),"")</f>
        <v>0.36363636363636365</v>
      </c>
      <c r="AD20" s="400" t="str">
        <f t="shared" si="9"/>
        <v>ATRASO</v>
      </c>
      <c r="AE20" s="376">
        <v>0.5</v>
      </c>
      <c r="AG20" s="47"/>
      <c r="AH20" s="47"/>
      <c r="AI20" s="47"/>
      <c r="AJ20" s="47"/>
      <c r="AK20" s="47"/>
      <c r="AL20" s="47"/>
      <c r="AM20" s="47"/>
      <c r="AN20" s="47"/>
    </row>
    <row r="21" spans="1:40" ht="20.100000000000001" customHeight="1" x14ac:dyDescent="0.3">
      <c r="A21" s="47"/>
      <c r="B21" s="239"/>
      <c r="C21" s="47"/>
      <c r="D21" s="266"/>
      <c r="E21" s="47"/>
      <c r="F21" s="47"/>
      <c r="G21" s="47"/>
      <c r="H21" s="47"/>
      <c r="I21" s="47"/>
      <c r="J21" s="47"/>
      <c r="K21" s="47"/>
      <c r="L21" s="47"/>
      <c r="M21" s="47"/>
      <c r="N21" s="47"/>
      <c r="O21" s="377">
        <v>16</v>
      </c>
      <c r="P21" s="399" t="str">
        <f t="shared" si="0"/>
        <v>BSW</v>
      </c>
      <c r="Q21" s="378">
        <f t="shared" si="5"/>
        <v>24120</v>
      </c>
      <c r="R21" s="466">
        <f t="shared" si="6"/>
        <v>11228.26</v>
      </c>
      <c r="S21" s="535" t="e">
        <f t="shared" si="1"/>
        <v>#N/A</v>
      </c>
      <c r="T21" s="544" t="e" cm="1">
        <f t="array" aca="1" ref="T21" ca="1">SUMPRODUCT(($B$55:$B$143=U21)*(S$54:$AG$54&lt;=TODAY())*(ISNUMBER(R$56:$AF$144)),R$56:$AF$144)</f>
        <v>#REF!</v>
      </c>
      <c r="U21" s="1066" t="str">
        <f t="shared" si="2"/>
        <v>14 - Redução de consumo no passo do blank dos itens VW000950AA/951AA</v>
      </c>
      <c r="V21" s="1067"/>
      <c r="W21" s="1067"/>
      <c r="X21" s="1067"/>
      <c r="Y21" s="1068"/>
      <c r="Z21" s="403">
        <f t="shared" si="3"/>
        <v>1.0083560669914518E-2</v>
      </c>
      <c r="AA21" s="380">
        <f>Pareto!E85</f>
        <v>0.99166412167043705</v>
      </c>
      <c r="AB21" s="381" cm="1">
        <f t="array" ref="AB21">IFERROR(INDEX($R$55:$R$128,MATCH(1,($AN$55:$AN$128=U21)*($Q$55:$Q$128="Previsto"), 0) ), "")</f>
        <v>1</v>
      </c>
      <c r="AC21" s="381" cm="1">
        <f t="array" ref="AC21">IFERROR( INDEX($R$55:$R$128,MATCH(1,($AN$55:$AN$128=U21)*($Q$55:$Q$128="Real"),0)),"")</f>
        <v>1</v>
      </c>
      <c r="AD21" s="401" t="str">
        <f t="shared" si="9"/>
        <v>CONCLUÍDO</v>
      </c>
      <c r="AE21" s="381">
        <v>0.9</v>
      </c>
      <c r="AG21" s="47"/>
      <c r="AH21" s="47"/>
      <c r="AI21" s="47"/>
      <c r="AJ21" s="47"/>
      <c r="AK21" s="47"/>
      <c r="AL21" s="47"/>
      <c r="AM21" s="47"/>
      <c r="AN21" s="47"/>
    </row>
    <row r="22" spans="1:40" ht="20.100000000000001" customHeight="1" x14ac:dyDescent="0.3">
      <c r="A22" s="47"/>
      <c r="B22" s="239"/>
      <c r="C22" s="47"/>
      <c r="D22" s="266"/>
      <c r="E22" s="47"/>
      <c r="F22" s="47"/>
      <c r="G22" s="47"/>
      <c r="H22" s="47"/>
      <c r="I22" s="47"/>
      <c r="J22" s="47"/>
      <c r="K22" s="47"/>
      <c r="L22" s="47"/>
      <c r="M22" s="47"/>
      <c r="N22" s="47"/>
      <c r="O22" s="372">
        <v>17</v>
      </c>
      <c r="P22" s="398" t="str">
        <f t="shared" si="0"/>
        <v>Redução de custo</v>
      </c>
      <c r="Q22" s="373">
        <f t="shared" si="5"/>
        <v>19309</v>
      </c>
      <c r="R22" s="465">
        <f t="shared" si="6"/>
        <v>15889.550999999999</v>
      </c>
      <c r="S22" s="534" t="e">
        <f t="shared" si="1"/>
        <v>#N/A</v>
      </c>
      <c r="T22" s="543" t="e" cm="1">
        <f t="array" aca="1" ref="T22" ca="1">SUMPRODUCT(($B$55:$B$143=U22)*(S$54:$AG$54&lt;=TODAY())*(ISNUMBER(R$56:$AF$144)),R$56:$AF$144)</f>
        <v>#REF!</v>
      </c>
      <c r="U22" s="1069" t="str">
        <f t="shared" si="2"/>
        <v>23 - Redução do consumo de MTP VW000938AB (- 3 mm no passo)</v>
      </c>
      <c r="V22" s="1070"/>
      <c r="W22" s="1070"/>
      <c r="X22" s="1070"/>
      <c r="Y22" s="1071"/>
      <c r="Z22" s="402">
        <f t="shared" si="3"/>
        <v>8.0722832908532108E-3</v>
      </c>
      <c r="AA22" s="375">
        <f>Pareto!E86</f>
        <v>0.99659058698218805</v>
      </c>
      <c r="AB22" s="376" cm="1">
        <f t="array" ref="AB22">IFERROR(INDEX($R$55:$R$128,MATCH(1,($AN$55:$AN$128=U22)*($Q$55:$Q$128="Previsto"), 0) ), "")</f>
        <v>1</v>
      </c>
      <c r="AC22" s="376" cm="1">
        <f t="array" ref="AC22">IFERROR( INDEX($R$55:$R$128,MATCH(1,($AN$55:$AN$128=U22)*($Q$55:$Q$128="Real"),0)),"")</f>
        <v>1</v>
      </c>
      <c r="AD22" s="748" t="str">
        <f t="shared" si="9"/>
        <v>CONCLUÍDO</v>
      </c>
      <c r="AE22" s="376">
        <v>0</v>
      </c>
      <c r="AG22" s="47"/>
      <c r="AH22" s="47"/>
      <c r="AI22" s="47"/>
      <c r="AJ22" s="47"/>
      <c r="AK22" s="47"/>
      <c r="AL22" s="47"/>
      <c r="AM22" s="47"/>
      <c r="AN22" s="47"/>
    </row>
    <row r="23" spans="1:40" ht="20.100000000000001" customHeight="1" x14ac:dyDescent="0.3">
      <c r="A23" s="47"/>
      <c r="B23" s="239"/>
      <c r="C23" s="47"/>
      <c r="D23" s="266"/>
      <c r="E23" s="47"/>
      <c r="F23" s="47"/>
      <c r="G23" s="47"/>
      <c r="H23" s="47"/>
      <c r="I23" s="47"/>
      <c r="J23" s="47"/>
      <c r="K23" s="47"/>
      <c r="L23" s="47"/>
      <c r="M23" s="47"/>
      <c r="N23" s="47"/>
      <c r="O23" s="377">
        <v>18</v>
      </c>
      <c r="P23" s="399" t="str">
        <f t="shared" si="0"/>
        <v>BSW</v>
      </c>
      <c r="Q23" s="378">
        <f t="shared" si="5"/>
        <v>9639</v>
      </c>
      <c r="R23" s="466">
        <f t="shared" si="6"/>
        <v>22604.71</v>
      </c>
      <c r="S23" s="535" t="e">
        <f t="shared" si="1"/>
        <v>#N/A</v>
      </c>
      <c r="T23" s="544" t="e" cm="1">
        <f t="array" aca="1" ref="T23" ca="1">SUMPRODUCT(($B$55:$B$143=U23)*(S$54:$AG$54&lt;=TODAY())*(ISNUMBER(R$56:$AF$144)),R$56:$AF$144)</f>
        <v>#REF!</v>
      </c>
      <c r="U23" s="1066" t="str">
        <f t="shared" si="2"/>
        <v>29 - Redução do consumo MTP no passo do Blank VW000942AB / 943AB -5MM</v>
      </c>
      <c r="V23" s="1067"/>
      <c r="W23" s="1067"/>
      <c r="X23" s="1067"/>
      <c r="Y23" s="1068"/>
      <c r="Z23" s="403">
        <f t="shared" si="3"/>
        <v>4.0296617453277799E-3</v>
      </c>
      <c r="AA23" s="380">
        <f>Pareto!E87</f>
        <v>0.9990498649945122</v>
      </c>
      <c r="AB23" s="381" cm="1">
        <f t="array" ref="AB23">IFERROR(INDEX($R$55:$R$128,MATCH(1,($AN$55:$AN$128=U23)*($Q$55:$Q$128="Previsto"), 0) ), "")</f>
        <v>0.88888888888888884</v>
      </c>
      <c r="AC23" s="381" cm="1">
        <f t="array" ref="AC23">IFERROR( INDEX($R$55:$R$128,MATCH(1,($AN$55:$AN$128=U23)*($Q$55:$Q$128="Real"),0)),"")</f>
        <v>0.33333333333333331</v>
      </c>
      <c r="AD23" s="401" t="str">
        <f t="shared" si="9"/>
        <v>ATRASO</v>
      </c>
      <c r="AE23" s="381">
        <v>0</v>
      </c>
      <c r="AG23" s="47"/>
      <c r="AH23" s="47"/>
      <c r="AI23" s="47"/>
      <c r="AJ23" s="47"/>
      <c r="AK23" s="47"/>
      <c r="AL23" s="47"/>
      <c r="AM23" s="47"/>
      <c r="AN23" s="47"/>
    </row>
    <row r="24" spans="1:40" ht="20.100000000000001" customHeight="1" x14ac:dyDescent="0.3">
      <c r="A24" s="47"/>
      <c r="B24" s="239"/>
      <c r="C24" s="47"/>
      <c r="D24" s="266"/>
      <c r="E24" s="47"/>
      <c r="F24" s="47"/>
      <c r="G24" s="47"/>
      <c r="H24" s="47"/>
      <c r="I24" s="47"/>
      <c r="J24" s="47"/>
      <c r="K24" s="47"/>
      <c r="L24" s="47"/>
      <c r="M24" s="47"/>
      <c r="N24" s="47"/>
      <c r="O24" s="372">
        <v>19</v>
      </c>
      <c r="P24" s="398" t="str">
        <f t="shared" si="0"/>
        <v>Redução de custo</v>
      </c>
      <c r="Q24" s="373">
        <f t="shared" si="5"/>
        <v>2500</v>
      </c>
      <c r="R24" s="465">
        <f t="shared" si="6"/>
        <v>0</v>
      </c>
      <c r="S24" s="534" t="e">
        <f t="shared" si="1"/>
        <v>#N/A</v>
      </c>
      <c r="T24" s="543" t="e" cm="1">
        <f t="array" aca="1" ref="T24" ca="1">SUMPRODUCT(($B$55:$B$143=U24)*(S$54:$AG$54&lt;=TODAY())*(ISNUMBER(R$56:$AF$144)),R$56:$AF$144)</f>
        <v>#REF!</v>
      </c>
      <c r="U24" s="1069" t="str">
        <f t="shared" si="2"/>
        <v>33- Rollout impressora Administrativo</v>
      </c>
      <c r="V24" s="1070"/>
      <c r="W24" s="1070"/>
      <c r="X24" s="1070"/>
      <c r="Y24" s="1071"/>
      <c r="Z24" s="402">
        <f t="shared" si="3"/>
        <v>1.0451451772299459E-3</v>
      </c>
      <c r="AA24" s="375">
        <f>Pareto!E88</f>
        <v>0.99968771072859364</v>
      </c>
      <c r="AB24" s="376" cm="1">
        <f t="array" aca="1" ref="AB24" ca="1">IFERROR(INDEX($R$55:$R$128,MATCH(1,($AN$55:$AN$128=U24)*($Q$55:$Q$128="Previsto"), 0) ), "")</f>
        <v>1</v>
      </c>
      <c r="AC24" s="376" cm="1">
        <f t="array" ref="AC24">IFERROR( INDEX($R$55:$R$128,MATCH(1,($AN$55:$AN$128=U24)*($Q$55:$Q$128="Real"),0)),"")</f>
        <v>0.44</v>
      </c>
      <c r="AD24" s="400" t="str">
        <f t="shared" ca="1" si="9"/>
        <v>ATRASO</v>
      </c>
      <c r="AE24" s="376">
        <v>0</v>
      </c>
      <c r="AG24" s="47"/>
      <c r="AH24" s="47"/>
      <c r="AI24" s="47"/>
      <c r="AJ24" s="47"/>
      <c r="AK24" s="47"/>
      <c r="AL24" s="47"/>
      <c r="AM24" s="47"/>
      <c r="AN24" s="47"/>
    </row>
    <row r="25" spans="1:40" ht="20.100000000000001" customHeight="1" x14ac:dyDescent="0.3">
      <c r="A25" s="47"/>
      <c r="B25" s="239"/>
      <c r="C25" s="47"/>
      <c r="D25" s="266"/>
      <c r="E25" s="47"/>
      <c r="F25" s="47"/>
      <c r="G25" s="47"/>
      <c r="H25" s="47"/>
      <c r="I25" s="47"/>
      <c r="J25" s="47"/>
      <c r="K25" s="47"/>
      <c r="L25" s="47"/>
      <c r="M25" s="47"/>
      <c r="N25" s="47"/>
      <c r="O25" s="377">
        <v>20</v>
      </c>
      <c r="P25" s="399" t="str">
        <f>_xlfn.XLOOKUP(U24,$C$55:$C$128,$A$55:$A$128)</f>
        <v>Redução de custo</v>
      </c>
      <c r="Q25" s="378">
        <f t="shared" si="5"/>
        <v>1224</v>
      </c>
      <c r="R25" s="466">
        <f t="shared" si="6"/>
        <v>1224</v>
      </c>
      <c r="S25" s="535" t="e">
        <f>_xlfn.XLOOKUP(U24,$B$55:$B$144,$I$55:$I$144)</f>
        <v>#N/A</v>
      </c>
      <c r="T25" s="544" t="e" cm="1">
        <f t="array" aca="1" ref="T25" ca="1">SUMPRODUCT(($B$55:$B$143=U24)*(S$54:$AG$54&lt;=TODAY())*(ISNUMBER(R$56:$AF$144)),R$56:$AF$144)</f>
        <v>#REF!</v>
      </c>
      <c r="U25" s="1066" t="str">
        <f t="shared" si="2"/>
        <v>31 - Redução impressora Backup</v>
      </c>
      <c r="V25" s="1067"/>
      <c r="W25" s="1067"/>
      <c r="X25" s="1067"/>
      <c r="Y25" s="1068"/>
      <c r="Z25" s="403">
        <f t="shared" si="3"/>
        <v>5.1170307877178159E-4</v>
      </c>
      <c r="AA25" s="380">
        <f>Pareto!E89</f>
        <v>0.99999999999999989</v>
      </c>
      <c r="AB25" s="381" cm="1">
        <f t="array" aca="1" ref="AB25" ca="1">IFERROR(INDEX($R$55:$R$128,MATCH(1,($AN$55:$AN$128=U24)*($Q$55:$Q$128="Previsto"), 0) ), "")</f>
        <v>1</v>
      </c>
      <c r="AC25" s="381" cm="1">
        <f t="array" ref="AC25">IFERROR( INDEX($R$55:$R$128,MATCH(1,($AN$55:$AN$128=U24)*($Q$55:$Q$128="Real"),0)),"")</f>
        <v>0.44</v>
      </c>
      <c r="AD25" s="401" t="str">
        <f t="shared" ca="1" si="9"/>
        <v>ATRASO</v>
      </c>
      <c r="AE25" s="381"/>
      <c r="AG25" s="47"/>
      <c r="AH25" s="47"/>
      <c r="AI25" s="47"/>
      <c r="AJ25" s="47"/>
      <c r="AK25" s="47"/>
      <c r="AL25" s="47"/>
      <c r="AM25" s="47"/>
      <c r="AN25" s="47"/>
    </row>
    <row r="26" spans="1:40" ht="20.100000000000001" customHeight="1" x14ac:dyDescent="0.3">
      <c r="A26" s="47"/>
      <c r="B26" s="239"/>
      <c r="C26" s="47"/>
      <c r="D26" s="266"/>
      <c r="E26" s="47"/>
      <c r="F26" s="47"/>
      <c r="G26" s="47"/>
      <c r="H26" s="47"/>
      <c r="I26" s="47"/>
      <c r="J26" s="47"/>
      <c r="K26" s="47"/>
      <c r="L26" s="47"/>
      <c r="M26" s="47"/>
      <c r="N26" s="47"/>
      <c r="O26" s="1471" t="s">
        <v>133</v>
      </c>
      <c r="P26" s="1472"/>
      <c r="Q26" s="435">
        <f>SUM(Q6:Q25)</f>
        <v>3919443.0038800002</v>
      </c>
      <c r="R26" s="435">
        <f>SUM(R6:R25)</f>
        <v>2819031.7909999997</v>
      </c>
      <c r="S26" s="47"/>
      <c r="T26" s="47"/>
      <c r="U26" s="47"/>
      <c r="V26" s="47"/>
      <c r="W26" s="47"/>
      <c r="X26" s="47"/>
      <c r="Y26" s="47"/>
      <c r="Z26" s="47"/>
      <c r="AA26" s="47"/>
      <c r="AB26" s="47"/>
      <c r="AC26" s="47"/>
      <c r="AD26" s="47"/>
      <c r="AE26" s="47"/>
      <c r="AF26" s="47"/>
      <c r="AG26" s="47"/>
      <c r="AH26" s="47"/>
      <c r="AI26" s="47"/>
      <c r="AJ26" s="47"/>
      <c r="AK26" s="47"/>
      <c r="AL26" s="47"/>
    </row>
    <row r="27" spans="1:40" ht="15.6" x14ac:dyDescent="0.3">
      <c r="A27" s="63" t="s">
        <v>134</v>
      </c>
      <c r="B27" s="259"/>
      <c r="C27" s="63"/>
      <c r="D27" s="267"/>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47"/>
      <c r="AG27" s="47"/>
      <c r="AH27" s="47"/>
      <c r="AI27" s="47"/>
      <c r="AJ27" s="47"/>
      <c r="AK27" s="47"/>
      <c r="AL27" s="47"/>
    </row>
    <row r="28" spans="1:40" x14ac:dyDescent="0.3">
      <c r="A28" s="64" t="s">
        <v>135</v>
      </c>
      <c r="B28" s="260" t="s">
        <v>31</v>
      </c>
      <c r="C28" s="65" t="s">
        <v>136</v>
      </c>
      <c r="D28" s="65" t="s">
        <v>137</v>
      </c>
      <c r="E28" s="268" t="s">
        <v>138</v>
      </c>
      <c r="F28" s="65" t="s">
        <v>139</v>
      </c>
      <c r="G28" s="408" t="s">
        <v>140</v>
      </c>
      <c r="H28" s="528" t="s">
        <v>141</v>
      </c>
      <c r="I28" s="66" t="s">
        <v>142</v>
      </c>
      <c r="J28" s="65" t="s">
        <v>143</v>
      </c>
      <c r="K28" s="66" t="s">
        <v>144</v>
      </c>
      <c r="L28" s="6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65" t="s">
        <v>163</v>
      </c>
      <c r="AE28" s="172" t="s">
        <v>164</v>
      </c>
      <c r="AF28" s="47"/>
      <c r="AG28" s="47"/>
      <c r="AH28" s="47"/>
      <c r="AI28" s="47"/>
      <c r="AJ28" s="47"/>
      <c r="AK28" s="47"/>
      <c r="AL28" s="47"/>
    </row>
    <row r="29" spans="1:40" x14ac:dyDescent="0.3">
      <c r="A29" s="67" t="s">
        <v>165</v>
      </c>
      <c r="B29" s="68" t="s">
        <v>166</v>
      </c>
      <c r="C29" s="68" t="s">
        <v>167</v>
      </c>
      <c r="D29" s="69" t="s">
        <v>168</v>
      </c>
      <c r="E29" s="558" t="s">
        <v>893</v>
      </c>
      <c r="F29" s="671">
        <v>0.36599999999999999</v>
      </c>
      <c r="G29" s="672">
        <v>0.36699999999999999</v>
      </c>
      <c r="H29" s="673">
        <v>0.372</v>
      </c>
      <c r="I29" s="674" t="s">
        <v>170</v>
      </c>
      <c r="J29" s="675">
        <v>0.32700000000000001</v>
      </c>
      <c r="K29" s="674" t="s">
        <v>170</v>
      </c>
      <c r="L29" s="672">
        <v>0.35799999999999998</v>
      </c>
      <c r="M29" s="674" t="s">
        <v>170</v>
      </c>
      <c r="N29" s="672">
        <v>0.38</v>
      </c>
      <c r="O29" s="674" t="s">
        <v>170</v>
      </c>
      <c r="P29" s="672">
        <v>0.41099999999999998</v>
      </c>
      <c r="Q29" s="674" t="s">
        <v>170</v>
      </c>
      <c r="R29" s="69"/>
      <c r="S29" s="69"/>
      <c r="T29" s="69"/>
      <c r="U29" s="69"/>
      <c r="V29" s="69"/>
      <c r="W29" s="69"/>
      <c r="X29" s="69"/>
      <c r="Y29" s="71"/>
      <c r="Z29" s="71"/>
      <c r="AA29" s="71"/>
      <c r="AB29" s="71"/>
      <c r="AC29" s="71"/>
      <c r="AD29" s="71"/>
      <c r="AE29" s="156"/>
      <c r="AF29" s="47"/>
      <c r="AG29" s="47"/>
      <c r="AH29" s="47"/>
      <c r="AI29" s="47"/>
      <c r="AJ29" s="47"/>
      <c r="AK29" s="47"/>
      <c r="AL29" s="47"/>
    </row>
    <row r="30" spans="1:40" x14ac:dyDescent="0.3">
      <c r="A30" s="67" t="s">
        <v>165</v>
      </c>
      <c r="B30" s="68" t="s">
        <v>171</v>
      </c>
      <c r="C30" s="68" t="s">
        <v>167</v>
      </c>
      <c r="D30" s="68" t="s">
        <v>176</v>
      </c>
      <c r="E30" s="559" t="s">
        <v>894</v>
      </c>
      <c r="F30" s="676">
        <v>3.7000000000000002E-3</v>
      </c>
      <c r="G30" s="677">
        <v>2E-3</v>
      </c>
      <c r="H30" s="676">
        <v>2.8E-3</v>
      </c>
      <c r="I30" s="261" t="s">
        <v>895</v>
      </c>
      <c r="J30" s="678">
        <v>23595.82</v>
      </c>
      <c r="K30" s="261" t="s">
        <v>895</v>
      </c>
      <c r="L30" s="678">
        <v>66468.61</v>
      </c>
      <c r="M30" s="261" t="s">
        <v>895</v>
      </c>
      <c r="N30" s="678">
        <v>42764.61</v>
      </c>
      <c r="O30" s="261" t="s">
        <v>895</v>
      </c>
      <c r="P30" s="678">
        <v>42189.13</v>
      </c>
      <c r="Q30" s="261" t="s">
        <v>895</v>
      </c>
      <c r="R30" s="68"/>
      <c r="S30" s="68"/>
      <c r="T30" s="68"/>
      <c r="U30" s="68"/>
      <c r="V30" s="68"/>
      <c r="W30" s="68"/>
      <c r="X30" s="68"/>
      <c r="Y30" s="68"/>
      <c r="Z30" s="68"/>
      <c r="AA30" s="68"/>
      <c r="AB30" s="68"/>
      <c r="AC30" s="68"/>
      <c r="AD30" s="68"/>
      <c r="AE30" s="157"/>
      <c r="AF30" s="47"/>
      <c r="AG30" s="47"/>
      <c r="AH30" s="47"/>
      <c r="AI30" s="47"/>
      <c r="AJ30" s="47"/>
      <c r="AK30" s="47"/>
      <c r="AL30" s="47"/>
    </row>
    <row r="31" spans="1:40" x14ac:dyDescent="0.3">
      <c r="A31" s="67" t="s">
        <v>174</v>
      </c>
      <c r="B31" s="68" t="s">
        <v>896</v>
      </c>
      <c r="C31" s="68" t="s">
        <v>167</v>
      </c>
      <c r="D31" s="68" t="s">
        <v>176</v>
      </c>
      <c r="E31" s="559" t="s">
        <v>893</v>
      </c>
      <c r="F31" s="677">
        <v>0.53700000000000003</v>
      </c>
      <c r="G31" s="677" t="s">
        <v>897</v>
      </c>
      <c r="H31" s="679">
        <v>0.41799999999999998</v>
      </c>
      <c r="I31" s="261" t="s">
        <v>898</v>
      </c>
      <c r="J31" s="680">
        <v>0.72399999999999998</v>
      </c>
      <c r="K31" s="261" t="s">
        <v>898</v>
      </c>
      <c r="L31" s="677">
        <v>0.54100000000000004</v>
      </c>
      <c r="M31" s="261" t="s">
        <v>898</v>
      </c>
      <c r="N31" s="677">
        <v>0.58199999999999996</v>
      </c>
      <c r="O31" s="261" t="s">
        <v>898</v>
      </c>
      <c r="P31" s="677">
        <v>0.63100000000000001</v>
      </c>
      <c r="Q31" s="261" t="s">
        <v>898</v>
      </c>
      <c r="R31" s="68"/>
      <c r="S31" s="68"/>
      <c r="T31" s="68"/>
      <c r="U31" s="68"/>
      <c r="V31" s="68"/>
      <c r="W31" s="68"/>
      <c r="X31" s="68"/>
      <c r="Y31" s="73"/>
      <c r="Z31" s="73"/>
      <c r="AA31" s="73"/>
      <c r="AB31" s="73"/>
      <c r="AC31" s="73"/>
      <c r="AD31" s="73"/>
      <c r="AE31" s="158"/>
      <c r="AF31" s="47"/>
      <c r="AG31" s="47"/>
      <c r="AH31" s="47"/>
      <c r="AI31" s="47"/>
      <c r="AJ31" s="47"/>
      <c r="AK31" s="47"/>
      <c r="AL31" s="47"/>
    </row>
    <row r="32" spans="1:40" x14ac:dyDescent="0.3">
      <c r="A32" s="67" t="s">
        <v>174</v>
      </c>
      <c r="B32" s="68" t="s">
        <v>899</v>
      </c>
      <c r="C32" s="68" t="s">
        <v>167</v>
      </c>
      <c r="D32" s="68" t="s">
        <v>176</v>
      </c>
      <c r="E32" s="559" t="s">
        <v>893</v>
      </c>
      <c r="F32" s="677">
        <v>0.74080000000000001</v>
      </c>
      <c r="G32" s="677">
        <v>0.77</v>
      </c>
      <c r="H32" s="677">
        <v>0.71199999999999997</v>
      </c>
      <c r="I32" s="261" t="s">
        <v>900</v>
      </c>
      <c r="J32" s="681">
        <v>76.900000000000006</v>
      </c>
      <c r="K32" s="261" t="s">
        <v>900</v>
      </c>
      <c r="L32" s="677">
        <v>0.77</v>
      </c>
      <c r="M32" s="261" t="s">
        <v>900</v>
      </c>
      <c r="N32" s="677">
        <v>0.74</v>
      </c>
      <c r="O32" s="261" t="s">
        <v>900</v>
      </c>
      <c r="P32" s="677" t="s">
        <v>901</v>
      </c>
      <c r="Q32" s="261" t="s">
        <v>900</v>
      </c>
      <c r="R32" s="68"/>
      <c r="S32" s="68"/>
      <c r="T32" s="68"/>
      <c r="U32" s="68"/>
      <c r="V32" s="68"/>
      <c r="W32" s="68"/>
      <c r="X32" s="68"/>
      <c r="Y32" s="68"/>
      <c r="Z32" s="68"/>
      <c r="AA32" s="68"/>
      <c r="AB32" s="68"/>
      <c r="AC32" s="68"/>
      <c r="AD32" s="68"/>
      <c r="AE32" s="157"/>
      <c r="AF32" s="47"/>
      <c r="AG32" s="47"/>
      <c r="AH32" s="47"/>
      <c r="AI32" s="47"/>
      <c r="AJ32" s="47"/>
      <c r="AK32" s="47"/>
      <c r="AL32" s="47"/>
    </row>
    <row r="33" spans="1:38" x14ac:dyDescent="0.3">
      <c r="A33" s="67" t="s">
        <v>174</v>
      </c>
      <c r="B33" s="68" t="s">
        <v>902</v>
      </c>
      <c r="C33" s="68" t="s">
        <v>167</v>
      </c>
      <c r="D33" s="68" t="s">
        <v>176</v>
      </c>
      <c r="E33" s="559" t="s">
        <v>893</v>
      </c>
      <c r="F33" s="677">
        <v>0.88070000000000004</v>
      </c>
      <c r="G33" s="677">
        <v>0.86599999999999999</v>
      </c>
      <c r="H33" s="679">
        <v>0.82369999999999999</v>
      </c>
      <c r="I33" s="261" t="s">
        <v>900</v>
      </c>
      <c r="J33" s="680">
        <v>0.84770000000000001</v>
      </c>
      <c r="K33" s="261" t="s">
        <v>900</v>
      </c>
      <c r="L33" s="677">
        <v>0.84770000000000001</v>
      </c>
      <c r="M33" s="261" t="s">
        <v>900</v>
      </c>
      <c r="N33" s="677">
        <v>0.75329999999999997</v>
      </c>
      <c r="O33" s="261" t="s">
        <v>900</v>
      </c>
      <c r="P33" s="677">
        <v>0.89539999999999997</v>
      </c>
      <c r="Q33" s="261" t="s">
        <v>900</v>
      </c>
      <c r="R33" s="68"/>
      <c r="S33" s="68"/>
      <c r="T33" s="68"/>
      <c r="U33" s="68"/>
      <c r="V33" s="68"/>
      <c r="W33" s="68"/>
      <c r="X33" s="68"/>
      <c r="Y33" s="68"/>
      <c r="Z33" s="68"/>
      <c r="AA33" s="68"/>
      <c r="AB33" s="68"/>
      <c r="AC33" s="68"/>
      <c r="AD33" s="68"/>
      <c r="AE33" s="157"/>
      <c r="AF33" s="47"/>
      <c r="AG33" s="47"/>
      <c r="AH33" s="47"/>
      <c r="AI33" s="47"/>
      <c r="AJ33" s="47"/>
      <c r="AK33" s="47"/>
      <c r="AL33" s="47"/>
    </row>
    <row r="34" spans="1:38" x14ac:dyDescent="0.3">
      <c r="A34" s="67" t="s">
        <v>174</v>
      </c>
      <c r="B34" s="68" t="s">
        <v>200</v>
      </c>
      <c r="C34" s="68" t="s">
        <v>167</v>
      </c>
      <c r="D34" s="68" t="s">
        <v>176</v>
      </c>
      <c r="E34" s="559" t="s">
        <v>893</v>
      </c>
      <c r="F34" s="677" t="s">
        <v>903</v>
      </c>
      <c r="G34" s="677" t="s">
        <v>903</v>
      </c>
      <c r="H34" s="261" t="s">
        <v>903</v>
      </c>
      <c r="I34" s="261" t="s">
        <v>903</v>
      </c>
      <c r="J34" s="97" t="s">
        <v>903</v>
      </c>
      <c r="K34" s="261" t="s">
        <v>903</v>
      </c>
      <c r="L34" s="261" t="s">
        <v>903</v>
      </c>
      <c r="M34" s="261" t="s">
        <v>903</v>
      </c>
      <c r="N34" s="261" t="s">
        <v>903</v>
      </c>
      <c r="O34" s="261" t="s">
        <v>903</v>
      </c>
      <c r="P34" s="261" t="s">
        <v>903</v>
      </c>
      <c r="Q34" s="261" t="s">
        <v>903</v>
      </c>
      <c r="R34" s="68"/>
      <c r="S34" s="68"/>
      <c r="T34" s="68"/>
      <c r="U34" s="68"/>
      <c r="V34" s="68"/>
      <c r="W34" s="68"/>
      <c r="X34" s="68"/>
      <c r="Y34" s="68"/>
      <c r="Z34" s="68"/>
      <c r="AA34" s="68"/>
      <c r="AB34" s="68"/>
      <c r="AC34" s="68"/>
      <c r="AD34" s="68"/>
      <c r="AE34" s="157"/>
      <c r="AF34" s="47"/>
      <c r="AG34" s="47"/>
      <c r="AH34" s="47"/>
      <c r="AI34" s="47"/>
      <c r="AJ34" s="47"/>
      <c r="AK34" s="47"/>
      <c r="AL34" s="47"/>
    </row>
    <row r="35" spans="1:38" x14ac:dyDescent="0.3">
      <c r="A35" s="67" t="s">
        <v>174</v>
      </c>
      <c r="B35" s="68" t="s">
        <v>904</v>
      </c>
      <c r="C35" s="68" t="s">
        <v>167</v>
      </c>
      <c r="D35" s="68" t="s">
        <v>176</v>
      </c>
      <c r="E35" s="559" t="s">
        <v>893</v>
      </c>
      <c r="F35" s="677">
        <v>0.63790000000000002</v>
      </c>
      <c r="G35" s="682">
        <v>86.6</v>
      </c>
      <c r="H35" s="679">
        <v>0.83189999999999997</v>
      </c>
      <c r="I35" s="261" t="s">
        <v>898</v>
      </c>
      <c r="J35" s="680">
        <v>0.85399999999999998</v>
      </c>
      <c r="K35" s="261" t="s">
        <v>898</v>
      </c>
      <c r="L35" s="677">
        <v>0.80430000000000001</v>
      </c>
      <c r="M35" s="261" t="s">
        <v>898</v>
      </c>
      <c r="N35" s="677">
        <v>0.78469999999999995</v>
      </c>
      <c r="O35" s="261" t="s">
        <v>898</v>
      </c>
      <c r="P35" s="677">
        <v>0.70469999999999999</v>
      </c>
      <c r="Q35" s="261" t="s">
        <v>898</v>
      </c>
      <c r="R35" s="68"/>
      <c r="S35" s="68"/>
      <c r="T35" s="68"/>
      <c r="U35" s="68"/>
      <c r="V35" s="68"/>
      <c r="W35" s="68"/>
      <c r="X35" s="68"/>
      <c r="Y35" s="73"/>
      <c r="Z35" s="73"/>
      <c r="AA35" s="73"/>
      <c r="AB35" s="73"/>
      <c r="AC35" s="73"/>
      <c r="AD35" s="73"/>
      <c r="AE35" s="158"/>
      <c r="AF35" s="47"/>
      <c r="AG35" s="47"/>
      <c r="AH35" s="47"/>
      <c r="AI35" s="47"/>
      <c r="AJ35" s="47"/>
      <c r="AK35" s="47"/>
      <c r="AL35" s="47"/>
    </row>
    <row r="36" spans="1:38" x14ac:dyDescent="0.3">
      <c r="A36" s="67" t="s">
        <v>174</v>
      </c>
      <c r="B36" s="68" t="s">
        <v>185</v>
      </c>
      <c r="C36" s="68" t="s">
        <v>186</v>
      </c>
      <c r="D36" s="68" t="s">
        <v>176</v>
      </c>
      <c r="E36" s="559" t="s">
        <v>893</v>
      </c>
      <c r="F36" s="683">
        <v>8.499305555555555</v>
      </c>
      <c r="G36" s="683">
        <v>8.3333333333333339</v>
      </c>
      <c r="H36" s="684">
        <v>6.0243055555555554</v>
      </c>
      <c r="I36" s="261" t="s">
        <v>905</v>
      </c>
      <c r="J36" s="685">
        <v>6.3715277777777777</v>
      </c>
      <c r="K36" s="261" t="s">
        <v>903</v>
      </c>
      <c r="L36" s="684">
        <v>10.325694444444444</v>
      </c>
      <c r="M36" s="261" t="s">
        <v>903</v>
      </c>
      <c r="N36" s="684">
        <v>11.924305555555556</v>
      </c>
      <c r="O36" s="261" t="s">
        <v>903</v>
      </c>
      <c r="P36" s="684">
        <v>10.704166666666667</v>
      </c>
      <c r="Q36" s="261" t="s">
        <v>903</v>
      </c>
      <c r="R36" s="68"/>
      <c r="S36" s="68"/>
      <c r="T36" s="68"/>
      <c r="U36" s="68"/>
      <c r="V36" s="68"/>
      <c r="W36" s="68"/>
      <c r="X36" s="68"/>
      <c r="Y36" s="68"/>
      <c r="Z36" s="68"/>
      <c r="AA36" s="68"/>
      <c r="AB36" s="68"/>
      <c r="AC36" s="68"/>
      <c r="AD36" s="68"/>
      <c r="AE36" s="157"/>
      <c r="AF36" s="47"/>
      <c r="AG36" s="47"/>
      <c r="AH36" s="47"/>
      <c r="AI36" s="47"/>
      <c r="AJ36" s="47"/>
      <c r="AK36" s="47"/>
      <c r="AL36" s="47"/>
    </row>
    <row r="37" spans="1:38" x14ac:dyDescent="0.3">
      <c r="A37" s="67" t="s">
        <v>174</v>
      </c>
      <c r="B37" s="68" t="s">
        <v>190</v>
      </c>
      <c r="C37" s="68" t="s">
        <v>186</v>
      </c>
      <c r="D37" s="68" t="s">
        <v>176</v>
      </c>
      <c r="E37" s="559" t="s">
        <v>894</v>
      </c>
      <c r="F37" s="686">
        <v>2.0833333333333332E-2</v>
      </c>
      <c r="G37" s="686">
        <v>3.4722222222222224E-2</v>
      </c>
      <c r="H37" s="687">
        <v>2.0833333333333332E-2</v>
      </c>
      <c r="I37" s="261" t="s">
        <v>903</v>
      </c>
      <c r="J37" s="688">
        <v>2.013888888888889E-2</v>
      </c>
      <c r="K37" s="261" t="s">
        <v>903</v>
      </c>
      <c r="L37" s="684">
        <v>1.7361111111111112E-2</v>
      </c>
      <c r="M37" s="261" t="s">
        <v>903</v>
      </c>
      <c r="N37" s="684">
        <v>1.8055555555555554E-2</v>
      </c>
      <c r="O37" s="261" t="s">
        <v>903</v>
      </c>
      <c r="P37" s="684">
        <v>2.2222222222222223E-2</v>
      </c>
      <c r="Q37" s="261" t="s">
        <v>903</v>
      </c>
      <c r="R37" s="68"/>
      <c r="S37" s="68"/>
      <c r="T37" s="68"/>
      <c r="U37" s="68"/>
      <c r="V37" s="68"/>
      <c r="W37" s="68"/>
      <c r="X37" s="68"/>
      <c r="Y37" s="73"/>
      <c r="Z37" s="73"/>
      <c r="AA37" s="73"/>
      <c r="AB37" s="73"/>
      <c r="AC37" s="73"/>
      <c r="AD37" s="73"/>
      <c r="AE37" s="158"/>
      <c r="AF37" s="47"/>
      <c r="AG37" s="47"/>
      <c r="AH37" s="47"/>
      <c r="AI37" s="47"/>
      <c r="AJ37" s="47"/>
      <c r="AK37" s="47"/>
      <c r="AL37" s="47"/>
    </row>
    <row r="38" spans="1:38" x14ac:dyDescent="0.3">
      <c r="A38" s="67" t="s">
        <v>174</v>
      </c>
      <c r="B38" s="68" t="s">
        <v>195</v>
      </c>
      <c r="C38" s="68" t="s">
        <v>196</v>
      </c>
      <c r="D38" s="489" t="s">
        <v>176</v>
      </c>
      <c r="E38" s="559" t="s">
        <v>894</v>
      </c>
      <c r="F38" s="689">
        <v>785490</v>
      </c>
      <c r="G38" s="690">
        <v>421705</v>
      </c>
      <c r="H38" s="691">
        <v>100336.44</v>
      </c>
      <c r="I38" s="261" t="s">
        <v>900</v>
      </c>
      <c r="J38" s="94">
        <v>32904</v>
      </c>
      <c r="K38" s="261" t="s">
        <v>900</v>
      </c>
      <c r="L38" s="689">
        <v>40106</v>
      </c>
      <c r="M38" s="261" t="s">
        <v>900</v>
      </c>
      <c r="N38" s="689">
        <v>83345.63</v>
      </c>
      <c r="O38" s="261" t="s">
        <v>900</v>
      </c>
      <c r="P38" s="689">
        <v>102906.25</v>
      </c>
      <c r="Q38" s="261" t="s">
        <v>900</v>
      </c>
      <c r="R38" s="68"/>
      <c r="S38" s="68"/>
      <c r="T38" s="68"/>
      <c r="U38" s="68"/>
      <c r="V38" s="68"/>
      <c r="W38" s="68"/>
      <c r="X38" s="68"/>
      <c r="Y38" s="68"/>
      <c r="Z38" s="68"/>
      <c r="AA38" s="68"/>
      <c r="AB38" s="68"/>
      <c r="AC38" s="68"/>
      <c r="AD38" s="68"/>
      <c r="AE38" s="157"/>
      <c r="AF38" s="47"/>
      <c r="AG38" s="47"/>
      <c r="AH38" s="47"/>
      <c r="AI38" s="47"/>
      <c r="AJ38" s="47"/>
      <c r="AK38" s="47"/>
      <c r="AL38" s="47"/>
    </row>
    <row r="39" spans="1:38" ht="17.399999999999999" x14ac:dyDescent="0.3">
      <c r="A39" s="67" t="s">
        <v>174</v>
      </c>
      <c r="B39" s="68" t="s">
        <v>197</v>
      </c>
      <c r="C39" s="68" t="s">
        <v>196</v>
      </c>
      <c r="D39" s="68" t="s">
        <v>176</v>
      </c>
      <c r="E39" s="559" t="s">
        <v>894</v>
      </c>
      <c r="F39" s="689">
        <v>11267</v>
      </c>
      <c r="G39" s="691">
        <v>-129647</v>
      </c>
      <c r="H39" s="692">
        <v>12008</v>
      </c>
      <c r="I39" s="261"/>
      <c r="J39" s="94">
        <v>12431</v>
      </c>
      <c r="K39" s="261"/>
      <c r="L39" s="689">
        <v>11056</v>
      </c>
      <c r="M39" s="261"/>
      <c r="N39" s="689">
        <v>10502</v>
      </c>
      <c r="O39" s="261"/>
      <c r="P39" s="689">
        <v>10724</v>
      </c>
      <c r="Q39" s="1019"/>
      <c r="R39" s="68"/>
      <c r="S39" s="68"/>
      <c r="T39" s="68"/>
      <c r="U39" s="68"/>
      <c r="V39" s="68"/>
      <c r="W39" s="68"/>
      <c r="X39" s="68"/>
      <c r="Y39" s="73"/>
      <c r="Z39" s="73"/>
      <c r="AA39" s="73"/>
      <c r="AB39" s="73"/>
      <c r="AC39" s="73"/>
      <c r="AD39" s="73"/>
      <c r="AE39" s="158"/>
      <c r="AF39" s="47"/>
      <c r="AG39" s="47"/>
      <c r="AH39" s="47"/>
      <c r="AI39" s="47"/>
      <c r="AJ39" s="47"/>
      <c r="AK39" s="47"/>
      <c r="AL39" s="47"/>
    </row>
    <row r="40" spans="1:38" x14ac:dyDescent="0.3">
      <c r="A40" s="67" t="s">
        <v>200</v>
      </c>
      <c r="B40" s="68" t="s">
        <v>201</v>
      </c>
      <c r="C40" s="68" t="s">
        <v>202</v>
      </c>
      <c r="D40" s="68" t="s">
        <v>176</v>
      </c>
      <c r="E40" s="559" t="s">
        <v>894</v>
      </c>
      <c r="F40" s="693">
        <v>21979</v>
      </c>
      <c r="G40" s="693">
        <v>21000</v>
      </c>
      <c r="H40" s="261">
        <v>1837</v>
      </c>
      <c r="I40" s="261" t="s">
        <v>895</v>
      </c>
      <c r="J40" s="694">
        <v>1926</v>
      </c>
      <c r="K40" s="261" t="s">
        <v>895</v>
      </c>
      <c r="L40" s="261">
        <v>2902</v>
      </c>
      <c r="M40" s="261" t="s">
        <v>895</v>
      </c>
      <c r="N40" s="261">
        <v>2870</v>
      </c>
      <c r="O40" s="261" t="s">
        <v>895</v>
      </c>
      <c r="P40" s="261">
        <v>2522</v>
      </c>
      <c r="Q40" s="261" t="s">
        <v>895</v>
      </c>
      <c r="R40" s="68"/>
      <c r="S40" s="68"/>
      <c r="T40" s="68"/>
      <c r="U40" s="68"/>
      <c r="V40" s="68"/>
      <c r="W40" s="68"/>
      <c r="X40" s="68"/>
      <c r="Y40" s="68"/>
      <c r="Z40" s="68"/>
      <c r="AA40" s="68"/>
      <c r="AB40" s="68"/>
      <c r="AC40" s="68"/>
      <c r="AD40" s="68"/>
      <c r="AE40" s="157"/>
      <c r="AF40" s="47"/>
      <c r="AG40" s="47"/>
      <c r="AH40" s="47"/>
      <c r="AI40" s="47"/>
      <c r="AJ40" s="47"/>
      <c r="AK40" s="47"/>
      <c r="AL40" s="47"/>
    </row>
    <row r="41" spans="1:38" x14ac:dyDescent="0.3">
      <c r="A41" s="67" t="s">
        <v>200</v>
      </c>
      <c r="B41" s="68" t="s">
        <v>204</v>
      </c>
      <c r="C41" s="68" t="s">
        <v>202</v>
      </c>
      <c r="D41" s="68" t="s">
        <v>176</v>
      </c>
      <c r="E41" s="559" t="s">
        <v>894</v>
      </c>
      <c r="F41" s="695">
        <v>34297</v>
      </c>
      <c r="G41" s="693">
        <v>30000</v>
      </c>
      <c r="H41" s="261">
        <v>2474</v>
      </c>
      <c r="I41" s="261" t="s">
        <v>903</v>
      </c>
      <c r="J41" s="97">
        <v>2249</v>
      </c>
      <c r="K41" s="261"/>
      <c r="L41" s="261">
        <v>0</v>
      </c>
      <c r="M41" s="261"/>
      <c r="N41" s="261">
        <v>0</v>
      </c>
      <c r="O41" s="261"/>
      <c r="P41" s="261">
        <v>0</v>
      </c>
      <c r="Q41" s="68"/>
      <c r="R41" s="68"/>
      <c r="S41" s="68"/>
      <c r="T41" s="68"/>
      <c r="U41" s="68"/>
      <c r="V41" s="68"/>
      <c r="W41" s="68"/>
      <c r="X41" s="68"/>
      <c r="Y41" s="73"/>
      <c r="Z41" s="73"/>
      <c r="AA41" s="73"/>
      <c r="AB41" s="73"/>
      <c r="AC41" s="73"/>
      <c r="AD41" s="73"/>
      <c r="AE41" s="158"/>
      <c r="AF41" s="47"/>
      <c r="AG41" s="47"/>
      <c r="AH41" s="47"/>
      <c r="AI41" s="47"/>
      <c r="AJ41" s="47"/>
      <c r="AK41" s="47"/>
      <c r="AL41" s="47"/>
    </row>
    <row r="42" spans="1:38" x14ac:dyDescent="0.3">
      <c r="A42" s="67" t="s">
        <v>200</v>
      </c>
      <c r="B42" s="68" t="s">
        <v>210</v>
      </c>
      <c r="C42" s="68" t="s">
        <v>167</v>
      </c>
      <c r="D42" s="68" t="s">
        <v>168</v>
      </c>
      <c r="E42" s="559" t="s">
        <v>894</v>
      </c>
      <c r="F42" s="677">
        <v>8.6999999999999994E-3</v>
      </c>
      <c r="G42" s="677" t="s">
        <v>906</v>
      </c>
      <c r="H42" s="677">
        <v>1.11E-2</v>
      </c>
      <c r="I42" s="261" t="s">
        <v>907</v>
      </c>
      <c r="J42" s="680">
        <v>8.5000000000000006E-3</v>
      </c>
      <c r="K42" s="261" t="s">
        <v>907</v>
      </c>
      <c r="L42" s="677">
        <v>1.0699999999999999E-2</v>
      </c>
      <c r="M42" s="261" t="s">
        <v>907</v>
      </c>
      <c r="N42" s="677">
        <v>1.44E-2</v>
      </c>
      <c r="O42" s="261" t="s">
        <v>907</v>
      </c>
      <c r="P42" s="677" t="s">
        <v>908</v>
      </c>
      <c r="Q42" s="261" t="s">
        <v>907</v>
      </c>
      <c r="R42" s="68"/>
      <c r="S42" s="68"/>
      <c r="T42" s="68"/>
      <c r="U42" s="68"/>
      <c r="V42" s="68"/>
      <c r="W42" s="68"/>
      <c r="X42" s="68"/>
      <c r="Y42" s="68"/>
      <c r="Z42" s="68"/>
      <c r="AA42" s="68"/>
      <c r="AB42" s="68"/>
      <c r="AC42" s="68"/>
      <c r="AD42" s="68"/>
      <c r="AE42" s="157"/>
      <c r="AF42" s="47"/>
      <c r="AG42" s="47"/>
      <c r="AH42" s="47"/>
      <c r="AI42" s="47"/>
      <c r="AJ42" s="47"/>
      <c r="AK42" s="47"/>
      <c r="AL42" s="47"/>
    </row>
    <row r="43" spans="1:38" x14ac:dyDescent="0.3">
      <c r="A43" s="67" t="s">
        <v>200</v>
      </c>
      <c r="B43" s="68" t="s">
        <v>214</v>
      </c>
      <c r="C43" s="68" t="s">
        <v>215</v>
      </c>
      <c r="D43" s="68" t="s">
        <v>216</v>
      </c>
      <c r="E43" s="559" t="s">
        <v>894</v>
      </c>
      <c r="F43" s="261">
        <v>19</v>
      </c>
      <c r="G43" s="261">
        <v>14</v>
      </c>
      <c r="H43" s="696">
        <v>3</v>
      </c>
      <c r="I43" s="261" t="s">
        <v>909</v>
      </c>
      <c r="J43" s="97">
        <v>0</v>
      </c>
      <c r="K43" s="261" t="s">
        <v>903</v>
      </c>
      <c r="L43" s="703">
        <v>1</v>
      </c>
      <c r="M43" s="261" t="s">
        <v>903</v>
      </c>
      <c r="N43" s="261">
        <v>2</v>
      </c>
      <c r="O43" s="261"/>
      <c r="P43" s="261">
        <v>4</v>
      </c>
      <c r="Q43" s="261" t="s">
        <v>903</v>
      </c>
      <c r="R43" s="68"/>
      <c r="S43" s="68"/>
      <c r="T43" s="68"/>
      <c r="U43" s="68"/>
      <c r="V43" s="68"/>
      <c r="W43" s="68"/>
      <c r="X43" s="68"/>
      <c r="Y43" s="73"/>
      <c r="Z43" s="73"/>
      <c r="AA43" s="73"/>
      <c r="AB43" s="73"/>
      <c r="AC43" s="73"/>
      <c r="AD43" s="73"/>
      <c r="AE43" s="158"/>
      <c r="AF43" s="47"/>
      <c r="AG43" s="47"/>
      <c r="AH43" s="47"/>
      <c r="AI43" s="47"/>
      <c r="AJ43" s="47"/>
      <c r="AK43" s="47"/>
      <c r="AL43" s="47"/>
    </row>
    <row r="44" spans="1:38" x14ac:dyDescent="0.3">
      <c r="A44" s="67" t="s">
        <v>218</v>
      </c>
      <c r="B44" s="68" t="s">
        <v>219</v>
      </c>
      <c r="C44" s="68" t="s">
        <v>220</v>
      </c>
      <c r="D44" s="261">
        <v>24</v>
      </c>
      <c r="E44" s="559" t="s">
        <v>894</v>
      </c>
      <c r="F44" s="261">
        <v>10</v>
      </c>
      <c r="G44" s="261">
        <v>20</v>
      </c>
      <c r="H44" s="261">
        <v>24</v>
      </c>
      <c r="I44" s="261" t="s">
        <v>910</v>
      </c>
      <c r="J44" s="97">
        <v>26</v>
      </c>
      <c r="K44" s="261" t="s">
        <v>903</v>
      </c>
      <c r="L44" s="261">
        <v>0</v>
      </c>
      <c r="M44" s="261" t="s">
        <v>903</v>
      </c>
      <c r="N44" s="261">
        <v>0</v>
      </c>
      <c r="O44" s="261" t="s">
        <v>903</v>
      </c>
      <c r="P44" s="261">
        <v>13</v>
      </c>
      <c r="Q44" s="261" t="s">
        <v>903</v>
      </c>
      <c r="R44" s="68"/>
      <c r="S44" s="68"/>
      <c r="T44" s="68"/>
      <c r="U44" s="68"/>
      <c r="V44" s="68"/>
      <c r="W44" s="68"/>
      <c r="X44" s="68"/>
      <c r="Y44" s="68"/>
      <c r="Z44" s="68"/>
      <c r="AA44" s="68"/>
      <c r="AB44" s="68"/>
      <c r="AC44" s="68"/>
      <c r="AD44" s="68"/>
      <c r="AE44" s="157"/>
      <c r="AF44" s="47"/>
      <c r="AG44" s="47"/>
      <c r="AH44" s="47"/>
      <c r="AI44" s="47"/>
      <c r="AJ44" s="47"/>
      <c r="AK44" s="47"/>
      <c r="AL44" s="47"/>
    </row>
    <row r="45" spans="1:38" ht="15.6" x14ac:dyDescent="0.3">
      <c r="A45" s="67" t="s">
        <v>222</v>
      </c>
      <c r="B45" s="68" t="s">
        <v>223</v>
      </c>
      <c r="C45" s="68" t="s">
        <v>167</v>
      </c>
      <c r="D45" s="68" t="s">
        <v>224</v>
      </c>
      <c r="E45" s="559" t="s">
        <v>893</v>
      </c>
      <c r="F45" s="697">
        <v>0.5</v>
      </c>
      <c r="G45" s="697"/>
      <c r="H45" s="698">
        <v>1</v>
      </c>
      <c r="I45" s="261"/>
      <c r="J45" s="699">
        <v>1</v>
      </c>
      <c r="K45" s="261"/>
      <c r="L45" s="697">
        <v>1</v>
      </c>
      <c r="M45" s="261"/>
      <c r="N45" s="697">
        <v>1</v>
      </c>
      <c r="O45" s="261"/>
      <c r="P45" s="697">
        <v>1</v>
      </c>
      <c r="Q45" s="261"/>
      <c r="R45" s="68"/>
      <c r="S45" s="68"/>
      <c r="T45" s="68"/>
      <c r="U45" s="68"/>
      <c r="V45" s="68"/>
      <c r="W45" s="68"/>
      <c r="X45" s="68"/>
      <c r="Y45" s="73"/>
      <c r="Z45" s="73"/>
      <c r="AA45" s="73"/>
      <c r="AB45" s="73"/>
      <c r="AC45" s="73"/>
      <c r="AD45" s="73"/>
      <c r="AE45" s="158"/>
      <c r="AF45" s="47"/>
      <c r="AG45" s="47"/>
      <c r="AH45" s="47"/>
      <c r="AI45" s="47"/>
      <c r="AJ45" s="473" t="s">
        <v>227</v>
      </c>
      <c r="AK45" s="473"/>
      <c r="AL45" s="47"/>
    </row>
    <row r="46" spans="1:38" x14ac:dyDescent="0.3">
      <c r="A46" s="67" t="s">
        <v>228</v>
      </c>
      <c r="B46" s="68" t="s">
        <v>229</v>
      </c>
      <c r="C46" s="68" t="s">
        <v>167</v>
      </c>
      <c r="D46" s="68" t="s">
        <v>176</v>
      </c>
      <c r="E46" s="559" t="s">
        <v>893</v>
      </c>
      <c r="F46" s="697">
        <v>0.53</v>
      </c>
      <c r="G46" s="697">
        <v>1</v>
      </c>
      <c r="H46" s="697">
        <v>0.72</v>
      </c>
      <c r="I46" s="261" t="s">
        <v>911</v>
      </c>
      <c r="J46" s="699">
        <v>0.87</v>
      </c>
      <c r="K46" s="261" t="s">
        <v>911</v>
      </c>
      <c r="L46" s="261" t="s">
        <v>912</v>
      </c>
      <c r="M46" s="261" t="s">
        <v>911</v>
      </c>
      <c r="N46" s="697">
        <v>0.61</v>
      </c>
      <c r="O46" s="261" t="s">
        <v>911</v>
      </c>
      <c r="P46" s="697">
        <v>1</v>
      </c>
      <c r="Q46" s="261" t="s">
        <v>911</v>
      </c>
      <c r="R46" s="68"/>
      <c r="S46" s="68"/>
      <c r="T46" s="68"/>
      <c r="U46" s="68"/>
      <c r="V46" s="68"/>
      <c r="W46" s="68"/>
      <c r="X46" s="68"/>
      <c r="Y46" s="68"/>
      <c r="Z46" s="68"/>
      <c r="AA46" s="68"/>
      <c r="AB46" s="68"/>
      <c r="AC46" s="68"/>
      <c r="AD46" s="68"/>
      <c r="AE46" s="157"/>
      <c r="AF46" s="47"/>
      <c r="AG46" s="47"/>
      <c r="AH46" s="47"/>
      <c r="AI46" s="47"/>
      <c r="AJ46" s="476" t="s">
        <v>232</v>
      </c>
      <c r="AK46" s="476" t="s">
        <v>233</v>
      </c>
      <c r="AL46" s="47"/>
    </row>
    <row r="47" spans="1:38" x14ac:dyDescent="0.3">
      <c r="A47" s="67" t="s">
        <v>174</v>
      </c>
      <c r="B47" s="68" t="s">
        <v>234</v>
      </c>
      <c r="C47" s="68" t="s">
        <v>186</v>
      </c>
      <c r="D47" s="68" t="s">
        <v>176</v>
      </c>
      <c r="E47" s="559" t="s">
        <v>893</v>
      </c>
      <c r="F47" s="700">
        <v>18.708333333333332</v>
      </c>
      <c r="G47" s="700">
        <v>14.583333333333334</v>
      </c>
      <c r="H47" s="701">
        <v>0.3689351851851852</v>
      </c>
      <c r="I47" s="261"/>
      <c r="J47" s="685">
        <v>19.333333333333332</v>
      </c>
      <c r="K47" s="261"/>
      <c r="L47" s="684">
        <v>9.0969700290261155</v>
      </c>
      <c r="M47" s="261"/>
      <c r="N47" s="700">
        <v>19.458333333333332</v>
      </c>
      <c r="O47" s="68"/>
      <c r="P47" s="700">
        <v>18.583333333333332</v>
      </c>
      <c r="Q47" s="261"/>
      <c r="R47" s="68"/>
      <c r="S47" s="68"/>
      <c r="T47" s="68"/>
      <c r="U47" s="68"/>
      <c r="V47" s="68"/>
      <c r="W47" s="68"/>
      <c r="X47" s="68"/>
      <c r="Y47" s="73"/>
      <c r="Z47" s="73"/>
      <c r="AA47" s="73"/>
      <c r="AB47" s="73"/>
      <c r="AC47" s="73"/>
      <c r="AD47" s="73"/>
      <c r="AE47" s="158"/>
      <c r="AF47" s="47"/>
      <c r="AG47" s="47"/>
      <c r="AH47" s="47"/>
      <c r="AI47" s="47"/>
      <c r="AJ47" s="239" t="s">
        <v>26</v>
      </c>
      <c r="AK47" s="477">
        <f>SUMIF($AK$55:$AK$128,AJ47,$AM$55:$AM$128)</f>
        <v>0</v>
      </c>
      <c r="AL47" s="47"/>
    </row>
    <row r="48" spans="1:38" x14ac:dyDescent="0.3">
      <c r="A48" s="67" t="s">
        <v>174</v>
      </c>
      <c r="B48" s="68" t="s">
        <v>243</v>
      </c>
      <c r="C48" s="68" t="s">
        <v>186</v>
      </c>
      <c r="D48" s="68" t="s">
        <v>176</v>
      </c>
      <c r="E48" s="559" t="s">
        <v>894</v>
      </c>
      <c r="F48" s="682">
        <v>2.2916666666666665E-2</v>
      </c>
      <c r="G48" s="682">
        <v>2.0833333333333332E-2</v>
      </c>
      <c r="H48" s="702">
        <v>2.4814814814814814E-2</v>
      </c>
      <c r="I48" s="261"/>
      <c r="J48" s="688">
        <v>2.7083333333333334E-2</v>
      </c>
      <c r="K48" s="261"/>
      <c r="L48" s="684">
        <v>1.0416666666666666E-2</v>
      </c>
      <c r="M48" s="261"/>
      <c r="N48" s="682">
        <v>9.0277777777777769E-3</v>
      </c>
      <c r="O48" s="68"/>
      <c r="P48" s="682">
        <v>6.2500000000000003E-3</v>
      </c>
      <c r="Q48" s="261"/>
      <c r="R48" s="68"/>
      <c r="S48" s="68"/>
      <c r="T48" s="68"/>
      <c r="U48" s="68"/>
      <c r="V48" s="68"/>
      <c r="W48" s="68"/>
      <c r="X48" s="68"/>
      <c r="Y48" s="68"/>
      <c r="Z48" s="68"/>
      <c r="AA48" s="68"/>
      <c r="AB48" s="68"/>
      <c r="AC48" s="68"/>
      <c r="AD48" s="68"/>
      <c r="AE48" s="157"/>
      <c r="AF48" s="47"/>
      <c r="AG48" s="47"/>
      <c r="AH48" s="47"/>
      <c r="AI48" s="47"/>
      <c r="AJ48" s="265" t="s">
        <v>27</v>
      </c>
      <c r="AK48" s="478">
        <f>SUMIF($AK$55:$AK$128,AJ48,$AM$55:$AM$128)</f>
        <v>0</v>
      </c>
      <c r="AL48" s="47"/>
    </row>
    <row r="49" spans="1:42" s="863" customFormat="1" x14ac:dyDescent="0.3">
      <c r="A49" s="864" t="s">
        <v>246</v>
      </c>
      <c r="B49" s="865" t="s">
        <v>247</v>
      </c>
      <c r="C49" s="865" t="s">
        <v>248</v>
      </c>
      <c r="D49" s="865" t="s">
        <v>168</v>
      </c>
      <c r="E49" s="866" t="s">
        <v>169</v>
      </c>
      <c r="F49" s="952" t="s">
        <v>913</v>
      </c>
      <c r="G49" s="952" t="s">
        <v>913</v>
      </c>
      <c r="H49" s="952" t="s">
        <v>913</v>
      </c>
      <c r="I49" s="952" t="s">
        <v>913</v>
      </c>
      <c r="J49" s="952" t="s">
        <v>913</v>
      </c>
      <c r="K49" s="952" t="s">
        <v>913</v>
      </c>
      <c r="L49" s="952" t="s">
        <v>913</v>
      </c>
      <c r="M49" s="952" t="s">
        <v>913</v>
      </c>
      <c r="N49" s="952" t="s">
        <v>913</v>
      </c>
      <c r="O49" s="865"/>
      <c r="P49" s="952"/>
      <c r="Q49" s="865"/>
      <c r="R49" s="865"/>
      <c r="S49" s="865"/>
      <c r="T49" s="865"/>
      <c r="U49" s="865"/>
      <c r="V49" s="865"/>
      <c r="W49" s="865"/>
      <c r="X49" s="865"/>
      <c r="Y49" s="867"/>
      <c r="Z49" s="867"/>
      <c r="AA49" s="867"/>
      <c r="AB49" s="867"/>
      <c r="AC49" s="867"/>
      <c r="AD49" s="867"/>
      <c r="AE49" s="868"/>
      <c r="AF49" s="869"/>
      <c r="AG49" s="869"/>
      <c r="AH49" s="869"/>
      <c r="AI49" s="869"/>
      <c r="AJ49" s="870" t="s">
        <v>249</v>
      </c>
      <c r="AK49" s="871">
        <f>SUMIF($AK$55:$AK$128,AJ49,$AM$55:$AM$128)</f>
        <v>0</v>
      </c>
      <c r="AL49" s="869"/>
    </row>
    <row r="50" spans="1:42" x14ac:dyDescent="0.3">
      <c r="A50" s="67"/>
      <c r="B50" s="261"/>
      <c r="C50" s="68"/>
      <c r="D50" s="68"/>
      <c r="E50" s="269"/>
      <c r="F50" s="197"/>
      <c r="G50" s="197"/>
      <c r="H50" s="197"/>
      <c r="I50" s="68"/>
      <c r="J50" s="330"/>
      <c r="K50" s="197"/>
      <c r="L50" s="197"/>
      <c r="M50" s="68"/>
      <c r="N50" s="261"/>
      <c r="O50" s="68"/>
      <c r="P50" s="68"/>
      <c r="Q50" s="68"/>
      <c r="R50" s="68"/>
      <c r="S50" s="68"/>
      <c r="T50" s="68"/>
      <c r="U50" s="68"/>
      <c r="V50" s="68"/>
      <c r="W50" s="68"/>
      <c r="X50" s="68"/>
      <c r="Y50" s="68"/>
      <c r="Z50" s="68"/>
      <c r="AA50" s="68"/>
      <c r="AB50" s="68"/>
      <c r="AC50" s="68"/>
      <c r="AD50" s="68"/>
      <c r="AE50" s="157"/>
      <c r="AF50" s="47"/>
      <c r="AG50" s="47"/>
      <c r="AH50" s="47"/>
      <c r="AI50" s="47"/>
      <c r="AJ50" s="265" t="s">
        <v>250</v>
      </c>
      <c r="AK50" s="478">
        <f>SUMIF($AK$55:$AK$128,AJ50,$AM$55:$AM$128)</f>
        <v>0</v>
      </c>
      <c r="AL50" s="47"/>
    </row>
    <row r="51" spans="1:42" x14ac:dyDescent="0.3">
      <c r="A51" s="79"/>
      <c r="B51" s="262"/>
      <c r="C51" s="80"/>
      <c r="D51" s="80"/>
      <c r="E51" s="270"/>
      <c r="F51" s="202"/>
      <c r="G51" s="202"/>
      <c r="H51" s="202"/>
      <c r="I51" s="80"/>
      <c r="J51" s="80"/>
      <c r="K51" s="202"/>
      <c r="L51" s="202"/>
      <c r="M51" s="80"/>
      <c r="N51" s="262"/>
      <c r="O51" s="80"/>
      <c r="P51" s="80"/>
      <c r="Q51" s="80"/>
      <c r="R51" s="80"/>
      <c r="S51" s="80"/>
      <c r="T51" s="80"/>
      <c r="U51" s="80"/>
      <c r="V51" s="80"/>
      <c r="W51" s="80"/>
      <c r="X51" s="80"/>
      <c r="Y51" s="73"/>
      <c r="Z51" s="73"/>
      <c r="AA51" s="73"/>
      <c r="AB51" s="73"/>
      <c r="AC51" s="73"/>
      <c r="AD51" s="73"/>
      <c r="AE51" s="158"/>
      <c r="AF51" s="47"/>
      <c r="AG51" s="47"/>
      <c r="AH51" s="47"/>
      <c r="AI51" s="47"/>
      <c r="AJ51" s="239" t="s">
        <v>251</v>
      </c>
      <c r="AK51" s="477">
        <f>SUMIF($AK$55:$AK$128,AJ51,$AM$55:$AM$128)</f>
        <v>0</v>
      </c>
      <c r="AL51" s="47"/>
    </row>
    <row r="52" spans="1:42" x14ac:dyDescent="0.3">
      <c r="V52" s="81"/>
      <c r="AE52" s="47"/>
      <c r="AF52" s="47"/>
      <c r="AG52" s="47"/>
      <c r="AH52" s="47"/>
      <c r="AI52" s="47"/>
      <c r="AJ52" s="47"/>
      <c r="AL52" s="47"/>
    </row>
    <row r="53" spans="1:42" ht="15.6" x14ac:dyDescent="0.3">
      <c r="A53" s="208" t="s">
        <v>252</v>
      </c>
      <c r="B53" s="208"/>
      <c r="C53" s="82"/>
      <c r="D53" s="82"/>
      <c r="E53" s="208"/>
      <c r="F53" s="272"/>
      <c r="G53" s="208"/>
      <c r="H53" s="208"/>
      <c r="I53" s="208"/>
      <c r="J53" s="208"/>
      <c r="K53" s="208"/>
      <c r="L53" s="208"/>
      <c r="M53" s="208"/>
      <c r="N53" s="208"/>
      <c r="O53" s="82"/>
      <c r="P53" s="208"/>
      <c r="Q53" s="82"/>
      <c r="R53" s="82"/>
      <c r="S53" s="204" t="s">
        <v>253</v>
      </c>
      <c r="T53" s="204"/>
      <c r="U53" s="204"/>
      <c r="V53" s="204"/>
      <c r="W53" s="204" t="s">
        <v>254</v>
      </c>
      <c r="X53" s="204"/>
      <c r="Y53" s="204"/>
      <c r="Z53" s="204"/>
      <c r="AA53" s="204" t="s">
        <v>255</v>
      </c>
      <c r="AB53" s="204"/>
      <c r="AC53" s="204"/>
      <c r="AD53" s="204"/>
      <c r="AE53" s="204" t="s">
        <v>256</v>
      </c>
      <c r="AF53" s="204"/>
      <c r="AG53" s="204"/>
      <c r="AH53" s="204"/>
      <c r="AI53" s="83"/>
      <c r="AJ53" s="82"/>
      <c r="AK53" s="1204"/>
      <c r="AL53" s="1204"/>
      <c r="AM53" s="1204"/>
    </row>
    <row r="54" spans="1:42" ht="36" x14ac:dyDescent="0.3">
      <c r="A54" s="84" t="s">
        <v>914</v>
      </c>
      <c r="B54" s="84" t="s">
        <v>258</v>
      </c>
      <c r="C54" s="264" t="s">
        <v>259</v>
      </c>
      <c r="D54" s="84" t="s">
        <v>260</v>
      </c>
      <c r="E54" s="84" t="s">
        <v>261</v>
      </c>
      <c r="F54" s="273" t="s">
        <v>262</v>
      </c>
      <c r="G54" s="84" t="s">
        <v>263</v>
      </c>
      <c r="H54" s="84" t="s">
        <v>264</v>
      </c>
      <c r="I54" s="84" t="s">
        <v>915</v>
      </c>
      <c r="J54" s="84" t="s">
        <v>266</v>
      </c>
      <c r="K54" s="264" t="s">
        <v>267</v>
      </c>
      <c r="L54" s="371" t="s">
        <v>268</v>
      </c>
      <c r="M54" s="84" t="s">
        <v>916</v>
      </c>
      <c r="N54" s="84" t="s">
        <v>270</v>
      </c>
      <c r="O54" s="84" t="s">
        <v>67</v>
      </c>
      <c r="P54" s="84" t="s">
        <v>126</v>
      </c>
      <c r="Q54" s="84"/>
      <c r="R54" s="84" t="s">
        <v>272</v>
      </c>
      <c r="S54" s="85">
        <v>46023</v>
      </c>
      <c r="T54" s="85">
        <v>46054</v>
      </c>
      <c r="U54" s="85">
        <v>46082</v>
      </c>
      <c r="V54" s="86" t="s">
        <v>273</v>
      </c>
      <c r="W54" s="85">
        <v>46113</v>
      </c>
      <c r="X54" s="85">
        <v>46143</v>
      </c>
      <c r="Y54" s="85">
        <v>46174</v>
      </c>
      <c r="Z54" s="86" t="s">
        <v>274</v>
      </c>
      <c r="AA54" s="85">
        <v>46204</v>
      </c>
      <c r="AB54" s="85">
        <v>46235</v>
      </c>
      <c r="AC54" s="85">
        <v>46266</v>
      </c>
      <c r="AD54" s="86" t="s">
        <v>275</v>
      </c>
      <c r="AE54" s="85">
        <v>46296</v>
      </c>
      <c r="AF54" s="85">
        <v>46327</v>
      </c>
      <c r="AG54" s="85">
        <v>46357</v>
      </c>
      <c r="AH54" s="84" t="s">
        <v>276</v>
      </c>
      <c r="AI54" s="84" t="s">
        <v>277</v>
      </c>
      <c r="AJ54" s="84" t="s">
        <v>278</v>
      </c>
      <c r="AK54" s="84" t="s">
        <v>227</v>
      </c>
      <c r="AL54" s="84" t="s">
        <v>279</v>
      </c>
      <c r="AM54" s="84" t="s">
        <v>280</v>
      </c>
      <c r="AN54" s="62" t="s">
        <v>281</v>
      </c>
      <c r="AP54" s="542" t="s">
        <v>282</v>
      </c>
    </row>
    <row r="55" spans="1:42" ht="29.1" customHeight="1" x14ac:dyDescent="0.3">
      <c r="A55" s="1036" t="s">
        <v>310</v>
      </c>
      <c r="B55" s="1299" t="s">
        <v>91</v>
      </c>
      <c r="C55" s="1463" t="s">
        <v>917</v>
      </c>
      <c r="D55" s="1115" t="s">
        <v>918</v>
      </c>
      <c r="E55" s="1303" t="s">
        <v>919</v>
      </c>
      <c r="F55" s="1040" t="s">
        <v>920</v>
      </c>
      <c r="G55" s="1117">
        <v>46023</v>
      </c>
      <c r="H55" s="1117">
        <v>46296</v>
      </c>
      <c r="I55" s="1074"/>
      <c r="J55" s="1158"/>
      <c r="K55" s="1121" t="str">
        <f>IF(J55="", "", 12 - MONTH(J55) + 1)</f>
        <v/>
      </c>
      <c r="L55" s="1074"/>
      <c r="M55" s="1119"/>
      <c r="N55" s="1053"/>
      <c r="O55" s="1057" t="s">
        <v>80</v>
      </c>
      <c r="P55" s="1057">
        <v>0.8</v>
      </c>
      <c r="Q55" s="87" t="s">
        <v>106</v>
      </c>
      <c r="R55" s="91">
        <f>AVERAGE([3]Estrutura!$I$5:$I$9)</f>
        <v>0.79032258064516125</v>
      </c>
      <c r="S55" s="309">
        <f>IFERROR(IF(AND(S$54&gt;=EOMONTH($J55,-1)+1,S$54&lt;=EOMONTH(EOMONTH($J55,-1)+1,$K55-1)),IF(NOT(ISBLANK($N55)),$N55/$K55,$I55/$K55),0),0)</f>
        <v>0</v>
      </c>
      <c r="T55" s="309">
        <f>IFERROR(IF(AND(T$54&gt;=EOMONTH($J55,-1)+1,T$54&lt;=EOMONTH(EOMONTH($J55,-1)+1,$K55-1)),IF(NOT(ISBLANK($N55)),$N55/$K55,$I55/$K55),0),0)</f>
        <v>0</v>
      </c>
      <c r="U55" s="309">
        <f>IFERROR(IF(AND(U$54&gt;=EOMONTH($J55,-1)+1,U$54&lt;=EOMONTH(EOMONTH($J55,-1)+1,$K55-1)),IF(NOT(ISBLANK($N55)),$N55/$K55,$I55/$K55),0),0)</f>
        <v>0</v>
      </c>
      <c r="V55" s="89">
        <f t="shared" ref="V55:V128" si="11">SUM(S55:U55)</f>
        <v>0</v>
      </c>
      <c r="W55" s="309">
        <f>IFERROR(IF(AND(W$54&gt;=EOMONTH($J55,-1)+1,W$54&lt;=EOMONTH(EOMONTH($J55,-1)+1,$K55-1)),IF(NOT(ISBLANK($N55)),$N55/$K55,$I55/$K55),0),0)</f>
        <v>0</v>
      </c>
      <c r="X55" s="309">
        <f>IFERROR(IF(AND(X$54&gt;=EOMONTH($J55,-1)+1,X$54&lt;=EOMONTH(EOMONTH($J55,-1)+1,$K55-1)),IF(NOT(ISBLANK($N55)),$N55/$K55,$I55/$K55),0),0)</f>
        <v>0</v>
      </c>
      <c r="Y55" s="309">
        <f>IFERROR(IF(AND(Y$54&gt;=EOMONTH($J55,-1)+1,Y$54&lt;=EOMONTH(EOMONTH($J55,-1)+1,$K55-1)),IF(NOT(ISBLANK($N55)),$N55/$K55,$I55/$K55),0),0)</f>
        <v>0</v>
      </c>
      <c r="Z55" s="89">
        <f t="shared" ref="Z55:Z128" si="12">SUM(W55:Y55)</f>
        <v>0</v>
      </c>
      <c r="AA55" s="309">
        <f>IFERROR(IF(AND(AA$54&gt;=EOMONTH($J55,-1)+1,AA$54&lt;=EOMONTH(EOMONTH($J55,-1)+1,$K55-1)),IF(NOT(ISBLANK($N55)),$N55/$K55,$I55/$K55),0),0)</f>
        <v>0</v>
      </c>
      <c r="AB55" s="309">
        <f>IFERROR(IF(AND(AB$54&gt;=EOMONTH($J55,-1)+1,AB$54&lt;=EOMONTH(EOMONTH($J55,-1)+1,$K55-1)),IF(NOT(ISBLANK($N55)),$N55/$K55,$I55/$K55),0),0)</f>
        <v>0</v>
      </c>
      <c r="AC55" s="309">
        <f>IFERROR(IF(AND(AC$54&gt;=EOMONTH($J55,-1)+1,AC$54&lt;=EOMONTH(EOMONTH($J55,-1)+1,$K55-1)),IF(NOT(ISBLANK($N55)),$N55/$K55,$I55/$K55),0),0)</f>
        <v>0</v>
      </c>
      <c r="AD55" s="89">
        <f t="shared" ref="AD55:AD128" si="13">SUM(AA55:AC55)</f>
        <v>0</v>
      </c>
      <c r="AE55" s="309">
        <f>IFERROR(IF(AND(AE$54&gt;=EOMONTH($J55,-1)+1,AE$54&lt;=EOMONTH(EOMONTH($J55,-1)+1,$K55-1)),IF(NOT(ISBLANK($N55)),$N55/$K55,$I55/$K55),0),0)</f>
        <v>0</v>
      </c>
      <c r="AF55" s="309">
        <f>IFERROR(IF(AND(AF$54&gt;=EOMONTH($J55,-1)+1,AF$54&lt;=EOMONTH(EOMONTH($J55,-1)+1,$K55-1)),IF(NOT(ISBLANK($N55)),$N55/$K55,$I55/$K55),0),0)</f>
        <v>0</v>
      </c>
      <c r="AG55" s="309">
        <f>IFERROR(IF(AND(AG$54&gt;=EOMONTH($J55,-1)+1,AG$54&lt;=EOMONTH(EOMONTH($J55,-1)+1,$K55-1)),IF(NOT(ISBLANK($N55)),$N55/$K55,$I55/$K55),0),0)</f>
        <v>0</v>
      </c>
      <c r="AH55" s="89">
        <f t="shared" ref="AH55:AH128" si="14">SUM(AE55:AG55)</f>
        <v>0</v>
      </c>
      <c r="AI55" s="90">
        <f>SUM(V55,Z55,AD55,AH55)</f>
        <v>0</v>
      </c>
      <c r="AJ55" s="98"/>
      <c r="AK55" s="1040"/>
      <c r="AL55" s="1048"/>
      <c r="AM55" s="1046">
        <f>N55*AL55</f>
        <v>0</v>
      </c>
      <c r="AN55" s="62" t="str">
        <f>C55</f>
        <v>01 - Desenvolver célula de solda para soldar porcas</v>
      </c>
      <c r="AO55" s="62" t="s">
        <v>289</v>
      </c>
      <c r="AP55" s="543" t="str" cm="1">
        <f t="array" aca="1" ref="AP55" ca="1">IF(OR(AN55="",AN55=0),"",IF(SUMPRODUCT(($C$55:$C$128=AN55)*(S$54:$AG$54&lt;EOMONTH(TODAY(),-1)+1)*(ISNUMBER(S$55:$AG$128)),S$55:$AG$128)=0,"",SUMPRODUCT(($C$55:$C$128=AN55)*(S$54:$AG$54&lt;EOMONTH(TODAY(),-1)+1)*(ISNUMBER(S$55:$AG$128)),S$55:$AG$128)))</f>
        <v/>
      </c>
    </row>
    <row r="56" spans="1:42" ht="29.1" customHeight="1" x14ac:dyDescent="0.3">
      <c r="A56" s="1037"/>
      <c r="B56" s="1300"/>
      <c r="C56" s="1114"/>
      <c r="D56" s="1116"/>
      <c r="E56" s="1304"/>
      <c r="F56" s="1041"/>
      <c r="G56" s="1118"/>
      <c r="H56" s="1118"/>
      <c r="I56" s="1075"/>
      <c r="J56" s="1159"/>
      <c r="K56" s="1122"/>
      <c r="L56" s="1075"/>
      <c r="M56" s="1120"/>
      <c r="N56" s="1054"/>
      <c r="O56" s="1058"/>
      <c r="P56" s="1058"/>
      <c r="Q56" s="87" t="s">
        <v>107</v>
      </c>
      <c r="R56" s="91">
        <f>AVERAGE([3]Estrutura!$J$5:$J$9)</f>
        <v>0.79</v>
      </c>
      <c r="S56" s="309"/>
      <c r="T56" s="309" t="s">
        <v>390</v>
      </c>
      <c r="U56" s="309" t="s">
        <v>390</v>
      </c>
      <c r="V56" s="89">
        <f t="shared" si="11"/>
        <v>0</v>
      </c>
      <c r="W56" s="309" t="s">
        <v>390</v>
      </c>
      <c r="X56" s="309" t="s">
        <v>390</v>
      </c>
      <c r="Y56" s="309" t="s">
        <v>390</v>
      </c>
      <c r="Z56" s="89">
        <f t="shared" si="12"/>
        <v>0</v>
      </c>
      <c r="AA56" s="309" t="s">
        <v>390</v>
      </c>
      <c r="AB56" s="309" t="s">
        <v>390</v>
      </c>
      <c r="AC56" s="309" t="s">
        <v>390</v>
      </c>
      <c r="AD56" s="89">
        <f t="shared" si="13"/>
        <v>0</v>
      </c>
      <c r="AE56" s="309" t="s">
        <v>390</v>
      </c>
      <c r="AF56" s="309" t="s">
        <v>390</v>
      </c>
      <c r="AG56" s="309" t="s">
        <v>390</v>
      </c>
      <c r="AH56" s="89">
        <f t="shared" si="14"/>
        <v>0</v>
      </c>
      <c r="AI56" s="311">
        <f t="shared" ref="AI56:AI128" si="15">SUM(V56,Z56,AD56,AH56)</f>
        <v>0</v>
      </c>
      <c r="AJ56" s="360"/>
      <c r="AK56" s="1041"/>
      <c r="AL56" s="1049"/>
      <c r="AM56" s="1047"/>
      <c r="AN56" s="62" t="str">
        <f>C55</f>
        <v>01 - Desenvolver célula de solda para soldar porcas</v>
      </c>
      <c r="AO56" s="62" t="s">
        <v>291</v>
      </c>
      <c r="AP56" s="543" t="str" cm="1">
        <f t="array" aca="1" ref="AP56" ca="1">IF(OR(AN56="",AN56=0),"",IF(SUMPRODUCT(($C$55:$C$143=AN56)*($S$54:AG$54&lt;=TODAY())*(ISNUMBER($S$56:AG$144)),$S$56:AG$144)=0,"",SUMPRODUCT(($C$55:$C$143=AN56)*($S$54:AG$54&lt;=TODAY())*(ISNUMBER($S$56:AG$144)),$S$56:AG$144)))</f>
        <v/>
      </c>
    </row>
    <row r="57" spans="1:42" ht="29.1" customHeight="1" x14ac:dyDescent="0.3">
      <c r="A57" s="1038" t="s">
        <v>310</v>
      </c>
      <c r="B57" s="1038" t="s">
        <v>91</v>
      </c>
      <c r="C57" s="1095" t="s">
        <v>921</v>
      </c>
      <c r="D57" s="1097" t="s">
        <v>922</v>
      </c>
      <c r="E57" s="1363" t="s">
        <v>923</v>
      </c>
      <c r="F57" s="1099" t="s">
        <v>924</v>
      </c>
      <c r="G57" s="1150">
        <v>46024</v>
      </c>
      <c r="H57" s="1150">
        <v>46266</v>
      </c>
      <c r="I57" s="1152"/>
      <c r="J57" s="1109">
        <v>46266</v>
      </c>
      <c r="K57" s="1213">
        <f>IF(J57="", "", 12 - MONTH(J57) + 1)</f>
        <v>4</v>
      </c>
      <c r="L57" s="1076"/>
      <c r="M57" s="1320"/>
      <c r="N57" s="1449"/>
      <c r="O57" s="1042" t="s">
        <v>80</v>
      </c>
      <c r="P57" s="1042">
        <v>0.9</v>
      </c>
      <c r="Q57" s="93" t="s">
        <v>106</v>
      </c>
      <c r="R57" s="96">
        <f>AVERAGE([4]Estrutura!$I$5:$I$15)</f>
        <v>0.87262156448202954</v>
      </c>
      <c r="S57" s="533">
        <f>IFERROR(IF(S$54&gt;=EOMONTH($J57,-1)+1,IF(NOT(ISBLANK($N57)),$N57/12,$I57/12),0),0)</f>
        <v>0</v>
      </c>
      <c r="T57" s="533">
        <f>IFERROR(IF(T$54&gt;=EOMONTH($J57,-1)+1,IF(NOT(ISBLANK($N57)),$N57/12,$I57/12),0),0)</f>
        <v>0</v>
      </c>
      <c r="U57" s="533">
        <f>IFERROR(IF(U$54&gt;=EOMONTH($J57,-1)+1,IF(NOT(ISBLANK($N57)),$N57/12,$I57/12),0),0)</f>
        <v>0</v>
      </c>
      <c r="V57" s="89">
        <f t="shared" si="11"/>
        <v>0</v>
      </c>
      <c r="W57" s="533">
        <f>IFERROR(IF(W$54&gt;=EOMONTH($J57,-1)+1,IF(NOT(ISBLANK($N57)),$N57/12,$I57/12),0),0)</f>
        <v>0</v>
      </c>
      <c r="X57" s="533">
        <f>IFERROR(IF(X$54&gt;=EOMONTH($J57,-1)+1,IF(NOT(ISBLANK($N57)),$N57/12,$I57/12),0),0)</f>
        <v>0</v>
      </c>
      <c r="Y57" s="533">
        <f>IFERROR(IF(Y$54&gt;=EOMONTH($J57,-1)+1,IF(NOT(ISBLANK($N57)),$N57/12,$I57/12),0),0)</f>
        <v>0</v>
      </c>
      <c r="Z57" s="89">
        <f t="shared" si="12"/>
        <v>0</v>
      </c>
      <c r="AA57" s="533">
        <f>IFERROR(IF(AA$54&gt;=EOMONTH($J57,-1)+1,IF(NOT(ISBLANK($N57)),$N57/12,$I57/12),0),0)</f>
        <v>0</v>
      </c>
      <c r="AB57" s="533">
        <f>IFERROR(IF(AB$54&gt;=EOMONTH($J57,-1)+1,IF(NOT(ISBLANK($N57)),$N57/12,$I57/12),0),0)</f>
        <v>0</v>
      </c>
      <c r="AC57" s="533">
        <f>IFERROR(IF(AC$54&gt;=EOMONTH($J57,-1)+1,IF(NOT(ISBLANK($N57)),$N57/12,$I57/12),0),0)</f>
        <v>0</v>
      </c>
      <c r="AD57" s="89">
        <f t="shared" si="13"/>
        <v>0</v>
      </c>
      <c r="AE57" s="533">
        <f>IFERROR(IF(AE$54&gt;=EOMONTH($J57,-1)+1,IF(NOT(ISBLANK($N57)),$N57/12,$I57/12),0),0)</f>
        <v>0</v>
      </c>
      <c r="AF57" s="533">
        <f>IFERROR(IF(AF$54&gt;=EOMONTH($J57,-1)+1,IF(NOT(ISBLANK($N57)),$N57/12,$I57/12),0),0)</f>
        <v>0</v>
      </c>
      <c r="AG57" s="533">
        <f>IFERROR(IF(AG$54&gt;=EOMONTH($J57,-1)+1,IF(NOT(ISBLANK($N57)),$N57/12,$I57/12),0),0)</f>
        <v>0</v>
      </c>
      <c r="AH57" s="89">
        <f t="shared" si="14"/>
        <v>0</v>
      </c>
      <c r="AI57" s="95">
        <f t="shared" si="15"/>
        <v>0</v>
      </c>
      <c r="AJ57" s="97"/>
      <c r="AK57" s="1038"/>
      <c r="AL57" s="1042"/>
      <c r="AM57" s="1044">
        <f>N57*AL57</f>
        <v>0</v>
      </c>
      <c r="AN57" s="62" t="str">
        <f>C57</f>
        <v>02 - Aumentar a produtividade da estamparia atraves da implementação lote econômico e multiplos de MTP</v>
      </c>
      <c r="AO57" s="62" t="s">
        <v>289</v>
      </c>
      <c r="AP57" s="543" t="str" cm="1">
        <f t="array" aca="1" ref="AP57" ca="1">IF(OR(AN57="",AN57=0),"",IF(SUMPRODUCT(($C$55:$C$128=AN57)*(S$54:$AG$54&lt;EOMONTH(TODAY(),-1)+1)*(ISNUMBER(S$55:$AG$128)),S$55:$AG$128)=0,"",SUMPRODUCT(($C$55:$C$128=AN57)*(S$54:$AG$54&lt;EOMONTH(TODAY(),-1)+1)*(ISNUMBER(S$55:$AG$128)),S$55:$AG$128)))</f>
        <v/>
      </c>
    </row>
    <row r="58" spans="1:42" ht="29.1" customHeight="1" x14ac:dyDescent="0.3">
      <c r="A58" s="1039"/>
      <c r="B58" s="1039"/>
      <c r="C58" s="1096"/>
      <c r="D58" s="1098"/>
      <c r="E58" s="1364"/>
      <c r="F58" s="1100"/>
      <c r="G58" s="1151"/>
      <c r="H58" s="1151"/>
      <c r="I58" s="1151"/>
      <c r="J58" s="1110"/>
      <c r="K58" s="1214"/>
      <c r="L58" s="1077"/>
      <c r="M58" s="1321"/>
      <c r="N58" s="1450"/>
      <c r="O58" s="1043"/>
      <c r="P58" s="1043"/>
      <c r="Q58" s="93" t="s">
        <v>107</v>
      </c>
      <c r="R58" s="96">
        <f>AVERAGE([4]Estrutura!$J$5:$J$15)</f>
        <v>0.72727272727272729</v>
      </c>
      <c r="S58" s="312" t="s">
        <v>390</v>
      </c>
      <c r="T58" s="312" t="s">
        <v>390</v>
      </c>
      <c r="U58" s="312" t="s">
        <v>390</v>
      </c>
      <c r="V58" s="89">
        <f t="shared" si="11"/>
        <v>0</v>
      </c>
      <c r="W58" s="312" t="s">
        <v>390</v>
      </c>
      <c r="X58" s="312" t="s">
        <v>390</v>
      </c>
      <c r="Y58" s="312" t="s">
        <v>390</v>
      </c>
      <c r="Z58" s="89">
        <f t="shared" si="12"/>
        <v>0</v>
      </c>
      <c r="AA58" s="312" t="s">
        <v>390</v>
      </c>
      <c r="AB58" s="312" t="s">
        <v>390</v>
      </c>
      <c r="AC58" s="312" t="s">
        <v>390</v>
      </c>
      <c r="AD58" s="89">
        <f t="shared" si="13"/>
        <v>0</v>
      </c>
      <c r="AE58" s="312" t="s">
        <v>390</v>
      </c>
      <c r="AF58" s="312" t="s">
        <v>390</v>
      </c>
      <c r="AG58" s="312" t="s">
        <v>390</v>
      </c>
      <c r="AH58" s="89">
        <f t="shared" si="14"/>
        <v>0</v>
      </c>
      <c r="AI58" s="313">
        <f t="shared" si="15"/>
        <v>0</v>
      </c>
      <c r="AJ58" s="97"/>
      <c r="AK58" s="1039"/>
      <c r="AL58" s="1043"/>
      <c r="AM58" s="1045"/>
      <c r="AN58" s="62" t="str">
        <f>C57</f>
        <v>02 - Aumentar a produtividade da estamparia atraves da implementação lote econômico e multiplos de MTP</v>
      </c>
      <c r="AO58" s="62" t="s">
        <v>291</v>
      </c>
      <c r="AP58" s="543" t="str" cm="1">
        <f t="array" aca="1" ref="AP58" ca="1">IF(OR(AN58="",AN58=0),"",IF(SUMPRODUCT(($C$55:$C$143=AN58)*($S$54:AG$54&lt;=TODAY())*(ISNUMBER($S$56:AG$144)),$S$56:AG$144)=0,"",SUMPRODUCT(($C$55:$C$143=AN58)*($S$54:AG$54&lt;=TODAY())*(ISNUMBER($S$56:AG$144)),$S$56:AG$144)))</f>
        <v/>
      </c>
    </row>
    <row r="59" spans="1:42" ht="29.1" customHeight="1" x14ac:dyDescent="0.3">
      <c r="A59" s="1036" t="s">
        <v>85</v>
      </c>
      <c r="B59" s="1299" t="s">
        <v>90</v>
      </c>
      <c r="C59" s="1113" t="s">
        <v>925</v>
      </c>
      <c r="D59" s="1115" t="s">
        <v>926</v>
      </c>
      <c r="E59" s="1303" t="s">
        <v>927</v>
      </c>
      <c r="F59" s="1040" t="s">
        <v>928</v>
      </c>
      <c r="G59" s="1117">
        <v>46023</v>
      </c>
      <c r="H59" s="1117">
        <v>46174</v>
      </c>
      <c r="I59" s="1074">
        <v>513721</v>
      </c>
      <c r="J59" s="1158">
        <v>46174</v>
      </c>
      <c r="K59" s="1121">
        <f t="shared" ref="K59" si="16">IF(J59="", "", 12 - MONTH(J59) + 1)</f>
        <v>7</v>
      </c>
      <c r="L59" s="1074"/>
      <c r="M59" s="1119"/>
      <c r="N59" s="1053"/>
      <c r="O59" s="1057" t="s">
        <v>80</v>
      </c>
      <c r="P59" s="1057">
        <v>0.9</v>
      </c>
      <c r="Q59" s="87" t="s">
        <v>106</v>
      </c>
      <c r="R59" s="91" t="e">
        <f>AVERAGE(#REF!)</f>
        <v>#REF!</v>
      </c>
      <c r="S59" s="309">
        <f>IFERROR(IF(S$54&gt;=EOMONTH($J59,-1)+1,IF(NOT(ISBLANK($N59)),$N59/12,$I59/12),0),0)</f>
        <v>0</v>
      </c>
      <c r="T59" s="309">
        <f>IFERROR(IF(T$54&gt;=EOMONTH($J59,-1)+1,IF(NOT(ISBLANK($N59)),$N59/12,$I59/12),0),0)</f>
        <v>0</v>
      </c>
      <c r="U59" s="309">
        <f>IFERROR(IF(U$54&gt;=EOMONTH($J59,-1)+1,IF(NOT(ISBLANK($N59)),$N59/12,$I59/12),0),0)</f>
        <v>0</v>
      </c>
      <c r="V59" s="89">
        <f t="shared" si="11"/>
        <v>0</v>
      </c>
      <c r="W59" s="309">
        <f>IFERROR(IF(W$54&gt;=EOMONTH($J59,-1)+1,IF(NOT(ISBLANK($N59)),$N59/12,$I59/12),0),0)</f>
        <v>0</v>
      </c>
      <c r="X59" s="309">
        <f>IFERROR(IF(X$54&gt;=EOMONTH($J59,-1)+1,IF(NOT(ISBLANK($N59)),$N59/12,$I59/12),0),0)</f>
        <v>0</v>
      </c>
      <c r="Y59" s="309">
        <f>IFERROR(IF(Y$54&gt;=EOMONTH($J59,-1)+1,IF(NOT(ISBLANK($N59)),$N59/12,$I59/12),0),0)</f>
        <v>42810.083333333336</v>
      </c>
      <c r="Z59" s="89">
        <f t="shared" si="12"/>
        <v>42810.083333333336</v>
      </c>
      <c r="AA59" s="309">
        <f>IFERROR(IF(AA$54&gt;=EOMONTH($J59,-1)+1,IF(NOT(ISBLANK($N59)),$N59/12,$I59/12),0),0)</f>
        <v>42810.083333333336</v>
      </c>
      <c r="AB59" s="309">
        <f>IFERROR(IF(AB$54&gt;=EOMONTH($J59,-1)+1,IF(NOT(ISBLANK($N59)),$N59/12,$I59/12),0),0)</f>
        <v>42810.083333333336</v>
      </c>
      <c r="AC59" s="309">
        <f>IFERROR(IF(AC$54&gt;=EOMONTH($J59,-1)+1,IF(NOT(ISBLANK($N59)),$N59/12,$I59/12),0),0)</f>
        <v>42810.083333333336</v>
      </c>
      <c r="AD59" s="89">
        <f t="shared" si="13"/>
        <v>128430.25</v>
      </c>
      <c r="AE59" s="309">
        <f>IFERROR(IF(AE$54&gt;=EOMONTH($J59,-1)+1,IF(NOT(ISBLANK($N59)),$N59/12,$I59/12),0),0)</f>
        <v>42810.083333333336</v>
      </c>
      <c r="AF59" s="309">
        <f>IFERROR(IF(AF$54&gt;=EOMONTH($J59,-1)+1,IF(NOT(ISBLANK($N59)),$N59/12,$I59/12),0),0)</f>
        <v>42810.083333333336</v>
      </c>
      <c r="AG59" s="309">
        <f>IFERROR(IF(AG$54&gt;=EOMONTH($J59,-1)+1,IF(NOT(ISBLANK($N59)),$N59/12,$I59/12),0),0)</f>
        <v>42810.083333333336</v>
      </c>
      <c r="AH59" s="89">
        <f t="shared" si="14"/>
        <v>128430.25</v>
      </c>
      <c r="AI59" s="90">
        <f t="shared" si="15"/>
        <v>299670.58333333337</v>
      </c>
      <c r="AJ59" s="98"/>
      <c r="AK59" s="1040"/>
      <c r="AL59" s="1048"/>
      <c r="AM59" s="1046">
        <f t="shared" ref="AM59" si="17">N59*AL59</f>
        <v>0</v>
      </c>
      <c r="AN59" s="62" t="str">
        <f>C59</f>
        <v>03 - Redução de consumo de MP dos blanks com a técnica de corte Wave</v>
      </c>
      <c r="AO59" s="62" t="s">
        <v>289</v>
      </c>
      <c r="AP59" s="543" t="str" cm="1">
        <f t="array" aca="1" ref="AP59" ca="1">IF(OR(AN59="",AN59=0),"",IF(SUMPRODUCT(($C$55:$C$128=AN59)*(S$54:$AG$54&lt;EOMONTH(TODAY(),-1)+1)*(ISNUMBER(S$55:$AG$128)),S$55:$AG$128)=0,"",SUMPRODUCT(($C$55:$C$128=AN59)*(S$54:$AG$54&lt;EOMONTH(TODAY(),-1)+1)*(ISNUMBER(S$55:$AG$128)),S$55:$AG$128)))</f>
        <v/>
      </c>
    </row>
    <row r="60" spans="1:42" ht="29.1" customHeight="1" x14ac:dyDescent="0.3">
      <c r="A60" s="1037"/>
      <c r="B60" s="1300"/>
      <c r="C60" s="1114"/>
      <c r="D60" s="1116"/>
      <c r="E60" s="1304"/>
      <c r="F60" s="1041"/>
      <c r="G60" s="1118"/>
      <c r="H60" s="1118"/>
      <c r="I60" s="1075"/>
      <c r="J60" s="1159"/>
      <c r="K60" s="1122"/>
      <c r="L60" s="1075"/>
      <c r="M60" s="1451"/>
      <c r="N60" s="1417"/>
      <c r="O60" s="1058"/>
      <c r="P60" s="1058"/>
      <c r="Q60" s="87" t="s">
        <v>107</v>
      </c>
      <c r="R60" s="91" t="e">
        <f>AVERAGE(#REF!)</f>
        <v>#REF!</v>
      </c>
      <c r="S60" s="309" t="s">
        <v>390</v>
      </c>
      <c r="T60" s="309" t="s">
        <v>390</v>
      </c>
      <c r="U60" s="309" t="s">
        <v>390</v>
      </c>
      <c r="V60" s="89">
        <f t="shared" si="11"/>
        <v>0</v>
      </c>
      <c r="W60" s="309" t="s">
        <v>390</v>
      </c>
      <c r="X60" s="309" t="s">
        <v>390</v>
      </c>
      <c r="Y60" s="309" t="s">
        <v>390</v>
      </c>
      <c r="Z60" s="89">
        <f t="shared" si="12"/>
        <v>0</v>
      </c>
      <c r="AA60" s="309" t="s">
        <v>390</v>
      </c>
      <c r="AB60" s="309" t="s">
        <v>390</v>
      </c>
      <c r="AC60" s="309" t="s">
        <v>390</v>
      </c>
      <c r="AD60" s="89">
        <f t="shared" si="13"/>
        <v>0</v>
      </c>
      <c r="AE60" s="309" t="s">
        <v>390</v>
      </c>
      <c r="AF60" s="309" t="s">
        <v>390</v>
      </c>
      <c r="AG60" s="309" t="s">
        <v>390</v>
      </c>
      <c r="AH60" s="89">
        <f t="shared" si="14"/>
        <v>0</v>
      </c>
      <c r="AI60" s="311">
        <f t="shared" si="15"/>
        <v>0</v>
      </c>
      <c r="AJ60" s="360"/>
      <c r="AK60" s="1041"/>
      <c r="AL60" s="1049"/>
      <c r="AM60" s="1047"/>
      <c r="AN60" s="62" t="str">
        <f>C59</f>
        <v>03 - Redução de consumo de MP dos blanks com a técnica de corte Wave</v>
      </c>
      <c r="AO60" s="62" t="s">
        <v>291</v>
      </c>
      <c r="AP60" s="543" t="str" cm="1">
        <f t="array" aca="1" ref="AP60" ca="1">IF(OR(AN60="",AN60=0),"",IF(SUMPRODUCT(($C$55:$C$143=AN60)*($S$54:AG$54&lt;=TODAY())*(ISNUMBER($S$56:AG$144)),$S$56:AG$144)=0,"",SUMPRODUCT(($C$55:$C$143=AN60)*($S$54:AG$54&lt;=TODAY())*(ISNUMBER($S$56:AG$144)),$S$56:AG$144)))</f>
        <v/>
      </c>
    </row>
    <row r="61" spans="1:42" ht="29.1" customHeight="1" x14ac:dyDescent="0.3">
      <c r="A61" s="1038" t="s">
        <v>85</v>
      </c>
      <c r="B61" s="1038" t="s">
        <v>90</v>
      </c>
      <c r="C61" s="1095" t="s">
        <v>929</v>
      </c>
      <c r="D61" s="1097" t="s">
        <v>930</v>
      </c>
      <c r="E61" s="1363" t="s">
        <v>931</v>
      </c>
      <c r="F61" s="1099" t="s">
        <v>932</v>
      </c>
      <c r="G61" s="1150">
        <v>46054</v>
      </c>
      <c r="H61" s="1150">
        <v>46174</v>
      </c>
      <c r="I61" s="1152">
        <v>75733</v>
      </c>
      <c r="J61" s="1109">
        <v>46174</v>
      </c>
      <c r="K61" s="1213">
        <f t="shared" ref="K61" si="18">IF(J61="", "", 12 - MONTH(J61) + 1)</f>
        <v>7</v>
      </c>
      <c r="L61" s="1076"/>
      <c r="M61" s="1320"/>
      <c r="N61" s="1449"/>
      <c r="O61" s="1042" t="s">
        <v>80</v>
      </c>
      <c r="P61" s="1042">
        <v>0.5</v>
      </c>
      <c r="Q61" s="93" t="s">
        <v>106</v>
      </c>
      <c r="R61" s="96">
        <v>0.4</v>
      </c>
      <c r="S61" s="533">
        <f>IFERROR(IF(S$54&gt;=EOMONTH($J61,-1)+1,IF(NOT(ISBLANK($N61)),$N61/12,$I61/12),0),0)</f>
        <v>0</v>
      </c>
      <c r="T61" s="533">
        <f>IFERROR(IF(T$54&gt;=EOMONTH($J61,-1)+1,IF(NOT(ISBLANK($N61)),$N61/12,$I61/12),0),0)</f>
        <v>0</v>
      </c>
      <c r="U61" s="533">
        <f>IFERROR(IF(U$54&gt;=EOMONTH($J61,-1)+1,IF(NOT(ISBLANK($N61)),$N61/12,$I61/12),0),0)</f>
        <v>0</v>
      </c>
      <c r="V61" s="89">
        <f t="shared" si="11"/>
        <v>0</v>
      </c>
      <c r="W61" s="533">
        <f>IFERROR(IF(W$54&gt;=EOMONTH($J61,-1)+1,IF(NOT(ISBLANK($N61)),$N61/12,$I61/12),0),0)</f>
        <v>0</v>
      </c>
      <c r="X61" s="533">
        <f>IFERROR(IF(X$54&gt;=EOMONTH($J61,-1)+1,IF(NOT(ISBLANK($N61)),$N61/12,$I61/12),0),0)</f>
        <v>0</v>
      </c>
      <c r="Y61" s="533">
        <f>IFERROR(IF(Y$54&gt;=EOMONTH($J61,-1)+1,IF(NOT(ISBLANK($N61)),$N61/12,$I61/12),0),0)</f>
        <v>6311.083333333333</v>
      </c>
      <c r="Z61" s="89">
        <f t="shared" si="12"/>
        <v>6311.083333333333</v>
      </c>
      <c r="AA61" s="533">
        <f>IFERROR(IF(AA$54&gt;=EOMONTH($J61,-1)+1,IF(NOT(ISBLANK($N61)),$N61/12,$I61/12),0),0)</f>
        <v>6311.083333333333</v>
      </c>
      <c r="AB61" s="533">
        <f>IFERROR(IF(AB$54&gt;=EOMONTH($J61,-1)+1,IF(NOT(ISBLANK($N61)),$N61/12,$I61/12),0),0)</f>
        <v>6311.083333333333</v>
      </c>
      <c r="AC61" s="533">
        <f>IFERROR(IF(AC$54&gt;=EOMONTH($J61,-1)+1,IF(NOT(ISBLANK($N61)),$N61/12,$I61/12),0),0)</f>
        <v>6311.083333333333</v>
      </c>
      <c r="AD61" s="89">
        <f t="shared" si="13"/>
        <v>18933.25</v>
      </c>
      <c r="AE61" s="533">
        <f>IFERROR(IF(AE$54&gt;=EOMONTH($J61,-1)+1,IF(NOT(ISBLANK($N61)),$N61/12,$I61/12),0),0)</f>
        <v>6311.083333333333</v>
      </c>
      <c r="AF61" s="533">
        <f>IFERROR(IF(AF$54&gt;=EOMONTH($J61,-1)+1,IF(NOT(ISBLANK($N61)),$N61/12,$I61/12),0),0)</f>
        <v>6311.083333333333</v>
      </c>
      <c r="AG61" s="533">
        <f>IFERROR(IF(AG$54&gt;=EOMONTH($J61,-1)+1,IF(NOT(ISBLANK($N61)),$N61/12,$I61/12),0),0)</f>
        <v>6311.083333333333</v>
      </c>
      <c r="AH61" s="89">
        <f t="shared" si="14"/>
        <v>18933.25</v>
      </c>
      <c r="AI61" s="95">
        <f t="shared" si="15"/>
        <v>44177.583333333328</v>
      </c>
      <c r="AJ61" s="97"/>
      <c r="AK61" s="1038"/>
      <c r="AL61" s="1042"/>
      <c r="AM61" s="1044">
        <f t="shared" ref="AM61" si="19">N61*AL61</f>
        <v>0</v>
      </c>
      <c r="AN61" s="62" t="str">
        <f>C61</f>
        <v>04 - Redução da largura dos slitters</v>
      </c>
      <c r="AO61" s="62" t="s">
        <v>289</v>
      </c>
      <c r="AP61" s="543" t="str" cm="1">
        <f t="array" aca="1" ref="AP61" ca="1">IF(OR(AN61="",AN61=0),"",IF(SUMPRODUCT(($C$55:$C$128=AN61)*(S$54:$AG$54&lt;EOMONTH(TODAY(),-1)+1)*(ISNUMBER(S$55:$AG$128)),S$55:$AG$128)=0,"",SUMPRODUCT(($C$55:$C$128=AN61)*(S$54:$AG$54&lt;EOMONTH(TODAY(),-1)+1)*(ISNUMBER(S$55:$AG$128)),S$55:$AG$128)))</f>
        <v/>
      </c>
    </row>
    <row r="62" spans="1:42" ht="29.1" customHeight="1" x14ac:dyDescent="0.3">
      <c r="A62" s="1039"/>
      <c r="B62" s="1039"/>
      <c r="C62" s="1096"/>
      <c r="D62" s="1098"/>
      <c r="E62" s="1364"/>
      <c r="F62" s="1100"/>
      <c r="G62" s="1151"/>
      <c r="H62" s="1151"/>
      <c r="I62" s="1151"/>
      <c r="J62" s="1110"/>
      <c r="K62" s="1214"/>
      <c r="L62" s="1077"/>
      <c r="M62" s="1321"/>
      <c r="N62" s="1450"/>
      <c r="O62" s="1043"/>
      <c r="P62" s="1043"/>
      <c r="Q62" s="93" t="s">
        <v>107</v>
      </c>
      <c r="R62" s="96">
        <v>0.4</v>
      </c>
      <c r="S62" s="312" t="s">
        <v>390</v>
      </c>
      <c r="T62" s="312" t="s">
        <v>390</v>
      </c>
      <c r="U62" s="312" t="s">
        <v>390</v>
      </c>
      <c r="V62" s="89">
        <f t="shared" si="11"/>
        <v>0</v>
      </c>
      <c r="W62" s="312" t="s">
        <v>390</v>
      </c>
      <c r="X62" s="312" t="s">
        <v>390</v>
      </c>
      <c r="Y62" s="312" t="s">
        <v>390</v>
      </c>
      <c r="Z62" s="89">
        <f t="shared" si="12"/>
        <v>0</v>
      </c>
      <c r="AA62" s="312" t="s">
        <v>390</v>
      </c>
      <c r="AB62" s="312" t="s">
        <v>390</v>
      </c>
      <c r="AC62" s="312" t="s">
        <v>390</v>
      </c>
      <c r="AD62" s="89">
        <f t="shared" si="13"/>
        <v>0</v>
      </c>
      <c r="AE62" s="312" t="s">
        <v>390</v>
      </c>
      <c r="AF62" s="312" t="s">
        <v>390</v>
      </c>
      <c r="AG62" s="312" t="s">
        <v>390</v>
      </c>
      <c r="AH62" s="89">
        <f t="shared" si="14"/>
        <v>0</v>
      </c>
      <c r="AI62" s="313">
        <f t="shared" si="15"/>
        <v>0</v>
      </c>
      <c r="AJ62" s="97" t="s">
        <v>933</v>
      </c>
      <c r="AK62" s="1039"/>
      <c r="AL62" s="1043"/>
      <c r="AM62" s="1045"/>
      <c r="AN62" s="62" t="str">
        <f>C61</f>
        <v>04 - Redução da largura dos slitters</v>
      </c>
      <c r="AO62" s="62" t="s">
        <v>291</v>
      </c>
      <c r="AP62" s="543" t="str" cm="1">
        <f t="array" aca="1" ref="AP62" ca="1">IF(OR(AN62="",AN62=0),"",IF(SUMPRODUCT(($C$55:$C$143=AN62)*($S$54:AG$54&lt;=TODAY())*(ISNUMBER($S$56:AG$144)),$S$56:AG$144)=0,"",SUMPRODUCT(($C$55:$C$143=AN62)*($S$54:AG$54&lt;=TODAY())*(ISNUMBER($S$56:AG$144)),$S$56:AG$144)))</f>
        <v/>
      </c>
    </row>
    <row r="63" spans="1:42" ht="29.1" customHeight="1" x14ac:dyDescent="0.3">
      <c r="A63" s="1036" t="s">
        <v>85</v>
      </c>
      <c r="B63" s="1299" t="s">
        <v>90</v>
      </c>
      <c r="C63" s="1113" t="s">
        <v>934</v>
      </c>
      <c r="D63" s="1115" t="s">
        <v>935</v>
      </c>
      <c r="E63" s="1303" t="s">
        <v>936</v>
      </c>
      <c r="F63" s="1040" t="s">
        <v>928</v>
      </c>
      <c r="G63" s="1117">
        <v>46054</v>
      </c>
      <c r="H63" s="1117">
        <v>46235</v>
      </c>
      <c r="I63" s="1074">
        <v>91444</v>
      </c>
      <c r="J63" s="1158">
        <v>46235</v>
      </c>
      <c r="K63" s="1121">
        <f t="shared" ref="K63" si="20">IF(J63="", "", 12 - MONTH(J63) + 1)</f>
        <v>5</v>
      </c>
      <c r="L63" s="1074"/>
      <c r="M63" s="1473" t="s">
        <v>388</v>
      </c>
      <c r="N63" s="1053"/>
      <c r="O63" s="1057" t="s">
        <v>80</v>
      </c>
      <c r="P63" s="1057">
        <v>0.8</v>
      </c>
      <c r="Q63" s="87" t="s">
        <v>106</v>
      </c>
      <c r="R63" s="91">
        <f>AVERAGE([5]Estrutura!$I$5:$I$16)</f>
        <v>0.41666666666666669</v>
      </c>
      <c r="S63" s="309">
        <f>IFERROR(IF(S$54&gt;=EOMONTH($J63,-1)+1,IF(NOT(ISBLANK($N63)),$N63/12,$I63/12),0),0)</f>
        <v>0</v>
      </c>
      <c r="T63" s="309">
        <f>IFERROR(IF(T$54&gt;=EOMONTH($J63,-1)+1,IF(NOT(ISBLANK($N63)),$N63/12,$I63/12),0),0)</f>
        <v>0</v>
      </c>
      <c r="U63" s="309">
        <f>IFERROR(IF(U$54&gt;=EOMONTH($J63,-1)+1,IF(NOT(ISBLANK($N63)),$N63/12,$I63/12),0),0)</f>
        <v>0</v>
      </c>
      <c r="V63" s="89">
        <f t="shared" si="11"/>
        <v>0</v>
      </c>
      <c r="W63" s="309">
        <f>IFERROR(IF(W$54&gt;=EOMONTH($J63,-1)+1,IF(NOT(ISBLANK($N63)),$N63/12,$I63/12),0),0)</f>
        <v>0</v>
      </c>
      <c r="X63" s="309">
        <f>IFERROR(IF(X$54&gt;=EOMONTH($J63,-1)+1,IF(NOT(ISBLANK($N63)),$N63/12,$I63/12),0),0)</f>
        <v>0</v>
      </c>
      <c r="Y63" s="309">
        <f>IFERROR(IF(Y$54&gt;=EOMONTH($J63,-1)+1,IF(NOT(ISBLANK($N63)),$N63/12,$I63/12),0),0)</f>
        <v>0</v>
      </c>
      <c r="Z63" s="89">
        <f t="shared" si="12"/>
        <v>0</v>
      </c>
      <c r="AA63" s="309">
        <f>IFERROR(IF(AA$54&gt;=EOMONTH($J63,-1)+1,IF(NOT(ISBLANK($N63)),$N63/12,$I63/12),0),0)</f>
        <v>0</v>
      </c>
      <c r="AB63" s="309">
        <f>IFERROR(IF(AB$54&gt;=EOMONTH($J63,-1)+1,IF(NOT(ISBLANK($N63)),$N63/12,$I63/12),0),0)</f>
        <v>7620.333333333333</v>
      </c>
      <c r="AC63" s="309">
        <f>IFERROR(IF(AC$54&gt;=EOMONTH($J63,-1)+1,IF(NOT(ISBLANK($N63)),$N63/12,$I63/12),0),0)</f>
        <v>7620.333333333333</v>
      </c>
      <c r="AD63" s="89">
        <f t="shared" si="13"/>
        <v>15240.666666666666</v>
      </c>
      <c r="AE63" s="309">
        <f>IFERROR(IF(AE$54&gt;=EOMONTH($J63,-1)+1,IF(NOT(ISBLANK($N63)),$N63/12,$I63/12),0),0)</f>
        <v>7620.333333333333</v>
      </c>
      <c r="AF63" s="309">
        <f>IFERROR(IF(AF$54&gt;=EOMONTH($J63,-1)+1,IF(NOT(ISBLANK($N63)),$N63/12,$I63/12),0),0)</f>
        <v>7620.333333333333</v>
      </c>
      <c r="AG63" s="309">
        <f>IFERROR(IF(AG$54&gt;=EOMONTH($J63,-1)+1,IF(NOT(ISBLANK($N63)),$N63/12,$I63/12),0),0)</f>
        <v>7620.333333333333</v>
      </c>
      <c r="AH63" s="89">
        <f t="shared" si="14"/>
        <v>22861</v>
      </c>
      <c r="AI63" s="90">
        <f t="shared" si="15"/>
        <v>38101.666666666664</v>
      </c>
      <c r="AJ63" s="98"/>
      <c r="AK63" s="1040"/>
      <c r="AL63" s="1048"/>
      <c r="AM63" s="1046">
        <f t="shared" ref="AM63" si="21">N63*AL63</f>
        <v>0</v>
      </c>
      <c r="AN63" s="62" t="str">
        <f>C63</f>
        <v xml:space="preserve">05 - Aplicar borda aparadas nas bobinas </v>
      </c>
      <c r="AO63" s="62" t="s">
        <v>289</v>
      </c>
      <c r="AP63" s="543" t="str" cm="1">
        <f t="array" aca="1" ref="AP63" ca="1">IF(OR(AN63="",AN63=0),"",IF(SUMPRODUCT(($C$55:$C$128=AN63)*(S$54:$AG$54&lt;EOMONTH(TODAY(),-1)+1)*(ISNUMBER(S$55:$AG$128)),S$55:$AG$128)=0,"",SUMPRODUCT(($C$55:$C$128=AN63)*(S$54:$AG$54&lt;EOMONTH(TODAY(),-1)+1)*(ISNUMBER(S$55:$AG$128)),S$55:$AG$128)))</f>
        <v/>
      </c>
    </row>
    <row r="64" spans="1:42" ht="29.1" customHeight="1" x14ac:dyDescent="0.3">
      <c r="A64" s="1037"/>
      <c r="B64" s="1300"/>
      <c r="C64" s="1114"/>
      <c r="D64" s="1116"/>
      <c r="E64" s="1304"/>
      <c r="F64" s="1041"/>
      <c r="G64" s="1118"/>
      <c r="H64" s="1118"/>
      <c r="I64" s="1075"/>
      <c r="J64" s="1159"/>
      <c r="K64" s="1122"/>
      <c r="L64" s="1075"/>
      <c r="M64" s="1474"/>
      <c r="N64" s="1417"/>
      <c r="O64" s="1058"/>
      <c r="P64" s="1058"/>
      <c r="Q64" s="87" t="s">
        <v>107</v>
      </c>
      <c r="R64" s="91">
        <f>AVERAGE([5]Estrutura!$J$5:$J$16)</f>
        <v>0.33333333333333331</v>
      </c>
      <c r="S64" s="309" t="s">
        <v>390</v>
      </c>
      <c r="T64" s="309" t="s">
        <v>390</v>
      </c>
      <c r="U64" s="309" t="s">
        <v>390</v>
      </c>
      <c r="V64" s="89">
        <f t="shared" si="11"/>
        <v>0</v>
      </c>
      <c r="W64" s="309" t="s">
        <v>390</v>
      </c>
      <c r="X64" s="309" t="s">
        <v>390</v>
      </c>
      <c r="Y64" s="309" t="s">
        <v>390</v>
      </c>
      <c r="Z64" s="89">
        <f t="shared" si="12"/>
        <v>0</v>
      </c>
      <c r="AA64" s="309" t="s">
        <v>390</v>
      </c>
      <c r="AB64" s="309" t="s">
        <v>390</v>
      </c>
      <c r="AC64" s="309" t="s">
        <v>390</v>
      </c>
      <c r="AD64" s="89">
        <f t="shared" si="13"/>
        <v>0</v>
      </c>
      <c r="AE64" s="309" t="s">
        <v>390</v>
      </c>
      <c r="AF64" s="309" t="s">
        <v>390</v>
      </c>
      <c r="AG64" s="309" t="s">
        <v>390</v>
      </c>
      <c r="AH64" s="89">
        <f t="shared" si="14"/>
        <v>0</v>
      </c>
      <c r="AI64" s="311">
        <f t="shared" si="15"/>
        <v>0</v>
      </c>
      <c r="AJ64" s="360"/>
      <c r="AK64" s="1041"/>
      <c r="AL64" s="1049"/>
      <c r="AM64" s="1047"/>
      <c r="AN64" s="62" t="str">
        <f>C63</f>
        <v xml:space="preserve">05 - Aplicar borda aparadas nas bobinas </v>
      </c>
      <c r="AO64" s="62" t="s">
        <v>291</v>
      </c>
      <c r="AP64" s="543" t="str" cm="1">
        <f t="array" aca="1" ref="AP64" ca="1">IF(OR(AN64="",AN64=0),"",IF(SUMPRODUCT(($C$55:$C$143=AN64)*($S$54:AG$54&lt;=TODAY())*(ISNUMBER($S$56:AG$144)),$S$56:AG$144)=0,"",SUMPRODUCT(($C$55:$C$143=AN64)*($S$54:AG$54&lt;=TODAY())*(ISNUMBER($S$56:AG$144)),$S$56:AG$144)))</f>
        <v/>
      </c>
    </row>
    <row r="65" spans="1:42" ht="29.1" customHeight="1" x14ac:dyDescent="0.3">
      <c r="A65" s="1038" t="s">
        <v>85</v>
      </c>
      <c r="B65" s="1038" t="s">
        <v>90</v>
      </c>
      <c r="C65" s="1095" t="s">
        <v>937</v>
      </c>
      <c r="D65" s="1097" t="s">
        <v>938</v>
      </c>
      <c r="E65" s="1363" t="s">
        <v>939</v>
      </c>
      <c r="F65" s="1099" t="s">
        <v>928</v>
      </c>
      <c r="G65" s="1150">
        <v>46054</v>
      </c>
      <c r="H65" s="1150">
        <v>46174</v>
      </c>
      <c r="I65" s="1152">
        <v>1063359</v>
      </c>
      <c r="J65" s="1109">
        <v>46174</v>
      </c>
      <c r="K65" s="1213">
        <v>12</v>
      </c>
      <c r="L65" s="1076"/>
      <c r="M65" s="1320" t="s">
        <v>287</v>
      </c>
      <c r="N65" s="1449">
        <v>1145830.24</v>
      </c>
      <c r="O65" s="1042" t="s">
        <v>80</v>
      </c>
      <c r="P65" s="1042">
        <v>0.1</v>
      </c>
      <c r="Q65" s="93" t="s">
        <v>106</v>
      </c>
      <c r="R65" s="96">
        <f>AVERAGE([6]Estrutura!$I$5:$I$24)</f>
        <v>0.32939189189189189</v>
      </c>
      <c r="S65" s="533">
        <f>IFERROR(IF(S$54&gt;=EOMONTH($J65,-1)+1,IF(NOT(ISBLANK($N65)),$N65/12,$I65/12),0),0)</f>
        <v>0</v>
      </c>
      <c r="T65" s="533">
        <f>IFERROR(IF(T$54&gt;=EOMONTH($J65,-1)+1,IF(NOT(ISBLANK($N65)),$N65/12,$I65/12),0),0)</f>
        <v>0</v>
      </c>
      <c r="U65" s="533">
        <f>IFERROR(IF(U$54&gt;=EOMONTH($J65,-1)+1,IF(NOT(ISBLANK($N65)),$N65/12,$I65/12),0),0)</f>
        <v>0</v>
      </c>
      <c r="V65" s="89">
        <f t="shared" si="11"/>
        <v>0</v>
      </c>
      <c r="W65" s="533">
        <f>IFERROR(IF(W$54&gt;=EOMONTH($J65,-1)+1,IF(NOT(ISBLANK($N65)),$N65/12,$I65/12),0),0)</f>
        <v>0</v>
      </c>
      <c r="X65" s="533">
        <f>IFERROR(IF(X$54&gt;=EOMONTH($J65,-1)+1,IF(NOT(ISBLANK($N65)),$N65/12,$I65/12),0),0)</f>
        <v>0</v>
      </c>
      <c r="Y65" s="533">
        <f>IFERROR(IF(Y$54&gt;=EOMONTH($J65,-1)+1,IF(NOT(ISBLANK($N65)),$N65/12,$I65/12),0),0)</f>
        <v>95485.853333333333</v>
      </c>
      <c r="Z65" s="89">
        <f t="shared" si="12"/>
        <v>95485.853333333333</v>
      </c>
      <c r="AA65" s="533">
        <f>IFERROR(IF(AA$54&gt;=EOMONTH($J65,-1)+1,IF(NOT(ISBLANK($N65)),$N65/12,$I65/12),0),0)</f>
        <v>95485.853333333333</v>
      </c>
      <c r="AB65" s="533">
        <f>IFERROR(IF(AB$54&gt;=EOMONTH($J65,-1)+1,IF(NOT(ISBLANK($N65)),$N65/12,$I65/12),0),0)</f>
        <v>95485.853333333333</v>
      </c>
      <c r="AC65" s="533">
        <f>IFERROR(IF(AC$54&gt;=EOMONTH($J65,-1)+1,IF(NOT(ISBLANK($N65)),$N65/12,$I65/12),0),0)</f>
        <v>95485.853333333333</v>
      </c>
      <c r="AD65" s="89">
        <f t="shared" si="13"/>
        <v>286457.56</v>
      </c>
      <c r="AE65" s="533">
        <f>IFERROR(IF(AE$54&gt;=EOMONTH($J65,-1)+1,IF(NOT(ISBLANK($N65)),$N65/12,$I65/12),0),0)</f>
        <v>95485.853333333333</v>
      </c>
      <c r="AF65" s="533">
        <f>IFERROR(IF(AF$54&gt;=EOMONTH($J65,-1)+1,IF(NOT(ISBLANK($N65)),$N65/12,$I65/12),0),0)</f>
        <v>95485.853333333333</v>
      </c>
      <c r="AG65" s="533">
        <f>IFERROR(IF(AG$54&gt;=EOMONTH($J65,-1)+1,IF(NOT(ISBLANK($N65)),$N65/12,$I65/12),0),0)</f>
        <v>95485.853333333333</v>
      </c>
      <c r="AH65" s="89">
        <f t="shared" si="14"/>
        <v>286457.56</v>
      </c>
      <c r="AI65" s="95">
        <f t="shared" si="15"/>
        <v>668400.97333333339</v>
      </c>
      <c r="AJ65" s="97" t="s">
        <v>940</v>
      </c>
      <c r="AK65" s="1038"/>
      <c r="AL65" s="1042"/>
      <c r="AM65" s="1044">
        <f t="shared" ref="AM65" si="22">N65*AL65</f>
        <v>0</v>
      </c>
      <c r="AN65" s="62" t="str">
        <f>C65</f>
        <v>06 - Redução consumo MTP aplicando tolerância mínima</v>
      </c>
      <c r="AO65" s="62" t="s">
        <v>289</v>
      </c>
      <c r="AP65" s="543" t="str" cm="1">
        <f t="array" aca="1" ref="AP65" ca="1">IF(OR(AN65="",AN65=0),"",IF(SUMPRODUCT(($C$55:$C$128=AN65)*(S$54:$AG$54&lt;EOMONTH(TODAY(),-1)+1)*(ISNUMBER(S$55:$AG$128)),S$55:$AG$128)=0,"",SUMPRODUCT(($C$55:$C$128=AN65)*(S$54:$AG$54&lt;EOMONTH(TODAY(),-1)+1)*(ISNUMBER(S$55:$AG$128)),S$55:$AG$128)))</f>
        <v/>
      </c>
    </row>
    <row r="66" spans="1:42" ht="29.1" customHeight="1" x14ac:dyDescent="0.3">
      <c r="A66" s="1039"/>
      <c r="B66" s="1039"/>
      <c r="C66" s="1096"/>
      <c r="D66" s="1098"/>
      <c r="E66" s="1364"/>
      <c r="F66" s="1100"/>
      <c r="G66" s="1151"/>
      <c r="H66" s="1151"/>
      <c r="I66" s="1151"/>
      <c r="J66" s="1110"/>
      <c r="K66" s="1214"/>
      <c r="L66" s="1077"/>
      <c r="M66" s="1321"/>
      <c r="N66" s="1450"/>
      <c r="O66" s="1043"/>
      <c r="P66" s="1043"/>
      <c r="Q66" s="93" t="s">
        <v>107</v>
      </c>
      <c r="R66" s="96">
        <f>AVERAGE([6]Estrutura!$J$5:$J$24)</f>
        <v>0.29100000000000004</v>
      </c>
      <c r="S66" s="312" t="s">
        <v>390</v>
      </c>
      <c r="T66" s="312" t="s">
        <v>390</v>
      </c>
      <c r="U66" s="312" t="s">
        <v>390</v>
      </c>
      <c r="V66" s="89">
        <f t="shared" si="11"/>
        <v>0</v>
      </c>
      <c r="W66" s="312" t="s">
        <v>390</v>
      </c>
      <c r="X66" s="312" t="s">
        <v>390</v>
      </c>
      <c r="Y66" s="312" t="s">
        <v>390</v>
      </c>
      <c r="Z66" s="89">
        <f t="shared" si="12"/>
        <v>0</v>
      </c>
      <c r="AA66" s="312" t="s">
        <v>390</v>
      </c>
      <c r="AB66" s="312" t="s">
        <v>390</v>
      </c>
      <c r="AC66" s="312" t="s">
        <v>390</v>
      </c>
      <c r="AD66" s="89">
        <f t="shared" si="13"/>
        <v>0</v>
      </c>
      <c r="AE66" s="312" t="s">
        <v>390</v>
      </c>
      <c r="AF66" s="312" t="s">
        <v>390</v>
      </c>
      <c r="AG66" s="312" t="s">
        <v>390</v>
      </c>
      <c r="AH66" s="89">
        <f t="shared" si="14"/>
        <v>0</v>
      </c>
      <c r="AI66" s="313">
        <f t="shared" si="15"/>
        <v>0</v>
      </c>
      <c r="AJ66" s="97" t="s">
        <v>941</v>
      </c>
      <c r="AK66" s="1039"/>
      <c r="AL66" s="1043"/>
      <c r="AM66" s="1045"/>
      <c r="AN66" s="62" t="str">
        <f>C65</f>
        <v>06 - Redução consumo MTP aplicando tolerância mínima</v>
      </c>
      <c r="AO66" s="62" t="s">
        <v>291</v>
      </c>
      <c r="AP66" s="543" t="str" cm="1">
        <f t="array" aca="1" ref="AP66" ca="1">IF(OR(AN66="",AN66=0),"",IF(SUMPRODUCT(($C$55:$C$143=AN66)*($S$54:AG$54&lt;=TODAY())*(ISNUMBER($S$56:AG$144)),$S$56:AG$144)=0,"",SUMPRODUCT(($C$55:$C$143=AN66)*($S$54:AG$54&lt;=TODAY())*(ISNUMBER($S$56:AG$144)),$S$56:AG$144)))</f>
        <v/>
      </c>
    </row>
    <row r="67" spans="1:42" ht="29.1" customHeight="1" x14ac:dyDescent="0.3">
      <c r="A67" s="1036" t="s">
        <v>310</v>
      </c>
      <c r="B67" s="1299" t="s">
        <v>91</v>
      </c>
      <c r="C67" s="1113" t="s">
        <v>942</v>
      </c>
      <c r="D67" s="1115" t="s">
        <v>943</v>
      </c>
      <c r="E67" s="1303" t="s">
        <v>944</v>
      </c>
      <c r="F67" s="1040" t="s">
        <v>932</v>
      </c>
      <c r="G67" s="1117"/>
      <c r="H67" s="1117"/>
      <c r="I67" s="1074"/>
      <c r="J67" s="1158">
        <v>46113</v>
      </c>
      <c r="K67" s="1121">
        <f t="shared" ref="K67" si="23">IF(J67="", "", 12 - MONTH(J67) + 1)</f>
        <v>9</v>
      </c>
      <c r="L67" s="1074"/>
      <c r="M67" s="1454"/>
      <c r="N67" s="1053"/>
      <c r="O67" s="1057" t="s">
        <v>77</v>
      </c>
      <c r="P67" s="1057">
        <v>0.85</v>
      </c>
      <c r="Q67" s="87" t="s">
        <v>106</v>
      </c>
      <c r="R67" s="91"/>
      <c r="S67" s="309">
        <f>IFERROR(IF(S$54&gt;=EOMONTH($J67,-1)+1,IF(NOT(ISBLANK($N67)),$N67/12,$I67/12),0),0)</f>
        <v>0</v>
      </c>
      <c r="T67" s="309">
        <f>IFERROR(IF(T$54&gt;=EOMONTH($J67,-1)+1,IF(NOT(ISBLANK($N67)),$N67/12,$I67/12),0),0)</f>
        <v>0</v>
      </c>
      <c r="U67" s="309">
        <f>IFERROR(IF(U$54&gt;=EOMONTH($J67,-1)+1,IF(NOT(ISBLANK($N67)),$N67/12,$I67/12),0),0)</f>
        <v>0</v>
      </c>
      <c r="V67" s="89">
        <f t="shared" si="11"/>
        <v>0</v>
      </c>
      <c r="W67" s="642">
        <f>IFERROR(IF(W$54&gt;=EOMONTH($J67,-1)+1,IF(NOT(ISBLANK($N67)),$N67/12,$I67/12),0),0)</f>
        <v>0</v>
      </c>
      <c r="X67" s="309">
        <f>IFERROR(IF(X$54&gt;=EOMONTH($J67,-1)+1,IF(NOT(ISBLANK($N67)),$N67/12,$I67/12),0),0)</f>
        <v>0</v>
      </c>
      <c r="Y67" s="309">
        <f>IFERROR(IF(Y$54&gt;=EOMONTH($J67,-1)+1,IF(NOT(ISBLANK($N67)),$N67/12,$I67/12),0),0)</f>
        <v>0</v>
      </c>
      <c r="Z67" s="89">
        <f t="shared" si="12"/>
        <v>0</v>
      </c>
      <c r="AA67" s="309">
        <f>IFERROR(IF(AA$54&gt;=EOMONTH($J67,-1)+1,IF(NOT(ISBLANK($N67)),$N67/12,$I67/12),0),0)</f>
        <v>0</v>
      </c>
      <c r="AB67" s="309">
        <f>IFERROR(IF(AB$54&gt;=EOMONTH($J67,-1)+1,IF(NOT(ISBLANK($N67)),$N67/12,$I67/12),0),0)</f>
        <v>0</v>
      </c>
      <c r="AC67" s="309">
        <f>IFERROR(IF(AC$54&gt;=EOMONTH($J67,-1)+1,IF(NOT(ISBLANK($N67)),$N67/12,$I67/12),0),0)</f>
        <v>0</v>
      </c>
      <c r="AD67" s="89">
        <f t="shared" si="13"/>
        <v>0</v>
      </c>
      <c r="AE67" s="309">
        <f>IFERROR(IF(AE$54&gt;=EOMONTH($J67,-1)+1,IF(NOT(ISBLANK($N67)),$N67/12,$I67/12),0),0)</f>
        <v>0</v>
      </c>
      <c r="AF67" s="309">
        <f>IFERROR(IF(AF$54&gt;=EOMONTH($J67,-1)+1,IF(NOT(ISBLANK($N67)),$N67/12,$I67/12),0),0)</f>
        <v>0</v>
      </c>
      <c r="AG67" s="309">
        <f>IFERROR(IF(AG$54&gt;=EOMONTH($J67,-1)+1,IF(NOT(ISBLANK($N67)),$N67/12,$I67/12),0),0)</f>
        <v>0</v>
      </c>
      <c r="AH67" s="89">
        <f t="shared" si="14"/>
        <v>0</v>
      </c>
      <c r="AI67" s="90">
        <f t="shared" si="15"/>
        <v>0</v>
      </c>
      <c r="AJ67" s="98"/>
      <c r="AK67" s="1040"/>
      <c r="AL67" s="1048"/>
      <c r="AM67" s="1046">
        <f t="shared" ref="AM67" si="24">N67*AL67</f>
        <v>0</v>
      </c>
      <c r="AN67" s="62" t="str">
        <f>C67</f>
        <v>07 - Balanceamento de carga máquina entre a prensa Gutmnan / Minster</v>
      </c>
      <c r="AO67" s="62" t="s">
        <v>289</v>
      </c>
      <c r="AP67" s="543" t="str" cm="1">
        <f t="array" aca="1" ref="AP67" ca="1">IF(OR(AN67="",AN67=0),"",IF(SUMPRODUCT(($C$55:$C$128=AN67)*(S$54:$AG$54&lt;EOMONTH(TODAY(),-1)+1)*(ISNUMBER(S$55:$AG$128)),S$55:$AG$128)=0,"",SUMPRODUCT(($C$55:$C$128=AN67)*(S$54:$AG$54&lt;EOMONTH(TODAY(),-1)+1)*(ISNUMBER(S$55:$AG$128)),S$55:$AG$128)))</f>
        <v/>
      </c>
    </row>
    <row r="68" spans="1:42" ht="29.1" customHeight="1" x14ac:dyDescent="0.3">
      <c r="A68" s="1037"/>
      <c r="B68" s="1300"/>
      <c r="C68" s="1114"/>
      <c r="D68" s="1116"/>
      <c r="E68" s="1304"/>
      <c r="F68" s="1041"/>
      <c r="G68" s="1118"/>
      <c r="H68" s="1118"/>
      <c r="I68" s="1075"/>
      <c r="J68" s="1159"/>
      <c r="K68" s="1122"/>
      <c r="L68" s="1075"/>
      <c r="M68" s="1455"/>
      <c r="N68" s="1417"/>
      <c r="O68" s="1058"/>
      <c r="P68" s="1058"/>
      <c r="Q68" s="87" t="s">
        <v>107</v>
      </c>
      <c r="R68" s="91"/>
      <c r="S68" s="309" t="s">
        <v>390</v>
      </c>
      <c r="T68" s="309" t="s">
        <v>390</v>
      </c>
      <c r="U68" s="309" t="s">
        <v>390</v>
      </c>
      <c r="V68" s="89">
        <f t="shared" si="11"/>
        <v>0</v>
      </c>
      <c r="W68" s="309" t="s">
        <v>390</v>
      </c>
      <c r="X68" s="309" t="s">
        <v>390</v>
      </c>
      <c r="Y68" s="309" t="s">
        <v>390</v>
      </c>
      <c r="Z68" s="89">
        <f t="shared" si="12"/>
        <v>0</v>
      </c>
      <c r="AA68" s="309" t="s">
        <v>390</v>
      </c>
      <c r="AB68" s="309" t="s">
        <v>390</v>
      </c>
      <c r="AC68" s="309" t="s">
        <v>390</v>
      </c>
      <c r="AD68" s="89">
        <f t="shared" si="13"/>
        <v>0</v>
      </c>
      <c r="AE68" s="309" t="s">
        <v>390</v>
      </c>
      <c r="AF68" s="309" t="s">
        <v>390</v>
      </c>
      <c r="AG68" s="309" t="s">
        <v>390</v>
      </c>
      <c r="AH68" s="89">
        <f t="shared" si="14"/>
        <v>0</v>
      </c>
      <c r="AI68" s="311">
        <f t="shared" si="15"/>
        <v>0</v>
      </c>
      <c r="AJ68" s="360"/>
      <c r="AK68" s="1041"/>
      <c r="AL68" s="1049"/>
      <c r="AM68" s="1047"/>
      <c r="AN68" s="62" t="str">
        <f>C67</f>
        <v>07 - Balanceamento de carga máquina entre a prensa Gutmnan / Minster</v>
      </c>
      <c r="AO68" s="62" t="s">
        <v>291</v>
      </c>
      <c r="AP68" s="543" t="str" cm="1">
        <f t="array" aca="1" ref="AP68" ca="1">IF(OR(AN68="",AN68=0),"",IF(SUMPRODUCT(($C$55:$C$143=AN68)*($S$54:AG$54&lt;=TODAY())*(ISNUMBER($S$56:AG$144)),$S$56:AG$144)=0,"",SUMPRODUCT(($C$55:$C$143=AN68)*($S$54:AG$54&lt;=TODAY())*(ISNUMBER($S$56:AG$144)),$S$56:AG$144)))</f>
        <v/>
      </c>
    </row>
    <row r="69" spans="1:42" ht="29.1" customHeight="1" x14ac:dyDescent="0.3">
      <c r="A69" s="1038" t="s">
        <v>310</v>
      </c>
      <c r="B69" s="1038" t="s">
        <v>91</v>
      </c>
      <c r="C69" s="1095" t="s">
        <v>945</v>
      </c>
      <c r="D69" s="1097" t="s">
        <v>946</v>
      </c>
      <c r="E69" s="1363" t="s">
        <v>947</v>
      </c>
      <c r="F69" s="1099" t="s">
        <v>920</v>
      </c>
      <c r="G69" s="1150"/>
      <c r="H69" s="1150"/>
      <c r="I69" s="1152"/>
      <c r="J69" s="1109"/>
      <c r="K69" s="1213" t="str">
        <f t="shared" ref="K69" si="25">IF(J69="", "", 12 - MONTH(J69) + 1)</f>
        <v/>
      </c>
      <c r="L69" s="1076"/>
      <c r="M69" s="1320"/>
      <c r="N69" s="1449"/>
      <c r="O69" s="1042" t="s">
        <v>77</v>
      </c>
      <c r="P69" s="1042">
        <v>0.7</v>
      </c>
      <c r="Q69" s="93" t="s">
        <v>106</v>
      </c>
      <c r="R69" s="96"/>
      <c r="S69" s="533">
        <f>IFERROR(IF(S$54&gt;=EOMONTH($J69,-1)+1,IF(NOT(ISBLANK($N69)),$N69/12,$I69/12),0),0)</f>
        <v>0</v>
      </c>
      <c r="T69" s="533">
        <f>IFERROR(IF(T$54&gt;=EOMONTH($J69,-1)+1,IF(NOT(ISBLANK($N69)),$N69/12,$I69/12),0),0)</f>
        <v>0</v>
      </c>
      <c r="U69" s="533">
        <f>IFERROR(IF(U$54&gt;=EOMONTH($J69,-1)+1,IF(NOT(ISBLANK($N69)),$N69/12,$I69/12),0),0)</f>
        <v>0</v>
      </c>
      <c r="V69" s="89">
        <f t="shared" si="11"/>
        <v>0</v>
      </c>
      <c r="W69" s="533">
        <f>IFERROR(IF(W$54&gt;=EOMONTH($J69,-1)+1,IF(NOT(ISBLANK($N69)),$N69/12,$I69/12),0),0)</f>
        <v>0</v>
      </c>
      <c r="X69" s="533">
        <f>IFERROR(IF(X$54&gt;=EOMONTH($J69,-1)+1,IF(NOT(ISBLANK($N69)),$N69/12,$I69/12),0),0)</f>
        <v>0</v>
      </c>
      <c r="Y69" s="533">
        <f>IFERROR(IF(Y$54&gt;=EOMONTH($J69,-1)+1,IF(NOT(ISBLANK($N69)),$N69/12,$I69/12),0),0)</f>
        <v>0</v>
      </c>
      <c r="Z69" s="89">
        <f t="shared" si="12"/>
        <v>0</v>
      </c>
      <c r="AA69" s="533">
        <f>IFERROR(IF(AA$54&gt;=EOMONTH($J69,-1)+1,IF(NOT(ISBLANK($N69)),$N69/12,$I69/12),0),0)</f>
        <v>0</v>
      </c>
      <c r="AB69" s="533">
        <f>IFERROR(IF(AB$54&gt;=EOMONTH($J69,-1)+1,IF(NOT(ISBLANK($N69)),$N69/12,$I69/12),0),0)</f>
        <v>0</v>
      </c>
      <c r="AC69" s="533">
        <f>IFERROR(IF(AC$54&gt;=EOMONTH($J69,-1)+1,IF(NOT(ISBLANK($N69)),$N69/12,$I69/12),0),0)</f>
        <v>0</v>
      </c>
      <c r="AD69" s="89">
        <f t="shared" si="13"/>
        <v>0</v>
      </c>
      <c r="AE69" s="533">
        <f>IFERROR(IF(AE$54&gt;=EOMONTH($J69,-1)+1,IF(NOT(ISBLANK($N69)),$N69/12,$I69/12),0),0)</f>
        <v>0</v>
      </c>
      <c r="AF69" s="533">
        <f>IFERROR(IF(AF$54&gt;=EOMONTH($J69,-1)+1,IF(NOT(ISBLANK($N69)),$N69/12,$I69/12),0),0)</f>
        <v>0</v>
      </c>
      <c r="AG69" s="533">
        <f>IFERROR(IF(AG$54&gt;=EOMONTH($J69,-1)+1,IF(NOT(ISBLANK($N69)),$N69/12,$I69/12),0),0)</f>
        <v>0</v>
      </c>
      <c r="AH69" s="89">
        <f t="shared" si="14"/>
        <v>0</v>
      </c>
      <c r="AI69" s="95">
        <f t="shared" si="15"/>
        <v>0</v>
      </c>
      <c r="AJ69" s="97"/>
      <c r="AK69" s="1038"/>
      <c r="AL69" s="1042"/>
      <c r="AM69" s="1044">
        <f t="shared" ref="AM69" si="26">N69*AL69</f>
        <v>0</v>
      </c>
      <c r="AN69" s="62" t="str">
        <f>C69</f>
        <v>08 - Individualização de zonas de segurança da máquina Baltec</v>
      </c>
      <c r="AO69" s="62" t="s">
        <v>289</v>
      </c>
      <c r="AP69" s="543" t="str" cm="1">
        <f t="array" aca="1" ref="AP69" ca="1">IF(OR(AN69="",AN69=0),"",IF(SUMPRODUCT(($C$55:$C$128=AN69)*(S$54:$AG$54&lt;EOMONTH(TODAY(),-1)+1)*(ISNUMBER(S$55:$AG$128)),S$55:$AG$128)=0,"",SUMPRODUCT(($C$55:$C$128=AN69)*(S$54:$AG$54&lt;EOMONTH(TODAY(),-1)+1)*(ISNUMBER(S$55:$AG$128)),S$55:$AG$128)))</f>
        <v/>
      </c>
    </row>
    <row r="70" spans="1:42" ht="29.1" customHeight="1" x14ac:dyDescent="0.3">
      <c r="A70" s="1039"/>
      <c r="B70" s="1039"/>
      <c r="C70" s="1096"/>
      <c r="D70" s="1098"/>
      <c r="E70" s="1364"/>
      <c r="F70" s="1100"/>
      <c r="G70" s="1151"/>
      <c r="H70" s="1151"/>
      <c r="I70" s="1151"/>
      <c r="J70" s="1110"/>
      <c r="K70" s="1214"/>
      <c r="L70" s="1077"/>
      <c r="M70" s="1321"/>
      <c r="N70" s="1450"/>
      <c r="O70" s="1043"/>
      <c r="P70" s="1043"/>
      <c r="Q70" s="93" t="s">
        <v>107</v>
      </c>
      <c r="R70" s="96"/>
      <c r="S70" s="312" t="s">
        <v>390</v>
      </c>
      <c r="T70" s="312" t="s">
        <v>390</v>
      </c>
      <c r="U70" s="312" t="s">
        <v>390</v>
      </c>
      <c r="V70" s="89">
        <f t="shared" si="11"/>
        <v>0</v>
      </c>
      <c r="W70" s="312" t="s">
        <v>390</v>
      </c>
      <c r="X70" s="312" t="s">
        <v>390</v>
      </c>
      <c r="Y70" s="312" t="s">
        <v>390</v>
      </c>
      <c r="Z70" s="89">
        <f t="shared" si="12"/>
        <v>0</v>
      </c>
      <c r="AA70" s="312" t="s">
        <v>390</v>
      </c>
      <c r="AB70" s="312" t="s">
        <v>390</v>
      </c>
      <c r="AC70" s="312" t="s">
        <v>390</v>
      </c>
      <c r="AD70" s="89">
        <f t="shared" si="13"/>
        <v>0</v>
      </c>
      <c r="AE70" s="312" t="s">
        <v>390</v>
      </c>
      <c r="AF70" s="312" t="s">
        <v>390</v>
      </c>
      <c r="AG70" s="312" t="s">
        <v>390</v>
      </c>
      <c r="AH70" s="89">
        <f t="shared" si="14"/>
        <v>0</v>
      </c>
      <c r="AI70" s="313">
        <f t="shared" si="15"/>
        <v>0</v>
      </c>
      <c r="AJ70" s="97"/>
      <c r="AK70" s="1039"/>
      <c r="AL70" s="1043"/>
      <c r="AM70" s="1045"/>
      <c r="AN70" s="62" t="str">
        <f>C69</f>
        <v>08 - Individualização de zonas de segurança da máquina Baltec</v>
      </c>
      <c r="AO70" s="62" t="s">
        <v>291</v>
      </c>
      <c r="AP70" s="543" t="str" cm="1">
        <f t="array" aca="1" ref="AP70" ca="1">IF(OR(AN70="",AN70=0),"",IF(SUMPRODUCT(($C$55:$C$143=AN70)*($S$54:AG$54&lt;=TODAY())*(ISNUMBER($S$56:AG$144)),$S$56:AG$144)=0,"",SUMPRODUCT(($C$55:$C$143=AN70)*($S$54:AG$54&lt;=TODAY())*(ISNUMBER($S$56:AG$144)),$S$56:AG$144)))</f>
        <v/>
      </c>
    </row>
    <row r="71" spans="1:42" ht="29.1" customHeight="1" x14ac:dyDescent="0.3">
      <c r="A71" s="1036" t="s">
        <v>310</v>
      </c>
      <c r="B71" s="1299" t="s">
        <v>91</v>
      </c>
      <c r="C71" s="1113" t="s">
        <v>948</v>
      </c>
      <c r="D71" s="1115"/>
      <c r="E71" s="1303" t="s">
        <v>949</v>
      </c>
      <c r="F71" s="1040" t="s">
        <v>928</v>
      </c>
      <c r="G71" s="1117"/>
      <c r="H71" s="1117"/>
      <c r="I71" s="1074"/>
      <c r="J71" s="1158"/>
      <c r="K71" s="1121" t="str">
        <f t="shared" ref="K71" si="27">IF(J71="", "", 12 - MONTH(J71) + 1)</f>
        <v/>
      </c>
      <c r="L71" s="1074"/>
      <c r="M71" s="1454"/>
      <c r="N71" s="1053"/>
      <c r="O71" s="1057" t="s">
        <v>83</v>
      </c>
      <c r="P71" s="1057">
        <v>0.85</v>
      </c>
      <c r="Q71" s="87" t="s">
        <v>106</v>
      </c>
      <c r="R71" s="91"/>
      <c r="S71" s="309">
        <f>IFERROR(IF(S$54&gt;=EOMONTH($J71,-1)+1,IF(NOT(ISBLANK($N71)),$N71/12,$I71/12),0),0)</f>
        <v>0</v>
      </c>
      <c r="T71" s="309">
        <f>IFERROR(IF(T$54&gt;=EOMONTH($J71,-1)+1,IF(NOT(ISBLANK($N71)),$N71/12,$I71/12),0),0)</f>
        <v>0</v>
      </c>
      <c r="U71" s="309">
        <f>IFERROR(IF(U$54&gt;=EOMONTH($J71,-1)+1,IF(NOT(ISBLANK($N71)),$N71/12,$I71/12),0),0)</f>
        <v>0</v>
      </c>
      <c r="V71" s="89">
        <f t="shared" si="11"/>
        <v>0</v>
      </c>
      <c r="W71" s="642">
        <f>IFERROR(IF(W$54&gt;=EOMONTH($J71,-1)+1,IF(NOT(ISBLANK($N71)),$N71/12,$I71/12),0),0)</f>
        <v>0</v>
      </c>
      <c r="X71" s="309">
        <f>IFERROR(IF(X$54&gt;=EOMONTH($J71,-1)+1,IF(NOT(ISBLANK($N71)),$N71/12,$I71/12),0),0)</f>
        <v>0</v>
      </c>
      <c r="Y71" s="309">
        <f>IFERROR(IF(Y$54&gt;=EOMONTH($J71,-1)+1,IF(NOT(ISBLANK($N71)),$N71/12,$I71/12),0),0)</f>
        <v>0</v>
      </c>
      <c r="Z71" s="89">
        <f t="shared" si="12"/>
        <v>0</v>
      </c>
      <c r="AA71" s="309">
        <f>IFERROR(IF(AA$54&gt;=EOMONTH($J71,-1)+1,IF(NOT(ISBLANK($N71)),$N71/12,$I71/12),0),0)</f>
        <v>0</v>
      </c>
      <c r="AB71" s="309">
        <f>IFERROR(IF(AB$54&gt;=EOMONTH($J71,-1)+1,IF(NOT(ISBLANK($N71)),$N71/12,$I71/12),0),0)</f>
        <v>0</v>
      </c>
      <c r="AC71" s="309">
        <f>IFERROR(IF(AC$54&gt;=EOMONTH($J71,-1)+1,IF(NOT(ISBLANK($N71)),$N71/12,$I71/12),0),0)</f>
        <v>0</v>
      </c>
      <c r="AD71" s="89">
        <f t="shared" si="13"/>
        <v>0</v>
      </c>
      <c r="AE71" s="309">
        <f>IFERROR(IF(AE$54&gt;=EOMONTH($J71,-1)+1,IF(NOT(ISBLANK($N71)),$N71/12,$I71/12),0),0)</f>
        <v>0</v>
      </c>
      <c r="AF71" s="309">
        <f>IFERROR(IF(AF$54&gt;=EOMONTH($J71,-1)+1,IF(NOT(ISBLANK($N71)),$N71/12,$I71/12),0),0)</f>
        <v>0</v>
      </c>
      <c r="AG71" s="309">
        <f>IFERROR(IF(AG$54&gt;=EOMONTH($J71,-1)+1,IF(NOT(ISBLANK($N71)),$N71/12,$I71/12),0),0)</f>
        <v>0</v>
      </c>
      <c r="AH71" s="89">
        <f t="shared" si="14"/>
        <v>0</v>
      </c>
      <c r="AI71" s="90">
        <f t="shared" si="15"/>
        <v>0</v>
      </c>
      <c r="AJ71" s="98"/>
      <c r="AK71" s="1040"/>
      <c r="AL71" s="1048"/>
      <c r="AM71" s="1046">
        <f t="shared" ref="AM71" si="28">N71*AL71</f>
        <v>0</v>
      </c>
      <c r="AN71" s="62" t="str">
        <f>C71</f>
        <v>09 - Aumento de performance dos itens estampados na prensa Minster</v>
      </c>
      <c r="AO71" s="62" t="s">
        <v>289</v>
      </c>
      <c r="AP71" s="543" t="str" cm="1">
        <f t="array" aca="1" ref="AP71" ca="1">IF(OR(AN71="",AN71=0),"",IF(SUMPRODUCT(($C$55:$C$128=AN71)*(S$54:$AG$54&lt;EOMONTH(TODAY(),-1)+1)*(ISNUMBER(S$55:$AG$128)),S$55:$AG$128)=0,"",SUMPRODUCT(($C$55:$C$128=AN71)*(S$54:$AG$54&lt;EOMONTH(TODAY(),-1)+1)*(ISNUMBER(S$55:$AG$128)),S$55:$AG$128)))</f>
        <v/>
      </c>
    </row>
    <row r="72" spans="1:42" ht="29.1" customHeight="1" x14ac:dyDescent="0.3">
      <c r="A72" s="1037"/>
      <c r="B72" s="1300"/>
      <c r="C72" s="1114"/>
      <c r="D72" s="1116"/>
      <c r="E72" s="1304"/>
      <c r="F72" s="1041"/>
      <c r="G72" s="1118"/>
      <c r="H72" s="1118"/>
      <c r="I72" s="1075"/>
      <c r="J72" s="1159"/>
      <c r="K72" s="1122"/>
      <c r="L72" s="1075"/>
      <c r="M72" s="1455"/>
      <c r="N72" s="1417"/>
      <c r="O72" s="1058"/>
      <c r="P72" s="1058"/>
      <c r="Q72" s="87" t="s">
        <v>107</v>
      </c>
      <c r="R72" s="91"/>
      <c r="S72" s="309" t="s">
        <v>390</v>
      </c>
      <c r="T72" s="309" t="s">
        <v>390</v>
      </c>
      <c r="U72" s="309" t="s">
        <v>390</v>
      </c>
      <c r="V72" s="89">
        <f t="shared" si="11"/>
        <v>0</v>
      </c>
      <c r="W72" s="309" t="s">
        <v>390</v>
      </c>
      <c r="X72" s="309" t="s">
        <v>390</v>
      </c>
      <c r="Y72" s="309" t="s">
        <v>390</v>
      </c>
      <c r="Z72" s="89">
        <f t="shared" si="12"/>
        <v>0</v>
      </c>
      <c r="AA72" s="309" t="s">
        <v>390</v>
      </c>
      <c r="AB72" s="309" t="s">
        <v>390</v>
      </c>
      <c r="AC72" s="309" t="s">
        <v>390</v>
      </c>
      <c r="AD72" s="89">
        <f t="shared" si="13"/>
        <v>0</v>
      </c>
      <c r="AE72" s="309" t="s">
        <v>390</v>
      </c>
      <c r="AF72" s="309" t="s">
        <v>390</v>
      </c>
      <c r="AG72" s="309" t="s">
        <v>390</v>
      </c>
      <c r="AH72" s="89">
        <f t="shared" si="14"/>
        <v>0</v>
      </c>
      <c r="AI72" s="311">
        <f t="shared" si="15"/>
        <v>0</v>
      </c>
      <c r="AJ72" s="360"/>
      <c r="AK72" s="1041"/>
      <c r="AL72" s="1049"/>
      <c r="AM72" s="1047"/>
      <c r="AN72" s="62" t="str">
        <f>C71</f>
        <v>09 - Aumento de performance dos itens estampados na prensa Minster</v>
      </c>
      <c r="AO72" s="62" t="s">
        <v>291</v>
      </c>
      <c r="AP72" s="543" t="str" cm="1">
        <f t="array" aca="1" ref="AP72" ca="1">IF(OR(AN72="",AN72=0),"",IF(SUMPRODUCT(($C$55:$C$143=AN72)*($S$54:AG$54&lt;=TODAY())*(ISNUMBER($S$56:AG$144)),$S$56:AG$144)=0,"",SUMPRODUCT(($C$55:$C$143=AN72)*($S$54:AG$54&lt;=TODAY())*(ISNUMBER($S$56:AG$144)),$S$56:AG$144)))</f>
        <v/>
      </c>
    </row>
    <row r="73" spans="1:42" ht="29.1" customHeight="1" x14ac:dyDescent="0.3">
      <c r="A73" s="1038" t="s">
        <v>310</v>
      </c>
      <c r="B73" s="1038" t="s">
        <v>91</v>
      </c>
      <c r="C73" s="1095" t="s">
        <v>950</v>
      </c>
      <c r="D73" s="1097"/>
      <c r="E73" s="1363" t="s">
        <v>951</v>
      </c>
      <c r="F73" s="1099" t="s">
        <v>928</v>
      </c>
      <c r="G73" s="1150"/>
      <c r="H73" s="1150"/>
      <c r="I73" s="1152"/>
      <c r="J73" s="1109"/>
      <c r="K73" s="1213" t="str">
        <f t="shared" ref="K73" si="29">IF(J73="", "", 12 - MONTH(J73) + 1)</f>
        <v/>
      </c>
      <c r="L73" s="1076"/>
      <c r="M73" s="1320"/>
      <c r="N73" s="1449"/>
      <c r="O73" s="1042" t="s">
        <v>83</v>
      </c>
      <c r="P73" s="1042">
        <v>0.85</v>
      </c>
      <c r="Q73" s="93" t="s">
        <v>106</v>
      </c>
      <c r="R73" s="96"/>
      <c r="S73" s="533">
        <f>IFERROR(IF(S$54&gt;=EOMONTH($J73,-1)+1,IF(NOT(ISBLANK($N73)),$N73/12,$I73/12),0),0)</f>
        <v>0</v>
      </c>
      <c r="T73" s="533">
        <f>IFERROR(IF(T$54&gt;=EOMONTH($J73,-1)+1,IF(NOT(ISBLANK($N73)),$N73/12,$I73/12),0),0)</f>
        <v>0</v>
      </c>
      <c r="U73" s="533">
        <f>IFERROR(IF(U$54&gt;=EOMONTH($J73,-1)+1,IF(NOT(ISBLANK($N73)),$N73/12,$I73/12),0),0)</f>
        <v>0</v>
      </c>
      <c r="V73" s="89">
        <f t="shared" si="11"/>
        <v>0</v>
      </c>
      <c r="W73" s="533">
        <f>IFERROR(IF(W$54&gt;=EOMONTH($J73,-1)+1,IF(NOT(ISBLANK($N73)),$N73/12,$I73/12),0),0)</f>
        <v>0</v>
      </c>
      <c r="X73" s="533">
        <f>IFERROR(IF(X$54&gt;=EOMONTH($J73,-1)+1,IF(NOT(ISBLANK($N73)),$N73/12,$I73/12),0),0)</f>
        <v>0</v>
      </c>
      <c r="Y73" s="533">
        <f>IFERROR(IF(Y$54&gt;=EOMONTH($J73,-1)+1,IF(NOT(ISBLANK($N73)),$N73/12,$I73/12),0),0)</f>
        <v>0</v>
      </c>
      <c r="Z73" s="89">
        <f t="shared" si="12"/>
        <v>0</v>
      </c>
      <c r="AA73" s="533">
        <f>IFERROR(IF(AA$54&gt;=EOMONTH($J73,-1)+1,IF(NOT(ISBLANK($N73)),$N73/12,$I73/12),0),0)</f>
        <v>0</v>
      </c>
      <c r="AB73" s="533">
        <f>IFERROR(IF(AB$54&gt;=EOMONTH($J73,-1)+1,IF(NOT(ISBLANK($N73)),$N73/12,$I73/12),0),0)</f>
        <v>0</v>
      </c>
      <c r="AC73" s="533">
        <f>IFERROR(IF(AC$54&gt;=EOMONTH($J73,-1)+1,IF(NOT(ISBLANK($N73)),$N73/12,$I73/12),0),0)</f>
        <v>0</v>
      </c>
      <c r="AD73" s="89">
        <f t="shared" si="13"/>
        <v>0</v>
      </c>
      <c r="AE73" s="533">
        <f>IFERROR(IF(AE$54&gt;=EOMONTH($J73,-1)+1,IF(NOT(ISBLANK($N73)),$N73/12,$I73/12),0),0)</f>
        <v>0</v>
      </c>
      <c r="AF73" s="533">
        <f>IFERROR(IF(AF$54&gt;=EOMONTH($J73,-1)+1,IF(NOT(ISBLANK($N73)),$N73/12,$I73/12),0),0)</f>
        <v>0</v>
      </c>
      <c r="AG73" s="533">
        <f>IFERROR(IF(AG$54&gt;=EOMONTH($J73,-1)+1,IF(NOT(ISBLANK($N73)),$N73/12,$I73/12),0),0)</f>
        <v>0</v>
      </c>
      <c r="AH73" s="89">
        <f t="shared" si="14"/>
        <v>0</v>
      </c>
      <c r="AI73" s="95">
        <f t="shared" si="15"/>
        <v>0</v>
      </c>
      <c r="AJ73" s="97"/>
      <c r="AK73" s="1038"/>
      <c r="AL73" s="1042"/>
      <c r="AM73" s="1044">
        <f t="shared" ref="AM73" si="30">N73*AL73</f>
        <v>0</v>
      </c>
      <c r="AN73" s="62" t="str">
        <f>C73</f>
        <v>10 - Aumento de performance dos itens estampados na prensa Isgec</v>
      </c>
      <c r="AO73" s="62" t="s">
        <v>289</v>
      </c>
      <c r="AP73" s="543" t="str" cm="1">
        <f t="array" aca="1" ref="AP73" ca="1">IF(OR(AN73="",AN73=0),"",IF(SUMPRODUCT(($C$55:$C$128=AN73)*(S$54:$AG$54&lt;EOMONTH(TODAY(),-1)+1)*(ISNUMBER(S$55:$AG$128)),S$55:$AG$128)=0,"",SUMPRODUCT(($C$55:$C$128=AN73)*(S$54:$AG$54&lt;EOMONTH(TODAY(),-1)+1)*(ISNUMBER(S$55:$AG$128)),S$55:$AG$128)))</f>
        <v/>
      </c>
    </row>
    <row r="74" spans="1:42" ht="29.1" customHeight="1" x14ac:dyDescent="0.3">
      <c r="A74" s="1039"/>
      <c r="B74" s="1039"/>
      <c r="C74" s="1096"/>
      <c r="D74" s="1098"/>
      <c r="E74" s="1364"/>
      <c r="F74" s="1100"/>
      <c r="G74" s="1151"/>
      <c r="H74" s="1151"/>
      <c r="I74" s="1151"/>
      <c r="J74" s="1110"/>
      <c r="K74" s="1214"/>
      <c r="L74" s="1077"/>
      <c r="M74" s="1321"/>
      <c r="N74" s="1450"/>
      <c r="O74" s="1043"/>
      <c r="P74" s="1043"/>
      <c r="Q74" s="93" t="s">
        <v>107</v>
      </c>
      <c r="R74" s="96"/>
      <c r="S74" s="312" t="s">
        <v>390</v>
      </c>
      <c r="T74" s="312" t="s">
        <v>390</v>
      </c>
      <c r="U74" s="312" t="s">
        <v>390</v>
      </c>
      <c r="V74" s="89">
        <f t="shared" si="11"/>
        <v>0</v>
      </c>
      <c r="W74" s="312" t="s">
        <v>390</v>
      </c>
      <c r="X74" s="312" t="s">
        <v>390</v>
      </c>
      <c r="Y74" s="312" t="s">
        <v>390</v>
      </c>
      <c r="Z74" s="89">
        <f t="shared" si="12"/>
        <v>0</v>
      </c>
      <c r="AA74" s="312" t="s">
        <v>390</v>
      </c>
      <c r="AB74" s="312" t="s">
        <v>390</v>
      </c>
      <c r="AC74" s="312" t="s">
        <v>390</v>
      </c>
      <c r="AD74" s="89">
        <f t="shared" si="13"/>
        <v>0</v>
      </c>
      <c r="AE74" s="312" t="s">
        <v>390</v>
      </c>
      <c r="AF74" s="312" t="s">
        <v>390</v>
      </c>
      <c r="AG74" s="312" t="s">
        <v>390</v>
      </c>
      <c r="AH74" s="89">
        <f t="shared" si="14"/>
        <v>0</v>
      </c>
      <c r="AI74" s="313">
        <f t="shared" si="15"/>
        <v>0</v>
      </c>
      <c r="AJ74" s="97"/>
      <c r="AK74" s="1039"/>
      <c r="AL74" s="1043"/>
      <c r="AM74" s="1045"/>
      <c r="AN74" s="62" t="str">
        <f>C73</f>
        <v>10 - Aumento de performance dos itens estampados na prensa Isgec</v>
      </c>
      <c r="AO74" s="62" t="s">
        <v>291</v>
      </c>
      <c r="AP74" s="543" t="str" cm="1">
        <f t="array" aca="1" ref="AP74" ca="1">IF(OR(AN74="",AN74=0),"",IF(SUMPRODUCT(($C$55:$C$143=AN74)*($S$54:AG$54&lt;=TODAY())*(ISNUMBER($S$56:AG$144)),$S$56:AG$144)=0,"",SUMPRODUCT(($C$55:$C$143=AN74)*($S$54:AG$54&lt;=TODAY())*(ISNUMBER($S$56:AG$144)),$S$56:AG$144)))</f>
        <v/>
      </c>
    </row>
    <row r="75" spans="1:42" ht="29.1" customHeight="1" x14ac:dyDescent="0.3">
      <c r="A75" s="1036" t="s">
        <v>310</v>
      </c>
      <c r="B75" s="1299" t="s">
        <v>91</v>
      </c>
      <c r="C75" s="1113" t="s">
        <v>952</v>
      </c>
      <c r="D75" s="1115"/>
      <c r="E75" s="1303" t="s">
        <v>953</v>
      </c>
      <c r="F75" s="1040" t="s">
        <v>928</v>
      </c>
      <c r="G75" s="1117"/>
      <c r="H75" s="1117"/>
      <c r="I75" s="1074"/>
      <c r="J75" s="1158"/>
      <c r="K75" s="1121" t="str">
        <f t="shared" ref="K75" si="31">IF(J75="", "", 12 - MONTH(J75) + 1)</f>
        <v/>
      </c>
      <c r="L75" s="1074"/>
      <c r="M75" s="1454"/>
      <c r="N75" s="1053"/>
      <c r="O75" s="1057" t="s">
        <v>83</v>
      </c>
      <c r="P75" s="1057">
        <v>0.85</v>
      </c>
      <c r="Q75" s="87" t="s">
        <v>106</v>
      </c>
      <c r="R75" s="91"/>
      <c r="S75" s="309">
        <f>IFERROR(IF(S$54&gt;=EOMONTH($J75,-1)+1,IF(NOT(ISBLANK($N75)),$N75/12,$I75/12),0),0)</f>
        <v>0</v>
      </c>
      <c r="T75" s="309">
        <f>IFERROR(IF(T$54&gt;=EOMONTH($J75,-1)+1,IF(NOT(ISBLANK($N75)),$N75/12,$I75/12),0),0)</f>
        <v>0</v>
      </c>
      <c r="U75" s="309">
        <f>IFERROR(IF(U$54&gt;=EOMONTH($J75,-1)+1,IF(NOT(ISBLANK($N75)),$N75/12,$I75/12),0),0)</f>
        <v>0</v>
      </c>
      <c r="V75" s="89">
        <f t="shared" si="11"/>
        <v>0</v>
      </c>
      <c r="W75" s="642"/>
      <c r="X75" s="309"/>
      <c r="Y75" s="309">
        <f>IFERROR(IF(Y$54&gt;=EOMONTH($J75,-1)+1,IF(NOT(ISBLANK($N75)),$N75/12,$I75/12),0),0)</f>
        <v>0</v>
      </c>
      <c r="Z75" s="89">
        <f t="shared" si="12"/>
        <v>0</v>
      </c>
      <c r="AA75" s="309">
        <f>IFERROR(IF(AA$54&gt;=EOMONTH($J75,-1)+1,IF(NOT(ISBLANK($N75)),$N75/12,$I75/12),0),0)</f>
        <v>0</v>
      </c>
      <c r="AB75" s="309">
        <f>IFERROR(IF(AB$54&gt;=EOMONTH($J75,-1)+1,IF(NOT(ISBLANK($N75)),$N75/12,$I75/12),0),0)</f>
        <v>0</v>
      </c>
      <c r="AC75" s="309">
        <f>IFERROR(IF(AC$54&gt;=EOMONTH($J75,-1)+1,IF(NOT(ISBLANK($N75)),$N75/12,$I75/12),0),0)</f>
        <v>0</v>
      </c>
      <c r="AD75" s="89">
        <f t="shared" si="13"/>
        <v>0</v>
      </c>
      <c r="AE75" s="309">
        <f>IFERROR(IF(AE$54&gt;=EOMONTH($J75,-1)+1,IF(NOT(ISBLANK($N75)),$N75/12,$I75/12),0),0)</f>
        <v>0</v>
      </c>
      <c r="AF75" s="309">
        <f>IFERROR(IF(AF$54&gt;=EOMONTH($J75,-1)+1,IF(NOT(ISBLANK($N75)),$N75/12,$I75/12),0),0)</f>
        <v>0</v>
      </c>
      <c r="AG75" s="309">
        <f>IFERROR(IF(AG$54&gt;=EOMONTH($J75,-1)+1,IF(NOT(ISBLANK($N75)),$N75/12,$I75/12),0),0)</f>
        <v>0</v>
      </c>
      <c r="AH75" s="89">
        <f t="shared" si="14"/>
        <v>0</v>
      </c>
      <c r="AI75" s="90">
        <f t="shared" si="15"/>
        <v>0</v>
      </c>
      <c r="AJ75" s="98"/>
      <c r="AK75" s="1040"/>
      <c r="AL75" s="1048"/>
      <c r="AM75" s="1046">
        <f t="shared" ref="AM75" si="32">N75*AL75</f>
        <v>0</v>
      </c>
      <c r="AN75" s="62" t="str">
        <f>C75</f>
        <v>11 - Aumento de performance dos itens estampados nas prensas Gutmmans</v>
      </c>
      <c r="AO75" s="62" t="s">
        <v>289</v>
      </c>
      <c r="AP75" s="543" t="str" cm="1">
        <f t="array" aca="1" ref="AP75" ca="1">IF(OR(AN75="",AN75=0),"",IF(SUMPRODUCT(($C$55:$C$128=AN75)*(S$54:$AG$54&lt;EOMONTH(TODAY(),-1)+1)*(ISNUMBER(S$55:$AG$128)),S$55:$AG$128)=0,"",SUMPRODUCT(($C$55:$C$128=AN75)*(S$54:$AG$54&lt;EOMONTH(TODAY(),-1)+1)*(ISNUMBER(S$55:$AG$128)),S$55:$AG$128)))</f>
        <v/>
      </c>
    </row>
    <row r="76" spans="1:42" ht="29.1" customHeight="1" x14ac:dyDescent="0.3">
      <c r="A76" s="1037"/>
      <c r="B76" s="1300"/>
      <c r="C76" s="1114"/>
      <c r="D76" s="1116"/>
      <c r="E76" s="1304"/>
      <c r="F76" s="1041"/>
      <c r="G76" s="1118"/>
      <c r="H76" s="1118"/>
      <c r="I76" s="1075"/>
      <c r="J76" s="1159"/>
      <c r="K76" s="1122"/>
      <c r="L76" s="1075"/>
      <c r="M76" s="1455"/>
      <c r="N76" s="1417"/>
      <c r="O76" s="1058"/>
      <c r="P76" s="1058"/>
      <c r="Q76" s="87" t="s">
        <v>107</v>
      </c>
      <c r="R76" s="91"/>
      <c r="S76" s="309" t="s">
        <v>390</v>
      </c>
      <c r="T76" s="309" t="s">
        <v>390</v>
      </c>
      <c r="U76" s="309" t="s">
        <v>390</v>
      </c>
      <c r="V76" s="89">
        <f t="shared" si="11"/>
        <v>0</v>
      </c>
      <c r="W76" s="309" t="s">
        <v>390</v>
      </c>
      <c r="X76" s="309" t="s">
        <v>390</v>
      </c>
      <c r="Y76" s="309" t="s">
        <v>390</v>
      </c>
      <c r="Z76" s="89">
        <f t="shared" si="12"/>
        <v>0</v>
      </c>
      <c r="AA76" s="309" t="s">
        <v>390</v>
      </c>
      <c r="AB76" s="309" t="s">
        <v>390</v>
      </c>
      <c r="AC76" s="309" t="s">
        <v>390</v>
      </c>
      <c r="AD76" s="89">
        <f t="shared" si="13"/>
        <v>0</v>
      </c>
      <c r="AE76" s="309" t="s">
        <v>390</v>
      </c>
      <c r="AF76" s="309" t="s">
        <v>390</v>
      </c>
      <c r="AG76" s="309" t="s">
        <v>390</v>
      </c>
      <c r="AH76" s="89">
        <f t="shared" si="14"/>
        <v>0</v>
      </c>
      <c r="AI76" s="311">
        <f t="shared" si="15"/>
        <v>0</v>
      </c>
      <c r="AJ76" s="360"/>
      <c r="AK76" s="1041"/>
      <c r="AL76" s="1049"/>
      <c r="AM76" s="1047"/>
      <c r="AN76" s="62" t="str">
        <f>C75</f>
        <v>11 - Aumento de performance dos itens estampados nas prensas Gutmmans</v>
      </c>
      <c r="AO76" s="62" t="s">
        <v>291</v>
      </c>
      <c r="AP76" s="543" t="str" cm="1">
        <f t="array" aca="1" ref="AP76" ca="1">IF(OR(AN76="",AN76=0),"",IF(SUMPRODUCT(($C$55:$C$143=AN76)*($S$54:AG$54&lt;=TODAY())*(ISNUMBER($S$56:AG$144)),$S$56:AG$144)=0,"",SUMPRODUCT(($C$55:$C$143=AN76)*($S$54:AG$54&lt;=TODAY())*(ISNUMBER($S$56:AG$144)),$S$56:AG$144)))</f>
        <v/>
      </c>
    </row>
    <row r="77" spans="1:42" ht="29.1" customHeight="1" x14ac:dyDescent="0.3">
      <c r="A77" s="1038" t="s">
        <v>310</v>
      </c>
      <c r="B77" s="1038" t="s">
        <v>91</v>
      </c>
      <c r="C77" s="1095" t="s">
        <v>954</v>
      </c>
      <c r="D77" s="1097" t="s">
        <v>955</v>
      </c>
      <c r="E77" s="1363" t="s">
        <v>956</v>
      </c>
      <c r="F77" s="1099"/>
      <c r="G77" s="1150"/>
      <c r="H77" s="1150"/>
      <c r="I77" s="1152"/>
      <c r="J77" s="1109"/>
      <c r="K77" s="1213"/>
      <c r="L77" s="1123"/>
      <c r="M77" s="1475"/>
      <c r="N77" s="1449"/>
      <c r="O77" s="1042" t="s">
        <v>80</v>
      </c>
      <c r="P77" s="1042">
        <v>0.85</v>
      </c>
      <c r="Q77" s="93" t="s">
        <v>106</v>
      </c>
      <c r="R77" s="96" t="str">
        <f ca="1">IF(OR(G77="", H77=""), "", IF(TODAY()&lt;G77, 0, IF(TODAY()&gt;H77, 1, (TODAY()-G77+1)/(H77-G77+1))))</f>
        <v/>
      </c>
      <c r="S77" s="533">
        <f>IFERROR(IF(S$54&gt;=EOMONTH($J77,-1)+1,IF(NOT(ISBLANK($N77)),$N77/12,$I77/12),0),0)</f>
        <v>0</v>
      </c>
      <c r="T77" s="533">
        <f>IFERROR(IF(T$54&gt;=EOMONTH($J77,-1)+1,IF(NOT(ISBLANK($N77)),$N77/12,$I77/12),0),0)</f>
        <v>0</v>
      </c>
      <c r="U77" s="533">
        <f>IFERROR(IF(U$54&gt;=EOMONTH($J77,-1)+1,IF(NOT(ISBLANK($N77)),$N77/12,$I77/12),0),0)</f>
        <v>0</v>
      </c>
      <c r="V77" s="89">
        <f t="shared" si="11"/>
        <v>0</v>
      </c>
      <c r="W77" s="533">
        <f>IFERROR(IF(W$54&gt;=EOMONTH($J77,-1)+1,IF(NOT(ISBLANK($N77)),$N77/12,$I77/12),0),0)</f>
        <v>0</v>
      </c>
      <c r="X77" s="533">
        <f>IFERROR(IF(X$54&gt;=EOMONTH($J77,-1)+1,IF(NOT(ISBLANK($N77)),$N77/12,$I77/12),0),0)</f>
        <v>0</v>
      </c>
      <c r="Y77" s="533">
        <f>IFERROR(IF(Y$54&gt;=EOMONTH($J77,-1)+1,IF(NOT(ISBLANK($N77)),$N77/12,$I77/12),0),0)</f>
        <v>0</v>
      </c>
      <c r="Z77" s="89">
        <f t="shared" si="12"/>
        <v>0</v>
      </c>
      <c r="AA77" s="533">
        <f>IFERROR(IF(AA$54&gt;=EOMONTH($J77,-1)+1,IF(NOT(ISBLANK($N77)),$N77/12,$I77/12),0),0)</f>
        <v>0</v>
      </c>
      <c r="AB77" s="533">
        <f>IFERROR(IF(AB$54&gt;=EOMONTH($J77,-1)+1,IF(NOT(ISBLANK($N77)),$N77/12,$I77/12),0),0)</f>
        <v>0</v>
      </c>
      <c r="AC77" s="533">
        <f>IFERROR(IF(AC$54&gt;=EOMONTH($J77,-1)+1,IF(NOT(ISBLANK($N77)),$N77/12,$I77/12),0),0)</f>
        <v>0</v>
      </c>
      <c r="AD77" s="89">
        <f t="shared" si="13"/>
        <v>0</v>
      </c>
      <c r="AE77" s="533">
        <f>IFERROR(IF(AE$54&gt;=EOMONTH($J77,-1)+1,IF(NOT(ISBLANK($N77)),$N77/12,$I77/12),0),0)</f>
        <v>0</v>
      </c>
      <c r="AF77" s="533">
        <f>IFERROR(IF(AF$54&gt;=EOMONTH($J77,-1)+1,IF(NOT(ISBLANK($N77)),$N77/12,$I77/12),0),0)</f>
        <v>0</v>
      </c>
      <c r="AG77" s="533">
        <f>IFERROR(IF(AG$54&gt;=EOMONTH($J77,-1)+1,IF(NOT(ISBLANK($N77)),$N77/12,$I77/12),0),0)</f>
        <v>0</v>
      </c>
      <c r="AH77" s="89">
        <f t="shared" si="14"/>
        <v>0</v>
      </c>
      <c r="AI77" s="95">
        <f t="shared" si="15"/>
        <v>0</v>
      </c>
      <c r="AJ77" s="97"/>
      <c r="AK77" s="1038"/>
      <c r="AL77" s="1042"/>
      <c r="AM77" s="1044">
        <f t="shared" ref="AM77" si="33">N77*AL77</f>
        <v>0</v>
      </c>
      <c r="AN77" s="62" t="str">
        <f>C77</f>
        <v>12 - Aumento do OEE do equipamento ISGEC</v>
      </c>
      <c r="AO77" s="62" t="s">
        <v>289</v>
      </c>
      <c r="AP77" s="543" t="str" cm="1">
        <f t="array" aca="1" ref="AP77" ca="1">IF(OR(AN77="",AN77=0),"",IF(SUMPRODUCT(($C$55:$C$128=AN77)*(S$54:$AG$54&lt;EOMONTH(TODAY(),-1)+1)*(ISNUMBER(S$55:$AG$128)),S$55:$AG$128)=0,"",SUMPRODUCT(($C$55:$C$128=AN77)*(S$54:$AG$54&lt;EOMONTH(TODAY(),-1)+1)*(ISNUMBER(S$55:$AG$128)),S$55:$AG$128)))</f>
        <v/>
      </c>
    </row>
    <row r="78" spans="1:42" ht="29.1" customHeight="1" x14ac:dyDescent="0.3">
      <c r="A78" s="1039"/>
      <c r="B78" s="1039"/>
      <c r="C78" s="1096"/>
      <c r="D78" s="1098"/>
      <c r="E78" s="1364"/>
      <c r="F78" s="1100"/>
      <c r="G78" s="1151"/>
      <c r="H78" s="1151"/>
      <c r="I78" s="1151"/>
      <c r="J78" s="1110"/>
      <c r="K78" s="1214"/>
      <c r="L78" s="1124"/>
      <c r="M78" s="1476"/>
      <c r="N78" s="1450"/>
      <c r="O78" s="1043"/>
      <c r="P78" s="1043"/>
      <c r="Q78" s="93" t="s">
        <v>107</v>
      </c>
      <c r="R78" s="96"/>
      <c r="S78" s="312" t="s">
        <v>390</v>
      </c>
      <c r="T78" s="312" t="s">
        <v>390</v>
      </c>
      <c r="U78" s="312" t="s">
        <v>390</v>
      </c>
      <c r="V78" s="89">
        <f t="shared" si="11"/>
        <v>0</v>
      </c>
      <c r="W78" s="312" t="s">
        <v>390</v>
      </c>
      <c r="X78" s="312" t="s">
        <v>390</v>
      </c>
      <c r="Y78" s="312" t="s">
        <v>390</v>
      </c>
      <c r="Z78" s="89">
        <f t="shared" si="12"/>
        <v>0</v>
      </c>
      <c r="AA78" s="312" t="s">
        <v>390</v>
      </c>
      <c r="AB78" s="312" t="s">
        <v>390</v>
      </c>
      <c r="AC78" s="312" t="s">
        <v>390</v>
      </c>
      <c r="AD78" s="89">
        <f t="shared" si="13"/>
        <v>0</v>
      </c>
      <c r="AE78" s="312" t="s">
        <v>390</v>
      </c>
      <c r="AF78" s="312" t="s">
        <v>390</v>
      </c>
      <c r="AG78" s="312" t="s">
        <v>390</v>
      </c>
      <c r="AH78" s="89">
        <f t="shared" si="14"/>
        <v>0</v>
      </c>
      <c r="AI78" s="313">
        <f t="shared" si="15"/>
        <v>0</v>
      </c>
      <c r="AJ78" s="97"/>
      <c r="AK78" s="1039"/>
      <c r="AL78" s="1043"/>
      <c r="AM78" s="1045"/>
      <c r="AN78" s="62" t="str">
        <f>C77</f>
        <v>12 - Aumento do OEE do equipamento ISGEC</v>
      </c>
      <c r="AO78" s="62" t="s">
        <v>291</v>
      </c>
      <c r="AP78" s="543" t="str" cm="1">
        <f t="array" aca="1" ref="AP78" ca="1">IF(OR(AN78="",AN78=0),"",IF(SUMPRODUCT(($C$55:$C$143=AN78)*($S$54:AG$54&lt;=TODAY())*(ISNUMBER($S$56:AG$144)),$S$56:AG$144)=0,"",SUMPRODUCT(($C$55:$C$143=AN78)*($S$54:AG$54&lt;=TODAY())*(ISNUMBER($S$56:AG$144)),$S$56:AG$144)))</f>
        <v/>
      </c>
    </row>
    <row r="79" spans="1:42" ht="29.1" customHeight="1" x14ac:dyDescent="0.3">
      <c r="A79" s="1036" t="s">
        <v>85</v>
      </c>
      <c r="B79" s="1299" t="s">
        <v>90</v>
      </c>
      <c r="C79" s="1464" t="s">
        <v>957</v>
      </c>
      <c r="D79" s="1115" t="s">
        <v>958</v>
      </c>
      <c r="E79" s="1303" t="s">
        <v>959</v>
      </c>
      <c r="F79" s="1040" t="s">
        <v>928</v>
      </c>
      <c r="G79" s="1117"/>
      <c r="H79" s="1117"/>
      <c r="I79" s="1466" t="s">
        <v>960</v>
      </c>
      <c r="J79" s="1158"/>
      <c r="K79" s="1121" t="str">
        <f t="shared" ref="K79" si="34">IF(J79="", "", 12 - MONTH(J79) + 1)</f>
        <v/>
      </c>
      <c r="L79" s="1074"/>
      <c r="M79" s="1119" t="s">
        <v>287</v>
      </c>
      <c r="N79" s="1053"/>
      <c r="O79" s="1057" t="s">
        <v>80</v>
      </c>
      <c r="P79" s="1057">
        <v>0.9</v>
      </c>
      <c r="Q79" s="87" t="s">
        <v>106</v>
      </c>
      <c r="R79" s="91"/>
      <c r="S79" s="309">
        <f>IFERROR(IF(S$54&gt;=EOMONTH($J79,-1)+1,IF(NOT(ISBLANK($N79)),$N79/12,$I79/12),0),0)</f>
        <v>0</v>
      </c>
      <c r="T79" s="309">
        <f>IFERROR(IF(T$54&gt;=EOMONTH($J79,-1)+1,IF(NOT(ISBLANK($N79)),$N79/12,$I79/12),0),0)</f>
        <v>0</v>
      </c>
      <c r="U79" s="782">
        <f>IFERROR(IF(U$54&gt;=EOMONTH($J79,-1)+1,IF(NOT(ISBLANK($N79)),$N79/12,$I79/12),0),0)</f>
        <v>0</v>
      </c>
      <c r="V79" s="89">
        <f t="shared" si="11"/>
        <v>0</v>
      </c>
      <c r="W79" s="642">
        <f>IFERROR(IF(W$54&gt;=EOMONTH($J79,-1)+1,IF(NOT(ISBLANK($N79)),$N79/12,$I79/12),0),0)</f>
        <v>0</v>
      </c>
      <c r="X79" s="309">
        <f>IFERROR(IF(X$54&gt;=EOMONTH($J79,-1)+1,IF(NOT(ISBLANK($N79)),$N79/12,$I79/12),0),0)</f>
        <v>0</v>
      </c>
      <c r="Y79" s="309">
        <f>IFERROR(IF(Y$54&gt;=EOMONTH($J79,-1)+1,IF(NOT(ISBLANK($N79)),$N79/12,$I79/12),0),0)</f>
        <v>0</v>
      </c>
      <c r="Z79" s="89">
        <f t="shared" si="12"/>
        <v>0</v>
      </c>
      <c r="AA79" s="309">
        <f>IFERROR(IF(AA$54&gt;=EOMONTH($J79,-1)+1,IF(NOT(ISBLANK($N79)),$N79/12,$I79/12),0),0)</f>
        <v>0</v>
      </c>
      <c r="AB79" s="309">
        <f>IFERROR(IF(AB$54&gt;=EOMONTH($J79,-1)+1,IF(NOT(ISBLANK($N79)),$N79/12,$I79/12),0),0)</f>
        <v>0</v>
      </c>
      <c r="AC79" s="309">
        <f>IFERROR(IF(AC$54&gt;=EOMONTH($J79,-1)+1,IF(NOT(ISBLANK($N79)),$N79/12,$I79/12),0),0)</f>
        <v>0</v>
      </c>
      <c r="AD79" s="89">
        <f t="shared" si="13"/>
        <v>0</v>
      </c>
      <c r="AE79" s="309">
        <f>IFERROR(IF(AE$54&gt;=EOMONTH($J79,-1)+1,IF(NOT(ISBLANK($N79)),$N79/12,$I79/12),0),0)</f>
        <v>0</v>
      </c>
      <c r="AF79" s="309">
        <f>IFERROR(IF(AF$54&gt;=EOMONTH($J79,-1)+1,IF(NOT(ISBLANK($N79)),$N79/12,$I79/12),0),0)</f>
        <v>0</v>
      </c>
      <c r="AG79" s="309">
        <f>IFERROR(IF(AG$54&gt;=EOMONTH($J79,-1)+1,IF(NOT(ISBLANK($N79)),$N79/12,$I79/12),0),0)</f>
        <v>0</v>
      </c>
      <c r="AH79" s="89">
        <f t="shared" si="14"/>
        <v>0</v>
      </c>
      <c r="AI79" s="90">
        <f t="shared" si="15"/>
        <v>0</v>
      </c>
      <c r="AJ79" s="98" t="s">
        <v>961</v>
      </c>
      <c r="AK79" s="1040"/>
      <c r="AL79" s="1048"/>
      <c r="AM79" s="1046">
        <f t="shared" ref="AM79" si="35">N79*AL79</f>
        <v>0</v>
      </c>
      <c r="AN79" s="62" t="str">
        <f>C79</f>
        <v>13 - Redução de consumo no passo do blank dos itens VW000954Z/955Z</v>
      </c>
      <c r="AO79" s="62" t="s">
        <v>289</v>
      </c>
      <c r="AP79" s="543" t="str" cm="1">
        <f t="array" aca="1" ref="AP79" ca="1">IF(OR(AN79="",AN79=0),"",IF(SUMPRODUCT(($C$55:$C$128=AN79)*(S$54:$AG$54&lt;EOMONTH(TODAY(),-1)+1)*(ISNUMBER(S$55:$AG$128)),S$55:$AG$128)=0,"",SUMPRODUCT(($C$55:$C$128=AN79)*(S$54:$AG$54&lt;EOMONTH(TODAY(),-1)+1)*(ISNUMBER(S$55:$AG$128)),S$55:$AG$128)))</f>
        <v/>
      </c>
    </row>
    <row r="80" spans="1:42" ht="29.1" customHeight="1" x14ac:dyDescent="0.3">
      <c r="A80" s="1037"/>
      <c r="B80" s="1300"/>
      <c r="C80" s="1465"/>
      <c r="D80" s="1116"/>
      <c r="E80" s="1304"/>
      <c r="F80" s="1041"/>
      <c r="G80" s="1118"/>
      <c r="H80" s="1118"/>
      <c r="I80" s="1467"/>
      <c r="J80" s="1159"/>
      <c r="K80" s="1122"/>
      <c r="L80" s="1075"/>
      <c r="M80" s="1451"/>
      <c r="N80" s="1417"/>
      <c r="O80" s="1058"/>
      <c r="P80" s="1058"/>
      <c r="Q80" s="87" t="s">
        <v>107</v>
      </c>
      <c r="R80" s="91"/>
      <c r="S80" s="309" t="s">
        <v>390</v>
      </c>
      <c r="T80" s="309" t="s">
        <v>390</v>
      </c>
      <c r="U80" s="309">
        <v>0</v>
      </c>
      <c r="V80" s="89">
        <f t="shared" si="11"/>
        <v>0</v>
      </c>
      <c r="W80" s="636">
        <v>0</v>
      </c>
      <c r="X80" s="309" t="s">
        <v>390</v>
      </c>
      <c r="Y80" s="309" t="s">
        <v>390</v>
      </c>
      <c r="Z80" s="89">
        <f t="shared" si="12"/>
        <v>0</v>
      </c>
      <c r="AA80" s="309" t="s">
        <v>390</v>
      </c>
      <c r="AB80" s="309" t="s">
        <v>390</v>
      </c>
      <c r="AC80" s="309" t="s">
        <v>390</v>
      </c>
      <c r="AD80" s="89">
        <f t="shared" si="13"/>
        <v>0</v>
      </c>
      <c r="AE80" s="309" t="s">
        <v>390</v>
      </c>
      <c r="AF80" s="309" t="s">
        <v>390</v>
      </c>
      <c r="AG80" s="309" t="s">
        <v>390</v>
      </c>
      <c r="AH80" s="89">
        <f t="shared" si="14"/>
        <v>0</v>
      </c>
      <c r="AI80" s="311">
        <f t="shared" si="15"/>
        <v>0</v>
      </c>
      <c r="AJ80" s="360" t="s">
        <v>962</v>
      </c>
      <c r="AK80" s="1041"/>
      <c r="AL80" s="1049"/>
      <c r="AM80" s="1047"/>
      <c r="AN80" s="62" t="str">
        <f>C79</f>
        <v>13 - Redução de consumo no passo do blank dos itens VW000954Z/955Z</v>
      </c>
      <c r="AO80" s="62" t="s">
        <v>291</v>
      </c>
      <c r="AP80" s="543" t="str" cm="1">
        <f t="array" aca="1" ref="AP80" ca="1">IF(OR(AN80="",AN80=0),"",IF(SUMPRODUCT(($C$55:$C$143=AN80)*($S$54:AG$54&lt;=TODAY())*(ISNUMBER($S$56:AG$144)),$S$56:AG$144)=0,"",SUMPRODUCT(($C$55:$C$143=AN80)*($S$54:AG$54&lt;=TODAY())*(ISNUMBER($S$56:AG$144)),$S$56:AG$144)))</f>
        <v/>
      </c>
    </row>
    <row r="81" spans="1:42" ht="29.1" customHeight="1" x14ac:dyDescent="0.3">
      <c r="A81" s="1038" t="s">
        <v>85</v>
      </c>
      <c r="B81" s="1038" t="s">
        <v>90</v>
      </c>
      <c r="C81" s="1461" t="s">
        <v>963</v>
      </c>
      <c r="D81" s="1097" t="s">
        <v>964</v>
      </c>
      <c r="E81" s="1363" t="s">
        <v>965</v>
      </c>
      <c r="F81" s="1099" t="s">
        <v>928</v>
      </c>
      <c r="G81" s="1150">
        <v>46054</v>
      </c>
      <c r="H81" s="1150">
        <v>46113</v>
      </c>
      <c r="I81" s="1152">
        <v>24120</v>
      </c>
      <c r="J81" s="1109">
        <v>46143</v>
      </c>
      <c r="K81" s="1213">
        <f t="shared" ref="K81" si="36">IF(J81="", "", 12 - MONTH(J81) + 1)</f>
        <v>8</v>
      </c>
      <c r="L81" s="1123"/>
      <c r="M81" s="1475" t="s">
        <v>287</v>
      </c>
      <c r="N81" s="1449">
        <v>11228.26</v>
      </c>
      <c r="O81" s="1042" t="s">
        <v>77</v>
      </c>
      <c r="P81" s="1042">
        <v>0.9</v>
      </c>
      <c r="Q81" s="93" t="s">
        <v>106</v>
      </c>
      <c r="R81" s="96">
        <f>AVERAGE([7]Estrutura!$I$5:$I$16)</f>
        <v>1</v>
      </c>
      <c r="S81" s="533">
        <f>IFERROR(IF(S$54&gt;=EOMONTH($J81,-1)+1,IF(NOT(ISBLANK($N81)),$N81/12,$I81/12),0),0)</f>
        <v>0</v>
      </c>
      <c r="T81" s="533">
        <f>IFERROR(IF(T$54&gt;=EOMONTH($J81,-1)+1,IF(NOT(ISBLANK($N81)),$N81/12,$I81/12),0),0)</f>
        <v>0</v>
      </c>
      <c r="U81" s="643">
        <f>IFERROR(IF(U$54&gt;=EOMONTH($J81,-1)+1,IF(NOT(ISBLANK($N81)),$N81/12,$I81/12),0),0)</f>
        <v>0</v>
      </c>
      <c r="V81" s="89">
        <f t="shared" si="11"/>
        <v>0</v>
      </c>
      <c r="W81" s="643">
        <f>IFERROR(IF(W$54&gt;=EOMONTH($J81,-1)+1,IF(NOT(ISBLANK($N81)),$N81/12,$I81/12),0),0)</f>
        <v>0</v>
      </c>
      <c r="X81" s="533">
        <f>IFERROR(IF(X$54&gt;=EOMONTH($J81,-1)+1,IF(NOT(ISBLANK($N81)),$N81/12,$I81/12),0),0)</f>
        <v>935.68833333333339</v>
      </c>
      <c r="Y81" s="533">
        <f>IFERROR(IF(Y$54&gt;=EOMONTH($J81,-1)+1,IF(NOT(ISBLANK($N81)),$N81/12,$I81/12),0),0)</f>
        <v>935.68833333333339</v>
      </c>
      <c r="Z81" s="89">
        <f t="shared" si="12"/>
        <v>1871.3766666666668</v>
      </c>
      <c r="AA81" s="533">
        <f>IFERROR(IF(AA$54&gt;=EOMONTH($J81,-1)+1,IF(NOT(ISBLANK($N81)),$N81/12,$I81/12),0),0)</f>
        <v>935.68833333333339</v>
      </c>
      <c r="AB81" s="533">
        <f>IFERROR(IF(AB$54&gt;=EOMONTH($J81,-1)+1,IF(NOT(ISBLANK($N81)),$N81/12,$I81/12),0),0)</f>
        <v>935.68833333333339</v>
      </c>
      <c r="AC81" s="533">
        <f>IFERROR(IF(AC$54&gt;=EOMONTH($J81,-1)+1,IF(NOT(ISBLANK($N81)),$N81/12,$I81/12),0),0)</f>
        <v>935.68833333333339</v>
      </c>
      <c r="AD81" s="89">
        <f t="shared" si="13"/>
        <v>2807.0650000000001</v>
      </c>
      <c r="AE81" s="533">
        <f>IFERROR(IF(AE$54&gt;=EOMONTH($J81,-1)+1,IF(NOT(ISBLANK($N81)),$N81/12,$I81/12),0),0)</f>
        <v>935.68833333333339</v>
      </c>
      <c r="AF81" s="533">
        <f>IFERROR(IF(AF$54&gt;=EOMONTH($J81,-1)+1,IF(NOT(ISBLANK($N81)),$N81/12,$I81/12),0),0)</f>
        <v>935.68833333333339</v>
      </c>
      <c r="AG81" s="533">
        <f>IFERROR(IF(AG$54&gt;=EOMONTH($J81,-1)+1,IF(NOT(ISBLANK($N81)),$N81/12,$I81/12),0),0)</f>
        <v>935.68833333333339</v>
      </c>
      <c r="AH81" s="89">
        <f t="shared" si="14"/>
        <v>2807.0650000000001</v>
      </c>
      <c r="AI81" s="95">
        <f t="shared" si="15"/>
        <v>7485.5066666666662</v>
      </c>
      <c r="AJ81" s="97" t="s">
        <v>966</v>
      </c>
      <c r="AK81" s="1038"/>
      <c r="AL81" s="1042"/>
      <c r="AM81" s="1044">
        <f t="shared" ref="AM81" si="37">N81*AL81</f>
        <v>0</v>
      </c>
      <c r="AN81" s="62" t="str">
        <f>C81</f>
        <v>14 - Redução de consumo no passo do blank dos itens VW000950AA/951AA</v>
      </c>
      <c r="AO81" s="62" t="s">
        <v>289</v>
      </c>
      <c r="AP81" s="543" cm="1">
        <f t="array" aca="1" ref="AP81" ca="1">IF(OR(AN81="",AN81=0),"",IF(SUMPRODUCT(($C$55:$C$128=AN81)*(S$54:$AG$54&lt;EOMONTH(TODAY(),-1)+1)*(ISNUMBER(S$55:$AG$128)),S$55:$AG$128)=0,"",SUMPRODUCT(($C$55:$C$128=AN81)*(S$54:$AG$54&lt;EOMONTH(TODAY(),-1)+1)*(ISNUMBER(S$55:$AG$128)),S$55:$AG$128)))</f>
        <v>935.68833333333339</v>
      </c>
    </row>
    <row r="82" spans="1:42" ht="29.1" customHeight="1" x14ac:dyDescent="0.3">
      <c r="A82" s="1039"/>
      <c r="B82" s="1039"/>
      <c r="C82" s="1462"/>
      <c r="D82" s="1098"/>
      <c r="E82" s="1364"/>
      <c r="F82" s="1100"/>
      <c r="G82" s="1151"/>
      <c r="H82" s="1151"/>
      <c r="I82" s="1151"/>
      <c r="J82" s="1110"/>
      <c r="K82" s="1214"/>
      <c r="L82" s="1124"/>
      <c r="M82" s="1476"/>
      <c r="N82" s="1450"/>
      <c r="O82" s="1043"/>
      <c r="P82" s="1043"/>
      <c r="Q82" s="93" t="s">
        <v>107</v>
      </c>
      <c r="R82" s="96">
        <f>AVERAGE([7]Estrutura!$J$5:$J$16)</f>
        <v>1</v>
      </c>
      <c r="S82" s="312" t="s">
        <v>390</v>
      </c>
      <c r="T82" s="312" t="s">
        <v>390</v>
      </c>
      <c r="U82" s="312" t="s">
        <v>390</v>
      </c>
      <c r="V82" s="89">
        <f t="shared" si="11"/>
        <v>0</v>
      </c>
      <c r="W82" s="876">
        <v>0</v>
      </c>
      <c r="X82" s="876">
        <v>0</v>
      </c>
      <c r="Y82" s="312" t="s">
        <v>390</v>
      </c>
      <c r="Z82" s="89">
        <f t="shared" si="12"/>
        <v>0</v>
      </c>
      <c r="AA82" s="312" t="s">
        <v>390</v>
      </c>
      <c r="AB82" s="312" t="s">
        <v>390</v>
      </c>
      <c r="AC82" s="312" t="s">
        <v>390</v>
      </c>
      <c r="AD82" s="89">
        <f t="shared" si="13"/>
        <v>0</v>
      </c>
      <c r="AE82" s="312" t="s">
        <v>390</v>
      </c>
      <c r="AF82" s="312" t="s">
        <v>390</v>
      </c>
      <c r="AG82" s="312" t="s">
        <v>390</v>
      </c>
      <c r="AH82" s="89">
        <f t="shared" si="14"/>
        <v>0</v>
      </c>
      <c r="AI82" s="313">
        <f t="shared" si="15"/>
        <v>0</v>
      </c>
      <c r="AJ82" s="97" t="s">
        <v>966</v>
      </c>
      <c r="AK82" s="1039"/>
      <c r="AL82" s="1043"/>
      <c r="AM82" s="1045"/>
      <c r="AN82" s="62" t="str">
        <f>C81</f>
        <v>14 - Redução de consumo no passo do blank dos itens VW000950AA/951AA</v>
      </c>
      <c r="AO82" s="62" t="s">
        <v>291</v>
      </c>
      <c r="AP82" s="543" t="str" cm="1">
        <f t="array" aca="1" ref="AP82" ca="1">IF(OR(AN82="",AN82=0),"",IF(SUMPRODUCT(($C$55:$C$143=AN82)*($S$54:AG$54&lt;=TODAY())*(ISNUMBER($S$56:AG$144)),$S$56:AG$144)=0,"",SUMPRODUCT(($C$55:$C$143=AN82)*($S$54:AG$54&lt;=TODAY())*(ISNUMBER($S$56:AG$144)),$S$56:AG$144)))</f>
        <v/>
      </c>
    </row>
    <row r="83" spans="1:42" ht="29.1" customHeight="1" x14ac:dyDescent="0.3">
      <c r="A83" s="1036" t="s">
        <v>85</v>
      </c>
      <c r="B83" s="1299" t="s">
        <v>90</v>
      </c>
      <c r="C83" s="1113" t="s">
        <v>967</v>
      </c>
      <c r="D83" s="1115" t="s">
        <v>968</v>
      </c>
      <c r="E83" s="1303" t="s">
        <v>969</v>
      </c>
      <c r="F83" s="1040" t="s">
        <v>928</v>
      </c>
      <c r="G83" s="1117">
        <v>46054</v>
      </c>
      <c r="H83" s="1117">
        <v>46143</v>
      </c>
      <c r="I83" s="1074">
        <v>34645</v>
      </c>
      <c r="J83" s="1158">
        <v>46174</v>
      </c>
      <c r="K83" s="1121">
        <f t="shared" ref="K83" si="38">IF(J83="", "", 12 - MONTH(J83) + 1)</f>
        <v>7</v>
      </c>
      <c r="L83" s="1074"/>
      <c r="M83" s="1119" t="s">
        <v>287</v>
      </c>
      <c r="N83" s="1053">
        <v>47248.27</v>
      </c>
      <c r="O83" s="1057" t="s">
        <v>80</v>
      </c>
      <c r="P83" s="1057">
        <v>0.5</v>
      </c>
      <c r="Q83" s="87" t="s">
        <v>106</v>
      </c>
      <c r="R83" s="91">
        <f>AVERAGE([8]Estrutura!$I$5:$I$15)</f>
        <v>0.90909090909090906</v>
      </c>
      <c r="S83" s="309">
        <f>IFERROR(IF(S$54&gt;=EOMONTH($J83,-1)+1,IF(NOT(ISBLANK($N83)),$N83/12,$I83/12),0),0)</f>
        <v>0</v>
      </c>
      <c r="T83" s="309">
        <f>IFERROR(IF(T$54&gt;=EOMONTH($J83,-1)+1,IF(NOT(ISBLANK($N83)),$N83/12,$I83/12),0),0)</f>
        <v>0</v>
      </c>
      <c r="U83" s="782">
        <f>IFERROR(IF(U$54&gt;=EOMONTH($J83,-1)+1,IF(NOT(ISBLANK($N83)),$N83/12,$I83/12),0),0)</f>
        <v>0</v>
      </c>
      <c r="V83" s="89">
        <f t="shared" si="11"/>
        <v>0</v>
      </c>
      <c r="W83" s="642">
        <f>IFERROR(IF(W$54&gt;=EOMONTH($J83,-1)+1,IF(NOT(ISBLANK($N83)),$N83/12,$I83/12),0),0)</f>
        <v>0</v>
      </c>
      <c r="X83" s="309">
        <f>IFERROR(IF(X$54&gt;=EOMONTH($J83,-1)+1,IF(NOT(ISBLANK($N83)),$N83/12,$I83/12),0),0)</f>
        <v>0</v>
      </c>
      <c r="Y83" s="309">
        <f>IFERROR(IF(Y$54&gt;=EOMONTH($J83,-1)+1,IF(NOT(ISBLANK($N83)),$N83/12,$I83/12),0),0)</f>
        <v>3937.3558333333331</v>
      </c>
      <c r="Z83" s="89">
        <f t="shared" si="12"/>
        <v>3937.3558333333331</v>
      </c>
      <c r="AA83" s="309">
        <f>IFERROR(IF(AA$54&gt;=EOMONTH($J83,-1)+1,IF(NOT(ISBLANK($N83)),$N83/12,$I83/12),0),0)</f>
        <v>3937.3558333333331</v>
      </c>
      <c r="AB83" s="309">
        <f>IFERROR(IF(AB$54&gt;=EOMONTH($J83,-1)+1,IF(NOT(ISBLANK($N83)),$N83/12,$I83/12),0),0)</f>
        <v>3937.3558333333331</v>
      </c>
      <c r="AC83" s="309">
        <f>IFERROR(IF(AC$54&gt;=EOMONTH($J83,-1)+1,IF(NOT(ISBLANK($N83)),$N83/12,$I83/12),0),0)</f>
        <v>3937.3558333333331</v>
      </c>
      <c r="AD83" s="89">
        <f t="shared" si="13"/>
        <v>11812.067499999999</v>
      </c>
      <c r="AE83" s="309">
        <f>IFERROR(IF(AE$54&gt;=EOMONTH($J83,-1)+1,IF(NOT(ISBLANK($N83)),$N83/12,$I83/12),0),0)</f>
        <v>3937.3558333333331</v>
      </c>
      <c r="AF83" s="309">
        <f>IFERROR(IF(AF$54&gt;=EOMONTH($J83,-1)+1,IF(NOT(ISBLANK($N83)),$N83/12,$I83/12),0),0)</f>
        <v>3937.3558333333331</v>
      </c>
      <c r="AG83" s="309">
        <f>IFERROR(IF(AG$54&gt;=EOMONTH($J83,-1)+1,IF(NOT(ISBLANK($N83)),$N83/12,$I83/12),0),0)</f>
        <v>3937.3558333333331</v>
      </c>
      <c r="AH83" s="89">
        <f t="shared" si="14"/>
        <v>11812.067499999999</v>
      </c>
      <c r="AI83" s="90">
        <f t="shared" si="15"/>
        <v>27561.49083333333</v>
      </c>
      <c r="AJ83" s="98" t="s">
        <v>970</v>
      </c>
      <c r="AK83" s="1040"/>
      <c r="AL83" s="1048"/>
      <c r="AM83" s="1046">
        <f t="shared" ref="AM83" si="39">N83*AL83</f>
        <v>0</v>
      </c>
      <c r="AN83" s="62" t="str">
        <f>C83</f>
        <v>15 - Redução de consumo no slitter dos itens VW000950AA/951AA</v>
      </c>
      <c r="AO83" s="62" t="s">
        <v>289</v>
      </c>
      <c r="AP83" s="543" t="str" cm="1">
        <f t="array" aca="1" ref="AP83" ca="1">IF(OR(AN83="",AN83=0),"",IF(SUMPRODUCT(($C$55:$C$128=AN83)*(S$54:$AG$54&lt;EOMONTH(TODAY(),-1)+1)*(ISNUMBER(S$55:$AG$128)),S$55:$AG$128)=0,"",SUMPRODUCT(($C$55:$C$128=AN83)*(S$54:$AG$54&lt;EOMONTH(TODAY(),-1)+1)*(ISNUMBER(S$55:$AG$128)),S$55:$AG$128)))</f>
        <v/>
      </c>
    </row>
    <row r="84" spans="1:42" ht="29.1" customHeight="1" x14ac:dyDescent="0.3">
      <c r="A84" s="1037"/>
      <c r="B84" s="1300"/>
      <c r="C84" s="1114"/>
      <c r="D84" s="1116"/>
      <c r="E84" s="1304"/>
      <c r="F84" s="1041"/>
      <c r="G84" s="1118"/>
      <c r="H84" s="1118"/>
      <c r="I84" s="1075"/>
      <c r="J84" s="1159"/>
      <c r="K84" s="1122"/>
      <c r="L84" s="1075"/>
      <c r="M84" s="1451"/>
      <c r="N84" s="1417"/>
      <c r="O84" s="1058"/>
      <c r="P84" s="1058"/>
      <c r="Q84" s="87" t="s">
        <v>107</v>
      </c>
      <c r="R84" s="91">
        <f>AVERAGE([8]Estrutura!$J$5:$J$15)</f>
        <v>0.36363636363636365</v>
      </c>
      <c r="S84" s="309" t="s">
        <v>390</v>
      </c>
      <c r="T84" s="309"/>
      <c r="U84" s="309">
        <v>0</v>
      </c>
      <c r="V84" s="89">
        <f t="shared" si="11"/>
        <v>0</v>
      </c>
      <c r="W84" s="876">
        <v>0</v>
      </c>
      <c r="X84" s="309" t="s">
        <v>390</v>
      </c>
      <c r="Y84" s="309" t="s">
        <v>390</v>
      </c>
      <c r="Z84" s="89">
        <f t="shared" si="12"/>
        <v>0</v>
      </c>
      <c r="AA84" s="309" t="s">
        <v>390</v>
      </c>
      <c r="AB84" s="309" t="s">
        <v>390</v>
      </c>
      <c r="AC84" s="309" t="s">
        <v>390</v>
      </c>
      <c r="AD84" s="89">
        <f t="shared" si="13"/>
        <v>0</v>
      </c>
      <c r="AE84" s="309" t="s">
        <v>390</v>
      </c>
      <c r="AF84" s="309" t="s">
        <v>390</v>
      </c>
      <c r="AG84" s="309" t="s">
        <v>390</v>
      </c>
      <c r="AH84" s="89">
        <f t="shared" si="14"/>
        <v>0</v>
      </c>
      <c r="AI84" s="311">
        <f t="shared" si="15"/>
        <v>0</v>
      </c>
      <c r="AJ84" s="360" t="s">
        <v>970</v>
      </c>
      <c r="AK84" s="1041"/>
      <c r="AL84" s="1049"/>
      <c r="AM84" s="1047"/>
      <c r="AN84" s="62" t="str">
        <f>C83</f>
        <v>15 - Redução de consumo no slitter dos itens VW000950AA/951AA</v>
      </c>
      <c r="AO84" s="62" t="s">
        <v>291</v>
      </c>
      <c r="AP84" s="543" t="str" cm="1">
        <f t="array" aca="1" ref="AP84" ca="1">IF(OR(AN84="",AN84=0),"",IF(SUMPRODUCT(($C$55:$C$143=AN84)*($S$54:AG$54&lt;=TODAY())*(ISNUMBER($S$56:AG$144)),$S$56:AG$144)=0,"",SUMPRODUCT(($C$55:$C$143=AN84)*($S$54:AG$54&lt;=TODAY())*(ISNUMBER($S$56:AG$144)),$S$56:AG$144)))</f>
        <v/>
      </c>
    </row>
    <row r="85" spans="1:42" ht="29.1" customHeight="1" x14ac:dyDescent="0.3">
      <c r="A85" s="1036" t="s">
        <v>85</v>
      </c>
      <c r="B85" s="1038" t="s">
        <v>90</v>
      </c>
      <c r="C85" s="1113" t="s">
        <v>971</v>
      </c>
      <c r="D85" s="1115" t="s">
        <v>972</v>
      </c>
      <c r="E85" s="1303" t="s">
        <v>973</v>
      </c>
      <c r="F85" s="1040" t="s">
        <v>928</v>
      </c>
      <c r="G85" s="1117">
        <v>46054</v>
      </c>
      <c r="H85" s="1117">
        <v>46143</v>
      </c>
      <c r="I85" s="1074">
        <v>102967</v>
      </c>
      <c r="J85" s="1158"/>
      <c r="K85" s="1121" t="str">
        <f t="shared" ref="K85" si="40">IF(J85="", "", 12 - MONTH(J85) + 1)</f>
        <v/>
      </c>
      <c r="L85" s="1074"/>
      <c r="M85" s="1473" t="s">
        <v>388</v>
      </c>
      <c r="N85" s="1477">
        <v>0</v>
      </c>
      <c r="O85" s="1057" t="s">
        <v>80</v>
      </c>
      <c r="P85" s="1057">
        <v>0.5</v>
      </c>
      <c r="Q85" s="87" t="s">
        <v>106</v>
      </c>
      <c r="R85" s="91">
        <f>AVERAGE([9]Estrutura!$I$5:$I$16)</f>
        <v>0</v>
      </c>
      <c r="S85" s="309">
        <f>IFERROR(IF(S$54&gt;=EOMONTH($J85,-1)+1,IF(NOT(ISBLANK($N85)),$N85/12,$I85/12),0),0)</f>
        <v>0</v>
      </c>
      <c r="T85" s="309">
        <f>IFERROR(IF(T$54&gt;=EOMONTH($J85,-1)+1,IF(NOT(ISBLANK($N85)),$N85/12,$I85/12),0),0)</f>
        <v>0</v>
      </c>
      <c r="U85" s="309">
        <f>IFERROR(IF(U$54&gt;=EOMONTH($J85,-1)+1,IF(NOT(ISBLANK($N85)),$N85/12,$I85/12),0),0)</f>
        <v>0</v>
      </c>
      <c r="V85" s="89">
        <f t="shared" si="11"/>
        <v>0</v>
      </c>
      <c r="W85" s="309">
        <f>IFERROR(IF(W$54&gt;=EOMONTH($J85,-1)+1,IF(NOT(ISBLANK($N85)),$N85/12,$I85/12),0),0)</f>
        <v>0</v>
      </c>
      <c r="X85" s="309">
        <f>IFERROR(IF(X$54&gt;=EOMONTH($J85,-1)+1,IF(NOT(ISBLANK($N85)),$N85/12,$I85/12),0),0)</f>
        <v>0</v>
      </c>
      <c r="Y85" s="309">
        <f>IFERROR(IF(Y$54&gt;=EOMONTH($J85,-1)+1,IF(NOT(ISBLANK($N85)),$N85/12,$I85/12),0),0)</f>
        <v>0</v>
      </c>
      <c r="Z85" s="89">
        <f t="shared" si="12"/>
        <v>0</v>
      </c>
      <c r="AA85" s="309">
        <f>IFERROR(IF(AA$54&gt;=EOMONTH($J85,-1)+1,IF(NOT(ISBLANK($N85)),$N85/12,$I85/12),0),0)</f>
        <v>0</v>
      </c>
      <c r="AB85" s="309">
        <f>IFERROR(IF(AB$54&gt;=EOMONTH($J85,-1)+1,IF(NOT(ISBLANK($N85)),$N85/12,$I85/12),0),0)</f>
        <v>0</v>
      </c>
      <c r="AC85" s="309">
        <f>IFERROR(IF(AC$54&gt;=EOMONTH($J85,-1)+1,IF(NOT(ISBLANK($N85)),$N85/12,$I85/12),0),0)</f>
        <v>0</v>
      </c>
      <c r="AD85" s="89">
        <f t="shared" si="13"/>
        <v>0</v>
      </c>
      <c r="AE85" s="309">
        <f>IFERROR(IF(AE$54&gt;=EOMONTH($J85,-1)+1,IF(NOT(ISBLANK($N85)),$N85/12,$I85/12),0),0)</f>
        <v>0</v>
      </c>
      <c r="AF85" s="309">
        <f>IFERROR(IF(AF$54&gt;=EOMONTH($J85,-1)+1,IF(NOT(ISBLANK($N85)),$N85/12,$I85/12),0),0)</f>
        <v>0</v>
      </c>
      <c r="AG85" s="309">
        <f>IFERROR(IF(AG$54&gt;=EOMONTH($J85,-1)+1,IF(NOT(ISBLANK($N85)),$N85/12,$I85/12),0),0)</f>
        <v>0</v>
      </c>
      <c r="AH85" s="89">
        <f t="shared" si="14"/>
        <v>0</v>
      </c>
      <c r="AI85" s="90">
        <f t="shared" si="15"/>
        <v>0</v>
      </c>
      <c r="AJ85" s="98"/>
      <c r="AK85" s="1040"/>
      <c r="AL85" s="1048"/>
      <c r="AM85" s="1046">
        <f t="shared" ref="AM85" si="41">N85*AL85</f>
        <v>0</v>
      </c>
      <c r="AN85" s="62" t="str">
        <f>C85</f>
        <v>19 - Redução da largura da bobina mãe do Curvão</v>
      </c>
      <c r="AO85" s="62" t="s">
        <v>289</v>
      </c>
      <c r="AP85" s="543" t="str" cm="1">
        <f t="array" aca="1" ref="AP85" ca="1">IF(OR(AN85="",AN85=0),"",IF(SUMPRODUCT(($C$55:$C$128=AN85)*(S$54:$AG$54&lt;EOMONTH(TODAY(),-1)+1)*(ISNUMBER(S$55:$AG$128)),S$55:$AG$128)=0,"",SUMPRODUCT(($C$55:$C$128=AN85)*(S$54:$AG$54&lt;EOMONTH(TODAY(),-1)+1)*(ISNUMBER(S$55:$AG$128)),S$55:$AG$128)))</f>
        <v/>
      </c>
    </row>
    <row r="86" spans="1:42" ht="29.1" customHeight="1" x14ac:dyDescent="0.3">
      <c r="A86" s="1037"/>
      <c r="B86" s="1039"/>
      <c r="C86" s="1114"/>
      <c r="D86" s="1116"/>
      <c r="E86" s="1304"/>
      <c r="F86" s="1041"/>
      <c r="G86" s="1118"/>
      <c r="H86" s="1118"/>
      <c r="I86" s="1075"/>
      <c r="J86" s="1159"/>
      <c r="K86" s="1122"/>
      <c r="L86" s="1075"/>
      <c r="M86" s="1474"/>
      <c r="N86" s="1478"/>
      <c r="O86" s="1058"/>
      <c r="P86" s="1058"/>
      <c r="Q86" s="87" t="s">
        <v>107</v>
      </c>
      <c r="R86" s="91">
        <f>AVERAGE([9]Estrutura!$J$5:$J$16)</f>
        <v>0</v>
      </c>
      <c r="S86" s="309" t="s">
        <v>390</v>
      </c>
      <c r="T86" s="309" t="s">
        <v>390</v>
      </c>
      <c r="U86" s="309" t="s">
        <v>390</v>
      </c>
      <c r="V86" s="89">
        <f t="shared" si="11"/>
        <v>0</v>
      </c>
      <c r="W86" s="309" t="s">
        <v>390</v>
      </c>
      <c r="X86" s="309" t="s">
        <v>390</v>
      </c>
      <c r="Y86" s="309" t="s">
        <v>390</v>
      </c>
      <c r="Z86" s="89">
        <f t="shared" si="12"/>
        <v>0</v>
      </c>
      <c r="AA86" s="309" t="s">
        <v>390</v>
      </c>
      <c r="AB86" s="309" t="s">
        <v>390</v>
      </c>
      <c r="AC86" s="309" t="s">
        <v>390</v>
      </c>
      <c r="AD86" s="89">
        <f t="shared" si="13"/>
        <v>0</v>
      </c>
      <c r="AE86" s="309" t="s">
        <v>390</v>
      </c>
      <c r="AF86" s="309" t="s">
        <v>390</v>
      </c>
      <c r="AG86" s="309" t="s">
        <v>390</v>
      </c>
      <c r="AH86" s="89">
        <f t="shared" si="14"/>
        <v>0</v>
      </c>
      <c r="AI86" s="311">
        <f t="shared" si="15"/>
        <v>0</v>
      </c>
      <c r="AJ86" s="360"/>
      <c r="AK86" s="1041"/>
      <c r="AL86" s="1049"/>
      <c r="AM86" s="1047"/>
      <c r="AN86" s="62" t="str">
        <f>C85</f>
        <v>19 - Redução da largura da bobina mãe do Curvão</v>
      </c>
      <c r="AO86" s="62" t="s">
        <v>291</v>
      </c>
      <c r="AP86" s="543" t="str" cm="1">
        <f t="array" aca="1" ref="AP86" ca="1">IF(OR(AN86="",AN86=0),"",IF(SUMPRODUCT(($C$55:$C$143=AN86)*($S$54:AG$54&lt;=TODAY())*(ISNUMBER($S$56:AG$144)),$S$56:AG$144)=0,"",SUMPRODUCT(($C$55:$C$143=AN86)*($S$54:AG$54&lt;=TODAY())*(ISNUMBER($S$56:AG$144)),$S$56:AG$144)))</f>
        <v/>
      </c>
    </row>
    <row r="87" spans="1:42" ht="29.1" customHeight="1" x14ac:dyDescent="0.3">
      <c r="A87" s="1038" t="s">
        <v>310</v>
      </c>
      <c r="B87" s="1299" t="s">
        <v>93</v>
      </c>
      <c r="C87" s="1095" t="s">
        <v>974</v>
      </c>
      <c r="D87" s="1097" t="s">
        <v>975</v>
      </c>
      <c r="E87" s="1456" t="s">
        <v>976</v>
      </c>
      <c r="F87" s="1099" t="s">
        <v>920</v>
      </c>
      <c r="G87" s="1150">
        <v>46054</v>
      </c>
      <c r="H87" s="1150">
        <v>46113</v>
      </c>
      <c r="I87" s="1152"/>
      <c r="J87" s="1109"/>
      <c r="K87" s="1213"/>
      <c r="L87" s="1076"/>
      <c r="M87" s="1329" t="s">
        <v>388</v>
      </c>
      <c r="N87" s="1449"/>
      <c r="O87" s="1042" t="s">
        <v>80</v>
      </c>
      <c r="P87" s="1042">
        <v>1</v>
      </c>
      <c r="Q87" s="93" t="s">
        <v>106</v>
      </c>
      <c r="R87" s="96">
        <f>AVERAGE([10]Estrutura!$I$8:$I$17)</f>
        <v>0.4</v>
      </c>
      <c r="S87" s="533">
        <f>IFERROR(IF(S$54&gt;=EOMONTH($J87,-1)+1,IF(NOT(ISBLANK($N87)),$N87/12,$I87/12),0),0)</f>
        <v>0</v>
      </c>
      <c r="T87" s="533">
        <f>IFERROR(IF(T$54&gt;=EOMONTH($J87,-1)+1,IF(NOT(ISBLANK($N87)),$N87/12,$I87/12),0),0)</f>
        <v>0</v>
      </c>
      <c r="U87" s="533">
        <f>IFERROR(IF(U$54&gt;=EOMONTH($J87,-1)+1,IF(NOT(ISBLANK($N87)),$N87/12,$I87/12),0),0)</f>
        <v>0</v>
      </c>
      <c r="V87" s="89">
        <f t="shared" si="11"/>
        <v>0</v>
      </c>
      <c r="W87" s="643">
        <f>IFERROR(IF(W$54&gt;=EOMONTH($J87,-1)+1,IF(NOT(ISBLANK($N87)),$N87/12,$I87/12),0),0)</f>
        <v>0</v>
      </c>
      <c r="X87" s="533">
        <f>IFERROR(IF(X$54&gt;=EOMONTH($J87,-1)+1,IF(NOT(ISBLANK($N87)),$N87/12,$I87/12),0),0)</f>
        <v>0</v>
      </c>
      <c r="Y87" s="533">
        <f>IFERROR(IF(Y$54&gt;=EOMONTH($J87,-1)+1,IF(NOT(ISBLANK($N87)),$N87/12,$I87/12),0),0)</f>
        <v>0</v>
      </c>
      <c r="Z87" s="89">
        <f t="shared" si="12"/>
        <v>0</v>
      </c>
      <c r="AA87" s="533">
        <f>IFERROR(IF(AA$54&gt;=EOMONTH($J87,-1)+1,IF(NOT(ISBLANK($N87)),$N87/12,$I87/12),0),0)</f>
        <v>0</v>
      </c>
      <c r="AB87" s="533">
        <f>IFERROR(IF(AB$54&gt;=EOMONTH($J87,-1)+1,IF(NOT(ISBLANK($N87)),$N87/12,$I87/12),0),0)</f>
        <v>0</v>
      </c>
      <c r="AC87" s="533">
        <f>IFERROR(IF(AC$54&gt;=EOMONTH($J87,-1)+1,IF(NOT(ISBLANK($N87)),$N87/12,$I87/12),0),0)</f>
        <v>0</v>
      </c>
      <c r="AD87" s="89">
        <f t="shared" si="13"/>
        <v>0</v>
      </c>
      <c r="AE87" s="533">
        <f>IFERROR(IF(AE$54&gt;=EOMONTH($J87,-1)+1,IF(NOT(ISBLANK($N87)),$N87/12,$I87/12),0),0)</f>
        <v>0</v>
      </c>
      <c r="AF87" s="533">
        <f>IFERROR(IF(AF$54&gt;=EOMONTH($J87,-1)+1,IF(NOT(ISBLANK($N87)),$N87/12,$I87/12),0),0)</f>
        <v>0</v>
      </c>
      <c r="AG87" s="533">
        <f>IFERROR(IF(AG$54&gt;=EOMONTH($J87,-1)+1,IF(NOT(ISBLANK($N87)),$N87/12,$I87/12),0),0)</f>
        <v>0</v>
      </c>
      <c r="AH87" s="89">
        <f t="shared" si="14"/>
        <v>0</v>
      </c>
      <c r="AI87" s="95">
        <f t="shared" si="15"/>
        <v>0</v>
      </c>
      <c r="AJ87" s="97"/>
      <c r="AK87" s="1038"/>
      <c r="AL87" s="1042"/>
      <c r="AM87" s="1044">
        <f t="shared" ref="AM87" si="42">N87*AL87</f>
        <v>0</v>
      </c>
      <c r="AN87" s="62" t="str">
        <f>C87</f>
        <v>20 - Troca do modelo disco Flap</v>
      </c>
      <c r="AO87" s="62" t="s">
        <v>289</v>
      </c>
      <c r="AP87" s="543" t="str" cm="1">
        <f t="array" aca="1" ref="AP87" ca="1">IF(OR(AN87="",AN87=0),"",IF(SUMPRODUCT(($C$55:$C$128=AN87)*(S$54:$AG$54&lt;EOMONTH(TODAY(),-1)+1)*(ISNUMBER(S$55:$AG$128)),S$55:$AG$128)=0,"",SUMPRODUCT(($C$55:$C$128=AN87)*(S$54:$AG$54&lt;EOMONTH(TODAY(),-1)+1)*(ISNUMBER(S$55:$AG$128)),S$55:$AG$128)))</f>
        <v/>
      </c>
    </row>
    <row r="88" spans="1:42" ht="29.1" customHeight="1" x14ac:dyDescent="0.3">
      <c r="A88" s="1039"/>
      <c r="B88" s="1300"/>
      <c r="C88" s="1096"/>
      <c r="D88" s="1098"/>
      <c r="E88" s="1457"/>
      <c r="F88" s="1100"/>
      <c r="G88" s="1151"/>
      <c r="H88" s="1151"/>
      <c r="I88" s="1151"/>
      <c r="J88" s="1110"/>
      <c r="K88" s="1214"/>
      <c r="L88" s="1077"/>
      <c r="M88" s="1330"/>
      <c r="N88" s="1450"/>
      <c r="O88" s="1043"/>
      <c r="P88" s="1043"/>
      <c r="Q88" s="93" t="s">
        <v>107</v>
      </c>
      <c r="R88" s="96">
        <f>AVERAGE([10]Estrutura!$J$5:$J$17)</f>
        <v>0.58333333333333337</v>
      </c>
      <c r="S88" s="312" t="s">
        <v>390</v>
      </c>
      <c r="T88" s="312" t="s">
        <v>390</v>
      </c>
      <c r="U88" s="312" t="s">
        <v>390</v>
      </c>
      <c r="V88" s="89">
        <f t="shared" si="11"/>
        <v>0</v>
      </c>
      <c r="W88" s="636" t="s">
        <v>390</v>
      </c>
      <c r="X88" s="312" t="s">
        <v>390</v>
      </c>
      <c r="Y88" s="312" t="s">
        <v>390</v>
      </c>
      <c r="Z88" s="89">
        <f t="shared" si="12"/>
        <v>0</v>
      </c>
      <c r="AA88" s="312" t="s">
        <v>390</v>
      </c>
      <c r="AB88" s="312" t="s">
        <v>390</v>
      </c>
      <c r="AC88" s="312" t="s">
        <v>390</v>
      </c>
      <c r="AD88" s="89">
        <f t="shared" si="13"/>
        <v>0</v>
      </c>
      <c r="AE88" s="312" t="s">
        <v>390</v>
      </c>
      <c r="AF88" s="312" t="s">
        <v>390</v>
      </c>
      <c r="AG88" s="312" t="s">
        <v>390</v>
      </c>
      <c r="AH88" s="89">
        <f t="shared" si="14"/>
        <v>0</v>
      </c>
      <c r="AI88" s="313">
        <f t="shared" si="15"/>
        <v>0</v>
      </c>
      <c r="AJ88" s="97"/>
      <c r="AK88" s="1039"/>
      <c r="AL88" s="1043"/>
      <c r="AM88" s="1045"/>
      <c r="AN88" s="62" t="str">
        <f>C87</f>
        <v>20 - Troca do modelo disco Flap</v>
      </c>
      <c r="AO88" s="62" t="s">
        <v>291</v>
      </c>
      <c r="AP88" s="543" t="str" cm="1">
        <f t="array" aca="1" ref="AP88" ca="1">IF(OR(AN88="",AN88=0),"",IF(SUMPRODUCT(($C$55:$C$143=AN88)*($S$54:AG$54&lt;=TODAY())*(ISNUMBER($S$56:AG$144)),$S$56:AG$144)=0,"",SUMPRODUCT(($C$55:$C$143=AN88)*($S$54:AG$54&lt;=TODAY())*(ISNUMBER($S$56:AG$144)),$S$56:AG$144)))</f>
        <v/>
      </c>
    </row>
    <row r="89" spans="1:42" ht="29.1" customHeight="1" x14ac:dyDescent="0.3">
      <c r="A89" s="1036" t="s">
        <v>310</v>
      </c>
      <c r="B89" s="1038" t="s">
        <v>91</v>
      </c>
      <c r="C89" s="1113" t="s">
        <v>977</v>
      </c>
      <c r="D89" s="1115" t="s">
        <v>978</v>
      </c>
      <c r="E89" s="1303" t="s">
        <v>979</v>
      </c>
      <c r="F89" s="1040" t="s">
        <v>920</v>
      </c>
      <c r="G89" s="1117"/>
      <c r="H89" s="1117"/>
      <c r="I89" s="1074"/>
      <c r="J89" s="1158"/>
      <c r="K89" s="1121" t="str">
        <f t="shared" ref="K89" si="43">IF(J89="", "", 12 - MONTH(J89) + 1)</f>
        <v/>
      </c>
      <c r="L89" s="1074"/>
      <c r="M89" s="1483" t="s">
        <v>287</v>
      </c>
      <c r="N89" s="1488">
        <v>0</v>
      </c>
      <c r="O89" s="1057" t="s">
        <v>77</v>
      </c>
      <c r="P89" s="1057">
        <v>1</v>
      </c>
      <c r="Q89" s="87" t="s">
        <v>106</v>
      </c>
      <c r="R89" s="91">
        <v>1</v>
      </c>
      <c r="S89" s="309">
        <f>IFERROR(IF(S$54&gt;=EOMONTH($J89,-1)+1,IF(NOT(ISBLANK($N89)),$N89/12,$I89/12),0),0)</f>
        <v>0</v>
      </c>
      <c r="T89" s="309">
        <f>IFERROR(IF(T$54&gt;=EOMONTH($J89,-1)+1,IF(NOT(ISBLANK($N89)),$N89/12,$I89/12),0),0)</f>
        <v>0</v>
      </c>
      <c r="U89" s="309">
        <f>IFERROR(IF(U$54&gt;=EOMONTH($J89,-1)+1,IF(NOT(ISBLANK($N89)),$N89/12,$I89/12),0),0)</f>
        <v>0</v>
      </c>
      <c r="V89" s="89">
        <f t="shared" si="11"/>
        <v>0</v>
      </c>
      <c r="W89" s="309">
        <f>IFERROR(IF(W$54&gt;=EOMONTH($J89,-1)+1,IF(NOT(ISBLANK($N89)),$N89/12,$I89/12),0),0)</f>
        <v>0</v>
      </c>
      <c r="X89" s="309">
        <f>IFERROR(IF(X$54&gt;=EOMONTH($J89,-1)+1,IF(NOT(ISBLANK($N89)),$N89/12,$I89/12),0),0)</f>
        <v>0</v>
      </c>
      <c r="Y89" s="309">
        <f>IFERROR(IF(Y$54&gt;=EOMONTH($J89,-1)+1,IF(NOT(ISBLANK($N89)),$N89/12,$I89/12),0),0)</f>
        <v>0</v>
      </c>
      <c r="Z89" s="89">
        <f t="shared" si="12"/>
        <v>0</v>
      </c>
      <c r="AA89" s="309">
        <f>IFERROR(IF(AA$54&gt;=EOMONTH($J89,-1)+1,IF(NOT(ISBLANK($N89)),$N89/12,$I89/12),0),0)</f>
        <v>0</v>
      </c>
      <c r="AB89" s="309">
        <f>IFERROR(IF(AB$54&gt;=EOMONTH($J89,-1)+1,IF(NOT(ISBLANK($N89)),$N89/12,$I89/12),0),0)</f>
        <v>0</v>
      </c>
      <c r="AC89" s="309">
        <f>IFERROR(IF(AC$54&gt;=EOMONTH($J89,-1)+1,IF(NOT(ISBLANK($N89)),$N89/12,$I89/12),0),0)</f>
        <v>0</v>
      </c>
      <c r="AD89" s="89">
        <f t="shared" si="13"/>
        <v>0</v>
      </c>
      <c r="AE89" s="309">
        <f>IFERROR(IF(AE$54&gt;=EOMONTH($J89,-1)+1,IF(NOT(ISBLANK($N89)),$N89/12,$I89/12),0),0)</f>
        <v>0</v>
      </c>
      <c r="AF89" s="309">
        <f>IFERROR(IF(AF$54&gt;=EOMONTH($J89,-1)+1,IF(NOT(ISBLANK($N89)),$N89/12,$I89/12),0),0)</f>
        <v>0</v>
      </c>
      <c r="AG89" s="309">
        <f>IFERROR(IF(AG$54&gt;=EOMONTH($J89,-1)+1,IF(NOT(ISBLANK($N89)),$N89/12,$I89/12),0),0)</f>
        <v>0</v>
      </c>
      <c r="AH89" s="89">
        <f t="shared" si="14"/>
        <v>0</v>
      </c>
      <c r="AI89" s="90">
        <f t="shared" si="15"/>
        <v>0</v>
      </c>
      <c r="AJ89" s="98"/>
      <c r="AK89" s="1040"/>
      <c r="AL89" s="1048"/>
      <c r="AM89" s="1046">
        <f t="shared" ref="AM89" si="44">N89*AL89</f>
        <v>0</v>
      </c>
      <c r="AN89" s="62" t="str">
        <f>C89</f>
        <v>21 - Redução de MOD CSR61014</v>
      </c>
      <c r="AO89" s="62" t="s">
        <v>289</v>
      </c>
      <c r="AP89" s="543" t="str" cm="1">
        <f t="array" aca="1" ref="AP89" ca="1">IF(OR(AN89="",AN89=0),"",IF(SUMPRODUCT(($C$55:$C$128=AN89)*(S$54:$AG$54&lt;EOMONTH(TODAY(),-1)+1)*(ISNUMBER(S$55:$AG$128)),S$55:$AG$128)=0,"",SUMPRODUCT(($C$55:$C$128=AN89)*(S$54:$AG$54&lt;EOMONTH(TODAY(),-1)+1)*(ISNUMBER(S$55:$AG$128)),S$55:$AG$128)))</f>
        <v/>
      </c>
    </row>
    <row r="90" spans="1:42" ht="29.1" customHeight="1" x14ac:dyDescent="0.3">
      <c r="A90" s="1037"/>
      <c r="B90" s="1039"/>
      <c r="C90" s="1114"/>
      <c r="D90" s="1116"/>
      <c r="E90" s="1304"/>
      <c r="F90" s="1041"/>
      <c r="G90" s="1118"/>
      <c r="H90" s="1118"/>
      <c r="I90" s="1075"/>
      <c r="J90" s="1159"/>
      <c r="K90" s="1122"/>
      <c r="L90" s="1075"/>
      <c r="M90" s="1484"/>
      <c r="N90" s="1489"/>
      <c r="O90" s="1058"/>
      <c r="P90" s="1058"/>
      <c r="Q90" s="87" t="s">
        <v>107</v>
      </c>
      <c r="R90" s="91">
        <v>1</v>
      </c>
      <c r="S90" s="309" t="s">
        <v>390</v>
      </c>
      <c r="T90" s="309" t="s">
        <v>390</v>
      </c>
      <c r="U90" s="309" t="s">
        <v>390</v>
      </c>
      <c r="V90" s="89">
        <f t="shared" si="11"/>
        <v>0</v>
      </c>
      <c r="W90" s="309" t="s">
        <v>390</v>
      </c>
      <c r="X90" s="309" t="s">
        <v>390</v>
      </c>
      <c r="Y90" s="309" t="s">
        <v>390</v>
      </c>
      <c r="Z90" s="89">
        <f t="shared" si="12"/>
        <v>0</v>
      </c>
      <c r="AA90" s="309" t="s">
        <v>390</v>
      </c>
      <c r="AB90" s="309" t="s">
        <v>390</v>
      </c>
      <c r="AC90" s="309" t="s">
        <v>390</v>
      </c>
      <c r="AD90" s="89">
        <f t="shared" si="13"/>
        <v>0</v>
      </c>
      <c r="AE90" s="309" t="s">
        <v>390</v>
      </c>
      <c r="AF90" s="309" t="s">
        <v>390</v>
      </c>
      <c r="AG90" s="309" t="s">
        <v>390</v>
      </c>
      <c r="AH90" s="89">
        <f t="shared" si="14"/>
        <v>0</v>
      </c>
      <c r="AI90" s="311">
        <f t="shared" si="15"/>
        <v>0</v>
      </c>
      <c r="AJ90" s="360" t="s">
        <v>980</v>
      </c>
      <c r="AK90" s="1041"/>
      <c r="AL90" s="1049"/>
      <c r="AM90" s="1047"/>
      <c r="AN90" s="62" t="str">
        <f>C89</f>
        <v>21 - Redução de MOD CSR61014</v>
      </c>
      <c r="AO90" s="62" t="s">
        <v>291</v>
      </c>
      <c r="AP90" s="543" t="str" cm="1">
        <f t="array" aca="1" ref="AP90" ca="1">IF(OR(AN90="",AN90=0),"",IF(SUMPRODUCT(($C$55:$C$143=AN90)*($S$54:AG$54&lt;=TODAY())*(ISNUMBER($S$56:AG$144)),$S$56:AG$144)=0,"",SUMPRODUCT(($C$55:$C$143=AN90)*($S$54:AG$54&lt;=TODAY())*(ISNUMBER($S$56:AG$144)),$S$56:AG$144)))</f>
        <v/>
      </c>
    </row>
    <row r="91" spans="1:42" ht="29.1" customHeight="1" x14ac:dyDescent="0.3">
      <c r="A91" s="1038" t="s">
        <v>310</v>
      </c>
      <c r="B91" s="1299" t="s">
        <v>91</v>
      </c>
      <c r="C91" s="1095" t="s">
        <v>981</v>
      </c>
      <c r="D91" s="1097" t="s">
        <v>982</v>
      </c>
      <c r="E91" s="1363" t="s">
        <v>983</v>
      </c>
      <c r="F91" s="1099" t="s">
        <v>920</v>
      </c>
      <c r="G91" s="1150"/>
      <c r="H91" s="1150"/>
      <c r="I91" s="1152"/>
      <c r="J91" s="1109"/>
      <c r="K91" s="1213" t="str">
        <f t="shared" ref="K91" si="45">IF(J91="", "", 12 - MONTH(J91) + 1)</f>
        <v/>
      </c>
      <c r="L91" s="1076"/>
      <c r="M91" s="1479" t="s">
        <v>287</v>
      </c>
      <c r="N91" s="1481">
        <v>0</v>
      </c>
      <c r="O91" s="1042" t="s">
        <v>77</v>
      </c>
      <c r="P91" s="1042">
        <v>1</v>
      </c>
      <c r="Q91" s="93" t="s">
        <v>106</v>
      </c>
      <c r="R91" s="96">
        <v>1</v>
      </c>
      <c r="S91" s="644">
        <f>IFERROR(IF(S$54&gt;=EOMONTH($J91,-1)+1,IF(NOT(ISBLANK($N91)),$N91/12,$I91/12),0),0)</f>
        <v>0</v>
      </c>
      <c r="T91" s="533">
        <f>IFERROR(IF(T$54&gt;=EOMONTH($J91,-1)+1,IF(NOT(ISBLANK($N91)),$N91/12,$I91/12),0),0)</f>
        <v>0</v>
      </c>
      <c r="U91" s="533">
        <f>IFERROR(IF(U$54&gt;=EOMONTH($J91,-1)+1,IF(NOT(ISBLANK($N91)),$N91/12,$I91/12),0),0)</f>
        <v>0</v>
      </c>
      <c r="V91" s="89">
        <f t="shared" si="11"/>
        <v>0</v>
      </c>
      <c r="W91" s="533">
        <f>IFERROR(IF(W$54&gt;=EOMONTH($J91,-1)+1,IF(NOT(ISBLANK($N91)),$N91/12,$I91/12),0),0)</f>
        <v>0</v>
      </c>
      <c r="X91" s="533">
        <f>IFERROR(IF(X$54&gt;=EOMONTH($J91,-1)+1,IF(NOT(ISBLANK($N91)),$N91/12,$I91/12),0),0)</f>
        <v>0</v>
      </c>
      <c r="Y91" s="533">
        <f>IFERROR(IF(Y$54&gt;=EOMONTH($J91,-1)+1,IF(NOT(ISBLANK($N91)),$N91/12,$I91/12),0),0)</f>
        <v>0</v>
      </c>
      <c r="Z91" s="89">
        <f t="shared" si="12"/>
        <v>0</v>
      </c>
      <c r="AA91" s="533">
        <f>IFERROR(IF(AA$54&gt;=EOMONTH($J91,-1)+1,IF(NOT(ISBLANK($N91)),$N91/12,$I91/12),0),0)</f>
        <v>0</v>
      </c>
      <c r="AB91" s="533">
        <f>IFERROR(IF(AB$54&gt;=EOMONTH($J91,-1)+1,IF(NOT(ISBLANK($N91)),$N91/12,$I91/12),0),0)</f>
        <v>0</v>
      </c>
      <c r="AC91" s="533">
        <f>IFERROR(IF(AC$54&gt;=EOMONTH($J91,-1)+1,IF(NOT(ISBLANK($N91)),$N91/12,$I91/12),0),0)</f>
        <v>0</v>
      </c>
      <c r="AD91" s="89">
        <f t="shared" si="13"/>
        <v>0</v>
      </c>
      <c r="AE91" s="533">
        <f>IFERROR(IF(AE$54&gt;=EOMONTH($J91,-1)+1,IF(NOT(ISBLANK($N91)),$N91/12,$I91/12),0),0)</f>
        <v>0</v>
      </c>
      <c r="AF91" s="533">
        <f>IFERROR(IF(AF$54&gt;=EOMONTH($J91,-1)+1,IF(NOT(ISBLANK($N91)),$N91/12,$I91/12),0),0)</f>
        <v>0</v>
      </c>
      <c r="AG91" s="533">
        <f>IFERROR(IF(AG$54&gt;=EOMONTH($J91,-1)+1,IF(NOT(ISBLANK($N91)),$N91/12,$I91/12),0),0)</f>
        <v>0</v>
      </c>
      <c r="AH91" s="89">
        <f t="shared" si="14"/>
        <v>0</v>
      </c>
      <c r="AI91" s="95">
        <f t="shared" si="15"/>
        <v>0</v>
      </c>
      <c r="AJ91" s="97"/>
      <c r="AK91" s="1038"/>
      <c r="AL91" s="1042"/>
      <c r="AM91" s="1044">
        <f t="shared" ref="AM91" si="46">N91*AL91</f>
        <v>0</v>
      </c>
      <c r="AN91" s="62" t="str">
        <f>C91</f>
        <v>22 - Redução de MOD CSR61015</v>
      </c>
      <c r="AO91" s="62" t="s">
        <v>289</v>
      </c>
      <c r="AP91" s="543" t="str" cm="1">
        <f t="array" aca="1" ref="AP91" ca="1">IF(OR(AN91="",AN91=0),"",IF(SUMPRODUCT(($C$55:$C$128=AN91)*(S$54:$AG$54&lt;EOMONTH(TODAY(),-1)+1)*(ISNUMBER(S$55:$AG$128)),S$55:$AG$128)=0,"",SUMPRODUCT(($C$55:$C$128=AN91)*(S$54:$AG$54&lt;EOMONTH(TODAY(),-1)+1)*(ISNUMBER(S$55:$AG$128)),S$55:$AG$128)))</f>
        <v/>
      </c>
    </row>
    <row r="92" spans="1:42" ht="29.1" customHeight="1" x14ac:dyDescent="0.3">
      <c r="A92" s="1039"/>
      <c r="B92" s="1300"/>
      <c r="C92" s="1096"/>
      <c r="D92" s="1098"/>
      <c r="E92" s="1364"/>
      <c r="F92" s="1100"/>
      <c r="G92" s="1151"/>
      <c r="H92" s="1151"/>
      <c r="I92" s="1151"/>
      <c r="J92" s="1110"/>
      <c r="K92" s="1214"/>
      <c r="L92" s="1077"/>
      <c r="M92" s="1480"/>
      <c r="N92" s="1482"/>
      <c r="O92" s="1043"/>
      <c r="P92" s="1043"/>
      <c r="Q92" s="93" t="s">
        <v>107</v>
      </c>
      <c r="R92" s="96">
        <v>1</v>
      </c>
      <c r="S92" s="312" t="s">
        <v>390</v>
      </c>
      <c r="T92" s="312" t="s">
        <v>390</v>
      </c>
      <c r="U92" s="312" t="s">
        <v>390</v>
      </c>
      <c r="V92" s="89">
        <f t="shared" si="11"/>
        <v>0</v>
      </c>
      <c r="W92" s="312" t="s">
        <v>390</v>
      </c>
      <c r="X92" s="312" t="s">
        <v>390</v>
      </c>
      <c r="Y92" s="312" t="s">
        <v>390</v>
      </c>
      <c r="Z92" s="89">
        <f t="shared" si="12"/>
        <v>0</v>
      </c>
      <c r="AA92" s="312" t="s">
        <v>390</v>
      </c>
      <c r="AB92" s="312" t="s">
        <v>390</v>
      </c>
      <c r="AC92" s="312" t="s">
        <v>390</v>
      </c>
      <c r="AD92" s="89">
        <f t="shared" si="13"/>
        <v>0</v>
      </c>
      <c r="AE92" s="312" t="s">
        <v>390</v>
      </c>
      <c r="AF92" s="312" t="s">
        <v>390</v>
      </c>
      <c r="AG92" s="312" t="s">
        <v>390</v>
      </c>
      <c r="AH92" s="89">
        <f t="shared" si="14"/>
        <v>0</v>
      </c>
      <c r="AI92" s="313">
        <f t="shared" si="15"/>
        <v>0</v>
      </c>
      <c r="AJ92" s="97" t="s">
        <v>980</v>
      </c>
      <c r="AK92" s="1039"/>
      <c r="AL92" s="1043"/>
      <c r="AM92" s="1045"/>
      <c r="AN92" s="62" t="str">
        <f>C91</f>
        <v>22 - Redução de MOD CSR61015</v>
      </c>
      <c r="AO92" s="62" t="s">
        <v>291</v>
      </c>
      <c r="AP92" s="543" t="str" cm="1">
        <f t="array" aca="1" ref="AP92" ca="1">IF(OR(AN92="",AN92=0),"",IF(SUMPRODUCT(($C$55:$C$143=AN92)*($S$54:AG$54&lt;=TODAY())*(ISNUMBER($S$56:AG$144)),$S$56:AG$144)=0,"",SUMPRODUCT(($C$55:$C$143=AN92)*($S$54:AG$54&lt;=TODAY())*(ISNUMBER($S$56:AG$144)),$S$56:AG$144)))</f>
        <v/>
      </c>
    </row>
    <row r="93" spans="1:42" ht="29.1" customHeight="1" x14ac:dyDescent="0.3">
      <c r="A93" s="1036" t="s">
        <v>310</v>
      </c>
      <c r="B93" s="1038" t="s">
        <v>91</v>
      </c>
      <c r="C93" s="1458" t="s">
        <v>984</v>
      </c>
      <c r="D93" s="1115" t="s">
        <v>985</v>
      </c>
      <c r="E93" s="1303" t="s">
        <v>986</v>
      </c>
      <c r="F93" s="1040" t="s">
        <v>928</v>
      </c>
      <c r="G93" s="1117">
        <v>46054</v>
      </c>
      <c r="H93" s="1117">
        <v>46082</v>
      </c>
      <c r="I93" s="1074">
        <v>19309</v>
      </c>
      <c r="J93" s="1158">
        <v>46113</v>
      </c>
      <c r="K93" s="1121">
        <f t="shared" ref="K93" si="47">IF(J93="", "", 12 - MONTH(J93) + 1)</f>
        <v>9</v>
      </c>
      <c r="L93" s="1074"/>
      <c r="M93" s="1119" t="s">
        <v>287</v>
      </c>
      <c r="N93" s="1053">
        <v>15889.550999999999</v>
      </c>
      <c r="O93" s="1057" t="s">
        <v>80</v>
      </c>
      <c r="P93" s="1057"/>
      <c r="Q93" s="87" t="s">
        <v>106</v>
      </c>
      <c r="R93" s="91">
        <f>AVERAGE([11]Estrutura!$I$18:$I$22)</f>
        <v>1</v>
      </c>
      <c r="S93" s="309">
        <f>IFERROR(IF(S$54&gt;=EOMONTH($J93,-1)+1,IF(NOT(ISBLANK($N93)),$N93/12,$I93/12),0),0)</f>
        <v>0</v>
      </c>
      <c r="T93" s="309">
        <f>IFERROR(IF(T$54&gt;=EOMONTH($J93,-1)+1,IF(NOT(ISBLANK($N93)),$N93/12,$I93/12),0),0)</f>
        <v>0</v>
      </c>
      <c r="U93" s="309">
        <f>IFERROR(IF(U$54&gt;=EOMONTH($J93,-1)+1,IF(NOT(ISBLANK($N93)),$N93/12,$I93/12),0),0)</f>
        <v>0</v>
      </c>
      <c r="V93" s="89">
        <f t="shared" si="11"/>
        <v>0</v>
      </c>
      <c r="W93" s="943">
        <f>IFERROR(IF(W$54&gt;=EOMONTH($J93,-1)+1,IF(NOT(ISBLANK($N93)),$N93/12,$I93/12),0),0)</f>
        <v>1324.12925</v>
      </c>
      <c r="X93" s="309">
        <f>IFERROR(IF(X$54&gt;=EOMONTH($J93,-1)+1,IF(NOT(ISBLANK($N93)),$N93/12,$I93/12),0),0)</f>
        <v>1324.12925</v>
      </c>
      <c r="Y93" s="309">
        <f>IFERROR(IF(Y$54&gt;=EOMONTH($J93,-1)+1,IF(NOT(ISBLANK($N93)),$N93/12,$I93/12),0),0)</f>
        <v>1324.12925</v>
      </c>
      <c r="Z93" s="89">
        <f t="shared" si="12"/>
        <v>3972.3877499999999</v>
      </c>
      <c r="AA93" s="309">
        <f>IFERROR(IF(AA$54&gt;=EOMONTH($J93,-1)+1,IF(NOT(ISBLANK($N93)),$N93/12,$I93/12),0),0)</f>
        <v>1324.12925</v>
      </c>
      <c r="AB93" s="309">
        <f>IFERROR(IF(AB$54&gt;=EOMONTH($J93,-1)+1,IF(NOT(ISBLANK($N93)),$N93/12,$I93/12),0),0)</f>
        <v>1324.12925</v>
      </c>
      <c r="AC93" s="309">
        <f>IFERROR(IF(AC$54&gt;=EOMONTH($J93,-1)+1,IF(NOT(ISBLANK($N93)),$N93/12,$I93/12),0),0)</f>
        <v>1324.12925</v>
      </c>
      <c r="AD93" s="89">
        <f t="shared" si="13"/>
        <v>3972.3877499999999</v>
      </c>
      <c r="AE93" s="309">
        <f>IFERROR(IF(AE$54&gt;=EOMONTH($J93,-1)+1,IF(NOT(ISBLANK($N93)),$N93/12,$I93/12),0),0)</f>
        <v>1324.12925</v>
      </c>
      <c r="AF93" s="309">
        <f>IFERROR(IF(AF$54&gt;=EOMONTH($J93,-1)+1,IF(NOT(ISBLANK($N93)),$N93/12,$I93/12),0),0)</f>
        <v>1324.12925</v>
      </c>
      <c r="AG93" s="309">
        <f>IFERROR(IF(AG$54&gt;=EOMONTH($J93,-1)+1,IF(NOT(ISBLANK($N93)),$N93/12,$I93/12),0),0)</f>
        <v>1324.12925</v>
      </c>
      <c r="AH93" s="89">
        <f t="shared" si="14"/>
        <v>3972.3877499999999</v>
      </c>
      <c r="AI93" s="90">
        <f t="shared" si="15"/>
        <v>11917.16325</v>
      </c>
      <c r="AJ93" s="98"/>
      <c r="AK93" s="1040"/>
      <c r="AL93" s="1048"/>
      <c r="AM93" s="1046">
        <f t="shared" ref="AM93" si="48">N93*AL93</f>
        <v>0</v>
      </c>
      <c r="AN93" s="62" t="str">
        <f>C93</f>
        <v>23 - Redução do consumo de MTP VW000938AB (- 3 mm no passo)</v>
      </c>
      <c r="AO93" s="62" t="s">
        <v>289</v>
      </c>
      <c r="AP93" s="543" cm="1">
        <f t="array" aca="1" ref="AP93" ca="1">IF(OR(AN93="",AN93=0),"",IF(SUMPRODUCT(($C$55:$C$128=AN93)*(S$54:$AG$54&lt;EOMONTH(TODAY(),-1)+1)*(ISNUMBER(S$55:$AG$128)),S$55:$AG$128)=0,"",SUMPRODUCT(($C$55:$C$128=AN93)*(S$54:$AG$54&lt;EOMONTH(TODAY(),-1)+1)*(ISNUMBER(S$55:$AG$128)),S$55:$AG$128)))</f>
        <v>2648.2584999999999</v>
      </c>
    </row>
    <row r="94" spans="1:42" ht="29.1" customHeight="1" x14ac:dyDescent="0.3">
      <c r="A94" s="1037"/>
      <c r="B94" s="1039"/>
      <c r="C94" s="1459"/>
      <c r="D94" s="1116"/>
      <c r="E94" s="1304"/>
      <c r="F94" s="1041"/>
      <c r="G94" s="1118"/>
      <c r="H94" s="1118"/>
      <c r="I94" s="1075"/>
      <c r="J94" s="1159"/>
      <c r="K94" s="1122"/>
      <c r="L94" s="1075"/>
      <c r="M94" s="1451"/>
      <c r="N94" s="1417"/>
      <c r="O94" s="1058"/>
      <c r="P94" s="1058"/>
      <c r="Q94" s="87" t="s">
        <v>107</v>
      </c>
      <c r="R94" s="91">
        <f>AVERAGE([11]Estrutura!$J$18:$J$22)</f>
        <v>1</v>
      </c>
      <c r="S94" s="309" t="s">
        <v>390</v>
      </c>
      <c r="T94" s="309" t="s">
        <v>390</v>
      </c>
      <c r="U94" s="309">
        <v>0</v>
      </c>
      <c r="V94" s="89">
        <f t="shared" si="11"/>
        <v>0</v>
      </c>
      <c r="W94" s="309">
        <v>1184.4375065712063</v>
      </c>
      <c r="X94" s="309">
        <v>1908.7338235392103</v>
      </c>
      <c r="Y94" s="309" t="s">
        <v>390</v>
      </c>
      <c r="Z94" s="89">
        <f t="shared" si="12"/>
        <v>3093.1713301104164</v>
      </c>
      <c r="AA94" s="309" t="s">
        <v>390</v>
      </c>
      <c r="AB94" s="309" t="s">
        <v>390</v>
      </c>
      <c r="AC94" s="309" t="s">
        <v>390</v>
      </c>
      <c r="AD94" s="89">
        <f t="shared" si="13"/>
        <v>0</v>
      </c>
      <c r="AE94" s="309" t="s">
        <v>390</v>
      </c>
      <c r="AF94" s="309" t="s">
        <v>390</v>
      </c>
      <c r="AG94" s="309" t="s">
        <v>390</v>
      </c>
      <c r="AH94" s="89">
        <f t="shared" si="14"/>
        <v>0</v>
      </c>
      <c r="AI94" s="311">
        <f t="shared" si="15"/>
        <v>3093.1713301104164</v>
      </c>
      <c r="AJ94" s="360" t="s">
        <v>987</v>
      </c>
      <c r="AK94" s="1041"/>
      <c r="AL94" s="1049"/>
      <c r="AM94" s="1047"/>
      <c r="AN94" s="62" t="str">
        <f>C93</f>
        <v>23 - Redução do consumo de MTP VW000938AB (- 3 mm no passo)</v>
      </c>
      <c r="AO94" s="62" t="s">
        <v>291</v>
      </c>
      <c r="AP94" s="543" cm="1">
        <f t="array" aca="1" ref="AP94" ca="1">IF(OR(AN94="",AN94=0),"",IF(SUMPRODUCT(($C$55:$C$143=AN94)*($S$54:AG$54&lt;=TODAY())*(ISNUMBER($S$56:AG$144)),$S$56:AG$144)=0,"",SUMPRODUCT(($C$55:$C$143=AN94)*($S$54:AG$54&lt;=TODAY())*(ISNUMBER($S$56:AG$144)),$S$56:AG$144)))</f>
        <v>3093.1713301104164</v>
      </c>
    </row>
    <row r="95" spans="1:42" ht="29.1" customHeight="1" x14ac:dyDescent="0.3">
      <c r="A95" s="1038" t="s">
        <v>310</v>
      </c>
      <c r="B95" s="1299" t="s">
        <v>91</v>
      </c>
      <c r="C95" s="1095" t="s">
        <v>988</v>
      </c>
      <c r="D95" s="1097" t="s">
        <v>989</v>
      </c>
      <c r="E95" s="1363" t="s">
        <v>990</v>
      </c>
      <c r="F95" s="1099" t="s">
        <v>928</v>
      </c>
      <c r="G95" s="1150">
        <v>46054</v>
      </c>
      <c r="H95" s="1150">
        <v>46143</v>
      </c>
      <c r="I95" s="1152">
        <v>90850</v>
      </c>
      <c r="J95" s="1109">
        <v>46174</v>
      </c>
      <c r="K95" s="1213">
        <f t="shared" ref="K95" si="49">IF(J95="", "", 12 - MONTH(J95) + 1)</f>
        <v>7</v>
      </c>
      <c r="L95" s="1076"/>
      <c r="M95" s="1320" t="s">
        <v>287</v>
      </c>
      <c r="N95" s="1449">
        <v>165883.51999999999</v>
      </c>
      <c r="O95" s="1042" t="s">
        <v>80</v>
      </c>
      <c r="P95" s="1042"/>
      <c r="Q95" s="93" t="s">
        <v>106</v>
      </c>
      <c r="R95" s="96">
        <f>AVERAGE([12]Estrutura!$I$9:$I$16)</f>
        <v>0.875</v>
      </c>
      <c r="S95" s="533">
        <f>IFERROR(IF(S$54&gt;=EOMONTH($J95,-1)+1,IF(NOT(ISBLANK($N95)),$N95/12,$I95/12),0),0)</f>
        <v>0</v>
      </c>
      <c r="T95" s="533">
        <f>IFERROR(IF(T$54&gt;=EOMONTH($J95,-1)+1,IF(NOT(ISBLANK($N95)),$N95/12,$I95/12),0),0)</f>
        <v>0</v>
      </c>
      <c r="U95" s="533">
        <f>IFERROR(IF(U$54&gt;=EOMONTH($J95,-1)+1,IF(NOT(ISBLANK($N95)),$N95/12,$I95/12),0),0)</f>
        <v>0</v>
      </c>
      <c r="V95" s="89">
        <f t="shared" si="11"/>
        <v>0</v>
      </c>
      <c r="W95" s="533">
        <f>IFERROR(IF(W$54&gt;=EOMONTH($J95,-1)+1,IF(NOT(ISBLANK($N95)),$N95/12,$I95/12),0),0)</f>
        <v>0</v>
      </c>
      <c r="X95" s="533">
        <f>IFERROR(IF(X$54&gt;=EOMONTH($J95,-1)+1,IF(NOT(ISBLANK($N95)),$N95/12,$I95/12),0),0)</f>
        <v>0</v>
      </c>
      <c r="Y95" s="533">
        <f>IFERROR(IF(Y$54&gt;=EOMONTH($J95,-1)+1,IF(NOT(ISBLANK($N95)),$N95/12,$I95/12),0),0)</f>
        <v>13823.626666666665</v>
      </c>
      <c r="Z95" s="89">
        <f t="shared" si="12"/>
        <v>13823.626666666665</v>
      </c>
      <c r="AA95" s="533">
        <f>IFERROR(IF(AA$54&gt;=EOMONTH($J95,-1)+1,IF(NOT(ISBLANK($N95)),$N95/12,$I95/12),0),0)</f>
        <v>13823.626666666665</v>
      </c>
      <c r="AB95" s="533">
        <f>IFERROR(IF(AB$54&gt;=EOMONTH($J95,-1)+1,IF(NOT(ISBLANK($N95)),$N95/12,$I95/12),0),0)</f>
        <v>13823.626666666665</v>
      </c>
      <c r="AC95" s="533">
        <f>IFERROR(IF(AC$54&gt;=EOMONTH($J95,-1)+1,IF(NOT(ISBLANK($N95)),$N95/12,$I95/12),0),0)</f>
        <v>13823.626666666665</v>
      </c>
      <c r="AD95" s="89">
        <f t="shared" si="13"/>
        <v>41470.879999999997</v>
      </c>
      <c r="AE95" s="533">
        <f>IFERROR(IF(AE$54&gt;=EOMONTH($J95,-1)+1,IF(NOT(ISBLANK($N95)),$N95/12,$I95/12),0),0)</f>
        <v>13823.626666666665</v>
      </c>
      <c r="AF95" s="533">
        <f>IFERROR(IF(AF$54&gt;=EOMONTH($J95,-1)+1,IF(NOT(ISBLANK($N95)),$N95/12,$I95/12),0),0)</f>
        <v>13823.626666666665</v>
      </c>
      <c r="AG95" s="533">
        <f>IFERROR(IF(AG$54&gt;=EOMONTH($J95,-1)+1,IF(NOT(ISBLANK($N95)),$N95/12,$I95/12),0),0)</f>
        <v>13823.626666666665</v>
      </c>
      <c r="AH95" s="89">
        <f t="shared" si="14"/>
        <v>41470.879999999997</v>
      </c>
      <c r="AI95" s="95">
        <f t="shared" si="15"/>
        <v>96765.386666666658</v>
      </c>
      <c r="AJ95" s="97" t="s">
        <v>991</v>
      </c>
      <c r="AK95" s="1038"/>
      <c r="AL95" s="1042"/>
      <c r="AM95" s="1044">
        <f t="shared" ref="AM95" si="50">N95*AL95</f>
        <v>0</v>
      </c>
      <c r="AN95" s="62" t="str">
        <f>C95</f>
        <v>24 - Redução de consumo de MTP China 1 porca (-10 mm)</v>
      </c>
      <c r="AO95" s="62" t="s">
        <v>289</v>
      </c>
      <c r="AP95" s="543" t="str" cm="1">
        <f t="array" aca="1" ref="AP95" ca="1">IF(OR(AN95="",AN95=0),"",IF(SUMPRODUCT(($C$55:$C$128=AN95)*(S$54:$AG$54&lt;EOMONTH(TODAY(),-1)+1)*(ISNUMBER(S$55:$AG$128)),S$55:$AG$128)=0,"",SUMPRODUCT(($C$55:$C$128=AN95)*(S$54:$AG$54&lt;EOMONTH(TODAY(),-1)+1)*(ISNUMBER(S$55:$AG$128)),S$55:$AG$128)))</f>
        <v/>
      </c>
    </row>
    <row r="96" spans="1:42" ht="29.1" customHeight="1" x14ac:dyDescent="0.3">
      <c r="A96" s="1039"/>
      <c r="B96" s="1300"/>
      <c r="C96" s="1096"/>
      <c r="D96" s="1098"/>
      <c r="E96" s="1364"/>
      <c r="F96" s="1100"/>
      <c r="G96" s="1151"/>
      <c r="H96" s="1151"/>
      <c r="I96" s="1151"/>
      <c r="J96" s="1110"/>
      <c r="K96" s="1214"/>
      <c r="L96" s="1077"/>
      <c r="M96" s="1321"/>
      <c r="N96" s="1450"/>
      <c r="O96" s="1043"/>
      <c r="P96" s="1043"/>
      <c r="Q96" s="93" t="s">
        <v>107</v>
      </c>
      <c r="R96" s="96">
        <f>AVERAGE([12]Estrutura!$J$9:$J$16)</f>
        <v>0</v>
      </c>
      <c r="S96" s="312" t="s">
        <v>390</v>
      </c>
      <c r="T96" s="312" t="s">
        <v>390</v>
      </c>
      <c r="U96" s="312" t="s">
        <v>390</v>
      </c>
      <c r="V96" s="89">
        <f t="shared" si="11"/>
        <v>0</v>
      </c>
      <c r="W96" s="312" t="s">
        <v>390</v>
      </c>
      <c r="X96" s="312" t="s">
        <v>390</v>
      </c>
      <c r="Y96" s="312" t="s">
        <v>390</v>
      </c>
      <c r="Z96" s="89">
        <f t="shared" si="12"/>
        <v>0</v>
      </c>
      <c r="AA96" s="312" t="s">
        <v>390</v>
      </c>
      <c r="AB96" s="312" t="s">
        <v>390</v>
      </c>
      <c r="AC96" s="312" t="s">
        <v>390</v>
      </c>
      <c r="AD96" s="89">
        <f t="shared" si="13"/>
        <v>0</v>
      </c>
      <c r="AE96" s="312" t="s">
        <v>390</v>
      </c>
      <c r="AF96" s="312" t="s">
        <v>390</v>
      </c>
      <c r="AG96" s="312" t="s">
        <v>390</v>
      </c>
      <c r="AH96" s="89">
        <f t="shared" si="14"/>
        <v>0</v>
      </c>
      <c r="AI96" s="313">
        <f t="shared" si="15"/>
        <v>0</v>
      </c>
      <c r="AJ96" s="97"/>
      <c r="AK96" s="1039"/>
      <c r="AL96" s="1043"/>
      <c r="AM96" s="1045"/>
      <c r="AN96" s="62" t="str">
        <f>C95</f>
        <v>24 - Redução de consumo de MTP China 1 porca (-10 mm)</v>
      </c>
      <c r="AO96" s="62" t="s">
        <v>291</v>
      </c>
      <c r="AP96" s="543" t="str" cm="1">
        <f t="array" aca="1" ref="AP96" ca="1">IF(OR(AN96="",AN96=0),"",IF(SUMPRODUCT(($C$55:$C$143=AN96)*($S$54:AG$54&lt;=TODAY())*(ISNUMBER($S$56:AG$144)),$S$56:AG$144)=0,"",SUMPRODUCT(($C$55:$C$143=AN96)*($S$54:AG$54&lt;=TODAY())*(ISNUMBER($S$56:AG$144)),$S$56:AG$144)))</f>
        <v/>
      </c>
    </row>
    <row r="97" spans="1:42" ht="29.1" customHeight="1" x14ac:dyDescent="0.3">
      <c r="A97" s="1036" t="s">
        <v>310</v>
      </c>
      <c r="B97" s="1038" t="s">
        <v>91</v>
      </c>
      <c r="C97" s="1113" t="s">
        <v>992</v>
      </c>
      <c r="D97" s="1115" t="s">
        <v>993</v>
      </c>
      <c r="E97" s="1303" t="s">
        <v>990</v>
      </c>
      <c r="F97" s="1040" t="s">
        <v>928</v>
      </c>
      <c r="G97" s="1117">
        <v>46054</v>
      </c>
      <c r="H97" s="1117">
        <v>46143</v>
      </c>
      <c r="I97" s="1074">
        <v>47086</v>
      </c>
      <c r="J97" s="1158">
        <v>46203</v>
      </c>
      <c r="K97" s="1121">
        <f t="shared" ref="K97" si="51">IF(J97="", "", 12 - MONTH(J97) + 1)</f>
        <v>7</v>
      </c>
      <c r="L97" s="1074"/>
      <c r="M97" s="1119" t="s">
        <v>287</v>
      </c>
      <c r="N97" s="1053">
        <v>60984.11</v>
      </c>
      <c r="O97" s="1057" t="s">
        <v>80</v>
      </c>
      <c r="P97" s="1057"/>
      <c r="Q97" s="87" t="s">
        <v>106</v>
      </c>
      <c r="R97" s="91">
        <f>AVERAGE([13]Estrutura!$I$5:$I$16)</f>
        <v>0.66666666666666663</v>
      </c>
      <c r="S97" s="309">
        <f>IFERROR(IF(S$54&gt;=EOMONTH($J97,-1)+1,IF(NOT(ISBLANK($N97)),$N97/12,$I97/12),0),0)</f>
        <v>0</v>
      </c>
      <c r="T97" s="309">
        <f>IFERROR(IF(T$54&gt;=EOMONTH($J97,-1)+1,IF(NOT(ISBLANK($N97)),$N97/12,$I97/12),0),0)</f>
        <v>0</v>
      </c>
      <c r="U97" s="309">
        <f>IFERROR(IF(U$54&gt;=EOMONTH($J97,-1)+1,IF(NOT(ISBLANK($N97)),$N97/12,$I97/12),0),0)</f>
        <v>0</v>
      </c>
      <c r="V97" s="89">
        <f t="shared" si="11"/>
        <v>0</v>
      </c>
      <c r="W97" s="309">
        <f>IFERROR(IF(W$54&gt;=EOMONTH($J97,-1)+1,IF(NOT(ISBLANK($N97)),$N97/12,$I97/12),0),0)</f>
        <v>0</v>
      </c>
      <c r="X97" s="309">
        <f>IFERROR(IF(X$54&gt;=EOMONTH($J97,-1)+1,IF(NOT(ISBLANK($N97)),$N97/12,$I97/12),0),0)</f>
        <v>0</v>
      </c>
      <c r="Y97" s="309">
        <f>IFERROR(IF(Y$54&gt;=EOMONTH($J97,-1)+1,IF(NOT(ISBLANK($N97)),$N97/12,$I97/12),0),0)</f>
        <v>5082.0091666666667</v>
      </c>
      <c r="Z97" s="89">
        <f t="shared" si="12"/>
        <v>5082.0091666666667</v>
      </c>
      <c r="AA97" s="309">
        <f>IFERROR(IF(AA$54&gt;=EOMONTH($J97,-1)+1,IF(NOT(ISBLANK($N97)),$N97/12,$I97/12),0),0)</f>
        <v>5082.0091666666667</v>
      </c>
      <c r="AB97" s="309">
        <f>IFERROR(IF(AB$54&gt;=EOMONTH($J97,-1)+1,IF(NOT(ISBLANK($N97)),$N97/12,$I97/12),0),0)</f>
        <v>5082.0091666666667</v>
      </c>
      <c r="AC97" s="309">
        <f>IFERROR(IF(AC$54&gt;=EOMONTH($J97,-1)+1,IF(NOT(ISBLANK($N97)),$N97/12,$I97/12),0),0)</f>
        <v>5082.0091666666667</v>
      </c>
      <c r="AD97" s="89">
        <f t="shared" si="13"/>
        <v>15246.0275</v>
      </c>
      <c r="AE97" s="309">
        <f>IFERROR(IF(AE$54&gt;=EOMONTH($J97,-1)+1,IF(NOT(ISBLANK($N97)),$N97/12,$I97/12),0),0)</f>
        <v>5082.0091666666667</v>
      </c>
      <c r="AF97" s="309">
        <f>IFERROR(IF(AF$54&gt;=EOMONTH($J97,-1)+1,IF(NOT(ISBLANK($N97)),$N97/12,$I97/12),0),0)</f>
        <v>5082.0091666666667</v>
      </c>
      <c r="AG97" s="309">
        <f>IFERROR(IF(AG$54&gt;=EOMONTH($J97,-1)+1,IF(NOT(ISBLANK($N97)),$N97/12,$I97/12),0),0)</f>
        <v>5082.0091666666667</v>
      </c>
      <c r="AH97" s="89">
        <f t="shared" si="14"/>
        <v>15246.0275</v>
      </c>
      <c r="AI97" s="90">
        <f t="shared" ref="AI97:AI100" si="52">SUM(V97,Z97,AD97,AH97)</f>
        <v>35574.064166666663</v>
      </c>
      <c r="AJ97" s="98" t="s">
        <v>994</v>
      </c>
      <c r="AK97" s="1040"/>
      <c r="AL97" s="1048"/>
      <c r="AM97" s="1046">
        <f t="shared" ref="AM97" si="53">N97*AL97</f>
        <v>0</v>
      </c>
      <c r="AN97" s="62" t="str">
        <f>C97</f>
        <v>25 - Redução de consumo de MTP China 2 porca (-10 mm)</v>
      </c>
      <c r="AO97" s="62" t="s">
        <v>289</v>
      </c>
      <c r="AP97" s="543" t="str" cm="1">
        <f t="array" aca="1" ref="AP97" ca="1">IF(OR(AN97="",AN97=0),"",IF(SUMPRODUCT(($C$55:$C$128=AN97)*(S$54:$AG$54&lt;EOMONTH(TODAY(),-1)+1)*(ISNUMBER(S$55:$AG$128)),S$55:$AG$128)=0,"",SUMPRODUCT(($C$55:$C$128=AN97)*(S$54:$AG$54&lt;EOMONTH(TODAY(),-1)+1)*(ISNUMBER(S$55:$AG$128)),S$55:$AG$128)))</f>
        <v/>
      </c>
    </row>
    <row r="98" spans="1:42" ht="29.1" customHeight="1" x14ac:dyDescent="0.3">
      <c r="A98" s="1037"/>
      <c r="B98" s="1039"/>
      <c r="C98" s="1114"/>
      <c r="D98" s="1116"/>
      <c r="E98" s="1304"/>
      <c r="F98" s="1041"/>
      <c r="G98" s="1118"/>
      <c r="H98" s="1118"/>
      <c r="I98" s="1075"/>
      <c r="J98" s="1159"/>
      <c r="K98" s="1122"/>
      <c r="L98" s="1075"/>
      <c r="M98" s="1451"/>
      <c r="N98" s="1417"/>
      <c r="O98" s="1058"/>
      <c r="P98" s="1058"/>
      <c r="Q98" s="87" t="s">
        <v>107</v>
      </c>
      <c r="R98" s="91">
        <f>AVERAGE([13]Estrutura!$J$5:$J$16)</f>
        <v>0</v>
      </c>
      <c r="S98" s="309" t="s">
        <v>390</v>
      </c>
      <c r="T98" s="309" t="s">
        <v>390</v>
      </c>
      <c r="U98" s="309" t="s">
        <v>390</v>
      </c>
      <c r="V98" s="89">
        <f t="shared" si="11"/>
        <v>0</v>
      </c>
      <c r="W98" s="309" t="s">
        <v>390</v>
      </c>
      <c r="X98" s="309" t="s">
        <v>390</v>
      </c>
      <c r="Y98" s="309" t="s">
        <v>390</v>
      </c>
      <c r="Z98" s="89">
        <f t="shared" si="12"/>
        <v>0</v>
      </c>
      <c r="AA98" s="309" t="s">
        <v>390</v>
      </c>
      <c r="AB98" s="309" t="s">
        <v>390</v>
      </c>
      <c r="AC98" s="309" t="s">
        <v>390</v>
      </c>
      <c r="AD98" s="89">
        <f t="shared" si="13"/>
        <v>0</v>
      </c>
      <c r="AE98" s="309" t="s">
        <v>390</v>
      </c>
      <c r="AF98" s="309" t="s">
        <v>390</v>
      </c>
      <c r="AG98" s="309" t="s">
        <v>390</v>
      </c>
      <c r="AH98" s="89">
        <f t="shared" si="14"/>
        <v>0</v>
      </c>
      <c r="AI98" s="311">
        <f t="shared" si="52"/>
        <v>0</v>
      </c>
      <c r="AJ98" s="360"/>
      <c r="AK98" s="1041"/>
      <c r="AL98" s="1049"/>
      <c r="AM98" s="1047"/>
      <c r="AN98" s="62" t="str">
        <f>C97</f>
        <v>25 - Redução de consumo de MTP China 2 porca (-10 mm)</v>
      </c>
      <c r="AO98" s="62" t="s">
        <v>291</v>
      </c>
      <c r="AP98" s="543" t="str" cm="1">
        <f t="array" aca="1" ref="AP98" ca="1">IF(OR(AN98="",AN98=0),"",IF(SUMPRODUCT(($C$55:$C$143=AN98)*($S$54:AG$54&lt;=TODAY())*(ISNUMBER($S$56:AG$144)),$S$56:AG$144)=0,"",SUMPRODUCT(($C$55:$C$143=AN98)*($S$54:AG$54&lt;=TODAY())*(ISNUMBER($S$56:AG$144)),$S$56:AG$144)))</f>
        <v/>
      </c>
    </row>
    <row r="99" spans="1:42" ht="29.1" customHeight="1" x14ac:dyDescent="0.3">
      <c r="A99" s="1038" t="s">
        <v>310</v>
      </c>
      <c r="B99" s="1299" t="s">
        <v>91</v>
      </c>
      <c r="C99" s="1095" t="s">
        <v>995</v>
      </c>
      <c r="D99" s="1097" t="s">
        <v>996</v>
      </c>
      <c r="E99" s="1363" t="s">
        <v>997</v>
      </c>
      <c r="F99" s="1099" t="s">
        <v>998</v>
      </c>
      <c r="G99" s="1150">
        <v>46023</v>
      </c>
      <c r="H99" s="1150">
        <v>46082</v>
      </c>
      <c r="I99" s="1152"/>
      <c r="J99" s="1109">
        <v>46082</v>
      </c>
      <c r="K99" s="1213">
        <f t="shared" ref="K99" si="54">IF(J99="", "", 12 - MONTH(J99) + 1)</f>
        <v>10</v>
      </c>
      <c r="L99" s="1103"/>
      <c r="M99" s="1485" t="s">
        <v>388</v>
      </c>
      <c r="N99" s="1206"/>
      <c r="O99" s="1418" t="s">
        <v>77</v>
      </c>
      <c r="P99" s="1418">
        <v>1</v>
      </c>
      <c r="Q99" s="628" t="s">
        <v>106</v>
      </c>
      <c r="R99" s="629">
        <f ca="1">IF(OR(G99="", H99=""), "", IF(TODAY()&lt;G99, 0, IF(TODAY()&gt;H99, 1, (TODAY()-G99+1)/(H99-G99+1))))</f>
        <v>1</v>
      </c>
      <c r="S99" s="818">
        <f>IFERROR(IF(S$54&gt;=EOMONTH($J99,-1)+1,IF(NOT(ISBLANK($N99)),$N99/12,$I99/12),0),0)</f>
        <v>0</v>
      </c>
      <c r="T99" s="818">
        <f>IFERROR(IF(T$54&gt;=EOMONTH($J99,-1)+1,IF(NOT(ISBLANK($N99)),$N99/12,$I99/12),0),0)</f>
        <v>0</v>
      </c>
      <c r="U99" s="819">
        <f>IFERROR(IF(U$54&gt;=EOMONTH($J99,-1)+1,IF(NOT(ISBLANK($N99)),$N99/12,$I99/12),0),0)</f>
        <v>0</v>
      </c>
      <c r="V99" s="818">
        <f t="shared" si="11"/>
        <v>0</v>
      </c>
      <c r="W99" s="819">
        <f>IFERROR(IF(W$54&gt;=EOMONTH($J99,-1)+1,IF(NOT(ISBLANK($N99)),$N99/12,$I99/12),0),0)</f>
        <v>0</v>
      </c>
      <c r="X99" s="818">
        <f>IFERROR(IF(X$54&gt;=EOMONTH($J99,-1)+1,IF(NOT(ISBLANK($N99)),$N99/12,$I99/12),0),0)</f>
        <v>0</v>
      </c>
      <c r="Y99" s="818">
        <f>IFERROR(IF(Y$54&gt;=EOMONTH($J99,-1)+1,IF(NOT(ISBLANK($N99)),$N99/12,$I99/12),0),0)</f>
        <v>0</v>
      </c>
      <c r="Z99" s="818">
        <f t="shared" si="12"/>
        <v>0</v>
      </c>
      <c r="AA99" s="818">
        <f>IFERROR(IF(AA$54&gt;=EOMONTH($J99,-1)+1,IF(NOT(ISBLANK($N99)),$N99/12,$I99/12),0),0)</f>
        <v>0</v>
      </c>
      <c r="AB99" s="818">
        <f>IFERROR(IF(AB$54&gt;=EOMONTH($J99,-1)+1,IF(NOT(ISBLANK($N99)),$N99/12,$I99/12),0),0)</f>
        <v>0</v>
      </c>
      <c r="AC99" s="818">
        <f>IFERROR(IF(AC$54&gt;=EOMONTH($J99,-1)+1,IF(NOT(ISBLANK($N99)),$N99/12,$I99/12),0),0)</f>
        <v>0</v>
      </c>
      <c r="AD99" s="818">
        <f t="shared" si="13"/>
        <v>0</v>
      </c>
      <c r="AE99" s="818">
        <f>IFERROR(IF(AE$54&gt;=EOMONTH($J99,-1)+1,IF(NOT(ISBLANK($N99)),$N99/12,$I99/12),0),0)</f>
        <v>0</v>
      </c>
      <c r="AF99" s="818">
        <f>IFERROR(IF(AF$54&gt;=EOMONTH($J99,-1)+1,IF(NOT(ISBLANK($N99)),$N99/12,$I99/12),0),0)</f>
        <v>0</v>
      </c>
      <c r="AG99" s="818">
        <f>IFERROR(IF(AG$54&gt;=EOMONTH($J99,-1)+1,IF(NOT(ISBLANK($N99)),$N99/12,$I99/12),0),0)</f>
        <v>0</v>
      </c>
      <c r="AH99" s="818">
        <f t="shared" si="14"/>
        <v>0</v>
      </c>
      <c r="AI99" s="820">
        <f t="shared" si="52"/>
        <v>0</v>
      </c>
      <c r="AJ99" s="97"/>
      <c r="AK99" s="1038"/>
      <c r="AL99" s="1418"/>
      <c r="AM99" s="1490">
        <f t="shared" ref="AM99" si="55">N99*AL99</f>
        <v>0</v>
      </c>
      <c r="AN99" s="62" t="str">
        <f>C99</f>
        <v>26 - Redução de gastos com HE</v>
      </c>
      <c r="AO99" s="62" t="s">
        <v>289</v>
      </c>
      <c r="AP99" s="543" t="str" cm="1">
        <f t="array" aca="1" ref="AP99" ca="1">IF(OR(AN99="",AN99=0),"",IF(SUMPRODUCT(($C$55:$C$128=AN99)*(S$54:$AG$54&lt;EOMONTH(TODAY(),-1)+1)*(ISNUMBER(S$55:$AG$128)),S$55:$AG$128)=0,"",SUMPRODUCT(($C$55:$C$128=AN99)*(S$54:$AG$54&lt;EOMONTH(TODAY(),-1)+1)*(ISNUMBER(S$55:$AG$128)),S$55:$AG$128)))</f>
        <v/>
      </c>
    </row>
    <row r="100" spans="1:42" ht="29.1" customHeight="1" x14ac:dyDescent="0.3">
      <c r="A100" s="1039"/>
      <c r="B100" s="1300"/>
      <c r="C100" s="1096"/>
      <c r="D100" s="1098"/>
      <c r="E100" s="1364"/>
      <c r="F100" s="1100"/>
      <c r="G100" s="1151"/>
      <c r="H100" s="1151"/>
      <c r="I100" s="1151"/>
      <c r="J100" s="1110"/>
      <c r="K100" s="1214"/>
      <c r="L100" s="1104"/>
      <c r="M100" s="1486"/>
      <c r="N100" s="1208"/>
      <c r="O100" s="1419"/>
      <c r="P100" s="1419"/>
      <c r="Q100" s="628" t="s">
        <v>107</v>
      </c>
      <c r="R100" s="629">
        <v>1</v>
      </c>
      <c r="S100" s="630" t="s">
        <v>390</v>
      </c>
      <c r="T100" s="630" t="s">
        <v>390</v>
      </c>
      <c r="U100" s="630" t="s">
        <v>390</v>
      </c>
      <c r="V100" s="818">
        <f t="shared" si="11"/>
        <v>0</v>
      </c>
      <c r="W100" s="630" t="s">
        <v>390</v>
      </c>
      <c r="X100" s="630" t="s">
        <v>390</v>
      </c>
      <c r="Y100" s="630" t="s">
        <v>390</v>
      </c>
      <c r="Z100" s="818">
        <f t="shared" si="12"/>
        <v>0</v>
      </c>
      <c r="AA100" s="630" t="s">
        <v>390</v>
      </c>
      <c r="AB100" s="630" t="s">
        <v>390</v>
      </c>
      <c r="AC100" s="630" t="s">
        <v>390</v>
      </c>
      <c r="AD100" s="818">
        <f t="shared" si="13"/>
        <v>0</v>
      </c>
      <c r="AE100" s="630" t="s">
        <v>390</v>
      </c>
      <c r="AF100" s="630" t="s">
        <v>390</v>
      </c>
      <c r="AG100" s="630" t="s">
        <v>390</v>
      </c>
      <c r="AH100" s="818">
        <f t="shared" si="14"/>
        <v>0</v>
      </c>
      <c r="AI100" s="821">
        <f t="shared" si="52"/>
        <v>0</v>
      </c>
      <c r="AJ100" s="97"/>
      <c r="AK100" s="1039"/>
      <c r="AL100" s="1419"/>
      <c r="AM100" s="1491"/>
      <c r="AN100" s="62" t="str">
        <f>C99</f>
        <v>26 - Redução de gastos com HE</v>
      </c>
      <c r="AO100" s="62" t="s">
        <v>291</v>
      </c>
      <c r="AP100" s="543" t="str" cm="1">
        <f t="array" aca="1" ref="AP100" ca="1">IF(OR(AN100="",AN100=0),"",IF(SUMPRODUCT(($C$55:$C$143=AN100)*($S$54:AG$54&lt;=TODAY())*(ISNUMBER($S$56:AG$144)),$S$56:AG$144)=0,"",SUMPRODUCT(($C$55:$C$143=AN100)*($S$54:AG$54&lt;=TODAY())*(ISNUMBER($S$56:AG$144)),$S$56:AG$144)))</f>
        <v/>
      </c>
    </row>
    <row r="101" spans="1:42" ht="29.1" customHeight="1" x14ac:dyDescent="0.3">
      <c r="A101" s="1036" t="s">
        <v>85</v>
      </c>
      <c r="B101" s="1038" t="s">
        <v>90</v>
      </c>
      <c r="C101" s="1113" t="s">
        <v>999</v>
      </c>
      <c r="D101" s="1115" t="s">
        <v>1000</v>
      </c>
      <c r="E101" s="1303" t="s">
        <v>1001</v>
      </c>
      <c r="F101" s="1040" t="s">
        <v>928</v>
      </c>
      <c r="G101" s="1117">
        <v>46082</v>
      </c>
      <c r="H101" s="1117">
        <v>46204</v>
      </c>
      <c r="I101" s="1074">
        <v>435138</v>
      </c>
      <c r="J101" s="1158">
        <v>46233</v>
      </c>
      <c r="K101" s="1121">
        <f t="shared" ref="K101" si="56">IF(J101="", "", 12 - MONTH(J101) + 1)</f>
        <v>6</v>
      </c>
      <c r="L101" s="1074"/>
      <c r="M101" s="1119" t="s">
        <v>287</v>
      </c>
      <c r="N101" s="1053">
        <v>442663.07</v>
      </c>
      <c r="O101" s="1057" t="s">
        <v>80</v>
      </c>
      <c r="P101" s="1057"/>
      <c r="Q101" s="87" t="s">
        <v>106</v>
      </c>
      <c r="R101" s="91">
        <f>AVERAGE([14]Estrutura!$I$5:$I$24)</f>
        <v>0.2</v>
      </c>
      <c r="S101" s="309">
        <f>IFERROR(IF(S$54&gt;=EOMONTH($J101,-1)+1,IF(NOT(ISBLANK($N101)),$N101/12,$I101/12),0),0)</f>
        <v>0</v>
      </c>
      <c r="T101" s="309">
        <f>IFERROR(IF(T$54&gt;=EOMONTH($J101,-1)+1,IF(NOT(ISBLANK($N101)),$N101/12,$I101/12),0),0)</f>
        <v>0</v>
      </c>
      <c r="U101" s="309">
        <f>IFERROR(IF(U$54&gt;=EOMONTH($J101,-1)+1,IF(NOT(ISBLANK($N101)),$N101/12,$I101/12),0),0)</f>
        <v>0</v>
      </c>
      <c r="V101" s="89">
        <f t="shared" si="11"/>
        <v>0</v>
      </c>
      <c r="W101" s="309">
        <f>IFERROR(IF(W$54&gt;=EOMONTH($J101,-1)+1,IF(NOT(ISBLANK($N101)),$N101/12,$I101/12),0),0)</f>
        <v>0</v>
      </c>
      <c r="X101" s="309">
        <f>IFERROR(IF(X$54&gt;=EOMONTH($J101,-1)+1,IF(NOT(ISBLANK($N101)),$N101/12,$I101/12),0),0)</f>
        <v>0</v>
      </c>
      <c r="Y101" s="309">
        <f>IFERROR(IF(Y$54&gt;=EOMONTH($J101,-1)+1,IF(NOT(ISBLANK($N101)),$N101/12,$I101/12),0),0)</f>
        <v>0</v>
      </c>
      <c r="Z101" s="89">
        <f t="shared" si="12"/>
        <v>0</v>
      </c>
      <c r="AA101" s="309">
        <f>IFERROR(IF(AA$54&gt;=EOMONTH($J101,-1)+1,IF(NOT(ISBLANK($N101)),$N101/12,$I101/12),0),0)</f>
        <v>36888.589166666665</v>
      </c>
      <c r="AB101" s="309">
        <f>IFERROR(IF(AB$54&gt;=EOMONTH($J101,-1)+1,IF(NOT(ISBLANK($N101)),$N101/12,$I101/12),0),0)</f>
        <v>36888.589166666665</v>
      </c>
      <c r="AC101" s="309">
        <f>IFERROR(IF(AC$54&gt;=EOMONTH($J101,-1)+1,IF(NOT(ISBLANK($N101)),$N101/12,$I101/12),0),0)</f>
        <v>36888.589166666665</v>
      </c>
      <c r="AD101" s="89">
        <f t="shared" si="13"/>
        <v>110665.76749999999</v>
      </c>
      <c r="AE101" s="309">
        <f>IFERROR(IF(AE$54&gt;=EOMONTH($J101,-1)+1,IF(NOT(ISBLANK($N101)),$N101/12,$I101/12),0),0)</f>
        <v>36888.589166666665</v>
      </c>
      <c r="AF101" s="309">
        <f>IFERROR(IF(AF$54&gt;=EOMONTH($J101,-1)+1,IF(NOT(ISBLANK($N101)),$N101/12,$I101/12),0),0)</f>
        <v>36888.589166666665</v>
      </c>
      <c r="AG101" s="309">
        <f>IFERROR(IF(AG$54&gt;=EOMONTH($J101,-1)+1,IF(NOT(ISBLANK($N101)),$N101/12,$I101/12),0),0)</f>
        <v>36888.589166666665</v>
      </c>
      <c r="AH101" s="89">
        <f t="shared" si="14"/>
        <v>110665.76749999999</v>
      </c>
      <c r="AI101" s="90">
        <f t="shared" si="15"/>
        <v>221331.53499999997</v>
      </c>
      <c r="AJ101" s="98"/>
      <c r="AK101" s="1040"/>
      <c r="AL101" s="1048"/>
      <c r="AM101" s="1046">
        <f t="shared" ref="AM101" si="57">N101*AL101</f>
        <v>0</v>
      </c>
      <c r="AN101" s="62" t="str">
        <f>C101</f>
        <v>27 - Redução consumo MTP aplicando tolerância mínima curva B</v>
      </c>
      <c r="AO101" s="62" t="s">
        <v>289</v>
      </c>
      <c r="AP101" s="543" t="str" cm="1">
        <f t="array" aca="1" ref="AP101" ca="1">IF(OR(AN101="",AN101=0),"",IF(SUMPRODUCT(($C$55:$C$128=AN101)*(S$54:$AG$54&lt;EOMONTH(TODAY(),-1)+1)*(ISNUMBER(S$55:$AG$128)),S$55:$AG$128)=0,"",SUMPRODUCT(($C$55:$C$128=AN101)*(S$54:$AG$54&lt;EOMONTH(TODAY(),-1)+1)*(ISNUMBER(S$55:$AG$128)),S$55:$AG$128)))</f>
        <v/>
      </c>
    </row>
    <row r="102" spans="1:42" ht="29.1" customHeight="1" x14ac:dyDescent="0.3">
      <c r="A102" s="1037"/>
      <c r="B102" s="1039"/>
      <c r="C102" s="1114"/>
      <c r="D102" s="1116"/>
      <c r="E102" s="1304"/>
      <c r="F102" s="1041"/>
      <c r="G102" s="1118"/>
      <c r="H102" s="1118"/>
      <c r="I102" s="1075"/>
      <c r="J102" s="1159"/>
      <c r="K102" s="1122"/>
      <c r="L102" s="1075"/>
      <c r="M102" s="1451"/>
      <c r="N102" s="1417"/>
      <c r="O102" s="1058"/>
      <c r="P102" s="1058"/>
      <c r="Q102" s="87" t="s">
        <v>107</v>
      </c>
      <c r="R102" s="91">
        <f>AVERAGE([14]Estrutura!$J$5:$J$24)</f>
        <v>0</v>
      </c>
      <c r="S102" s="309" t="s">
        <v>390</v>
      </c>
      <c r="T102" s="309" t="s">
        <v>390</v>
      </c>
      <c r="U102" s="309" t="s">
        <v>390</v>
      </c>
      <c r="V102" s="89">
        <f t="shared" si="11"/>
        <v>0</v>
      </c>
      <c r="W102" s="309" t="s">
        <v>390</v>
      </c>
      <c r="X102" s="309" t="s">
        <v>390</v>
      </c>
      <c r="Y102" s="309" t="s">
        <v>390</v>
      </c>
      <c r="Z102" s="89">
        <f t="shared" si="12"/>
        <v>0</v>
      </c>
      <c r="AA102" s="309" t="s">
        <v>390</v>
      </c>
      <c r="AB102" s="309" t="s">
        <v>390</v>
      </c>
      <c r="AC102" s="309" t="s">
        <v>390</v>
      </c>
      <c r="AD102" s="89">
        <f t="shared" si="13"/>
        <v>0</v>
      </c>
      <c r="AE102" s="309" t="s">
        <v>390</v>
      </c>
      <c r="AF102" s="309" t="s">
        <v>390</v>
      </c>
      <c r="AG102" s="309" t="s">
        <v>390</v>
      </c>
      <c r="AH102" s="89">
        <f t="shared" si="14"/>
        <v>0</v>
      </c>
      <c r="AI102" s="311">
        <f t="shared" si="15"/>
        <v>0</v>
      </c>
      <c r="AJ102" s="360" t="s">
        <v>940</v>
      </c>
      <c r="AK102" s="1041"/>
      <c r="AL102" s="1049"/>
      <c r="AM102" s="1047"/>
      <c r="AN102" s="62" t="str">
        <f>C101</f>
        <v>27 - Redução consumo MTP aplicando tolerância mínima curva B</v>
      </c>
      <c r="AO102" s="62" t="s">
        <v>291</v>
      </c>
      <c r="AP102" s="543" t="str" cm="1">
        <f t="array" aca="1" ref="AP102" ca="1">IF(OR(AN102="",AN102=0),"",IF(SUMPRODUCT(($C$55:$C$143=AN102)*($S$54:AG$54&lt;=TODAY())*(ISNUMBER($S$56:AG$144)),$S$56:AG$144)=0,"",SUMPRODUCT(($C$55:$C$143=AN102)*($S$54:AG$54&lt;=TODAY())*(ISNUMBER($S$56:AG$144)),$S$56:AG$144)))</f>
        <v/>
      </c>
    </row>
    <row r="103" spans="1:42" ht="29.1" customHeight="1" x14ac:dyDescent="0.3">
      <c r="A103" s="1038" t="s">
        <v>85</v>
      </c>
      <c r="B103" s="1299" t="s">
        <v>90</v>
      </c>
      <c r="C103" s="1095" t="s">
        <v>1002</v>
      </c>
      <c r="D103" s="1097" t="s">
        <v>1003</v>
      </c>
      <c r="E103" s="1363" t="s">
        <v>1004</v>
      </c>
      <c r="F103" s="1099" t="s">
        <v>928</v>
      </c>
      <c r="G103" s="1150">
        <v>46082</v>
      </c>
      <c r="H103" s="1150">
        <v>46204</v>
      </c>
      <c r="I103" s="1152">
        <v>308498</v>
      </c>
      <c r="J103" s="1109">
        <v>46233</v>
      </c>
      <c r="K103" s="1213">
        <f t="shared" ref="K103" si="58">IF(J103="", "", 12 - MONTH(J103) + 1)</f>
        <v>6</v>
      </c>
      <c r="L103" s="1076"/>
      <c r="M103" s="1320" t="s">
        <v>287</v>
      </c>
      <c r="N103" s="1449">
        <v>209476.06</v>
      </c>
      <c r="O103" s="1042" t="s">
        <v>80</v>
      </c>
      <c r="P103" s="1042"/>
      <c r="Q103" s="93" t="s">
        <v>106</v>
      </c>
      <c r="R103" s="96">
        <f>AVERAGE([15]Estrutura!$I$5:$I$24)</f>
        <v>0.2</v>
      </c>
      <c r="S103" s="533">
        <f>IFERROR(IF(S$54&gt;=EOMONTH($J103,-1)+1,IF(NOT(ISBLANK($N103)),$N103/12,$I103/12),0),0)</f>
        <v>0</v>
      </c>
      <c r="T103" s="533">
        <f>IFERROR(IF(T$54&gt;=EOMONTH($J103,-1)+1,IF(NOT(ISBLANK($N103)),$N103/12,$I103/12),0),0)</f>
        <v>0</v>
      </c>
      <c r="U103" s="533">
        <f>IFERROR(IF(U$54&gt;=EOMONTH($J103,-1)+1,IF(NOT(ISBLANK($N103)),$N103/12,$I103/12),0),0)</f>
        <v>0</v>
      </c>
      <c r="V103" s="89">
        <f t="shared" si="11"/>
        <v>0</v>
      </c>
      <c r="W103" s="533">
        <f>IFERROR(IF(W$54&gt;=EOMONTH($J103,-1)+1,IF(NOT(ISBLANK($N103)),$N103/12,$I103/12),0),0)</f>
        <v>0</v>
      </c>
      <c r="X103" s="533">
        <f>IFERROR(IF(X$54&gt;=EOMONTH($J103,-1)+1,IF(NOT(ISBLANK($N103)),$N103/12,$I103/12),0),0)</f>
        <v>0</v>
      </c>
      <c r="Y103" s="533">
        <f>IFERROR(IF(Y$54&gt;=EOMONTH($J103,-1)+1,IF(NOT(ISBLANK($N103)),$N103/12,$I103/12),0),0)</f>
        <v>0</v>
      </c>
      <c r="Z103" s="89">
        <f t="shared" si="12"/>
        <v>0</v>
      </c>
      <c r="AA103" s="533">
        <f>IFERROR(IF(AA$54&gt;=EOMONTH($J103,-1)+1,IF(NOT(ISBLANK($N103)),$N103/12,$I103/12),0),0)</f>
        <v>17456.338333333333</v>
      </c>
      <c r="AB103" s="533">
        <f>IFERROR(IF(AB$54&gt;=EOMONTH($J103,-1)+1,IF(NOT(ISBLANK($N103)),$N103/12,$I103/12),0),0)</f>
        <v>17456.338333333333</v>
      </c>
      <c r="AC103" s="533">
        <f>IFERROR(IF(AC$54&gt;=EOMONTH($J103,-1)+1,IF(NOT(ISBLANK($N103)),$N103/12,$I103/12),0),0)</f>
        <v>17456.338333333333</v>
      </c>
      <c r="AD103" s="89">
        <f t="shared" si="13"/>
        <v>52369.014999999999</v>
      </c>
      <c r="AE103" s="533">
        <f>IFERROR(IF(AE$54&gt;=EOMONTH($J103,-1)+1,IF(NOT(ISBLANK($N103)),$N103/12,$I103/12),0),0)</f>
        <v>17456.338333333333</v>
      </c>
      <c r="AF103" s="533">
        <f>IFERROR(IF(AF$54&gt;=EOMONTH($J103,-1)+1,IF(NOT(ISBLANK($N103)),$N103/12,$I103/12),0),0)</f>
        <v>17456.338333333333</v>
      </c>
      <c r="AG103" s="533">
        <f>IFERROR(IF(AG$54&gt;=EOMONTH($J103,-1)+1,IF(NOT(ISBLANK($N103)),$N103/12,$I103/12),0),0)</f>
        <v>17456.338333333333</v>
      </c>
      <c r="AH103" s="89">
        <f t="shared" si="14"/>
        <v>52369.014999999999</v>
      </c>
      <c r="AI103" s="95">
        <f t="shared" si="15"/>
        <v>104738.03</v>
      </c>
      <c r="AJ103" s="97"/>
      <c r="AK103" s="1038"/>
      <c r="AL103" s="1042"/>
      <c r="AM103" s="1044">
        <f t="shared" ref="AM103" si="59">N103*AL103</f>
        <v>0</v>
      </c>
      <c r="AN103" s="62" t="str">
        <f>C103</f>
        <v>28 -  Redução consumo MTP aplicando tolerância mínima curva C</v>
      </c>
      <c r="AO103" s="62" t="s">
        <v>289</v>
      </c>
      <c r="AP103" s="543" t="str" cm="1">
        <f t="array" aca="1" ref="AP103" ca="1">IF(OR(AN103="",AN103=0),"",IF(SUMPRODUCT(($C$55:$C$128=AN103)*(S$54:$AG$54&lt;EOMONTH(TODAY(),-1)+1)*(ISNUMBER(S$55:$AG$128)),S$55:$AG$128)=0,"",SUMPRODUCT(($C$55:$C$128=AN103)*(S$54:$AG$54&lt;EOMONTH(TODAY(),-1)+1)*(ISNUMBER(S$55:$AG$128)),S$55:$AG$128)))</f>
        <v/>
      </c>
    </row>
    <row r="104" spans="1:42" ht="29.1" customHeight="1" x14ac:dyDescent="0.3">
      <c r="A104" s="1039"/>
      <c r="B104" s="1300"/>
      <c r="C104" s="1096"/>
      <c r="D104" s="1098"/>
      <c r="E104" s="1364"/>
      <c r="F104" s="1100"/>
      <c r="G104" s="1151"/>
      <c r="H104" s="1151"/>
      <c r="I104" s="1151"/>
      <c r="J104" s="1110"/>
      <c r="K104" s="1214"/>
      <c r="L104" s="1077"/>
      <c r="M104" s="1321"/>
      <c r="N104" s="1450"/>
      <c r="O104" s="1043"/>
      <c r="P104" s="1043"/>
      <c r="Q104" s="93" t="s">
        <v>107</v>
      </c>
      <c r="R104" s="96">
        <f>AVERAGE([15]Estrutura!$J$5:$J$24)</f>
        <v>0.21052631578947367</v>
      </c>
      <c r="S104" s="312" t="s">
        <v>390</v>
      </c>
      <c r="T104" s="312" t="s">
        <v>390</v>
      </c>
      <c r="U104" s="312" t="s">
        <v>390</v>
      </c>
      <c r="V104" s="89">
        <f t="shared" si="11"/>
        <v>0</v>
      </c>
      <c r="W104" s="312" t="s">
        <v>390</v>
      </c>
      <c r="X104" s="312" t="s">
        <v>390</v>
      </c>
      <c r="Y104" s="312" t="s">
        <v>390</v>
      </c>
      <c r="Z104" s="89">
        <f t="shared" si="12"/>
        <v>0</v>
      </c>
      <c r="AA104" s="312" t="s">
        <v>390</v>
      </c>
      <c r="AB104" s="312" t="s">
        <v>390</v>
      </c>
      <c r="AC104" s="312" t="s">
        <v>390</v>
      </c>
      <c r="AD104" s="89">
        <f t="shared" si="13"/>
        <v>0</v>
      </c>
      <c r="AE104" s="312" t="s">
        <v>390</v>
      </c>
      <c r="AF104" s="312" t="s">
        <v>390</v>
      </c>
      <c r="AG104" s="312" t="s">
        <v>390</v>
      </c>
      <c r="AH104" s="89">
        <f t="shared" si="14"/>
        <v>0</v>
      </c>
      <c r="AI104" s="313">
        <f t="shared" si="15"/>
        <v>0</v>
      </c>
      <c r="AJ104" s="97"/>
      <c r="AK104" s="1039"/>
      <c r="AL104" s="1043"/>
      <c r="AM104" s="1045"/>
      <c r="AN104" s="62" t="str">
        <f>C103</f>
        <v>28 -  Redução consumo MTP aplicando tolerância mínima curva C</v>
      </c>
      <c r="AO104" s="62" t="s">
        <v>291</v>
      </c>
      <c r="AP104" s="543" t="str" cm="1">
        <f t="array" aca="1" ref="AP104" ca="1">IF(OR(AN104="",AN104=0),"",IF(SUMPRODUCT(($C$55:$C$143=AN104)*($S$54:AG$54&lt;=TODAY())*(ISNUMBER($S$56:AG$144)),$S$56:AG$144)=0,"",SUMPRODUCT(($C$55:$C$143=AN104)*($S$54:AG$54&lt;=TODAY())*(ISNUMBER($S$56:AG$144)),$S$56:AG$144)))</f>
        <v/>
      </c>
    </row>
    <row r="105" spans="1:42" ht="29.1" customHeight="1" x14ac:dyDescent="0.3">
      <c r="A105" s="1036" t="s">
        <v>85</v>
      </c>
      <c r="B105" s="1038" t="s">
        <v>90</v>
      </c>
      <c r="C105" s="1113" t="s">
        <v>1005</v>
      </c>
      <c r="D105" s="1115" t="s">
        <v>1006</v>
      </c>
      <c r="E105" s="1303" t="s">
        <v>1007</v>
      </c>
      <c r="F105" s="1040" t="s">
        <v>928</v>
      </c>
      <c r="G105" s="1117">
        <v>46082</v>
      </c>
      <c r="H105" s="1117">
        <v>46174</v>
      </c>
      <c r="I105" s="1074">
        <v>9639</v>
      </c>
      <c r="J105" s="1158">
        <v>46142</v>
      </c>
      <c r="K105" s="1121">
        <f t="shared" ref="K105" si="60">IF(J105="", "", 12 - MONTH(J105) + 1)</f>
        <v>9</v>
      </c>
      <c r="L105" s="1074"/>
      <c r="M105" s="1119" t="s">
        <v>287</v>
      </c>
      <c r="N105" s="1053">
        <v>22604.71</v>
      </c>
      <c r="O105" s="1057" t="s">
        <v>80</v>
      </c>
      <c r="P105" s="1057"/>
      <c r="Q105" s="87" t="s">
        <v>106</v>
      </c>
      <c r="R105" s="91">
        <f>AVERAGE([16]Estrutura!$I$5:$I$22)</f>
        <v>0.88888888888888884</v>
      </c>
      <c r="S105" s="309">
        <f>IFERROR(IF(S$54&gt;=EOMONTH($J105,-1)+1,IF(NOT(ISBLANK($N105)),$N105/12,$I105/12),0),0)</f>
        <v>0</v>
      </c>
      <c r="T105" s="309">
        <f>IFERROR(IF(T$54&gt;=EOMONTH($J105,-1)+1,IF(NOT(ISBLANK($N105)),$N105/12,$I105/12),0),0)</f>
        <v>0</v>
      </c>
      <c r="U105" s="309">
        <f>IFERROR(IF(U$54&gt;=EOMONTH($J105,-1)+1,IF(NOT(ISBLANK($N105)),$N105/12,$I105/12),0),0)</f>
        <v>0</v>
      </c>
      <c r="V105" s="89">
        <f t="shared" si="11"/>
        <v>0</v>
      </c>
      <c r="W105" s="642">
        <f>IFERROR(IF(W$54&gt;=EOMONTH($J105,-1)+1,IF(NOT(ISBLANK($N105)),$N105/12,$I105/12),0),0)</f>
        <v>1883.7258333333332</v>
      </c>
      <c r="X105" s="309">
        <f>IFERROR(IF(X$54&gt;=EOMONTH($J105,-1)+1,IF(NOT(ISBLANK($N105)),$N105/12,$I105/12),0),0)</f>
        <v>1883.7258333333332</v>
      </c>
      <c r="Y105" s="309">
        <f>IFERROR(IF(Y$54&gt;=EOMONTH($J105,-1)+1,IF(NOT(ISBLANK($N105)),$N105/12,$I105/12),0),0)</f>
        <v>1883.7258333333332</v>
      </c>
      <c r="Z105" s="89">
        <f t="shared" si="12"/>
        <v>5651.1774999999998</v>
      </c>
      <c r="AA105" s="309">
        <f>IFERROR(IF(AA$54&gt;=EOMONTH($J105,-1)+1,IF(NOT(ISBLANK($N105)),$N105/12,$I105/12),0),0)</f>
        <v>1883.7258333333332</v>
      </c>
      <c r="AB105" s="309">
        <f>IFERROR(IF(AB$54&gt;=EOMONTH($J105,-1)+1,IF(NOT(ISBLANK($N105)),$N105/12,$I105/12),0),0)</f>
        <v>1883.7258333333332</v>
      </c>
      <c r="AC105" s="309">
        <f>IFERROR(IF(AC$54&gt;=EOMONTH($J105,-1)+1,IF(NOT(ISBLANK($N105)),$N105/12,$I105/12),0),0)</f>
        <v>1883.7258333333332</v>
      </c>
      <c r="AD105" s="89">
        <f t="shared" si="13"/>
        <v>5651.1774999999998</v>
      </c>
      <c r="AE105" s="309">
        <f>IFERROR(IF(AE$54&gt;=EOMONTH($J105,-1)+1,IF(NOT(ISBLANK($N105)),$N105/12,$I105/12),0),0)</f>
        <v>1883.7258333333332</v>
      </c>
      <c r="AF105" s="309">
        <f>IFERROR(IF(AF$54&gt;=EOMONTH($J105,-1)+1,IF(NOT(ISBLANK($N105)),$N105/12,$I105/12),0),0)</f>
        <v>1883.7258333333332</v>
      </c>
      <c r="AG105" s="309">
        <f>IFERROR(IF(AG$54&gt;=EOMONTH($J105,-1)+1,IF(NOT(ISBLANK($N105)),$N105/12,$I105/12),0),0)</f>
        <v>1883.7258333333332</v>
      </c>
      <c r="AH105" s="89">
        <f t="shared" si="14"/>
        <v>5651.1774999999998</v>
      </c>
      <c r="AI105" s="90">
        <f t="shared" si="15"/>
        <v>16953.532500000001</v>
      </c>
      <c r="AJ105" s="98"/>
      <c r="AK105" s="1040"/>
      <c r="AL105" s="1048"/>
      <c r="AM105" s="1046">
        <f t="shared" ref="AM105" si="61">N105*AL105</f>
        <v>0</v>
      </c>
      <c r="AN105" s="62" t="str">
        <f>C105</f>
        <v>29 - Redução do consumo MTP no passo do Blank VW000942AB / 943AB -5MM</v>
      </c>
      <c r="AO105" s="62" t="s">
        <v>289</v>
      </c>
      <c r="AP105" s="543" cm="1">
        <f t="array" aca="1" ref="AP105" ca="1">IF(OR(AN105="",AN105=0),"",IF(SUMPRODUCT(($C$55:$C$128=AN105)*(S$54:$AG$54&lt;EOMONTH(TODAY(),-1)+1)*(ISNUMBER(S$55:$AG$128)),S$55:$AG$128)=0,"",SUMPRODUCT(($C$55:$C$128=AN105)*(S$54:$AG$54&lt;EOMONTH(TODAY(),-1)+1)*(ISNUMBER(S$55:$AG$128)),S$55:$AG$128)))</f>
        <v>3767.4516666666664</v>
      </c>
    </row>
    <row r="106" spans="1:42" ht="29.1" customHeight="1" x14ac:dyDescent="0.3">
      <c r="A106" s="1037"/>
      <c r="B106" s="1039"/>
      <c r="C106" s="1114"/>
      <c r="D106" s="1116"/>
      <c r="E106" s="1304"/>
      <c r="F106" s="1041"/>
      <c r="G106" s="1118"/>
      <c r="H106" s="1118"/>
      <c r="I106" s="1075"/>
      <c r="J106" s="1159"/>
      <c r="K106" s="1122"/>
      <c r="L106" s="1075"/>
      <c r="M106" s="1451"/>
      <c r="N106" s="1417"/>
      <c r="O106" s="1058"/>
      <c r="P106" s="1058"/>
      <c r="Q106" s="87" t="s">
        <v>107</v>
      </c>
      <c r="R106" s="91">
        <f>AVERAGE([16]Estrutura!$J$5:$J$22)</f>
        <v>0.33333333333333331</v>
      </c>
      <c r="S106" s="309" t="s">
        <v>390</v>
      </c>
      <c r="T106" s="309" t="s">
        <v>390</v>
      </c>
      <c r="U106" s="309" t="s">
        <v>390</v>
      </c>
      <c r="V106" s="89">
        <f t="shared" si="11"/>
        <v>0</v>
      </c>
      <c r="W106" s="636" t="s">
        <v>390</v>
      </c>
      <c r="X106" s="636" t="s">
        <v>390</v>
      </c>
      <c r="Y106" s="309" t="s">
        <v>390</v>
      </c>
      <c r="Z106" s="89">
        <f t="shared" si="12"/>
        <v>0</v>
      </c>
      <c r="AA106" s="309" t="s">
        <v>390</v>
      </c>
      <c r="AB106" s="309" t="s">
        <v>390</v>
      </c>
      <c r="AC106" s="309" t="s">
        <v>390</v>
      </c>
      <c r="AD106" s="89">
        <f t="shared" si="13"/>
        <v>0</v>
      </c>
      <c r="AE106" s="309" t="s">
        <v>390</v>
      </c>
      <c r="AF106" s="309" t="s">
        <v>390</v>
      </c>
      <c r="AG106" s="309" t="s">
        <v>390</v>
      </c>
      <c r="AH106" s="89">
        <f t="shared" si="14"/>
        <v>0</v>
      </c>
      <c r="AI106" s="311">
        <f t="shared" si="15"/>
        <v>0</v>
      </c>
      <c r="AJ106" s="360" t="s">
        <v>1008</v>
      </c>
      <c r="AK106" s="1041"/>
      <c r="AL106" s="1049"/>
      <c r="AM106" s="1047"/>
      <c r="AN106" s="62" t="str">
        <f>C105</f>
        <v>29 - Redução do consumo MTP no passo do Blank VW000942AB / 943AB -5MM</v>
      </c>
      <c r="AO106" s="62" t="s">
        <v>291</v>
      </c>
      <c r="AP106" s="543" t="str" cm="1">
        <f t="array" aca="1" ref="AP106" ca="1">IF(OR(AN106="",AN106=0),"",IF(SUMPRODUCT(($C$55:$C$143=AN106)*($S$54:AG$54&lt;=TODAY())*(ISNUMBER($S$56:AG$144)),$S$56:AG$144)=0,"",SUMPRODUCT(($C$55:$C$143=AN106)*($S$54:AG$54&lt;=TODAY())*(ISNUMBER($S$56:AG$144)),$S$56:AG$144)))</f>
        <v/>
      </c>
    </row>
    <row r="107" spans="1:42" ht="29.1" customHeight="1" x14ac:dyDescent="0.3">
      <c r="A107" s="1038" t="s">
        <v>310</v>
      </c>
      <c r="B107" s="1299" t="s">
        <v>91</v>
      </c>
      <c r="C107" s="1095" t="s">
        <v>1009</v>
      </c>
      <c r="D107" s="1097" t="s">
        <v>1010</v>
      </c>
      <c r="E107" s="1363" t="s">
        <v>1011</v>
      </c>
      <c r="F107" s="1099" t="s">
        <v>1012</v>
      </c>
      <c r="G107" s="1150">
        <v>46082</v>
      </c>
      <c r="H107" s="1150">
        <v>46113</v>
      </c>
      <c r="I107" s="1152">
        <v>306000</v>
      </c>
      <c r="J107" s="1109">
        <v>46113</v>
      </c>
      <c r="K107" s="1213">
        <v>9</v>
      </c>
      <c r="L107" s="1074"/>
      <c r="M107" s="1091" t="s">
        <v>287</v>
      </c>
      <c r="N107" s="1053">
        <v>306000</v>
      </c>
      <c r="O107" s="1057" t="s">
        <v>80</v>
      </c>
      <c r="P107" s="1057"/>
      <c r="Q107" s="87" t="s">
        <v>106</v>
      </c>
      <c r="R107" s="91">
        <v>0.8</v>
      </c>
      <c r="S107" s="309">
        <f>IFERROR(IF(S$54&gt;=EOMONTH($J107,-1)+1,IF(NOT(ISBLANK($N107)),$N107/12,$I107/12),0),0)</f>
        <v>0</v>
      </c>
      <c r="T107" s="309">
        <f>IFERROR(IF(T$54&gt;=EOMONTH($J107,-1)+1,IF(NOT(ISBLANK($N107)),$N107/12,$I107/12),0),0)</f>
        <v>0</v>
      </c>
      <c r="U107" s="309">
        <f>IFERROR(IF(U$54&gt;=EOMONTH($J107,-1)+1,IF(NOT(ISBLANK($N107)),$N107/12,$I107/12),0),0)</f>
        <v>0</v>
      </c>
      <c r="V107" s="89">
        <f t="shared" si="11"/>
        <v>0</v>
      </c>
      <c r="W107" s="642">
        <f>IFERROR(IF(W$54&gt;=EOMONTH($J107,-1)+1,IF(NOT(ISBLANK($N107)),$N107/12,$I107/12),0),0)</f>
        <v>25500</v>
      </c>
      <c r="X107" s="309">
        <f>IFERROR(IF(X$54&gt;=EOMONTH($J107,-1)+1,IF(NOT(ISBLANK($N107)),$N107/12,$I107/12),0),0)</f>
        <v>25500</v>
      </c>
      <c r="Y107" s="309">
        <f>IFERROR(IF(Y$54&gt;=EOMONTH($J107,-1)+1,IF(NOT(ISBLANK($N107)),$N107/12,$I107/12),0),0)</f>
        <v>25500</v>
      </c>
      <c r="Z107" s="89">
        <f t="shared" si="12"/>
        <v>76500</v>
      </c>
      <c r="AA107" s="309">
        <f>IFERROR(IF(AA$54&gt;=EOMONTH($J107,-1)+1,IF(NOT(ISBLANK($N107)),$N107/12,$I107/12),0),0)</f>
        <v>25500</v>
      </c>
      <c r="AB107" s="309">
        <f>IFERROR(IF(AB$54&gt;=EOMONTH($J107,-1)+1,IF(NOT(ISBLANK($N107)),$N107/12,$I107/12),0),0)</f>
        <v>25500</v>
      </c>
      <c r="AC107" s="309">
        <f>IFERROR(IF(AC$54&gt;=EOMONTH($J107,-1)+1,IF(NOT(ISBLANK($N107)),$N107/12,$I107/12),0),0)</f>
        <v>25500</v>
      </c>
      <c r="AD107" s="89">
        <f t="shared" si="13"/>
        <v>76500</v>
      </c>
      <c r="AE107" s="309">
        <f>IFERROR(IF(AE$54&gt;=EOMONTH($J107,-1)+1,IF(NOT(ISBLANK($N107)),$N107/12,$I107/12),0),0)</f>
        <v>25500</v>
      </c>
      <c r="AF107" s="309">
        <f>IFERROR(IF(AF$54&gt;=EOMONTH($J107,-1)+1,IF(NOT(ISBLANK($N107)),$N107/12,$I107/12),0),0)</f>
        <v>25500</v>
      </c>
      <c r="AG107" s="309">
        <f>IFERROR(IF(AG$54&gt;=EOMONTH($J107,-1)+1,IF(NOT(ISBLANK($N107)),$N107/12,$I107/12),0),0)</f>
        <v>25500</v>
      </c>
      <c r="AH107" s="89">
        <f t="shared" si="14"/>
        <v>76500</v>
      </c>
      <c r="AI107" s="90">
        <f t="shared" si="15"/>
        <v>229500</v>
      </c>
      <c r="AJ107" s="98"/>
      <c r="AK107" s="1040"/>
      <c r="AL107" s="1048"/>
      <c r="AM107" s="1046">
        <f t="shared" ref="AM107" si="62">N107*AL107</f>
        <v>0</v>
      </c>
      <c r="AN107" s="62" t="str">
        <f>C107</f>
        <v>30 - Redução de Refugo</v>
      </c>
      <c r="AO107" s="62" t="s">
        <v>289</v>
      </c>
      <c r="AP107" s="543" cm="1">
        <f t="array" aca="1" ref="AP107" ca="1">IF(OR(AN107="",AN107=0),"",IF(SUMPRODUCT(($C$55:$C$128=AN107)*(S$54:$AG$54&lt;EOMONTH(TODAY(),-1)+1)*(ISNUMBER(S$55:$AG$128)),S$55:$AG$128)=0,"",SUMPRODUCT(($C$55:$C$128=AN107)*(S$54:$AG$54&lt;EOMONTH(TODAY(),-1)+1)*(ISNUMBER(S$55:$AG$128)),S$55:$AG$128)))</f>
        <v>51000</v>
      </c>
    </row>
    <row r="108" spans="1:42" ht="29.1" customHeight="1" x14ac:dyDescent="0.3">
      <c r="A108" s="1039"/>
      <c r="B108" s="1300"/>
      <c r="C108" s="1096"/>
      <c r="D108" s="1098"/>
      <c r="E108" s="1364"/>
      <c r="F108" s="1100"/>
      <c r="G108" s="1151"/>
      <c r="H108" s="1151"/>
      <c r="I108" s="1151"/>
      <c r="J108" s="1110"/>
      <c r="K108" s="1214"/>
      <c r="L108" s="1075"/>
      <c r="M108" s="1092"/>
      <c r="N108" s="1417"/>
      <c r="O108" s="1058"/>
      <c r="P108" s="1058"/>
      <c r="Q108" s="87" t="s">
        <v>107</v>
      </c>
      <c r="R108" s="91">
        <v>0.8</v>
      </c>
      <c r="S108" s="309" t="s">
        <v>390</v>
      </c>
      <c r="T108" s="309" t="s">
        <v>390</v>
      </c>
      <c r="U108" s="309" t="s">
        <v>390</v>
      </c>
      <c r="V108" s="89">
        <f t="shared" si="11"/>
        <v>0</v>
      </c>
      <c r="W108" s="309" t="s">
        <v>390</v>
      </c>
      <c r="X108" s="309" t="s">
        <v>390</v>
      </c>
      <c r="Y108" s="309" t="s">
        <v>390</v>
      </c>
      <c r="Z108" s="89">
        <f t="shared" si="12"/>
        <v>0</v>
      </c>
      <c r="AA108" s="309" t="s">
        <v>390</v>
      </c>
      <c r="AB108" s="309" t="s">
        <v>390</v>
      </c>
      <c r="AC108" s="309" t="s">
        <v>390</v>
      </c>
      <c r="AD108" s="89">
        <f t="shared" si="13"/>
        <v>0</v>
      </c>
      <c r="AE108" s="309" t="s">
        <v>390</v>
      </c>
      <c r="AF108" s="309" t="s">
        <v>390</v>
      </c>
      <c r="AG108" s="309" t="s">
        <v>390</v>
      </c>
      <c r="AH108" s="89">
        <f t="shared" si="14"/>
        <v>0</v>
      </c>
      <c r="AI108" s="311">
        <f t="shared" si="15"/>
        <v>0</v>
      </c>
      <c r="AJ108" s="360"/>
      <c r="AK108" s="1041"/>
      <c r="AL108" s="1049"/>
      <c r="AM108" s="1047"/>
      <c r="AN108" s="62" t="str">
        <f>C107</f>
        <v>30 - Redução de Refugo</v>
      </c>
      <c r="AO108" s="62" t="s">
        <v>291</v>
      </c>
      <c r="AP108" s="543" t="str" cm="1">
        <f t="array" aca="1" ref="AP108" ca="1">IF(OR(AN108="",AN108=0),"",IF(SUMPRODUCT(($C$55:$C$143=AN108)*($S$54:AG$54&lt;=TODAY())*(ISNUMBER($S$56:AG$144)),$S$56:AG$144)=0,"",SUMPRODUCT(($C$55:$C$143=AN108)*($S$54:AG$54&lt;=TODAY())*(ISNUMBER($S$56:AG$144)),$S$56:AG$144)))</f>
        <v/>
      </c>
    </row>
    <row r="109" spans="1:42" ht="29.1" customHeight="1" x14ac:dyDescent="0.3">
      <c r="A109" s="1036" t="s">
        <v>310</v>
      </c>
      <c r="B109" s="1038" t="s">
        <v>91</v>
      </c>
      <c r="C109" s="1113" t="s">
        <v>1013</v>
      </c>
      <c r="D109" s="1115" t="s">
        <v>1014</v>
      </c>
      <c r="E109" s="1303" t="s">
        <v>1015</v>
      </c>
      <c r="F109" s="1040" t="s">
        <v>1016</v>
      </c>
      <c r="G109" s="1117">
        <v>46113</v>
      </c>
      <c r="H109" s="1117">
        <v>46142</v>
      </c>
      <c r="I109" s="1074">
        <v>1224</v>
      </c>
      <c r="J109" s="1158">
        <v>46113</v>
      </c>
      <c r="K109" s="1121">
        <v>8</v>
      </c>
      <c r="L109" s="1076"/>
      <c r="M109" s="1320" t="s">
        <v>287</v>
      </c>
      <c r="N109" s="1449">
        <v>1224</v>
      </c>
      <c r="O109" s="1042" t="s">
        <v>80</v>
      </c>
      <c r="P109" s="1042"/>
      <c r="Q109" s="93" t="s">
        <v>106</v>
      </c>
      <c r="R109" s="96">
        <v>1</v>
      </c>
      <c r="S109" s="533">
        <f>IFERROR(IF(S$54&gt;=EOMONTH($J109,-1)+1,IF(NOT(ISBLANK($N109)),$N109/12,$I109/12),0),0)</f>
        <v>0</v>
      </c>
      <c r="T109" s="533">
        <f>IFERROR(IF(T$54&gt;=EOMONTH($J109,-1)+1,IF(NOT(ISBLANK($N109)),$N109/12,$I109/12),0),0)</f>
        <v>0</v>
      </c>
      <c r="U109" s="533">
        <f>IFERROR(IF(U$54&gt;=EOMONTH($J109,-1)+1,IF(NOT(ISBLANK($N109)),$N109/12,$I109/12),0),0)</f>
        <v>0</v>
      </c>
      <c r="V109" s="89">
        <f t="shared" si="11"/>
        <v>0</v>
      </c>
      <c r="W109" s="945">
        <f>IFERROR(IF(W$54&gt;=EOMONTH($J109,-1)+1,IF(NOT(ISBLANK($N109)),$N109/12,$I109/12),0),0)</f>
        <v>102</v>
      </c>
      <c r="X109" s="533">
        <f>IFERROR(IF(X$54&gt;=EOMONTH($J109,-1)+1,IF(NOT(ISBLANK($N109)),$N109/12,$I109/12),0),0)</f>
        <v>102</v>
      </c>
      <c r="Y109" s="533">
        <f>IFERROR(IF(Y$54&gt;=EOMONTH($J109,-1)+1,IF(NOT(ISBLANK($N109)),$N109/12,$I109/12),0),0)</f>
        <v>102</v>
      </c>
      <c r="Z109" s="89">
        <f t="shared" si="12"/>
        <v>306</v>
      </c>
      <c r="AA109" s="533">
        <f>IFERROR(IF(AA$54&gt;=EOMONTH($J109,-1)+1,IF(NOT(ISBLANK($N109)),$N109/12,$I109/12),0),0)</f>
        <v>102</v>
      </c>
      <c r="AB109" s="533">
        <f>IFERROR(IF(AB$54&gt;=EOMONTH($J109,-1)+1,IF(NOT(ISBLANK($N109)),$N109/12,$I109/12),0),0)</f>
        <v>102</v>
      </c>
      <c r="AC109" s="533">
        <f>IFERROR(IF(AC$54&gt;=EOMONTH($J109,-1)+1,IF(NOT(ISBLANK($N109)),$N109/12,$I109/12),0),0)</f>
        <v>102</v>
      </c>
      <c r="AD109" s="89">
        <f t="shared" si="13"/>
        <v>306</v>
      </c>
      <c r="AE109" s="533">
        <f>IFERROR(IF(AE$54&gt;=EOMONTH($J109,-1)+1,IF(NOT(ISBLANK($N109)),$N109/12,$I109/12),0),0)</f>
        <v>102</v>
      </c>
      <c r="AF109" s="533">
        <f>IFERROR(IF(AF$54&gt;=EOMONTH($J109,-1)+1,IF(NOT(ISBLANK($N109)),$N109/12,$I109/12),0),0)</f>
        <v>102</v>
      </c>
      <c r="AG109" s="533">
        <f>IFERROR(IF(AG$54&gt;=EOMONTH($J109,-1)+1,IF(NOT(ISBLANK($N109)),$N109/12,$I109/12),0),0)</f>
        <v>102</v>
      </c>
      <c r="AH109" s="89">
        <f t="shared" si="14"/>
        <v>306</v>
      </c>
      <c r="AI109" s="95">
        <f t="shared" si="15"/>
        <v>918</v>
      </c>
      <c r="AJ109" s="97"/>
      <c r="AK109" s="1038"/>
      <c r="AL109" s="1042"/>
      <c r="AM109" s="1044">
        <f t="shared" ref="AM109" si="63">N109*AL109</f>
        <v>0</v>
      </c>
      <c r="AN109" s="62" t="str">
        <f>C109</f>
        <v>31 - Redução impressora Backup</v>
      </c>
      <c r="AO109" s="62" t="s">
        <v>289</v>
      </c>
      <c r="AP109" s="543" cm="1">
        <f t="array" aca="1" ref="AP109" ca="1">IF(OR(AN109="",AN109=0),"",IF(SUMPRODUCT(($C$55:$C$128=AN109)*(S$54:$AG$54&lt;EOMONTH(TODAY(),-1)+1)*(ISNUMBER(S$55:$AG$128)),S$55:$AG$128)=0,"",SUMPRODUCT(($C$55:$C$128=AN109)*(S$54:$AG$54&lt;EOMONTH(TODAY(),-1)+1)*(ISNUMBER(S$55:$AG$128)),S$55:$AG$128)))</f>
        <v>204</v>
      </c>
    </row>
    <row r="110" spans="1:42" ht="29.1" customHeight="1" x14ac:dyDescent="0.3">
      <c r="A110" s="1037"/>
      <c r="B110" s="1039"/>
      <c r="C110" s="1114"/>
      <c r="D110" s="1116"/>
      <c r="E110" s="1304"/>
      <c r="F110" s="1041"/>
      <c r="G110" s="1118"/>
      <c r="H110" s="1118"/>
      <c r="I110" s="1075"/>
      <c r="J110" s="1159"/>
      <c r="K110" s="1122"/>
      <c r="L110" s="1077"/>
      <c r="M110" s="1321"/>
      <c r="N110" s="1450"/>
      <c r="O110" s="1043"/>
      <c r="P110" s="1043"/>
      <c r="Q110" s="93" t="s">
        <v>107</v>
      </c>
      <c r="R110" s="96">
        <v>1</v>
      </c>
      <c r="S110" s="312" t="s">
        <v>390</v>
      </c>
      <c r="T110" s="312" t="s">
        <v>390</v>
      </c>
      <c r="U110" s="312" t="s">
        <v>390</v>
      </c>
      <c r="V110" s="89">
        <f t="shared" si="11"/>
        <v>0</v>
      </c>
      <c r="W110" s="312">
        <v>102</v>
      </c>
      <c r="X110" s="312">
        <v>102</v>
      </c>
      <c r="Y110" s="312" t="s">
        <v>390</v>
      </c>
      <c r="Z110" s="89">
        <f t="shared" si="12"/>
        <v>204</v>
      </c>
      <c r="AA110" s="312" t="s">
        <v>390</v>
      </c>
      <c r="AB110" s="312" t="s">
        <v>390</v>
      </c>
      <c r="AC110" s="312" t="s">
        <v>390</v>
      </c>
      <c r="AD110" s="89">
        <f t="shared" si="13"/>
        <v>0</v>
      </c>
      <c r="AE110" s="312" t="s">
        <v>390</v>
      </c>
      <c r="AF110" s="312" t="s">
        <v>390</v>
      </c>
      <c r="AG110" s="312" t="s">
        <v>390</v>
      </c>
      <c r="AH110" s="89">
        <f t="shared" si="14"/>
        <v>0</v>
      </c>
      <c r="AI110" s="313">
        <f t="shared" si="15"/>
        <v>204</v>
      </c>
      <c r="AJ110" s="97"/>
      <c r="AK110" s="1039"/>
      <c r="AL110" s="1043"/>
      <c r="AM110" s="1045"/>
      <c r="AN110" s="62" t="str">
        <f>C109</f>
        <v>31 - Redução impressora Backup</v>
      </c>
      <c r="AO110" s="62" t="s">
        <v>291</v>
      </c>
      <c r="AP110" s="543" cm="1">
        <f t="array" aca="1" ref="AP110" ca="1">IF(OR(AN110="",AN110=0),"",IF(SUMPRODUCT(($C$55:$C$143=AN110)*($S$54:AG$54&lt;=TODAY())*(ISNUMBER($S$56:AG$144)),$S$56:AG$144)=0,"",SUMPRODUCT(($C$55:$C$143=AN110)*($S$54:AG$54&lt;=TODAY())*(ISNUMBER($S$56:AG$144)),$S$56:AG$144)))</f>
        <v>204</v>
      </c>
    </row>
    <row r="111" spans="1:42" ht="29.1" customHeight="1" x14ac:dyDescent="0.3">
      <c r="A111" s="1038" t="s">
        <v>76</v>
      </c>
      <c r="B111" s="1299" t="s">
        <v>93</v>
      </c>
      <c r="C111" s="1095" t="s">
        <v>1017</v>
      </c>
      <c r="D111" s="1097" t="s">
        <v>1018</v>
      </c>
      <c r="E111" s="1363" t="s">
        <v>1019</v>
      </c>
      <c r="F111" s="1099" t="s">
        <v>1020</v>
      </c>
      <c r="G111" s="1150">
        <v>46113</v>
      </c>
      <c r="H111" s="1150">
        <v>46203</v>
      </c>
      <c r="I111" s="1152">
        <v>301000</v>
      </c>
      <c r="J111" s="1109">
        <v>46203</v>
      </c>
      <c r="K111" s="1213">
        <v>7</v>
      </c>
      <c r="L111" s="1074"/>
      <c r="M111" s="1119"/>
      <c r="N111" s="1053"/>
      <c r="O111" s="1057" t="s">
        <v>80</v>
      </c>
      <c r="P111" s="1057"/>
      <c r="Q111" s="87" t="s">
        <v>106</v>
      </c>
      <c r="R111" s="91">
        <f ca="1">IF(OR(G111="", H111=""), "", IF(TODAY()&lt;G111, 0, IF(TODAY()&gt;H111, 1, (TODAY()-G111+1)/(H111-G111+1))))</f>
        <v>0.92307692307692313</v>
      </c>
      <c r="S111" s="309">
        <f>IFERROR(IF(S$54&gt;=EOMONTH($J111,-1)+1,IF(NOT(ISBLANK($N111)),$N111/12,$I111/12),0),0)</f>
        <v>0</v>
      </c>
      <c r="T111" s="309">
        <f>IFERROR(IF(T$54&gt;=EOMONTH($J111,-1)+1,IF(NOT(ISBLANK($N111)),$N111/12,$I111/12),0),0)</f>
        <v>0</v>
      </c>
      <c r="U111" s="309">
        <f>IFERROR(IF(U$54&gt;=EOMONTH($J111,-1)+1,IF(NOT(ISBLANK($N111)),$N111/12,$I111/12),0),0)</f>
        <v>0</v>
      </c>
      <c r="V111" s="89">
        <f t="shared" si="11"/>
        <v>0</v>
      </c>
      <c r="W111" s="309">
        <f>IFERROR(IF(W$54&gt;=EOMONTH($J111,-1)+1,IF(NOT(ISBLANK($N111)),$N111/12,$I111/12),0),0)</f>
        <v>0</v>
      </c>
      <c r="X111" s="309">
        <f>IFERROR(IF(X$54&gt;=EOMONTH($J111,-1)+1,IF(NOT(ISBLANK($N111)),$N111/12,$I111/12),0),0)</f>
        <v>0</v>
      </c>
      <c r="Y111" s="309">
        <f>IFERROR(IF(Y$54&gt;=EOMONTH($J111,-1)+1,IF(NOT(ISBLANK($N111)),$N111/12,$I111/12),0),0)</f>
        <v>25083.333333333332</v>
      </c>
      <c r="Z111" s="89">
        <f t="shared" si="12"/>
        <v>25083.333333333332</v>
      </c>
      <c r="AA111" s="309">
        <f>IFERROR(IF(AA$54&gt;=EOMONTH($J111,-1)+1,IF(NOT(ISBLANK($N111)),$N111/12,$I111/12),0),0)</f>
        <v>25083.333333333332</v>
      </c>
      <c r="AB111" s="309">
        <f>IFERROR(IF(AB$54&gt;=EOMONTH($J111,-1)+1,IF(NOT(ISBLANK($N111)),$N111/12,$I111/12),0),0)</f>
        <v>25083.333333333332</v>
      </c>
      <c r="AC111" s="309">
        <f>IFERROR(IF(AC$54&gt;=EOMONTH($J111,-1)+1,IF(NOT(ISBLANK($N111)),$N111/12,$I111/12),0),0)</f>
        <v>25083.333333333332</v>
      </c>
      <c r="AD111" s="89">
        <f t="shared" si="13"/>
        <v>75250</v>
      </c>
      <c r="AE111" s="309">
        <f>IFERROR(IF(AE$54&gt;=EOMONTH($J111,-1)+1,IF(NOT(ISBLANK($N111)),$N111/12,$I111/12),0),0)</f>
        <v>25083.333333333332</v>
      </c>
      <c r="AF111" s="309">
        <f>IFERROR(IF(AF$54&gt;=EOMONTH($J111,-1)+1,IF(NOT(ISBLANK($N111)),$N111/12,$I111/12),0),0)</f>
        <v>25083.333333333332</v>
      </c>
      <c r="AG111" s="309">
        <f>IFERROR(IF(AG$54&gt;=EOMONTH($J111,-1)+1,IF(NOT(ISBLANK($N111)),$N111/12,$I111/12),0),0)</f>
        <v>25083.333333333332</v>
      </c>
      <c r="AH111" s="89">
        <f t="shared" si="14"/>
        <v>75250</v>
      </c>
      <c r="AI111" s="90">
        <f t="shared" ref="AI111:AI124" si="64">SUM(V111,Z111,AD111,AH111)</f>
        <v>175583.33333333331</v>
      </c>
      <c r="AJ111" s="98"/>
      <c r="AK111" s="1040"/>
      <c r="AL111" s="1048"/>
      <c r="AM111" s="1046">
        <f t="shared" ref="AM111" si="65">N111*AL111</f>
        <v>0</v>
      </c>
      <c r="AN111" s="62" t="str">
        <f>C111</f>
        <v>32 - Empilhadeiras Elétricas</v>
      </c>
      <c r="AO111" s="62" t="s">
        <v>289</v>
      </c>
      <c r="AP111" s="543" t="str" cm="1">
        <f t="array" aca="1" ref="AP111" ca="1">IF(OR(AN111="",AN111=0),"",IF(SUMPRODUCT(($C$55:$C$128=AN111)*(S$54:$AG$54&lt;EOMONTH(TODAY(),-1)+1)*(ISNUMBER(S$55:$AG$128)),S$55:$AG$128)=0,"",SUMPRODUCT(($C$55:$C$128=AN111)*(S$54:$AG$54&lt;EOMONTH(TODAY(),-1)+1)*(ISNUMBER(S$55:$AG$128)),S$55:$AG$128)))</f>
        <v/>
      </c>
    </row>
    <row r="112" spans="1:42" ht="29.1" customHeight="1" x14ac:dyDescent="0.3">
      <c r="A112" s="1039"/>
      <c r="B112" s="1300"/>
      <c r="C112" s="1096"/>
      <c r="D112" s="1098"/>
      <c r="E112" s="1364"/>
      <c r="F112" s="1100"/>
      <c r="G112" s="1151"/>
      <c r="H112" s="1151"/>
      <c r="I112" s="1151"/>
      <c r="J112" s="1110"/>
      <c r="K112" s="1214"/>
      <c r="L112" s="1075"/>
      <c r="M112" s="1451"/>
      <c r="N112" s="1417"/>
      <c r="O112" s="1058"/>
      <c r="P112" s="1058"/>
      <c r="Q112" s="87" t="s">
        <v>107</v>
      </c>
      <c r="R112" s="91"/>
      <c r="S112" s="309" t="s">
        <v>390</v>
      </c>
      <c r="T112" s="309" t="s">
        <v>390</v>
      </c>
      <c r="U112" s="309" t="s">
        <v>390</v>
      </c>
      <c r="V112" s="89">
        <f t="shared" si="11"/>
        <v>0</v>
      </c>
      <c r="W112" s="309" t="s">
        <v>390</v>
      </c>
      <c r="X112" s="309" t="s">
        <v>390</v>
      </c>
      <c r="Y112" s="309" t="s">
        <v>390</v>
      </c>
      <c r="Z112" s="89">
        <f t="shared" si="12"/>
        <v>0</v>
      </c>
      <c r="AA112" s="309" t="s">
        <v>390</v>
      </c>
      <c r="AB112" s="309" t="s">
        <v>390</v>
      </c>
      <c r="AC112" s="309" t="s">
        <v>390</v>
      </c>
      <c r="AD112" s="89">
        <f t="shared" si="13"/>
        <v>0</v>
      </c>
      <c r="AE112" s="309" t="s">
        <v>390</v>
      </c>
      <c r="AF112" s="309" t="s">
        <v>390</v>
      </c>
      <c r="AG112" s="309" t="s">
        <v>390</v>
      </c>
      <c r="AH112" s="89">
        <f t="shared" si="14"/>
        <v>0</v>
      </c>
      <c r="AI112" s="311">
        <f t="shared" si="64"/>
        <v>0</v>
      </c>
      <c r="AJ112" s="360"/>
      <c r="AK112" s="1041"/>
      <c r="AL112" s="1049"/>
      <c r="AM112" s="1047"/>
      <c r="AN112" s="62" t="str">
        <f>C111</f>
        <v>32 - Empilhadeiras Elétricas</v>
      </c>
      <c r="AO112" s="62" t="s">
        <v>291</v>
      </c>
      <c r="AP112" s="543" t="str" cm="1">
        <f t="array" aca="1" ref="AP112" ca="1">IF(OR(AN112="",AN112=0),"",IF(SUMPRODUCT(($C$55:$C$143=AN112)*($S$54:AG$54&lt;=TODAY())*(ISNUMBER($S$56:AG$144)),$S$56:AG$144)=0,"",SUMPRODUCT(($C$55:$C$143=AN112)*($S$54:AG$54&lt;=TODAY())*(ISNUMBER($S$56:AG$144)),$S$56:AG$144)))</f>
        <v/>
      </c>
    </row>
    <row r="113" spans="1:42" ht="29.1" customHeight="1" x14ac:dyDescent="0.3">
      <c r="A113" s="1036" t="s">
        <v>310</v>
      </c>
      <c r="B113" s="1038" t="s">
        <v>91</v>
      </c>
      <c r="C113" s="1113" t="s">
        <v>1021</v>
      </c>
      <c r="D113" s="1115" t="s">
        <v>1014</v>
      </c>
      <c r="E113" s="1303" t="s">
        <v>1022</v>
      </c>
      <c r="F113" s="1040" t="s">
        <v>1016</v>
      </c>
      <c r="G113" s="1117">
        <v>46113</v>
      </c>
      <c r="H113" s="1117">
        <v>46174</v>
      </c>
      <c r="I113" s="1074">
        <v>2500</v>
      </c>
      <c r="J113" s="1158"/>
      <c r="K113" s="1121" t="str">
        <f t="shared" ref="K113" si="66">IF(J113="", "", 12 - MONTH(J113) + 1)</f>
        <v/>
      </c>
      <c r="L113" s="1076"/>
      <c r="M113" s="1320"/>
      <c r="N113" s="1449"/>
      <c r="O113" s="1042" t="s">
        <v>80</v>
      </c>
      <c r="P113" s="1042"/>
      <c r="Q113" s="93" t="s">
        <v>106</v>
      </c>
      <c r="R113" s="96">
        <f ca="1">IF(OR(G113="", H113=""), "", IF(TODAY()&lt;G113, 0, IF(TODAY()&gt;H113, 1, (TODAY()-G113+1)/(H113-G113+1))))</f>
        <v>1</v>
      </c>
      <c r="S113" s="533">
        <f>IFERROR(IF(S$54&gt;=EOMONTH($J113,-1)+1,IF(NOT(ISBLANK($N113)),$N113/12,$I113/12),0),0)</f>
        <v>0</v>
      </c>
      <c r="T113" s="533">
        <f>IFERROR(IF(T$54&gt;=EOMONTH($J113,-1)+1,IF(NOT(ISBLANK($N113)),$N113/12,$I113/12),0),0)</f>
        <v>0</v>
      </c>
      <c r="U113" s="533">
        <f>IFERROR(IF(U$54&gt;=EOMONTH($J113,-1)+1,IF(NOT(ISBLANK($N113)),$N113/12,$I113/12),0),0)</f>
        <v>0</v>
      </c>
      <c r="V113" s="89">
        <f t="shared" si="11"/>
        <v>0</v>
      </c>
      <c r="W113" s="533">
        <f>IFERROR(IF(W$54&gt;=EOMONTH($J113,-1)+1,IF(NOT(ISBLANK($N113)),$N113/12,$I113/12),0),0)</f>
        <v>0</v>
      </c>
      <c r="X113" s="533">
        <f>IFERROR(IF(X$54&gt;=EOMONTH($J113,-1)+1,IF(NOT(ISBLANK($N113)),$N113/12,$I113/12),0),0)</f>
        <v>0</v>
      </c>
      <c r="Y113" s="533">
        <f>IFERROR(IF(Y$54&gt;=EOMONTH($J113,-1)+1,IF(NOT(ISBLANK($N113)),$N113/12,$I113/12),0),0)</f>
        <v>0</v>
      </c>
      <c r="Z113" s="89">
        <f t="shared" si="12"/>
        <v>0</v>
      </c>
      <c r="AA113" s="533">
        <f>IFERROR(IF(AA$54&gt;=EOMONTH($J113,-1)+1,IF(NOT(ISBLANK($N113)),$N113/12,$I113/12),0),0)</f>
        <v>0</v>
      </c>
      <c r="AB113" s="533">
        <f>IFERROR(IF(AB$54&gt;=EOMONTH($J113,-1)+1,IF(NOT(ISBLANK($N113)),$N113/12,$I113/12),0),0)</f>
        <v>0</v>
      </c>
      <c r="AC113" s="533">
        <f>IFERROR(IF(AC$54&gt;=EOMONTH($J113,-1)+1,IF(NOT(ISBLANK($N113)),$N113/12,$I113/12),0),0)</f>
        <v>0</v>
      </c>
      <c r="AD113" s="89">
        <f t="shared" si="13"/>
        <v>0</v>
      </c>
      <c r="AE113" s="533">
        <f>IFERROR(IF(AE$54&gt;=EOMONTH($J113,-1)+1,IF(NOT(ISBLANK($N113)),$N113/12,$I113/12),0),0)</f>
        <v>0</v>
      </c>
      <c r="AF113" s="533">
        <f>IFERROR(IF(AF$54&gt;=EOMONTH($J113,-1)+1,IF(NOT(ISBLANK($N113)),$N113/12,$I113/12),0),0)</f>
        <v>0</v>
      </c>
      <c r="AG113" s="533">
        <f>IFERROR(IF(AG$54&gt;=EOMONTH($J113,-1)+1,IF(NOT(ISBLANK($N113)),$N113/12,$I113/12),0),0)</f>
        <v>0</v>
      </c>
      <c r="AH113" s="89">
        <f t="shared" si="14"/>
        <v>0</v>
      </c>
      <c r="AI113" s="95">
        <f t="shared" si="64"/>
        <v>0</v>
      </c>
      <c r="AJ113" s="97"/>
      <c r="AK113" s="1038"/>
      <c r="AL113" s="1042"/>
      <c r="AM113" s="1044">
        <f t="shared" ref="AM113" si="67">N113*AL113</f>
        <v>0</v>
      </c>
      <c r="AN113" s="62" t="str">
        <f>C113</f>
        <v>33- Rollout impressora Administrativo</v>
      </c>
      <c r="AO113" s="62" t="s">
        <v>289</v>
      </c>
      <c r="AP113" s="543" t="str" cm="1">
        <f t="array" aca="1" ref="AP113" ca="1">IF(OR(AN113="",AN113=0),"",IF(SUMPRODUCT(($C$55:$C$128=AN113)*(S$54:$AG$54&lt;EOMONTH(TODAY(),-1)+1)*(ISNUMBER(S$55:$AG$128)),S$55:$AG$128)=0,"",SUMPRODUCT(($C$55:$C$128=AN113)*(S$54:$AG$54&lt;EOMONTH(TODAY(),-1)+1)*(ISNUMBER(S$55:$AG$128)),S$55:$AG$128)))</f>
        <v/>
      </c>
    </row>
    <row r="114" spans="1:42" ht="29.1" customHeight="1" x14ac:dyDescent="0.3">
      <c r="A114" s="1037"/>
      <c r="B114" s="1039"/>
      <c r="C114" s="1114"/>
      <c r="D114" s="1116"/>
      <c r="E114" s="1304"/>
      <c r="F114" s="1041"/>
      <c r="G114" s="1118"/>
      <c r="H114" s="1118"/>
      <c r="I114" s="1075"/>
      <c r="J114" s="1159"/>
      <c r="K114" s="1122"/>
      <c r="L114" s="1077"/>
      <c r="M114" s="1321"/>
      <c r="N114" s="1450"/>
      <c r="O114" s="1043"/>
      <c r="P114" s="1043"/>
      <c r="Q114" s="93" t="s">
        <v>107</v>
      </c>
      <c r="R114" s="96">
        <v>0.44</v>
      </c>
      <c r="S114" s="312" t="s">
        <v>390</v>
      </c>
      <c r="T114" s="312" t="s">
        <v>390</v>
      </c>
      <c r="U114" s="312" t="s">
        <v>390</v>
      </c>
      <c r="V114" s="89">
        <f t="shared" si="11"/>
        <v>0</v>
      </c>
      <c r="W114" s="312" t="s">
        <v>390</v>
      </c>
      <c r="X114" s="312" t="s">
        <v>390</v>
      </c>
      <c r="Y114" s="312" t="s">
        <v>390</v>
      </c>
      <c r="Z114" s="89">
        <f t="shared" si="12"/>
        <v>0</v>
      </c>
      <c r="AA114" s="312" t="s">
        <v>390</v>
      </c>
      <c r="AB114" s="312" t="s">
        <v>390</v>
      </c>
      <c r="AC114" s="312" t="s">
        <v>390</v>
      </c>
      <c r="AD114" s="89">
        <f t="shared" si="13"/>
        <v>0</v>
      </c>
      <c r="AE114" s="312" t="s">
        <v>390</v>
      </c>
      <c r="AF114" s="312" t="s">
        <v>390</v>
      </c>
      <c r="AG114" s="312" t="s">
        <v>390</v>
      </c>
      <c r="AH114" s="89">
        <f t="shared" si="14"/>
        <v>0</v>
      </c>
      <c r="AI114" s="313">
        <f t="shared" si="64"/>
        <v>0</v>
      </c>
      <c r="AJ114" s="97"/>
      <c r="AK114" s="1039"/>
      <c r="AL114" s="1043"/>
      <c r="AM114" s="1045"/>
      <c r="AN114" s="62" t="str">
        <f>C113</f>
        <v>33- Rollout impressora Administrativo</v>
      </c>
      <c r="AO114" s="62" t="s">
        <v>291</v>
      </c>
      <c r="AP114" s="543" t="str" cm="1">
        <f t="array" aca="1" ref="AP114" ca="1">IF(OR(AN114="",AN114=0),"",IF(SUMPRODUCT(($C$55:$C$143=AN114)*($S$54:AG$54&lt;=TODAY())*(ISNUMBER($S$56:AG$144)),$S$56:AG$144)=0,"",SUMPRODUCT(($C$55:$C$143=AN114)*($S$54:AG$54&lt;=TODAY())*(ISNUMBER($S$56:AG$144)),$S$56:AG$144)))</f>
        <v/>
      </c>
    </row>
    <row r="115" spans="1:42" ht="29.1" customHeight="1" x14ac:dyDescent="0.3">
      <c r="A115" s="1038" t="s">
        <v>76</v>
      </c>
      <c r="B115" s="1299" t="s">
        <v>91</v>
      </c>
      <c r="C115" s="1095" t="s">
        <v>1023</v>
      </c>
      <c r="D115" s="1097" t="s">
        <v>1024</v>
      </c>
      <c r="E115" s="1363" t="s">
        <v>1025</v>
      </c>
      <c r="F115" s="1099" t="s">
        <v>1020</v>
      </c>
      <c r="G115" s="1150">
        <v>46023</v>
      </c>
      <c r="H115" s="1150">
        <v>46388</v>
      </c>
      <c r="I115" s="1152"/>
      <c r="J115" s="1109">
        <v>46023</v>
      </c>
      <c r="K115" s="1213">
        <v>12</v>
      </c>
      <c r="L115" s="1074"/>
      <c r="M115" s="1452"/>
      <c r="N115" s="1487">
        <v>0</v>
      </c>
      <c r="O115" s="1057" t="s">
        <v>80</v>
      </c>
      <c r="P115" s="1057"/>
      <c r="Q115" s="87" t="s">
        <v>106</v>
      </c>
      <c r="R115" s="91">
        <f>AVERAGE([17]Estrutura!$I$5:$I$9)</f>
        <v>1</v>
      </c>
      <c r="S115" s="309">
        <f>IFERROR(IF(S$54&gt;=EOMONTH($J115,-1)+1,IF(NOT(ISBLANK($N115)),$N115/12,$I115/12),0),0)</f>
        <v>0</v>
      </c>
      <c r="T115" s="309">
        <f>IFERROR(IF(T$54&gt;=EOMONTH($J115,-1)+1,IF(NOT(ISBLANK($N115)),$N115/12,$I115/12),0),0)</f>
        <v>0</v>
      </c>
      <c r="U115" s="309">
        <f>IFERROR(IF(U$54&gt;=EOMONTH($J115,-1)+1,IF(NOT(ISBLANK($N115)),$N115/12,$I115/12),0),0)</f>
        <v>0</v>
      </c>
      <c r="V115" s="89">
        <f t="shared" si="11"/>
        <v>0</v>
      </c>
      <c r="W115" s="309">
        <f>IFERROR(IF(W$54&gt;=EOMONTH($J115,-1)+1,IF(NOT(ISBLANK($N115)),$N115/12,$I115/12),0),0)</f>
        <v>0</v>
      </c>
      <c r="X115" s="309">
        <f>IFERROR(IF(X$54&gt;=EOMONTH($J115,-1)+1,IF(NOT(ISBLANK($N115)),$N115/12,$I115/12),0),0)</f>
        <v>0</v>
      </c>
      <c r="Y115" s="309">
        <f>IFERROR(IF(Y$54&gt;=EOMONTH($J115,-1)+1,IF(NOT(ISBLANK($N115)),$N115/12,$I115/12),0),0)</f>
        <v>0</v>
      </c>
      <c r="Z115" s="89">
        <f t="shared" si="12"/>
        <v>0</v>
      </c>
      <c r="AA115" s="309">
        <f>IFERROR(IF(AA$54&gt;=EOMONTH($J115,-1)+1,IF(NOT(ISBLANK($N115)),$N115/12,$I115/12),0),0)</f>
        <v>0</v>
      </c>
      <c r="AB115" s="309">
        <f>IFERROR(IF(AB$54&gt;=EOMONTH($J115,-1)+1,IF(NOT(ISBLANK($N115)),$N115/12,$I115/12),0),0)</f>
        <v>0</v>
      </c>
      <c r="AC115" s="309">
        <f>IFERROR(IF(AC$54&gt;=EOMONTH($J115,-1)+1,IF(NOT(ISBLANK($N115)),$N115/12,$I115/12),0),0)</f>
        <v>0</v>
      </c>
      <c r="AD115" s="89">
        <f t="shared" si="13"/>
        <v>0</v>
      </c>
      <c r="AE115" s="309">
        <f>IFERROR(IF(AE$54&gt;=EOMONTH($J115,-1)+1,IF(NOT(ISBLANK($N115)),$N115/12,$I115/12),0),0)</f>
        <v>0</v>
      </c>
      <c r="AF115" s="309">
        <f>IFERROR(IF(AF$54&gt;=EOMONTH($J115,-1)+1,IF(NOT(ISBLANK($N115)),$N115/12,$I115/12),0),0)</f>
        <v>0</v>
      </c>
      <c r="AG115" s="309">
        <f>IFERROR(IF(AG$54&gt;=EOMONTH($J115,-1)+1,IF(NOT(ISBLANK($N115)),$N115/12,$I115/12),0),0)</f>
        <v>0</v>
      </c>
      <c r="AH115" s="89">
        <f t="shared" si="14"/>
        <v>0</v>
      </c>
      <c r="AI115" s="90">
        <f t="shared" si="64"/>
        <v>0</v>
      </c>
      <c r="AJ115" s="98"/>
      <c r="AK115" s="1040"/>
      <c r="AL115" s="1048"/>
      <c r="AM115" s="1046">
        <f t="shared" ref="AM115" si="68">N115*AL115</f>
        <v>0</v>
      </c>
      <c r="AN115" s="62" t="str">
        <f>C115</f>
        <v>34 - Iluminação em LED</v>
      </c>
      <c r="AO115" s="62" t="s">
        <v>289</v>
      </c>
      <c r="AP115" s="543" t="str" cm="1">
        <f t="array" aca="1" ref="AP115" ca="1">IF(OR(AN115="",AN115=0),"",IF(SUMPRODUCT(($C$55:$C$128=AN115)*(S$54:$AG$54&lt;EOMONTH(TODAY(),-1)+1)*(ISNUMBER(S$55:$AG$128)),S$55:$AG$128)=0,"",SUMPRODUCT(($C$55:$C$128=AN115)*(S$54:$AG$54&lt;EOMONTH(TODAY(),-1)+1)*(ISNUMBER(S$55:$AG$128)),S$55:$AG$128)))</f>
        <v/>
      </c>
    </row>
    <row r="116" spans="1:42" ht="29.1" customHeight="1" x14ac:dyDescent="0.3">
      <c r="A116" s="1039"/>
      <c r="B116" s="1300"/>
      <c r="C116" s="1096"/>
      <c r="D116" s="1098"/>
      <c r="E116" s="1364"/>
      <c r="F116" s="1100"/>
      <c r="G116" s="1151"/>
      <c r="H116" s="1151"/>
      <c r="I116" s="1151"/>
      <c r="J116" s="1110"/>
      <c r="K116" s="1214"/>
      <c r="L116" s="1075"/>
      <c r="M116" s="1453"/>
      <c r="N116" s="1347"/>
      <c r="O116" s="1058"/>
      <c r="P116" s="1058"/>
      <c r="Q116" s="87" t="s">
        <v>107</v>
      </c>
      <c r="R116" s="91">
        <f>AVERAGE([17]Estrutura!$J$5:$J$9)</f>
        <v>1</v>
      </c>
      <c r="S116" s="309" t="s">
        <v>390</v>
      </c>
      <c r="T116" s="309" t="s">
        <v>390</v>
      </c>
      <c r="U116" s="309" t="s">
        <v>390</v>
      </c>
      <c r="V116" s="89">
        <f t="shared" si="11"/>
        <v>0</v>
      </c>
      <c r="W116" s="309" t="s">
        <v>390</v>
      </c>
      <c r="X116" s="309" t="s">
        <v>390</v>
      </c>
      <c r="Y116" s="309" t="s">
        <v>390</v>
      </c>
      <c r="Z116" s="89">
        <f t="shared" si="12"/>
        <v>0</v>
      </c>
      <c r="AA116" s="309" t="s">
        <v>390</v>
      </c>
      <c r="AB116" s="309" t="s">
        <v>390</v>
      </c>
      <c r="AC116" s="309" t="s">
        <v>390</v>
      </c>
      <c r="AD116" s="89">
        <f t="shared" si="13"/>
        <v>0</v>
      </c>
      <c r="AE116" s="309" t="s">
        <v>390</v>
      </c>
      <c r="AF116" s="309" t="s">
        <v>390</v>
      </c>
      <c r="AG116" s="309" t="s">
        <v>390</v>
      </c>
      <c r="AH116" s="89">
        <f t="shared" si="14"/>
        <v>0</v>
      </c>
      <c r="AI116" s="311">
        <f t="shared" si="64"/>
        <v>0</v>
      </c>
      <c r="AJ116" s="360"/>
      <c r="AK116" s="1041"/>
      <c r="AL116" s="1049"/>
      <c r="AM116" s="1047"/>
      <c r="AN116" s="62" t="str">
        <f>C115</f>
        <v>34 - Iluminação em LED</v>
      </c>
      <c r="AO116" s="62" t="s">
        <v>291</v>
      </c>
      <c r="AP116" s="543" t="str" cm="1">
        <f t="array" aca="1" ref="AP116" ca="1">IF(OR(AN116="",AN116=0),"",IF(SUMPRODUCT(($C$55:$C$143=AN116)*($S$54:AG$54&lt;=TODAY())*(ISNUMBER($S$56:AG$144)),$S$56:AG$144)=0,"",SUMPRODUCT(($C$55:$C$143=AN116)*($S$54:AG$54&lt;=TODAY())*(ISNUMBER($S$56:AG$144)),$S$56:AG$144)))</f>
        <v/>
      </c>
    </row>
    <row r="117" spans="1:42" ht="29.1" customHeight="1" x14ac:dyDescent="0.3">
      <c r="A117" s="1036" t="s">
        <v>310</v>
      </c>
      <c r="B117" s="1038" t="s">
        <v>91</v>
      </c>
      <c r="C117" s="1113" t="s">
        <v>1026</v>
      </c>
      <c r="D117" s="1115"/>
      <c r="E117" s="1303"/>
      <c r="F117" s="1040" t="s">
        <v>928</v>
      </c>
      <c r="G117" s="1117"/>
      <c r="H117" s="1117"/>
      <c r="I117" s="1074"/>
      <c r="J117" s="1158"/>
      <c r="K117" s="1121" t="str">
        <f t="shared" ref="K117" si="69">IF(J117="", "", 12 - MONTH(J117) + 1)</f>
        <v/>
      </c>
      <c r="L117" s="1076"/>
      <c r="M117" s="1072"/>
      <c r="N117" s="1055"/>
      <c r="O117" s="1042" t="s">
        <v>80</v>
      </c>
      <c r="P117" s="1042"/>
      <c r="Q117" s="93" t="s">
        <v>106</v>
      </c>
      <c r="R117" s="96" t="str">
        <f ca="1">IF(OR(G117="", H117=""), "", IF(TODAY()&lt;G117, 0, IF(TODAY()&gt;H117, 1, (TODAY()-G117+1)/(H117-G117+1))))</f>
        <v/>
      </c>
      <c r="S117" s="533">
        <f>IFERROR(IF(S$54&gt;=EOMONTH($J117,-1)+1,IF(NOT(ISBLANK($N117)),$N117/12,$I117/12),0),0)</f>
        <v>0</v>
      </c>
      <c r="T117" s="533">
        <f>IFERROR(IF(T$54&gt;=EOMONTH($J117,-1)+1,IF(NOT(ISBLANK($N117)),$N117/12,$I117/12),0),0)</f>
        <v>0</v>
      </c>
      <c r="U117" s="533">
        <f>IFERROR(IF(U$54&gt;=EOMONTH($J117,-1)+1,IF(NOT(ISBLANK($N117)),$N117/12,$I117/12),0),0)</f>
        <v>0</v>
      </c>
      <c r="V117" s="89">
        <f t="shared" si="11"/>
        <v>0</v>
      </c>
      <c r="W117" s="533">
        <f>IFERROR(IF(W$54&gt;=EOMONTH($J117,-1)+1,IF(NOT(ISBLANK($N117)),$N117/12,$I117/12),0),0)</f>
        <v>0</v>
      </c>
      <c r="X117" s="533">
        <f>IFERROR(IF(X$54&gt;=EOMONTH($J117,-1)+1,IF(NOT(ISBLANK($N117)),$N117/12,$I117/12),0),0)</f>
        <v>0</v>
      </c>
      <c r="Y117" s="533">
        <f>IFERROR(IF(Y$54&gt;=EOMONTH($J117,-1)+1,IF(NOT(ISBLANK($N117)),$N117/12,$I117/12),0),0)</f>
        <v>0</v>
      </c>
      <c r="Z117" s="89">
        <f t="shared" si="12"/>
        <v>0</v>
      </c>
      <c r="AA117" s="533">
        <f>IFERROR(IF(AA$54&gt;=EOMONTH($J117,-1)+1,IF(NOT(ISBLANK($N117)),$N117/12,$I117/12),0),0)</f>
        <v>0</v>
      </c>
      <c r="AB117" s="533">
        <f>IFERROR(IF(AB$54&gt;=EOMONTH($J117,-1)+1,IF(NOT(ISBLANK($N117)),$N117/12,$I117/12),0),0)</f>
        <v>0</v>
      </c>
      <c r="AC117" s="533">
        <f>IFERROR(IF(AC$54&gt;=EOMONTH($J117,-1)+1,IF(NOT(ISBLANK($N117)),$N117/12,$I117/12),0),0)</f>
        <v>0</v>
      </c>
      <c r="AD117" s="89">
        <f t="shared" si="13"/>
        <v>0</v>
      </c>
      <c r="AE117" s="533">
        <f>IFERROR(IF(AE$54&gt;=EOMONTH($J117,-1)+1,IF(NOT(ISBLANK($N117)),$N117/12,$I117/12),0),0)</f>
        <v>0</v>
      </c>
      <c r="AF117" s="533">
        <f>IFERROR(IF(AF$54&gt;=EOMONTH($J117,-1)+1,IF(NOT(ISBLANK($N117)),$N117/12,$I117/12),0),0)</f>
        <v>0</v>
      </c>
      <c r="AG117" s="533">
        <f>IFERROR(IF(AG$54&gt;=EOMONTH($J117,-1)+1,IF(NOT(ISBLANK($N117)),$N117/12,$I117/12),0),0)</f>
        <v>0</v>
      </c>
      <c r="AH117" s="89">
        <f t="shared" si="14"/>
        <v>0</v>
      </c>
      <c r="AI117" s="95">
        <f t="shared" si="64"/>
        <v>0</v>
      </c>
      <c r="AJ117" s="97"/>
      <c r="AK117" s="1038"/>
      <c r="AL117" s="1042"/>
      <c r="AM117" s="1044">
        <f t="shared" ref="AM117" si="70">N117*AL117</f>
        <v>0</v>
      </c>
      <c r="AN117" s="62" t="str">
        <f>C117</f>
        <v>35 - Redução do consumo MTP no passo do Blank VW000942AA -15MM</v>
      </c>
      <c r="AO117" s="62" t="s">
        <v>289</v>
      </c>
      <c r="AP117" s="543" t="str" cm="1">
        <f t="array" aca="1" ref="AP117" ca="1">IF(OR(AN117="",AN117=0),"",IF(SUMPRODUCT(($C$55:$C$128=AN117)*(S$54:$AG$54&lt;EOMONTH(TODAY(),-1)+1)*(ISNUMBER(S$55:$AG$128)),S$55:$AG$128)=0,"",SUMPRODUCT(($C$55:$C$128=AN117)*(S$54:$AG$54&lt;EOMONTH(TODAY(),-1)+1)*(ISNUMBER(S$55:$AG$128)),S$55:$AG$128)))</f>
        <v/>
      </c>
    </row>
    <row r="118" spans="1:42" ht="29.1" customHeight="1" x14ac:dyDescent="0.3">
      <c r="A118" s="1037"/>
      <c r="B118" s="1039"/>
      <c r="C118" s="1114"/>
      <c r="D118" s="1116"/>
      <c r="E118" s="1304"/>
      <c r="F118" s="1041"/>
      <c r="G118" s="1118"/>
      <c r="H118" s="1118"/>
      <c r="I118" s="1075"/>
      <c r="J118" s="1159"/>
      <c r="K118" s="1122"/>
      <c r="L118" s="1077"/>
      <c r="M118" s="1073"/>
      <c r="N118" s="1056"/>
      <c r="O118" s="1043"/>
      <c r="P118" s="1043"/>
      <c r="Q118" s="93" t="s">
        <v>107</v>
      </c>
      <c r="R118" s="96"/>
      <c r="S118" s="312" t="s">
        <v>390</v>
      </c>
      <c r="T118" s="312" t="s">
        <v>390</v>
      </c>
      <c r="U118" s="312" t="s">
        <v>390</v>
      </c>
      <c r="V118" s="89">
        <f t="shared" si="11"/>
        <v>0</v>
      </c>
      <c r="W118" s="312" t="s">
        <v>390</v>
      </c>
      <c r="X118" s="312" t="s">
        <v>390</v>
      </c>
      <c r="Y118" s="312" t="s">
        <v>390</v>
      </c>
      <c r="Z118" s="89">
        <f t="shared" si="12"/>
        <v>0</v>
      </c>
      <c r="AA118" s="312" t="s">
        <v>390</v>
      </c>
      <c r="AB118" s="312" t="s">
        <v>390</v>
      </c>
      <c r="AC118" s="312" t="s">
        <v>390</v>
      </c>
      <c r="AD118" s="89">
        <f t="shared" si="13"/>
        <v>0</v>
      </c>
      <c r="AE118" s="312" t="s">
        <v>390</v>
      </c>
      <c r="AF118" s="312" t="s">
        <v>390</v>
      </c>
      <c r="AG118" s="312" t="s">
        <v>390</v>
      </c>
      <c r="AH118" s="89">
        <f t="shared" si="14"/>
        <v>0</v>
      </c>
      <c r="AI118" s="313">
        <f t="shared" si="64"/>
        <v>0</v>
      </c>
      <c r="AJ118" s="97"/>
      <c r="AK118" s="1039"/>
      <c r="AL118" s="1043"/>
      <c r="AM118" s="1045"/>
      <c r="AN118" s="62" t="str">
        <f>C117</f>
        <v>35 - Redução do consumo MTP no passo do Blank VW000942AA -15MM</v>
      </c>
      <c r="AO118" s="62" t="s">
        <v>291</v>
      </c>
      <c r="AP118" s="543" t="str" cm="1">
        <f t="array" aca="1" ref="AP118" ca="1">IF(OR(AN118="",AN118=0),"",IF(SUMPRODUCT(($C$55:$C$143=AN118)*($S$54:AG$54&lt;=TODAY())*(ISNUMBER($S$56:AG$144)),$S$56:AG$144)=0,"",SUMPRODUCT(($C$55:$C$143=AN118)*($S$54:AG$54&lt;=TODAY())*(ISNUMBER($S$56:AG$144)),$S$56:AG$144)))</f>
        <v/>
      </c>
    </row>
    <row r="119" spans="1:42" ht="29.1" customHeight="1" x14ac:dyDescent="0.3">
      <c r="A119" s="1038" t="s">
        <v>76</v>
      </c>
      <c r="B119" s="1299" t="s">
        <v>94</v>
      </c>
      <c r="C119" s="1095" t="s">
        <v>1027</v>
      </c>
      <c r="D119" s="1097" t="s">
        <v>1028</v>
      </c>
      <c r="E119" s="1363" t="s">
        <v>1029</v>
      </c>
      <c r="F119" s="1099" t="s">
        <v>998</v>
      </c>
      <c r="G119" s="1150">
        <v>46029</v>
      </c>
      <c r="H119" s="1150">
        <v>46029</v>
      </c>
      <c r="I119" s="1152">
        <v>390000.00300000003</v>
      </c>
      <c r="J119" s="1109">
        <v>46023</v>
      </c>
      <c r="K119" s="1213">
        <v>1</v>
      </c>
      <c r="L119" s="1074"/>
      <c r="M119" s="1119" t="s">
        <v>287</v>
      </c>
      <c r="N119" s="1053">
        <v>390000</v>
      </c>
      <c r="O119" s="1057" t="s">
        <v>77</v>
      </c>
      <c r="P119" s="1057"/>
      <c r="Q119" s="87" t="s">
        <v>106</v>
      </c>
      <c r="R119" s="91">
        <v>1</v>
      </c>
      <c r="S119" s="309">
        <f>I119</f>
        <v>390000.00300000003</v>
      </c>
      <c r="T119" s="309"/>
      <c r="U119" s="309"/>
      <c r="V119" s="89">
        <f>SUM(S119:U119)</f>
        <v>390000.00300000003</v>
      </c>
      <c r="W119" s="309"/>
      <c r="X119" s="309"/>
      <c r="Y119" s="309"/>
      <c r="Z119" s="89"/>
      <c r="AA119" s="309"/>
      <c r="AB119" s="309"/>
      <c r="AC119" s="309"/>
      <c r="AD119" s="89"/>
      <c r="AE119" s="309"/>
      <c r="AF119" s="309"/>
      <c r="AG119" s="309"/>
      <c r="AH119" s="89">
        <f>SUM(AE119:AG119)</f>
        <v>0</v>
      </c>
      <c r="AI119" s="95">
        <f>SUM(V119,Z119,AD119,AH119)</f>
        <v>390000.00300000003</v>
      </c>
      <c r="AJ119" s="98"/>
      <c r="AK119" s="1040"/>
      <c r="AL119" s="1048"/>
      <c r="AM119" s="1046">
        <f t="shared" ref="AM119" si="71">N119*AL119</f>
        <v>0</v>
      </c>
      <c r="AN119" s="62" t="str">
        <f>C119</f>
        <v>36 - Venda Robos</v>
      </c>
      <c r="AO119" s="62" t="s">
        <v>289</v>
      </c>
      <c r="AP119" s="543" cm="1">
        <f t="array" aca="1" ref="AP119" ca="1">IF(OR(AN119="",AN119=0),"",IF(SUMPRODUCT(($C$55:$C$128=AN119)*(S$54:$AG$54&lt;EOMONTH(TODAY(),-1)+1)*(ISNUMBER(S$55:$AG$128)),S$55:$AG$128)=0,"",SUMPRODUCT(($C$55:$C$128=AN119)*(S$54:$AG$54&lt;EOMONTH(TODAY(),-1)+1)*(ISNUMBER(S$55:$AG$128)),S$55:$AG$128)))</f>
        <v>390000.00300000003</v>
      </c>
    </row>
    <row r="120" spans="1:42" ht="29.1" customHeight="1" x14ac:dyDescent="0.3">
      <c r="A120" s="1039"/>
      <c r="B120" s="1300"/>
      <c r="C120" s="1096"/>
      <c r="D120" s="1098"/>
      <c r="E120" s="1364"/>
      <c r="F120" s="1100"/>
      <c r="G120" s="1151"/>
      <c r="H120" s="1151"/>
      <c r="I120" s="1151"/>
      <c r="J120" s="1110"/>
      <c r="K120" s="1214"/>
      <c r="L120" s="1075"/>
      <c r="M120" s="1120"/>
      <c r="N120" s="1054"/>
      <c r="O120" s="1058"/>
      <c r="P120" s="1058"/>
      <c r="Q120" s="87" t="s">
        <v>107</v>
      </c>
      <c r="R120" s="91">
        <v>1</v>
      </c>
      <c r="S120" s="880">
        <v>390000</v>
      </c>
      <c r="T120" s="309" t="s">
        <v>390</v>
      </c>
      <c r="U120" s="309" t="s">
        <v>390</v>
      </c>
      <c r="V120" s="89">
        <f t="shared" si="11"/>
        <v>390000</v>
      </c>
      <c r="W120" s="309" t="s">
        <v>390</v>
      </c>
      <c r="X120" s="309" t="s">
        <v>390</v>
      </c>
      <c r="Y120" s="309" t="s">
        <v>390</v>
      </c>
      <c r="Z120" s="89">
        <f t="shared" si="12"/>
        <v>0</v>
      </c>
      <c r="AA120" s="309" t="s">
        <v>390</v>
      </c>
      <c r="AB120" s="309" t="s">
        <v>390</v>
      </c>
      <c r="AC120" s="309" t="s">
        <v>390</v>
      </c>
      <c r="AD120" s="89">
        <f t="shared" si="13"/>
        <v>0</v>
      </c>
      <c r="AE120" s="309" t="s">
        <v>390</v>
      </c>
      <c r="AF120" s="309" t="s">
        <v>390</v>
      </c>
      <c r="AG120" s="309" t="s">
        <v>390</v>
      </c>
      <c r="AH120" s="89">
        <f t="shared" si="14"/>
        <v>0</v>
      </c>
      <c r="AI120" s="311">
        <f t="shared" si="64"/>
        <v>390000</v>
      </c>
      <c r="AJ120" s="360"/>
      <c r="AK120" s="1041"/>
      <c r="AL120" s="1049"/>
      <c r="AM120" s="1047"/>
      <c r="AN120" s="62" t="str">
        <f>C119</f>
        <v>36 - Venda Robos</v>
      </c>
      <c r="AO120" s="62" t="s">
        <v>291</v>
      </c>
      <c r="AP120" s="543" cm="1">
        <f t="array" aca="1" ref="AP120" ca="1">IF(OR(AN120="",AN120=0),"",IF(SUMPRODUCT(($C$55:$C$143=AN120)*($S$54:AG$54&lt;=TODAY())*(ISNUMBER($S$56:AG$144)),$S$56:AG$144)=0,"",SUMPRODUCT(($C$55:$C$143=AN120)*($S$54:AG$54&lt;=TODAY())*(ISNUMBER($S$56:AG$144)),$S$56:AG$144)))</f>
        <v>390000</v>
      </c>
    </row>
    <row r="121" spans="1:42" ht="29.1" customHeight="1" x14ac:dyDescent="0.3">
      <c r="A121" s="1036" t="s">
        <v>82</v>
      </c>
      <c r="B121" s="1038" t="s">
        <v>94</v>
      </c>
      <c r="C121" s="1113" t="s">
        <v>1030</v>
      </c>
      <c r="D121" s="1115"/>
      <c r="E121" s="1303" t="s">
        <v>1031</v>
      </c>
      <c r="F121" s="1040" t="s">
        <v>1020</v>
      </c>
      <c r="G121" s="1117">
        <v>46143</v>
      </c>
      <c r="H121" s="1117">
        <v>46174</v>
      </c>
      <c r="I121" s="1074"/>
      <c r="J121" s="1158"/>
      <c r="K121" s="1121" t="str">
        <f t="shared" ref="K121" si="72">IF(J121="", "", 12 - MONTH(J121) + 1)</f>
        <v/>
      </c>
      <c r="L121" s="1074"/>
      <c r="M121" s="1119"/>
      <c r="N121" s="1053"/>
      <c r="O121" s="1057" t="s">
        <v>83</v>
      </c>
      <c r="P121" s="1057"/>
      <c r="Q121" s="87" t="s">
        <v>106</v>
      </c>
      <c r="R121" s="91"/>
      <c r="S121" s="88">
        <f>IFERROR(IF(S$54&gt;=EOMONTH($J121,-1)+1,IF(NOT(ISBLANK($N121)),$N121/12,$I121/12),0),0)</f>
        <v>0</v>
      </c>
      <c r="T121" s="88">
        <f>IFERROR(IF(T$54&gt;=EOMONTH($J121,-1)+1,IF(NOT(ISBLANK($N121)),$N121/12,$I121/12),0),0)</f>
        <v>0</v>
      </c>
      <c r="U121" s="88">
        <f>IFERROR(IF(U$54&gt;=EOMONTH($J121,-1)+1,IF(NOT(ISBLANK($N121)),$N121/12,$I121/12),0),0)</f>
        <v>0</v>
      </c>
      <c r="V121" s="89">
        <f t="shared" si="11"/>
        <v>0</v>
      </c>
      <c r="W121" s="88">
        <f>IFERROR(IF(W$54&gt;=EOMONTH($J121,-1)+1,IF(NOT(ISBLANK($N121)),$N121/12,$I121/12),0),0)</f>
        <v>0</v>
      </c>
      <c r="X121" s="88">
        <f>IFERROR(IF(X$54&gt;=EOMONTH($J121,-1)+1,IF(NOT(ISBLANK($N121)),$N121/12,$I121/12),0),0)</f>
        <v>0</v>
      </c>
      <c r="Y121" s="88">
        <f>IFERROR(IF(Y$54&gt;=EOMONTH($J121,-1)+1,IF(NOT(ISBLANK($N121)),$N121/12,$I121/12),0),0)</f>
        <v>0</v>
      </c>
      <c r="Z121" s="89">
        <f t="shared" si="12"/>
        <v>0</v>
      </c>
      <c r="AA121" s="88">
        <f>IFERROR(IF(AA$54&gt;=EOMONTH($J121,-1)+1,IF(NOT(ISBLANK($N121)),$N121/12,$I121/12),0),0)</f>
        <v>0</v>
      </c>
      <c r="AB121" s="88">
        <f>IFERROR(IF(AB$54&gt;=EOMONTH($J121,-1)+1,IF(NOT(ISBLANK($N121)),$N121/12,$I121/12),0),0)</f>
        <v>0</v>
      </c>
      <c r="AC121" s="88">
        <f>IFERROR(IF(AC$54&gt;=EOMONTH($J121,-1)+1,IF(NOT(ISBLANK($N121)),$N121/12,$I121/12),0),0)</f>
        <v>0</v>
      </c>
      <c r="AD121" s="89">
        <f t="shared" si="13"/>
        <v>0</v>
      </c>
      <c r="AE121" s="88">
        <f>IFERROR(IF(AE$54&gt;=EOMONTH($J121,-1)+1,IF(NOT(ISBLANK($N121)),$N121/12,$I121/12),0),0)</f>
        <v>0</v>
      </c>
      <c r="AF121" s="88">
        <f>IFERROR(IF(AF$54&gt;=EOMONTH($J121,-1)+1,IF(NOT(ISBLANK($N121)),$N121/12,$I121/12),0),0)</f>
        <v>0</v>
      </c>
      <c r="AG121" s="88">
        <f>IFERROR(IF(AG$54&gt;=EOMONTH($J121,-1)+1,IF(NOT(ISBLANK($N121)),$N121/12,$I121/12),0),0)</f>
        <v>0</v>
      </c>
      <c r="AH121" s="89">
        <f t="shared" si="14"/>
        <v>0</v>
      </c>
      <c r="AI121" s="90">
        <f t="shared" si="64"/>
        <v>0</v>
      </c>
      <c r="AJ121" s="98"/>
      <c r="AK121" s="1040"/>
      <c r="AL121" s="1048"/>
      <c r="AM121" s="1046">
        <f t="shared" ref="AM121" si="73">N121*AL121</f>
        <v>0</v>
      </c>
      <c r="AN121" s="62" t="str">
        <f>C121</f>
        <v>38 - Venda de ATIVOS</v>
      </c>
      <c r="AO121" s="62" t="s">
        <v>289</v>
      </c>
      <c r="AP121" s="543" t="str" cm="1">
        <f t="array" aca="1" ref="AP121" ca="1">IF(OR(AN121="",AN121=0),"",IF(SUMPRODUCT(($C$55:$C$128=AN121)*(S$54:$AG$54&lt;EOMONTH(TODAY(),-1)+1)*(ISNUMBER(S$55:$AG$128)),S$55:$AG$128)=0,"",SUMPRODUCT(($C$55:$C$128=AN121)*(S$54:$AG$54&lt;EOMONTH(TODAY(),-1)+1)*(ISNUMBER(S$55:$AG$128)),S$55:$AG$128)))</f>
        <v/>
      </c>
    </row>
    <row r="122" spans="1:42" ht="29.1" customHeight="1" x14ac:dyDescent="0.3">
      <c r="A122" s="1037"/>
      <c r="B122" s="1039"/>
      <c r="C122" s="1114"/>
      <c r="D122" s="1116"/>
      <c r="E122" s="1304"/>
      <c r="F122" s="1041"/>
      <c r="G122" s="1118"/>
      <c r="H122" s="1118"/>
      <c r="I122" s="1075"/>
      <c r="J122" s="1159"/>
      <c r="K122" s="1122"/>
      <c r="L122" s="1075"/>
      <c r="M122" s="1120"/>
      <c r="N122" s="1054"/>
      <c r="O122" s="1058"/>
      <c r="P122" s="1058"/>
      <c r="Q122" s="87" t="s">
        <v>107</v>
      </c>
      <c r="R122" s="91"/>
      <c r="S122" s="309" t="s">
        <v>390</v>
      </c>
      <c r="T122" s="309" t="s">
        <v>390</v>
      </c>
      <c r="U122" s="309" t="s">
        <v>390</v>
      </c>
      <c r="V122" s="89">
        <f t="shared" si="11"/>
        <v>0</v>
      </c>
      <c r="W122" s="309" t="s">
        <v>390</v>
      </c>
      <c r="X122" s="309" t="s">
        <v>390</v>
      </c>
      <c r="Y122" s="309" t="s">
        <v>390</v>
      </c>
      <c r="Z122" s="89">
        <f t="shared" si="12"/>
        <v>0</v>
      </c>
      <c r="AA122" s="309" t="s">
        <v>390</v>
      </c>
      <c r="AB122" s="309" t="s">
        <v>390</v>
      </c>
      <c r="AC122" s="309" t="s">
        <v>390</v>
      </c>
      <c r="AD122" s="89">
        <f t="shared" si="13"/>
        <v>0</v>
      </c>
      <c r="AE122" s="309" t="s">
        <v>390</v>
      </c>
      <c r="AF122" s="309" t="s">
        <v>390</v>
      </c>
      <c r="AG122" s="309" t="s">
        <v>390</v>
      </c>
      <c r="AH122" s="89">
        <f t="shared" si="14"/>
        <v>0</v>
      </c>
      <c r="AI122" s="311">
        <f t="shared" si="64"/>
        <v>0</v>
      </c>
      <c r="AJ122" s="360"/>
      <c r="AK122" s="1041"/>
      <c r="AL122" s="1049"/>
      <c r="AM122" s="1047"/>
      <c r="AN122" s="62" t="str">
        <f>C121</f>
        <v>38 - Venda de ATIVOS</v>
      </c>
      <c r="AO122" s="62" t="s">
        <v>291</v>
      </c>
      <c r="AP122" s="543" t="str" cm="1">
        <f t="array" aca="1" ref="AP122" ca="1">IF(OR(AN122="",AN122=0),"",IF(SUMPRODUCT(($C$55:$C$143=AN122)*($S$54:AG$54&lt;=TODAY())*(ISNUMBER($S$56:AG$144)),$S$56:AG$144)=0,"",SUMPRODUCT(($C$55:$C$143=AN122)*($S$54:AG$54&lt;=TODAY())*(ISNUMBER($S$56:AG$144)),$S$56:AG$144)))</f>
        <v/>
      </c>
    </row>
    <row r="123" spans="1:42" ht="29.1" customHeight="1" x14ac:dyDescent="0.3">
      <c r="A123" s="1038" t="s">
        <v>76</v>
      </c>
      <c r="B123" s="1299" t="s">
        <v>94</v>
      </c>
      <c r="C123" s="1095" t="s">
        <v>1032</v>
      </c>
      <c r="D123" s="1460"/>
      <c r="E123" s="1363" t="s">
        <v>1033</v>
      </c>
      <c r="F123" s="1099" t="s">
        <v>920</v>
      </c>
      <c r="G123" s="1150">
        <v>46143</v>
      </c>
      <c r="H123" s="1150">
        <v>46174</v>
      </c>
      <c r="I123" s="1152">
        <v>40000.00088</v>
      </c>
      <c r="J123" s="1109">
        <v>46174</v>
      </c>
      <c r="K123" s="1213">
        <f t="shared" ref="K123" si="74">IF(J123="", "", 12 - MONTH(J123) + 1)</f>
        <v>7</v>
      </c>
      <c r="L123" s="1076"/>
      <c r="M123" s="1072"/>
      <c r="N123" s="1055"/>
      <c r="O123" s="1042">
        <f ca="1">IF(OR(H123="", I123=""), "", IF(TODAY()&lt;H123, 0, IF(TODAY()&gt;I123, 1, (TODAY()-H123+1)/(I123-H123+1))))</f>
        <v>1</v>
      </c>
      <c r="P123" s="1042"/>
      <c r="Q123" s="93" t="s">
        <v>106</v>
      </c>
      <c r="R123" s="96"/>
      <c r="S123" s="533">
        <f>IFERROR(IF(S$54&gt;=EOMONTH($J123,-1)+1,IF(NOT(ISBLANK($N123)),$N123/12,$I123/12),0),0)</f>
        <v>0</v>
      </c>
      <c r="T123" s="533">
        <f>IFERROR(IF(T$54&gt;=EOMONTH($J123,-1)+1,IF(NOT(ISBLANK($N123)),$N123/12,$I123/12),0),0)</f>
        <v>0</v>
      </c>
      <c r="U123" s="533">
        <f>IFERROR(IF(U$54&gt;=EOMONTH($J123,-1)+1,IF(NOT(ISBLANK($N123)),$N123/12,$I123/12),0),0)</f>
        <v>0</v>
      </c>
      <c r="V123" s="89">
        <f t="shared" si="11"/>
        <v>0</v>
      </c>
      <c r="W123" s="533">
        <f>IFERROR(IF(W$54&gt;=EOMONTH($J123,-1)+1,IF(NOT(ISBLANK($N123)),$N123/12,$I123/12),0),0)</f>
        <v>0</v>
      </c>
      <c r="X123" s="533">
        <f>IFERROR(IF(X$54&gt;=EOMONTH($J123,-1)+1,IF(NOT(ISBLANK($N123)),$N123/12,$I123/12),0),0)</f>
        <v>0</v>
      </c>
      <c r="Y123" s="533">
        <f>IFERROR(IF(Y$54&gt;=EOMONTH($J123,-1)+1,IF(NOT(ISBLANK($N123)),$N123/12,$I123/12),0),0)</f>
        <v>3333.3334066666666</v>
      </c>
      <c r="Z123" s="89">
        <f t="shared" si="12"/>
        <v>3333.3334066666666</v>
      </c>
      <c r="AA123" s="533">
        <f>IFERROR(IF(AA$54&gt;=EOMONTH($J123,-1)+1,IF(NOT(ISBLANK($N123)),$N123/12,$I123/12),0),0)</f>
        <v>3333.3334066666666</v>
      </c>
      <c r="AB123" s="533">
        <f>IFERROR(IF(AB$54&gt;=EOMONTH($J123,-1)+1,IF(NOT(ISBLANK($N123)),$N123/12,$I123/12),0),0)</f>
        <v>3333.3334066666666</v>
      </c>
      <c r="AC123" s="533">
        <f>IFERROR(IF(AC$54&gt;=EOMONTH($J123,-1)+1,IF(NOT(ISBLANK($N123)),$N123/12,$I123/12),0),0)</f>
        <v>3333.3334066666666</v>
      </c>
      <c r="AD123" s="89">
        <f t="shared" si="13"/>
        <v>10000.00022</v>
      </c>
      <c r="AE123" s="533">
        <f>IFERROR(IF(AE$54&gt;=EOMONTH($J123,-1)+1,IF(NOT(ISBLANK($N123)),$N123/12,$I123/12),0),0)</f>
        <v>3333.3334066666666</v>
      </c>
      <c r="AF123" s="533">
        <f>IFERROR(IF(AF$54&gt;=EOMONTH($J123,-1)+1,IF(NOT(ISBLANK($N123)),$N123/12,$I123/12),0),0)</f>
        <v>3333.3334066666666</v>
      </c>
      <c r="AG123" s="533">
        <f>IFERROR(IF(AG$54&gt;=EOMONTH($J123,-1)+1,IF(NOT(ISBLANK($N123)),$N123/12,$I123/12),0),0)</f>
        <v>3333.3334066666666</v>
      </c>
      <c r="AH123" s="89">
        <f t="shared" si="14"/>
        <v>10000.00022</v>
      </c>
      <c r="AI123" s="95">
        <f t="shared" si="64"/>
        <v>23333.333846666668</v>
      </c>
      <c r="AJ123" s="97"/>
      <c r="AK123" s="1038"/>
      <c r="AL123" s="1042"/>
      <c r="AM123" s="1044">
        <f t="shared" ref="AM123" si="75">N123*AL123</f>
        <v>0</v>
      </c>
      <c r="AN123" s="62" t="str">
        <f>C123</f>
        <v>39 - Venda de sucata de cobre</v>
      </c>
      <c r="AO123" s="62" t="s">
        <v>289</v>
      </c>
      <c r="AP123" s="543" t="str" cm="1">
        <f t="array" aca="1" ref="AP123" ca="1">IF(OR(AN123="",AN123=0),"",IF(SUMPRODUCT(($C$55:$C$128=AN123)*(S$54:$AG$54&lt;EOMONTH(TODAY(),-1)+1)*(ISNUMBER(S$55:$AG$128)),S$55:$AG$128)=0,"",SUMPRODUCT(($C$55:$C$128=AN123)*(S$54:$AG$54&lt;EOMONTH(TODAY(),-1)+1)*(ISNUMBER(S$55:$AG$128)),S$55:$AG$128)))</f>
        <v/>
      </c>
    </row>
    <row r="124" spans="1:42" ht="29.1" customHeight="1" x14ac:dyDescent="0.3">
      <c r="A124" s="1039"/>
      <c r="B124" s="1300"/>
      <c r="C124" s="1096"/>
      <c r="D124" s="1098"/>
      <c r="E124" s="1364"/>
      <c r="F124" s="1100"/>
      <c r="G124" s="1151"/>
      <c r="H124" s="1151"/>
      <c r="I124" s="1151"/>
      <c r="J124" s="1110"/>
      <c r="K124" s="1214"/>
      <c r="L124" s="1077"/>
      <c r="M124" s="1073"/>
      <c r="N124" s="1056"/>
      <c r="O124" s="1043"/>
      <c r="P124" s="1043"/>
      <c r="Q124" s="93" t="s">
        <v>107</v>
      </c>
      <c r="R124" s="96"/>
      <c r="S124" s="312" t="s">
        <v>390</v>
      </c>
      <c r="T124" s="312" t="s">
        <v>390</v>
      </c>
      <c r="U124" s="312" t="s">
        <v>390</v>
      </c>
      <c r="V124" s="89">
        <f t="shared" si="11"/>
        <v>0</v>
      </c>
      <c r="W124" s="312" t="s">
        <v>390</v>
      </c>
      <c r="X124" s="312" t="s">
        <v>390</v>
      </c>
      <c r="Y124" s="312" t="s">
        <v>390</v>
      </c>
      <c r="Z124" s="89">
        <f t="shared" si="12"/>
        <v>0</v>
      </c>
      <c r="AA124" s="312" t="s">
        <v>390</v>
      </c>
      <c r="AB124" s="312" t="s">
        <v>390</v>
      </c>
      <c r="AC124" s="312" t="s">
        <v>390</v>
      </c>
      <c r="AD124" s="89">
        <f t="shared" si="13"/>
        <v>0</v>
      </c>
      <c r="AE124" s="312" t="s">
        <v>390</v>
      </c>
      <c r="AF124" s="312" t="s">
        <v>390</v>
      </c>
      <c r="AG124" s="312" t="s">
        <v>390</v>
      </c>
      <c r="AH124" s="89">
        <f t="shared" si="14"/>
        <v>0</v>
      </c>
      <c r="AI124" s="313">
        <f t="shared" si="64"/>
        <v>0</v>
      </c>
      <c r="AJ124" s="97"/>
      <c r="AK124" s="1039"/>
      <c r="AL124" s="1043"/>
      <c r="AM124" s="1045"/>
      <c r="AN124" s="62" t="str">
        <f>C123</f>
        <v>39 - Venda de sucata de cobre</v>
      </c>
      <c r="AO124" s="62" t="s">
        <v>291</v>
      </c>
      <c r="AP124" s="543" t="str" cm="1">
        <f t="array" aca="1" ref="AP124" ca="1">IF(OR(AN124="",AN124=0),"",IF(SUMPRODUCT(($C$55:$C$143=AN124)*($S$54:AG$54&lt;=TODAY())*(ISNUMBER($S$56:AG$144)),$S$56:AG$144)=0,"",SUMPRODUCT(($C$55:$C$143=AN124)*($S$54:AG$54&lt;=TODAY())*(ISNUMBER($S$56:AG$144)),$S$56:AG$144)))</f>
        <v/>
      </c>
    </row>
    <row r="125" spans="1:42" ht="29.1" customHeight="1" x14ac:dyDescent="0.3">
      <c r="A125" s="1036" t="s">
        <v>85</v>
      </c>
      <c r="B125" s="1038" t="s">
        <v>93</v>
      </c>
      <c r="C125" s="1113" t="s">
        <v>1034</v>
      </c>
      <c r="D125" s="1115" t="s">
        <v>1035</v>
      </c>
      <c r="E125" s="1303" t="s">
        <v>1036</v>
      </c>
      <c r="F125" s="1040" t="s">
        <v>928</v>
      </c>
      <c r="G125" s="1117">
        <v>46235</v>
      </c>
      <c r="H125" s="1117">
        <v>46235</v>
      </c>
      <c r="I125" s="1074">
        <v>62210</v>
      </c>
      <c r="J125" s="1158"/>
      <c r="K125" s="1121" t="str">
        <f t="shared" ref="K125" si="76">IF(J125="", "", 12 - MONTH(J125) + 1)</f>
        <v/>
      </c>
      <c r="L125" s="1074"/>
      <c r="M125" s="1119"/>
      <c r="N125" s="1053"/>
      <c r="O125" s="1057"/>
      <c r="P125" s="1057"/>
      <c r="Q125" s="87" t="s">
        <v>106</v>
      </c>
      <c r="R125" s="91"/>
      <c r="S125" s="88">
        <f>IFERROR(IF(S$54&gt;=EOMONTH($J125,-1)+1,IF(NOT(ISBLANK($N125)),$N125/12,$I125/12),0),0)</f>
        <v>0</v>
      </c>
      <c r="T125" s="88">
        <f>IFERROR(IF(T$54&gt;=EOMONTH($J125,-1)+1,IF(NOT(ISBLANK($N125)),$N125/12,$I125/12),0),0)</f>
        <v>0</v>
      </c>
      <c r="U125" s="88">
        <f>IFERROR(IF(U$54&gt;=EOMONTH($J125,-1)+1,IF(NOT(ISBLANK($N125)),$N125/12,$I125/12),0),0)</f>
        <v>0</v>
      </c>
      <c r="V125" s="89">
        <f t="shared" si="11"/>
        <v>0</v>
      </c>
      <c r="W125" s="88">
        <f>IFERROR(IF(W$54&gt;=EOMONTH($J125,-1)+1,IF(NOT(ISBLANK($N125)),$N125/12,$I125/12),0),0)</f>
        <v>0</v>
      </c>
      <c r="X125" s="88">
        <f>IFERROR(IF(X$54&gt;=EOMONTH($J125,-1)+1,IF(NOT(ISBLANK($N125)),$N125/12,$I125/12),0),0)</f>
        <v>0</v>
      </c>
      <c r="Y125" s="88">
        <f>IFERROR(IF(Y$54&gt;=EOMONTH($J125,-1)+1,IF(NOT(ISBLANK($N125)),$N125/12,$I125/12),0),0)</f>
        <v>0</v>
      </c>
      <c r="Z125" s="89">
        <f t="shared" si="12"/>
        <v>0</v>
      </c>
      <c r="AA125" s="88">
        <f>IFERROR(IF(AA$54&gt;=EOMONTH($J125,-1)+1,IF(NOT(ISBLANK($N125)),$N125/12,$I125/12),0),0)</f>
        <v>0</v>
      </c>
      <c r="AB125" s="88">
        <f>IFERROR(IF(AB$54&gt;=EOMONTH($J125,-1)+1,IF(NOT(ISBLANK($N125)),$N125/12,$I125/12),0),0)</f>
        <v>0</v>
      </c>
      <c r="AC125" s="88">
        <f>IFERROR(IF(AC$54&gt;=EOMONTH($J125,-1)+1,IF(NOT(ISBLANK($N125)),$N125/12,$I125/12),0),0)</f>
        <v>0</v>
      </c>
      <c r="AD125" s="89">
        <f t="shared" si="13"/>
        <v>0</v>
      </c>
      <c r="AE125" s="88">
        <f>IFERROR(IF(AE$54&gt;=EOMONTH($J125,-1)+1,IF(NOT(ISBLANK($N125)),$N125/12,$I125/12),0),0)</f>
        <v>0</v>
      </c>
      <c r="AF125" s="88">
        <f>IFERROR(IF(AF$54&gt;=EOMONTH($J125,-1)+1,IF(NOT(ISBLANK($N125)),$N125/12,$I125/12),0),0)</f>
        <v>0</v>
      </c>
      <c r="AG125" s="88">
        <f>IFERROR(IF(AG$54&gt;=EOMONTH($J125,-1)+1,IF(NOT(ISBLANK($N125)),$N125/12,$I125/12),0),0)</f>
        <v>0</v>
      </c>
      <c r="AH125" s="89">
        <f t="shared" si="14"/>
        <v>0</v>
      </c>
      <c r="AI125" s="90">
        <f t="shared" si="15"/>
        <v>0</v>
      </c>
      <c r="AJ125" s="98"/>
      <c r="AK125" s="1040"/>
      <c r="AL125" s="1048"/>
      <c r="AM125" s="1046">
        <f t="shared" ref="AM125" si="77">N125*AL125</f>
        <v>0</v>
      </c>
      <c r="AN125" s="62" t="str">
        <f>C125</f>
        <v>40 - Redução de disperdicio bobina.</v>
      </c>
      <c r="AO125" s="62" t="s">
        <v>289</v>
      </c>
      <c r="AP125" s="543" t="str" cm="1">
        <f t="array" aca="1" ref="AP125" ca="1">IF(OR(AN125="",AN125=0),"",IF(SUMPRODUCT(($C$55:$C$128=AN125)*(S$54:$AG$54&lt;EOMONTH(TODAY(),-1)+1)*(ISNUMBER(S$55:$AG$128)),S$55:$AG$128)=0,"",SUMPRODUCT(($C$55:$C$128=AN125)*(S$54:$AG$54&lt;EOMONTH(TODAY(),-1)+1)*(ISNUMBER(S$55:$AG$128)),S$55:$AG$128)))</f>
        <v/>
      </c>
    </row>
    <row r="126" spans="1:42" ht="29.1" customHeight="1" x14ac:dyDescent="0.3">
      <c r="A126" s="1037"/>
      <c r="B126" s="1039"/>
      <c r="C126" s="1114"/>
      <c r="D126" s="1116"/>
      <c r="E126" s="1304"/>
      <c r="F126" s="1041"/>
      <c r="G126" s="1118"/>
      <c r="H126" s="1118"/>
      <c r="I126" s="1075"/>
      <c r="J126" s="1159"/>
      <c r="K126" s="1122"/>
      <c r="L126" s="1075"/>
      <c r="M126" s="1120"/>
      <c r="N126" s="1054"/>
      <c r="O126" s="1058"/>
      <c r="P126" s="1058"/>
      <c r="Q126" s="87" t="s">
        <v>107</v>
      </c>
      <c r="R126" s="91"/>
      <c r="S126" s="309" t="s">
        <v>390</v>
      </c>
      <c r="T126" s="309" t="s">
        <v>390</v>
      </c>
      <c r="U126" s="309" t="s">
        <v>390</v>
      </c>
      <c r="V126" s="89">
        <f t="shared" si="11"/>
        <v>0</v>
      </c>
      <c r="W126" s="309" t="s">
        <v>390</v>
      </c>
      <c r="X126" s="309" t="s">
        <v>390</v>
      </c>
      <c r="Y126" s="309" t="s">
        <v>390</v>
      </c>
      <c r="Z126" s="89">
        <f t="shared" si="12"/>
        <v>0</v>
      </c>
      <c r="AA126" s="309" t="s">
        <v>390</v>
      </c>
      <c r="AB126" s="309" t="s">
        <v>390</v>
      </c>
      <c r="AC126" s="309" t="s">
        <v>390</v>
      </c>
      <c r="AD126" s="89">
        <f t="shared" si="13"/>
        <v>0</v>
      </c>
      <c r="AE126" s="309" t="s">
        <v>390</v>
      </c>
      <c r="AF126" s="309" t="s">
        <v>390</v>
      </c>
      <c r="AG126" s="309" t="s">
        <v>390</v>
      </c>
      <c r="AH126" s="89">
        <f t="shared" si="14"/>
        <v>0</v>
      </c>
      <c r="AI126" s="311">
        <f t="shared" si="15"/>
        <v>0</v>
      </c>
      <c r="AJ126" s="360"/>
      <c r="AK126" s="1041"/>
      <c r="AL126" s="1049"/>
      <c r="AM126" s="1047"/>
      <c r="AN126" s="62" t="str">
        <f>C125</f>
        <v>40 - Redução de disperdicio bobina.</v>
      </c>
      <c r="AO126" s="62" t="s">
        <v>291</v>
      </c>
      <c r="AP126" s="543" t="str" cm="1">
        <f t="array" aca="1" ref="AP126" ca="1">IF(OR(AN126="",AN126=0),"",IF(SUMPRODUCT(($C$55:$C$143=AN126)*($S$54:AG$54&lt;=TODAY())*(ISNUMBER($S$56:AG$144)),$S$56:AG$144)=0,"",SUMPRODUCT(($C$55:$C$143=AN126)*($S$54:AG$54&lt;=TODAY())*(ISNUMBER($S$56:AG$144)),$S$56:AG$144)))</f>
        <v/>
      </c>
    </row>
    <row r="127" spans="1:42" ht="29.1" customHeight="1" x14ac:dyDescent="0.3">
      <c r="A127" s="1038" t="s">
        <v>85</v>
      </c>
      <c r="B127" s="1299" t="s">
        <v>93</v>
      </c>
      <c r="C127" s="1095" t="s">
        <v>1037</v>
      </c>
      <c r="D127" s="1097" t="s">
        <v>928</v>
      </c>
      <c r="E127" s="1363"/>
      <c r="F127" s="1099"/>
      <c r="G127" s="1150"/>
      <c r="H127" s="1150"/>
      <c r="I127" s="1152"/>
      <c r="J127" s="1109"/>
      <c r="K127" s="1213" t="str">
        <f t="shared" ref="K127" si="78">IF(J127="", "", 12 - MONTH(J127) + 1)</f>
        <v/>
      </c>
      <c r="L127" s="1076"/>
      <c r="M127" s="1072"/>
      <c r="N127" s="1055"/>
      <c r="O127" s="1042"/>
      <c r="P127" s="1042"/>
      <c r="Q127" s="93" t="s">
        <v>106</v>
      </c>
      <c r="R127" s="96" t="str">
        <f ca="1">IF(OR(G127="", H127=""), "", IF(TODAY()&lt;G127, 0, IF(TODAY()&gt;H127, 1, (TODAY()-G127+1)/(H127-G127+1))))</f>
        <v/>
      </c>
      <c r="S127" s="533">
        <f>IFERROR(IF(S$54&gt;=EOMONTH($J127,-1)+1,IF(NOT(ISBLANK($N127)),$N127/12,$I127/12),0),0)</f>
        <v>0</v>
      </c>
      <c r="T127" s="533">
        <f>IFERROR(IF(T$54&gt;=EOMONTH($J127,-1)+1,IF(NOT(ISBLANK($N127)),$N127/12,$I127/12),0),0)</f>
        <v>0</v>
      </c>
      <c r="U127" s="533">
        <f>IFERROR(IF(U$54&gt;=EOMONTH($J127,-1)+1,IF(NOT(ISBLANK($N127)),$N127/12,$I127/12),0),0)</f>
        <v>0</v>
      </c>
      <c r="V127" s="89">
        <f t="shared" si="11"/>
        <v>0</v>
      </c>
      <c r="W127" s="533">
        <f>IFERROR(IF(W$54&gt;=EOMONTH($J127,-1)+1,IF(NOT(ISBLANK($N127)),$N127/12,$I127/12),0),0)</f>
        <v>0</v>
      </c>
      <c r="X127" s="533">
        <f>IFERROR(IF(X$54&gt;=EOMONTH($J127,-1)+1,IF(NOT(ISBLANK($N127)),$N127/12,$I127/12),0),0)</f>
        <v>0</v>
      </c>
      <c r="Y127" s="533">
        <f>IFERROR(IF(Y$54&gt;=EOMONTH($J127,-1)+1,IF(NOT(ISBLANK($N127)),$N127/12,$I127/12),0),0)</f>
        <v>0</v>
      </c>
      <c r="Z127" s="89">
        <f t="shared" si="12"/>
        <v>0</v>
      </c>
      <c r="AA127" s="533">
        <f>IFERROR(IF(AA$54&gt;=EOMONTH($J127,-1)+1,IF(NOT(ISBLANK($N127)),$N127/12,$I127/12),0),0)</f>
        <v>0</v>
      </c>
      <c r="AB127" s="533">
        <f>IFERROR(IF(AB$54&gt;=EOMONTH($J127,-1)+1,IF(NOT(ISBLANK($N127)),$N127/12,$I127/12),0),0)</f>
        <v>0</v>
      </c>
      <c r="AC127" s="533">
        <f>IFERROR(IF(AC$54&gt;=EOMONTH($J127,-1)+1,IF(NOT(ISBLANK($N127)),$N127/12,$I127/12),0),0)</f>
        <v>0</v>
      </c>
      <c r="AD127" s="89">
        <f t="shared" si="13"/>
        <v>0</v>
      </c>
      <c r="AE127" s="533">
        <f>IFERROR(IF(AE$54&gt;=EOMONTH($J127,-1)+1,IF(NOT(ISBLANK($N127)),$N127/12,$I127/12),0),0)</f>
        <v>0</v>
      </c>
      <c r="AF127" s="533">
        <f>IFERROR(IF(AF$54&gt;=EOMONTH($J127,-1)+1,IF(NOT(ISBLANK($N127)),$N127/12,$I127/12),0),0)</f>
        <v>0</v>
      </c>
      <c r="AG127" s="533">
        <f>IFERROR(IF(AG$54&gt;=EOMONTH($J127,-1)+1,IF(NOT(ISBLANK($N127)),$N127/12,$I127/12),0),0)</f>
        <v>0</v>
      </c>
      <c r="AH127" s="89">
        <f t="shared" si="14"/>
        <v>0</v>
      </c>
      <c r="AI127" s="95">
        <f t="shared" si="15"/>
        <v>0</v>
      </c>
      <c r="AJ127" s="97"/>
      <c r="AK127" s="1038"/>
      <c r="AL127" s="1042"/>
      <c r="AM127" s="1044">
        <f t="shared" ref="AM127" si="79">N127*AL127</f>
        <v>0</v>
      </c>
      <c r="AN127" s="62" t="str">
        <f>C127</f>
        <v>41 - Redução de largura bobinas.</v>
      </c>
      <c r="AO127" s="62" t="s">
        <v>289</v>
      </c>
      <c r="AP127" s="543" t="str" cm="1">
        <f t="array" aca="1" ref="AP127" ca="1">IF(OR(AN127="",AN127=0),"",IF(SUMPRODUCT(($C$55:$C$128=AN127)*(S$54:$AG$54&lt;EOMONTH(TODAY(),-1)+1)*(ISNUMBER(S$55:$AG$128)),S$55:$AG$128)=0,"",SUMPRODUCT(($C$55:$C$128=AN127)*(S$54:$AG$54&lt;EOMONTH(TODAY(),-1)+1)*(ISNUMBER(S$55:$AG$128)),S$55:$AG$128)))</f>
        <v/>
      </c>
    </row>
    <row r="128" spans="1:42" ht="29.1" customHeight="1" x14ac:dyDescent="0.3">
      <c r="A128" s="1039"/>
      <c r="B128" s="1300"/>
      <c r="C128" s="1096"/>
      <c r="D128" s="1098"/>
      <c r="E128" s="1364"/>
      <c r="F128" s="1100"/>
      <c r="G128" s="1151"/>
      <c r="H128" s="1151"/>
      <c r="I128" s="1151"/>
      <c r="J128" s="1110"/>
      <c r="K128" s="1214"/>
      <c r="L128" s="1077"/>
      <c r="M128" s="1073"/>
      <c r="N128" s="1056"/>
      <c r="O128" s="1043"/>
      <c r="P128" s="1043"/>
      <c r="Q128" s="93" t="s">
        <v>107</v>
      </c>
      <c r="R128" s="91"/>
      <c r="S128" s="312" t="s">
        <v>390</v>
      </c>
      <c r="T128" s="312" t="s">
        <v>390</v>
      </c>
      <c r="U128" s="312" t="s">
        <v>390</v>
      </c>
      <c r="V128" s="89">
        <f t="shared" si="11"/>
        <v>0</v>
      </c>
      <c r="W128" s="312" t="s">
        <v>390</v>
      </c>
      <c r="X128" s="312" t="s">
        <v>390</v>
      </c>
      <c r="Y128" s="312" t="s">
        <v>390</v>
      </c>
      <c r="Z128" s="89">
        <f t="shared" si="12"/>
        <v>0</v>
      </c>
      <c r="AA128" s="312" t="s">
        <v>390</v>
      </c>
      <c r="AB128" s="312" t="s">
        <v>390</v>
      </c>
      <c r="AC128" s="312" t="s">
        <v>390</v>
      </c>
      <c r="AD128" s="89">
        <f t="shared" si="13"/>
        <v>0</v>
      </c>
      <c r="AE128" s="312" t="s">
        <v>390</v>
      </c>
      <c r="AF128" s="312" t="s">
        <v>390</v>
      </c>
      <c r="AG128" s="312" t="s">
        <v>390</v>
      </c>
      <c r="AH128" s="89">
        <f t="shared" si="14"/>
        <v>0</v>
      </c>
      <c r="AI128" s="313">
        <f t="shared" si="15"/>
        <v>0</v>
      </c>
      <c r="AJ128" s="97"/>
      <c r="AK128" s="1039"/>
      <c r="AL128" s="1043"/>
      <c r="AM128" s="1045"/>
      <c r="AN128" s="62" t="str">
        <f>C127</f>
        <v>41 - Redução de largura bobinas.</v>
      </c>
      <c r="AO128" s="62" t="s">
        <v>291</v>
      </c>
      <c r="AP128" s="543" t="str" cm="1">
        <f t="array" aca="1" ref="AP128" ca="1">IF(OR(AN128="",AN128=0),"",IF(SUMPRODUCT(($C$55:$C$143=AN128)*($S$54:AG$54&lt;=TODAY())*(ISNUMBER($S$56:AG$144)),$S$56:AG$144)=0,"",SUMPRODUCT(($C$55:$C$143=AN128)*($S$54:AG$54&lt;=TODAY())*(ISNUMBER($S$56:AG$144)),$S$56:AG$144)))</f>
        <v/>
      </c>
    </row>
    <row r="129" spans="1:33" x14ac:dyDescent="0.3">
      <c r="A129" s="47"/>
      <c r="B129" s="239"/>
      <c r="C129" s="47"/>
      <c r="D129" s="266"/>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row>
    <row r="130" spans="1:33" ht="15.6" x14ac:dyDescent="0.3">
      <c r="A130" s="100" t="s">
        <v>547</v>
      </c>
      <c r="B130" s="100"/>
      <c r="C130" s="100"/>
      <c r="D130" s="99" t="s">
        <v>548</v>
      </c>
      <c r="E130" s="99" t="s">
        <v>73</v>
      </c>
      <c r="F130" s="99" t="s">
        <v>74</v>
      </c>
      <c r="G130" s="47"/>
      <c r="H130" s="1414" t="s">
        <v>1038</v>
      </c>
      <c r="I130" s="1414"/>
      <c r="J130" s="1414"/>
      <c r="K130" s="1414"/>
      <c r="L130" s="1414"/>
      <c r="M130" s="590"/>
      <c r="N130" s="590"/>
      <c r="O130" s="904"/>
      <c r="P130" s="904"/>
      <c r="Q130" s="104"/>
      <c r="R130" s="151"/>
      <c r="S130" s="85">
        <v>46023</v>
      </c>
      <c r="T130" s="151">
        <v>46054</v>
      </c>
      <c r="U130" s="151">
        <v>46082</v>
      </c>
      <c r="V130" s="151">
        <v>46113</v>
      </c>
      <c r="W130" s="151">
        <v>46143</v>
      </c>
      <c r="X130" s="151">
        <v>46174</v>
      </c>
      <c r="Y130" s="151">
        <v>46204</v>
      </c>
      <c r="Z130" s="151">
        <v>46235</v>
      </c>
      <c r="AA130" s="151">
        <v>46266</v>
      </c>
      <c r="AB130" s="151">
        <v>46296</v>
      </c>
      <c r="AC130" s="151">
        <v>46327</v>
      </c>
      <c r="AD130" s="151">
        <v>46357</v>
      </c>
      <c r="AE130" s="151" t="s">
        <v>550</v>
      </c>
      <c r="AF130" s="47"/>
      <c r="AG130" s="47"/>
    </row>
    <row r="131" spans="1:33" ht="15.6" x14ac:dyDescent="0.3">
      <c r="A131" s="112" t="s">
        <v>78</v>
      </c>
      <c r="B131" s="790" t="s">
        <v>551</v>
      </c>
      <c r="C131" s="333"/>
      <c r="D131" s="721">
        <v>1</v>
      </c>
      <c r="E131" s="1006" t="s">
        <v>287</v>
      </c>
      <c r="F131" s="1006" t="s">
        <v>287</v>
      </c>
      <c r="G131" s="47"/>
      <c r="H131" s="102" t="s">
        <v>552</v>
      </c>
      <c r="I131" s="102" t="s">
        <v>553</v>
      </c>
      <c r="J131" s="102" t="s">
        <v>554</v>
      </c>
      <c r="K131" s="102" t="s">
        <v>555</v>
      </c>
      <c r="L131" s="104" t="s">
        <v>167</v>
      </c>
      <c r="M131" s="590" t="s">
        <v>556</v>
      </c>
      <c r="N131" s="590"/>
      <c r="O131" s="590"/>
      <c r="P131" s="104" t="s">
        <v>557</v>
      </c>
      <c r="Q131" s="899" t="s">
        <v>558</v>
      </c>
      <c r="R131" s="504" t="s">
        <v>106</v>
      </c>
      <c r="S131" s="152">
        <f>SUMIF($Q$55:$Q$128,$R$131,S55:S128)</f>
        <v>390000.00300000003</v>
      </c>
      <c r="T131" s="152">
        <f>SUMIF($Q$55:$Q$128,$R$131,T55:T128)</f>
        <v>0</v>
      </c>
      <c r="U131" s="152">
        <f>SUMIF($Q$55:$Q$128,$R$131,U55:U128)</f>
        <v>0</v>
      </c>
      <c r="V131" s="152">
        <f>SUMIF($Q$55:$Q$128,$R$131,W55:W128)</f>
        <v>28809.855083333332</v>
      </c>
      <c r="W131" s="152">
        <f>SUMIF($Q$55:$Q$128,$R$131,X55:X128)</f>
        <v>29745.543416666667</v>
      </c>
      <c r="X131" s="152">
        <f>SUMIF($Q$55:$Q$128,$R$131,Y55:Y128)</f>
        <v>225612.22182333336</v>
      </c>
      <c r="Y131" s="152">
        <f>SUMIF($Q$55:$Q$128,$R$131,AA55:AA128)</f>
        <v>279957.14932333329</v>
      </c>
      <c r="Z131" s="152">
        <f>SUMIF($Q$55:$Q$128,$R$131,AB55:AB128)</f>
        <v>287577.4826566666</v>
      </c>
      <c r="AA131" s="152">
        <f>SUMIF($Q$55:$Q$128,$R$131,AC55:AC128)</f>
        <v>287577.4826566666</v>
      </c>
      <c r="AB131" s="152">
        <f>SUMIF($Q$55:$Q$128,$R$131,AE55:AE128)</f>
        <v>287577.4826566666</v>
      </c>
      <c r="AC131" s="152">
        <f>SUMIF($Q$55:$Q$128,$R$131,AF55:AF128)</f>
        <v>287577.4826566666</v>
      </c>
      <c r="AD131" s="152">
        <f>SUMIF($Q$55:$Q$128,$R$131,AG55:AG128)</f>
        <v>287577.4826566666</v>
      </c>
      <c r="AE131" s="152">
        <f>SUM(S131:AD131)</f>
        <v>2392012.1859299997</v>
      </c>
      <c r="AF131" s="47"/>
      <c r="AG131" s="47"/>
    </row>
    <row r="132" spans="1:33" x14ac:dyDescent="0.3">
      <c r="A132" s="753" t="s">
        <v>78</v>
      </c>
      <c r="B132" s="753" t="s">
        <v>559</v>
      </c>
      <c r="C132" s="751"/>
      <c r="D132" s="754">
        <v>1</v>
      </c>
      <c r="E132" s="755" t="str">
        <f t="shared" ref="E132:E158" si="80">_xlfn.XLOOKUP(B132,$B$355:$B$401,$E$355:$E$401)</f>
        <v>OK</v>
      </c>
      <c r="F132" s="755" t="str">
        <f t="shared" ref="F132:F158" si="81">_xlfn.XLOOKUP(B132,$B$355:$B$401,$F$355:$F$401)</f>
        <v>OK</v>
      </c>
      <c r="G132" s="47"/>
      <c r="H132" s="367" t="s">
        <v>1039</v>
      </c>
      <c r="I132" s="106" t="s">
        <v>287</v>
      </c>
      <c r="J132" s="503" t="s">
        <v>388</v>
      </c>
      <c r="K132" s="106" t="s">
        <v>388</v>
      </c>
      <c r="L132" s="107">
        <f t="shared" ref="L132:L141" si="82">(COUNTIF(I132:K132,"OK"))*33.333333/100</f>
        <v>0.33333333000000004</v>
      </c>
      <c r="M132" s="900" t="s">
        <v>1040</v>
      </c>
      <c r="N132" s="901"/>
      <c r="O132" s="901"/>
      <c r="P132" s="107" t="s">
        <v>1041</v>
      </c>
      <c r="Q132" s="107" t="s">
        <v>1042</v>
      </c>
      <c r="R132" s="505" t="s">
        <v>107</v>
      </c>
      <c r="S132" s="154">
        <f>SUMIF($Q$55:$Q$128,$R$132,S55:S128)</f>
        <v>390000</v>
      </c>
      <c r="T132" s="154">
        <f>SUMIF($Q$55:$Q$128,$R$132,T55:T128)</f>
        <v>0</v>
      </c>
      <c r="U132" s="154">
        <f>SUMIF($Q$55:$Q$128,$R$132,U55:U128)</f>
        <v>0</v>
      </c>
      <c r="V132" s="154">
        <f>SUMIF($Q$55:$Q$128,$R$132,W55:W128)</f>
        <v>1286.4375065712063</v>
      </c>
      <c r="W132" s="154">
        <f>SUMIF($Q$55:$Q$128,$R$132,X55:X128)</f>
        <v>2010.7338235392103</v>
      </c>
      <c r="X132" s="154">
        <f>SUMIF($Q$55:$Q$128,$R$132,Y55:Y128)</f>
        <v>0</v>
      </c>
      <c r="Y132" s="154">
        <f>SUMIF($Q$55:$Q$128,$R$132,AA55:AA128)</f>
        <v>0</v>
      </c>
      <c r="Z132" s="154">
        <f>SUMIF($Q$55:$Q$128,$R$132,AB55:AB128)</f>
        <v>0</v>
      </c>
      <c r="AA132" s="154">
        <f>SUMIF($Q$55:$Q$128,$R$132,AC55:AC128)</f>
        <v>0</v>
      </c>
      <c r="AB132" s="154">
        <f>SUMIF($Q$55:$Q$128,$R$132,AE55:AE128)</f>
        <v>0</v>
      </c>
      <c r="AC132" s="154">
        <f>SUMIF($Q$55:$Q$128,$R$132,AF55:AF128)</f>
        <v>0</v>
      </c>
      <c r="AD132" s="154">
        <f>SUMIF($Q$55:$Q$128,$R$132,AG55:AG128)</f>
        <v>0</v>
      </c>
      <c r="AE132" s="154">
        <f>SUM(S132:AD132)</f>
        <v>393297.1713301104</v>
      </c>
      <c r="AF132" s="47"/>
      <c r="AG132" s="47"/>
    </row>
    <row r="133" spans="1:33" x14ac:dyDescent="0.3">
      <c r="A133" s="112" t="s">
        <v>81</v>
      </c>
      <c r="B133" s="112" t="s">
        <v>563</v>
      </c>
      <c r="C133" s="333"/>
      <c r="D133" s="721">
        <v>1</v>
      </c>
      <c r="E133" s="752" t="str">
        <f t="shared" si="80"/>
        <v>OK</v>
      </c>
      <c r="F133" s="752" t="str">
        <f t="shared" si="81"/>
        <v>OK</v>
      </c>
      <c r="G133" s="47"/>
      <c r="H133" s="368" t="s">
        <v>1043</v>
      </c>
      <c r="I133" s="109" t="s">
        <v>287</v>
      </c>
      <c r="J133" s="799" t="s">
        <v>388</v>
      </c>
      <c r="K133" s="109" t="s">
        <v>388</v>
      </c>
      <c r="L133" s="110">
        <f>(COUNTIF(I133:K133,"OK"))*33.333333/100</f>
        <v>0.33333333000000004</v>
      </c>
      <c r="M133" s="902" t="s">
        <v>632</v>
      </c>
      <c r="N133" s="903"/>
      <c r="O133" s="903"/>
      <c r="P133" s="110" t="s">
        <v>1044</v>
      </c>
      <c r="Q133" s="905" t="s">
        <v>1045</v>
      </c>
      <c r="R133" s="506" t="s">
        <v>566</v>
      </c>
      <c r="S133" s="160" cm="1">
        <f t="array" ref="S133">SUMPRODUCT(
($G$55:$G$128&lt;&gt;"")*
($G$55:$G$128&lt;=S$130)*
(($H$55:$H$128="")+($H$55:$H$128&gt;=S$130))
)</f>
        <v>4</v>
      </c>
      <c r="T133" s="160" cm="1">
        <f t="array" ref="T133">SUMPRODUCT(
($G$55:$G$128&lt;&gt;"")*
($G$55:$G$128&lt;=T$130)*
(($H$55:$H$128="")+($H$55:$H$128&gt;=T$130))
)</f>
        <v>15</v>
      </c>
      <c r="U133" s="160" cm="1">
        <f t="array" ref="U133">SUMPRODUCT(
($G$55:$G$128&lt;&gt;"")*
($G$55:$G$128&lt;=U$130)*
(($H$55:$H$128="")+($H$55:$H$128&gt;=U$130))
)</f>
        <v>19</v>
      </c>
      <c r="V133" s="160" cm="1">
        <f t="array" ref="V133">SUMPRODUCT(
($G$55:$G$128&lt;&gt;"")*
($G$55:$G$128&lt;=V$130)*
(($H$55:$H$128="")+($H$55:$H$128&gt;=V$130))
)</f>
        <v>20</v>
      </c>
      <c r="W133" s="160" cm="1">
        <f t="array" ref="W133">SUMPRODUCT(
($G$55:$G$128&lt;&gt;"")*
($G$55:$G$128&lt;=W$130)*
(($H$55:$H$128="")+($H$55:$H$128&gt;=W$130))
)</f>
        <v>18</v>
      </c>
      <c r="X133" s="160" cm="1">
        <f t="array" ref="X133">SUMPRODUCT(
($G$55:$G$128&lt;&gt;"")*
($G$55:$G$128&lt;=X$130)*
(($H$55:$H$128="")+($H$55:$H$128&gt;=X$130))
)</f>
        <v>14</v>
      </c>
      <c r="Y133" s="160" cm="1">
        <f t="array" ref="Y133">SUMPRODUCT(
($G$55:$G$128&lt;&gt;"")*
($G$55:$G$128&lt;=Y$130)*
(($H$55:$H$128="")+($H$55:$H$128&gt;=Y$130))
)</f>
        <v>6</v>
      </c>
      <c r="Z133" s="160" cm="1">
        <f t="array" ref="Z133">SUMPRODUCT(
($G$55:$G$128&lt;&gt;"")*
($G$55:$G$128&lt;=Z$130)*
(($H$55:$H$128="")+($H$55:$H$128&gt;=Z$130))
)</f>
        <v>5</v>
      </c>
      <c r="AA133" s="160" cm="1">
        <f t="array" ref="AA133">SUMPRODUCT(
($G$55:$G$128&lt;&gt;"")*
($G$55:$G$128&lt;=AA$130)*
(($H$55:$H$128="")+($H$55:$H$128&gt;=AA$130))
)</f>
        <v>3</v>
      </c>
      <c r="AB133" s="160" cm="1">
        <f t="array" ref="AB133">SUMPRODUCT(
($G$55:$G$128&lt;&gt;"")*
($G$55:$G$128&lt;=AB$130)*
(($H$55:$H$128="")+($H$55:$H$128&gt;=AB$130))
)</f>
        <v>2</v>
      </c>
      <c r="AC133" s="160" cm="1">
        <f t="array" ref="AC133">SUMPRODUCT(
($G$55:$G$128&lt;&gt;"")*
($G$55:$G$128&lt;=AC$130)*
(($H$55:$H$128="")+($H$55:$H$128&gt;=AC$130))
)</f>
        <v>1</v>
      </c>
      <c r="AD133" s="160" cm="1">
        <f t="array" ref="AD133">SUMPRODUCT(
($G$55:$G$128&lt;&gt;"")*
($G$55:$G$128&lt;=AD$130)*
(($H$55:$H$128="")+($H$55:$H$128&gt;=AD$130))
)</f>
        <v>1</v>
      </c>
      <c r="AE133" s="160"/>
      <c r="AF133" s="47"/>
      <c r="AG133" s="47"/>
    </row>
    <row r="134" spans="1:33" x14ac:dyDescent="0.3">
      <c r="A134" s="753" t="s">
        <v>81</v>
      </c>
      <c r="B134" s="829" t="s">
        <v>567</v>
      </c>
      <c r="C134" s="751"/>
      <c r="D134" s="754">
        <v>1</v>
      </c>
      <c r="E134" s="1007" t="s">
        <v>287</v>
      </c>
      <c r="F134" s="783" t="str">
        <f>_xlfn.XLOOKUP(B134,$B$355:$B$401,$F$355:$F$401)</f>
        <v>NOK</v>
      </c>
      <c r="G134" s="47"/>
      <c r="H134" s="367" t="s">
        <v>1046</v>
      </c>
      <c r="I134" s="106" t="s">
        <v>287</v>
      </c>
      <c r="J134" s="503" t="s">
        <v>388</v>
      </c>
      <c r="K134" s="106" t="s">
        <v>388</v>
      </c>
      <c r="L134" s="107">
        <f t="shared" si="82"/>
        <v>0.33333333000000004</v>
      </c>
      <c r="M134" s="900" t="s">
        <v>632</v>
      </c>
      <c r="N134" s="901"/>
      <c r="O134" s="901"/>
      <c r="P134" s="110" t="s">
        <v>1044</v>
      </c>
      <c r="Q134" s="905" t="s">
        <v>1047</v>
      </c>
      <c r="R134" s="505" t="s">
        <v>570</v>
      </c>
      <c r="S134" s="154">
        <f>S131</f>
        <v>390000.00300000003</v>
      </c>
      <c r="T134" s="154">
        <f>S134+T131</f>
        <v>390000.00300000003</v>
      </c>
      <c r="U134" s="154">
        <f t="shared" ref="U134:AD134" si="83">T134+U131</f>
        <v>390000.00300000003</v>
      </c>
      <c r="V134" s="154">
        <f t="shared" si="83"/>
        <v>418809.85808333335</v>
      </c>
      <c r="W134" s="154">
        <f t="shared" si="83"/>
        <v>448555.40150000004</v>
      </c>
      <c r="X134" s="154">
        <f t="shared" si="83"/>
        <v>674167.62332333345</v>
      </c>
      <c r="Y134" s="154">
        <f t="shared" si="83"/>
        <v>954124.77264666674</v>
      </c>
      <c r="Z134" s="154">
        <f t="shared" si="83"/>
        <v>1241702.2553033333</v>
      </c>
      <c r="AA134" s="154">
        <f t="shared" si="83"/>
        <v>1529279.7379599998</v>
      </c>
      <c r="AB134" s="154">
        <f t="shared" si="83"/>
        <v>1816857.2206166664</v>
      </c>
      <c r="AC134" s="154">
        <f t="shared" si="83"/>
        <v>2104434.7032733331</v>
      </c>
      <c r="AD134" s="154">
        <f t="shared" si="83"/>
        <v>2392012.1859299997</v>
      </c>
      <c r="AE134" s="154"/>
      <c r="AF134" s="47"/>
      <c r="AG134" s="47"/>
    </row>
    <row r="135" spans="1:33" ht="14.85" customHeight="1" x14ac:dyDescent="0.3">
      <c r="A135" s="112" t="s">
        <v>81</v>
      </c>
      <c r="B135" s="112" t="s">
        <v>571</v>
      </c>
      <c r="C135" s="333"/>
      <c r="D135" s="721">
        <v>1</v>
      </c>
      <c r="E135" s="752" t="str">
        <f t="shared" si="80"/>
        <v>OK</v>
      </c>
      <c r="F135" s="752" t="str">
        <f t="shared" si="81"/>
        <v>OK</v>
      </c>
      <c r="G135" s="47"/>
      <c r="H135" s="368" t="s">
        <v>1048</v>
      </c>
      <c r="I135" s="109" t="s">
        <v>287</v>
      </c>
      <c r="J135" s="799" t="s">
        <v>388</v>
      </c>
      <c r="K135" s="109" t="s">
        <v>388</v>
      </c>
      <c r="L135" s="110">
        <f t="shared" si="82"/>
        <v>0.33333333000000004</v>
      </c>
      <c r="M135" s="902" t="s">
        <v>638</v>
      </c>
      <c r="N135" s="903"/>
      <c r="O135" s="903"/>
      <c r="P135" s="110" t="s">
        <v>1044</v>
      </c>
      <c r="Q135" s="906" t="s">
        <v>1049</v>
      </c>
      <c r="R135" s="506" t="s">
        <v>574</v>
      </c>
      <c r="S135" s="507">
        <f>S132</f>
        <v>390000</v>
      </c>
      <c r="T135" s="507">
        <f>S135+T132</f>
        <v>390000</v>
      </c>
      <c r="U135" s="507">
        <f t="shared" ref="U135:AD135" si="84">T135+U132</f>
        <v>390000</v>
      </c>
      <c r="V135" s="507">
        <f>U135+V132</f>
        <v>391286.43750657118</v>
      </c>
      <c r="W135" s="507">
        <f>V135+W132</f>
        <v>393297.1713301104</v>
      </c>
      <c r="X135" s="507">
        <f t="shared" si="84"/>
        <v>393297.1713301104</v>
      </c>
      <c r="Y135" s="507">
        <f t="shared" si="84"/>
        <v>393297.1713301104</v>
      </c>
      <c r="Z135" s="507">
        <f t="shared" si="84"/>
        <v>393297.1713301104</v>
      </c>
      <c r="AA135" s="507">
        <f t="shared" si="84"/>
        <v>393297.1713301104</v>
      </c>
      <c r="AB135" s="507">
        <f t="shared" si="84"/>
        <v>393297.1713301104</v>
      </c>
      <c r="AC135" s="507">
        <f t="shared" si="84"/>
        <v>393297.1713301104</v>
      </c>
      <c r="AD135" s="507">
        <f t="shared" si="84"/>
        <v>393297.1713301104</v>
      </c>
      <c r="AE135" s="507"/>
      <c r="AF135" s="240"/>
      <c r="AG135" s="47"/>
    </row>
    <row r="136" spans="1:33" ht="14.85" customHeight="1" x14ac:dyDescent="0.3">
      <c r="A136" s="753" t="s">
        <v>81</v>
      </c>
      <c r="B136" s="753" t="s">
        <v>575</v>
      </c>
      <c r="C136" s="751"/>
      <c r="D136" s="754">
        <v>1</v>
      </c>
      <c r="E136" s="755" t="str">
        <f t="shared" si="80"/>
        <v>OK</v>
      </c>
      <c r="F136" s="755" t="str">
        <f t="shared" si="81"/>
        <v>OK</v>
      </c>
      <c r="G136" s="47"/>
      <c r="H136" s="367" t="s">
        <v>1050</v>
      </c>
      <c r="I136" s="106" t="s">
        <v>287</v>
      </c>
      <c r="J136" s="503" t="s">
        <v>388</v>
      </c>
      <c r="K136" s="106" t="s">
        <v>388</v>
      </c>
      <c r="L136" s="107">
        <f>(COUNTIF(I136:K136,"OK"))*33.333333/100</f>
        <v>0.33333333000000004</v>
      </c>
      <c r="M136" s="900" t="s">
        <v>641</v>
      </c>
      <c r="N136" s="901"/>
      <c r="O136" s="901"/>
      <c r="P136" s="110" t="s">
        <v>1044</v>
      </c>
      <c r="Q136" s="905" t="s">
        <v>1051</v>
      </c>
      <c r="R136" s="505" t="s">
        <v>578</v>
      </c>
      <c r="S136" s="537" cm="1">
        <f t="array" ref="S136">IF(ISNUMBER(S132),S135,IF(MAX($R136:R136,$S$135:$AD$135)=0,($A$5/(12-COUNT($S$132:$AD$132)))*(COLUNA()-COLUNA($R$136)-COUNT($S$132:$AD$132)),MAX($R136:R136,$S$135:$AD$135)+(($A$5-MAX($S$135:$AD$135))/(12-COUNT($S$132:$AD$132)))))</f>
        <v>390000</v>
      </c>
      <c r="T136" s="537">
        <v>0</v>
      </c>
      <c r="U136" s="537">
        <v>0</v>
      </c>
      <c r="V136" s="537">
        <v>0</v>
      </c>
      <c r="W136" s="537">
        <v>0</v>
      </c>
      <c r="X136" s="537">
        <v>0</v>
      </c>
      <c r="Y136" s="537">
        <f t="shared" ref="Y136:AD136" si="85">X136+$V$140</f>
        <v>892666.66666666663</v>
      </c>
      <c r="Z136" s="537">
        <f t="shared" si="85"/>
        <v>1785333.3333333333</v>
      </c>
      <c r="AA136" s="537">
        <f t="shared" si="85"/>
        <v>2678000</v>
      </c>
      <c r="AB136" s="537">
        <f t="shared" si="85"/>
        <v>3570666.6666666665</v>
      </c>
      <c r="AC136" s="537">
        <f t="shared" si="85"/>
        <v>4463333.333333333</v>
      </c>
      <c r="AD136" s="537">
        <f t="shared" si="85"/>
        <v>5356000</v>
      </c>
      <c r="AE136" s="154"/>
      <c r="AF136" s="47"/>
      <c r="AG136" s="47"/>
    </row>
    <row r="137" spans="1:33" x14ac:dyDescent="0.3">
      <c r="A137" s="112" t="s">
        <v>81</v>
      </c>
      <c r="B137" s="112" t="s">
        <v>579</v>
      </c>
      <c r="C137" s="333"/>
      <c r="D137" s="721">
        <v>1</v>
      </c>
      <c r="E137" s="752" t="str">
        <f t="shared" si="80"/>
        <v>OK</v>
      </c>
      <c r="F137" s="752" t="str">
        <f t="shared" si="81"/>
        <v>OK</v>
      </c>
      <c r="G137" s="47"/>
      <c r="H137" s="368" t="s">
        <v>1052</v>
      </c>
      <c r="I137" s="109" t="s">
        <v>287</v>
      </c>
      <c r="J137" s="799" t="s">
        <v>388</v>
      </c>
      <c r="K137" s="109" t="s">
        <v>388</v>
      </c>
      <c r="L137" s="110">
        <f t="shared" si="82"/>
        <v>0.33333333000000004</v>
      </c>
      <c r="M137" s="902" t="s">
        <v>644</v>
      </c>
      <c r="N137" s="903"/>
      <c r="O137" s="903"/>
      <c r="P137" s="110" t="s">
        <v>1044</v>
      </c>
      <c r="Q137" s="907" t="s">
        <v>1053</v>
      </c>
      <c r="R137" s="47"/>
      <c r="S137" s="47"/>
      <c r="T137" s="47"/>
      <c r="U137" s="47"/>
      <c r="V137" s="47"/>
      <c r="W137" s="47"/>
      <c r="X137" s="47"/>
      <c r="Y137" s="47"/>
      <c r="Z137" s="47"/>
      <c r="AA137" s="47"/>
      <c r="AB137" s="47"/>
      <c r="AC137" s="47"/>
      <c r="AD137" s="47"/>
      <c r="AE137" s="47"/>
      <c r="AF137" s="47"/>
      <c r="AG137" s="47"/>
    </row>
    <row r="138" spans="1:33" x14ac:dyDescent="0.3">
      <c r="A138" s="753" t="s">
        <v>81</v>
      </c>
      <c r="B138" s="829" t="s">
        <v>583</v>
      </c>
      <c r="C138" s="751"/>
      <c r="D138" s="754">
        <v>1</v>
      </c>
      <c r="E138" s="1007" t="s">
        <v>287</v>
      </c>
      <c r="F138" s="783" t="str">
        <f t="shared" si="81"/>
        <v>NOK</v>
      </c>
      <c r="G138" s="47"/>
      <c r="H138" s="367" t="s">
        <v>1054</v>
      </c>
      <c r="I138" s="106" t="s">
        <v>287</v>
      </c>
      <c r="J138" s="503" t="s">
        <v>388</v>
      </c>
      <c r="K138" s="106" t="s">
        <v>388</v>
      </c>
      <c r="L138" s="107">
        <f t="shared" si="82"/>
        <v>0.33333333000000004</v>
      </c>
      <c r="M138" s="900" t="s">
        <v>647</v>
      </c>
      <c r="N138" s="901"/>
      <c r="O138" s="901"/>
      <c r="P138" s="110" t="s">
        <v>1044</v>
      </c>
      <c r="Q138" s="905" t="s">
        <v>1055</v>
      </c>
      <c r="R138" s="47"/>
      <c r="S138" s="47"/>
      <c r="T138" s="47"/>
      <c r="U138" s="47"/>
      <c r="V138" s="47"/>
      <c r="W138" s="47"/>
      <c r="X138" s="47"/>
      <c r="Y138" s="47"/>
      <c r="Z138" s="47"/>
      <c r="AA138" s="47"/>
      <c r="AB138" s="47"/>
      <c r="AC138" s="47"/>
      <c r="AD138" s="47"/>
      <c r="AE138" s="47"/>
      <c r="AF138" s="47"/>
      <c r="AG138" s="47"/>
    </row>
    <row r="139" spans="1:33" x14ac:dyDescent="0.3">
      <c r="A139" s="112" t="s">
        <v>81</v>
      </c>
      <c r="B139" s="112" t="s">
        <v>587</v>
      </c>
      <c r="C139" s="333"/>
      <c r="D139" s="721">
        <v>1</v>
      </c>
      <c r="E139" s="752" t="str">
        <f t="shared" si="80"/>
        <v>OK</v>
      </c>
      <c r="F139" s="752" t="s">
        <v>488</v>
      </c>
      <c r="G139" s="59"/>
      <c r="H139" s="368" t="s">
        <v>1056</v>
      </c>
      <c r="I139" s="109" t="s">
        <v>287</v>
      </c>
      <c r="J139" s="799" t="s">
        <v>287</v>
      </c>
      <c r="K139" s="109" t="s">
        <v>388</v>
      </c>
      <c r="L139" s="110">
        <f t="shared" si="82"/>
        <v>0.66666666000000008</v>
      </c>
      <c r="M139" s="902" t="s">
        <v>1057</v>
      </c>
      <c r="N139" s="903"/>
      <c r="O139" s="903"/>
      <c r="P139" s="110"/>
      <c r="Q139" s="110"/>
      <c r="R139" s="47"/>
      <c r="S139" s="47"/>
      <c r="T139" s="47"/>
      <c r="U139" s="47"/>
      <c r="V139" s="47"/>
      <c r="W139" s="47"/>
      <c r="X139" s="47"/>
      <c r="Y139" s="47"/>
      <c r="Z139" s="47"/>
      <c r="AA139" s="47"/>
      <c r="AB139" s="47"/>
      <c r="AC139" s="47"/>
      <c r="AD139" s="47"/>
      <c r="AE139" s="47"/>
      <c r="AF139" s="47"/>
      <c r="AG139" s="47"/>
    </row>
    <row r="140" spans="1:33" ht="14.85" customHeight="1" x14ac:dyDescent="0.3">
      <c r="A140" s="753" t="s">
        <v>81</v>
      </c>
      <c r="B140" s="753" t="s">
        <v>590</v>
      </c>
      <c r="C140" s="751"/>
      <c r="D140" s="754">
        <v>1</v>
      </c>
      <c r="E140" s="1007" t="s">
        <v>287</v>
      </c>
      <c r="F140" s="755" t="str">
        <f t="shared" si="81"/>
        <v>OK</v>
      </c>
      <c r="G140" s="59"/>
      <c r="H140" s="367" t="s">
        <v>1058</v>
      </c>
      <c r="I140" s="106" t="s">
        <v>287</v>
      </c>
      <c r="J140" s="503" t="s">
        <v>287</v>
      </c>
      <c r="K140" s="106" t="s">
        <v>388</v>
      </c>
      <c r="L140" s="107">
        <f t="shared" si="82"/>
        <v>0.66666666000000008</v>
      </c>
      <c r="M140" s="900" t="s">
        <v>1059</v>
      </c>
      <c r="N140" s="901"/>
      <c r="O140" s="901"/>
      <c r="P140" s="107"/>
      <c r="Q140" s="107"/>
      <c r="R140" s="47"/>
      <c r="S140" s="47"/>
      <c r="T140" s="47"/>
      <c r="U140" s="47"/>
      <c r="V140" s="47">
        <f>A5/6</f>
        <v>892666.66666666663</v>
      </c>
      <c r="W140" s="47"/>
      <c r="X140" s="47"/>
      <c r="Y140" s="47"/>
      <c r="Z140" s="47"/>
      <c r="AA140" s="47"/>
      <c r="AB140" s="47"/>
      <c r="AC140" s="47"/>
      <c r="AD140" s="47"/>
      <c r="AE140" s="47"/>
      <c r="AF140" s="47"/>
      <c r="AG140" s="47"/>
    </row>
    <row r="141" spans="1:33" ht="14.85" customHeight="1" x14ac:dyDescent="0.3">
      <c r="A141" s="112" t="s">
        <v>81</v>
      </c>
      <c r="B141" s="727" t="s">
        <v>593</v>
      </c>
      <c r="C141" s="333"/>
      <c r="D141" s="721">
        <v>1</v>
      </c>
      <c r="E141" s="1006" t="s">
        <v>287</v>
      </c>
      <c r="F141" s="460" t="str">
        <f>_xlfn.XLOOKUP(B141,$B$355:$B$401,$F$355:$F$401)</f>
        <v>Não Ok</v>
      </c>
      <c r="G141" s="59"/>
      <c r="H141" s="368" t="s">
        <v>1060</v>
      </c>
      <c r="I141" s="109" t="s">
        <v>287</v>
      </c>
      <c r="J141" s="503" t="s">
        <v>287</v>
      </c>
      <c r="K141" s="109" t="s">
        <v>388</v>
      </c>
      <c r="L141" s="110">
        <f t="shared" si="82"/>
        <v>0.66666666000000008</v>
      </c>
      <c r="M141" s="902" t="s">
        <v>1061</v>
      </c>
      <c r="N141" s="903"/>
      <c r="O141" s="903"/>
      <c r="P141" s="110"/>
      <c r="Q141" s="110"/>
      <c r="R141" s="47"/>
      <c r="S141" s="47"/>
      <c r="T141" s="47"/>
      <c r="U141" s="47"/>
      <c r="V141" s="47"/>
      <c r="W141" s="47"/>
      <c r="X141" s="47"/>
      <c r="Y141" s="47"/>
      <c r="Z141" s="47"/>
      <c r="AA141" s="47"/>
      <c r="AB141" s="47"/>
      <c r="AC141" s="47"/>
      <c r="AD141" s="47"/>
      <c r="AE141" s="47"/>
      <c r="AF141" s="47"/>
      <c r="AG141" s="47"/>
    </row>
    <row r="142" spans="1:33" x14ac:dyDescent="0.3">
      <c r="A142" s="753" t="s">
        <v>81</v>
      </c>
      <c r="B142" s="753" t="s">
        <v>596</v>
      </c>
      <c r="C142" s="751"/>
      <c r="D142" s="754">
        <v>1</v>
      </c>
      <c r="E142" s="1007" t="str">
        <f t="shared" si="80"/>
        <v>OK</v>
      </c>
      <c r="F142" s="755" t="str">
        <f t="shared" si="81"/>
        <v>OK</v>
      </c>
      <c r="G142" s="59"/>
      <c r="H142" s="105"/>
      <c r="I142" s="106"/>
      <c r="J142" s="106"/>
      <c r="K142" s="106"/>
      <c r="L142" s="107"/>
      <c r="M142" s="900" t="s">
        <v>111</v>
      </c>
      <c r="N142" s="901"/>
      <c r="O142" s="901"/>
      <c r="P142" s="107"/>
      <c r="Q142" s="107"/>
      <c r="R142" s="47"/>
      <c r="S142" s="47"/>
      <c r="T142" s="47"/>
      <c r="U142" s="47"/>
      <c r="V142" s="47"/>
      <c r="W142" s="47"/>
      <c r="X142" s="47"/>
      <c r="Y142" s="47"/>
      <c r="Z142" s="47"/>
      <c r="AA142" s="47"/>
      <c r="AB142" s="47"/>
      <c r="AC142" s="47"/>
      <c r="AD142" s="47"/>
      <c r="AE142" s="47"/>
      <c r="AF142" s="47"/>
      <c r="AG142" s="47"/>
    </row>
    <row r="143" spans="1:33" x14ac:dyDescent="0.3">
      <c r="A143" s="112" t="s">
        <v>86</v>
      </c>
      <c r="B143" s="790" t="s">
        <v>599</v>
      </c>
      <c r="C143" s="333"/>
      <c r="D143" s="721">
        <v>1</v>
      </c>
      <c r="E143" s="1006" t="s">
        <v>287</v>
      </c>
      <c r="F143" s="1006" t="s">
        <v>287</v>
      </c>
      <c r="G143" s="59"/>
      <c r="H143" s="108"/>
      <c r="I143" s="109"/>
      <c r="J143" s="109"/>
      <c r="K143" s="109"/>
      <c r="L143" s="110"/>
      <c r="M143" s="902" t="s">
        <v>111</v>
      </c>
      <c r="N143" s="903"/>
      <c r="O143" s="903"/>
      <c r="P143" s="110"/>
      <c r="Q143" s="110"/>
      <c r="R143" s="47"/>
      <c r="S143" s="47"/>
      <c r="T143" s="47"/>
      <c r="U143" s="47"/>
      <c r="V143" s="47"/>
      <c r="W143" s="47"/>
      <c r="X143" s="47"/>
      <c r="Y143" s="47"/>
      <c r="Z143" s="47"/>
      <c r="AA143" s="47"/>
      <c r="AB143" s="47"/>
      <c r="AC143" s="47"/>
      <c r="AD143" s="47"/>
      <c r="AE143" s="47"/>
      <c r="AF143" s="47"/>
      <c r="AG143" s="47"/>
    </row>
    <row r="144" spans="1:33" x14ac:dyDescent="0.3">
      <c r="A144" s="753" t="s">
        <v>78</v>
      </c>
      <c r="B144" s="787" t="s">
        <v>602</v>
      </c>
      <c r="C144" s="751"/>
      <c r="D144" s="754">
        <v>2</v>
      </c>
      <c r="E144" s="1007" t="str">
        <f t="shared" si="80"/>
        <v>NOK</v>
      </c>
      <c r="F144" s="783" t="str">
        <f t="shared" si="81"/>
        <v>NOK</v>
      </c>
      <c r="G144" s="59"/>
      <c r="H144" s="105"/>
      <c r="I144" s="106"/>
      <c r="J144" s="106"/>
      <c r="K144" s="106"/>
      <c r="L144" s="107"/>
      <c r="M144" s="900" t="s">
        <v>111</v>
      </c>
      <c r="N144" s="901"/>
      <c r="O144" s="901"/>
      <c r="P144" s="107"/>
      <c r="Q144" s="107"/>
      <c r="R144" s="47"/>
      <c r="S144" s="47"/>
      <c r="T144" s="47"/>
      <c r="U144" s="47"/>
      <c r="V144" s="47"/>
      <c r="W144" s="47"/>
      <c r="X144" s="47"/>
      <c r="Y144" s="47"/>
      <c r="Z144" s="47"/>
      <c r="AA144" s="47"/>
      <c r="AB144" s="47"/>
      <c r="AC144" s="47"/>
      <c r="AD144" s="47"/>
      <c r="AE144" s="47"/>
      <c r="AF144" s="47"/>
      <c r="AG144" s="47"/>
    </row>
    <row r="145" spans="1:33" x14ac:dyDescent="0.3">
      <c r="A145" s="112" t="s">
        <v>81</v>
      </c>
      <c r="B145" s="790" t="s">
        <v>605</v>
      </c>
      <c r="C145" s="333"/>
      <c r="D145" s="721">
        <v>2</v>
      </c>
      <c r="E145" s="1006" t="str">
        <f>_xlfn.XLOOKUP(B145,$B$355:$B$401,$E$355:$E$401)</f>
        <v>N/A</v>
      </c>
      <c r="F145" s="460" t="str">
        <f t="shared" si="81"/>
        <v>NOK</v>
      </c>
      <c r="G145" s="59"/>
      <c r="H145" s="108"/>
      <c r="I145" s="109"/>
      <c r="J145" s="109"/>
      <c r="K145" s="109"/>
      <c r="L145" s="110"/>
      <c r="M145" s="902" t="s">
        <v>111</v>
      </c>
      <c r="N145" s="903"/>
      <c r="O145" s="903"/>
      <c r="P145" s="110"/>
      <c r="Q145" s="110"/>
      <c r="R145" s="47"/>
      <c r="S145" s="47"/>
      <c r="T145" s="47"/>
      <c r="U145" s="47"/>
      <c r="V145" s="47"/>
      <c r="W145" s="47"/>
      <c r="X145" s="47"/>
      <c r="Y145" s="47"/>
      <c r="Z145" s="47"/>
      <c r="AA145" s="47"/>
      <c r="AB145" s="47"/>
      <c r="AC145" s="47"/>
      <c r="AD145" s="47"/>
      <c r="AE145" s="47"/>
      <c r="AF145" s="47"/>
      <c r="AG145" s="47"/>
    </row>
    <row r="146" spans="1:33" x14ac:dyDescent="0.3">
      <c r="A146" s="753" t="s">
        <v>81</v>
      </c>
      <c r="B146" s="753" t="s">
        <v>608</v>
      </c>
      <c r="C146" s="751"/>
      <c r="D146" s="754">
        <v>2</v>
      </c>
      <c r="E146" s="1007" t="str">
        <f t="shared" si="80"/>
        <v>NOK</v>
      </c>
      <c r="F146" s="783" t="str">
        <f t="shared" si="81"/>
        <v>NOK</v>
      </c>
      <c r="G146" s="59"/>
      <c r="H146" s="105"/>
      <c r="I146" s="106"/>
      <c r="J146" s="106"/>
      <c r="K146" s="106"/>
      <c r="L146" s="107"/>
      <c r="M146" s="900"/>
      <c r="N146" s="901"/>
      <c r="O146" s="901"/>
      <c r="P146" s="107"/>
      <c r="Q146" s="107"/>
      <c r="R146" s="47"/>
      <c r="S146" s="47"/>
      <c r="T146" s="47"/>
      <c r="U146" s="47"/>
      <c r="V146" s="47"/>
      <c r="W146" s="47"/>
      <c r="X146" s="47"/>
      <c r="Y146" s="47"/>
      <c r="Z146" s="47"/>
      <c r="AA146" s="47"/>
      <c r="AB146" s="47"/>
      <c r="AC146" s="47"/>
      <c r="AD146" s="47"/>
      <c r="AE146" s="47"/>
      <c r="AF146" s="47"/>
      <c r="AG146" s="47"/>
    </row>
    <row r="147" spans="1:33" x14ac:dyDescent="0.3">
      <c r="A147" s="112" t="s">
        <v>84</v>
      </c>
      <c r="B147" s="112" t="s">
        <v>611</v>
      </c>
      <c r="C147" s="333"/>
      <c r="D147" s="721">
        <v>2</v>
      </c>
      <c r="E147" s="1006" t="str">
        <f t="shared" si="80"/>
        <v>OK</v>
      </c>
      <c r="F147" s="460" t="str">
        <f t="shared" si="81"/>
        <v>NOK</v>
      </c>
      <c r="G147" s="59"/>
      <c r="H147" s="108"/>
      <c r="I147" s="109"/>
      <c r="J147" s="109"/>
      <c r="K147" s="109"/>
      <c r="L147" s="110"/>
      <c r="M147" s="902" t="s">
        <v>111</v>
      </c>
      <c r="N147" s="903"/>
      <c r="O147" s="903"/>
      <c r="P147" s="110"/>
      <c r="Q147" s="110"/>
      <c r="R147" s="47"/>
      <c r="S147" s="47"/>
      <c r="T147" s="47"/>
      <c r="U147" s="47"/>
      <c r="V147" s="47"/>
      <c r="W147" s="47"/>
      <c r="X147" s="47"/>
      <c r="Y147" s="47"/>
      <c r="Z147" s="47"/>
      <c r="AA147" s="47"/>
      <c r="AB147" s="47"/>
      <c r="AC147" s="47"/>
      <c r="AD147" s="47"/>
      <c r="AE147" s="47"/>
      <c r="AF147" s="47"/>
      <c r="AG147" s="47"/>
    </row>
    <row r="148" spans="1:33" x14ac:dyDescent="0.3">
      <c r="A148" s="753" t="s">
        <v>84</v>
      </c>
      <c r="B148" s="753" t="s">
        <v>614</v>
      </c>
      <c r="C148" s="751"/>
      <c r="D148" s="754">
        <v>2</v>
      </c>
      <c r="E148" s="755" t="str">
        <f t="shared" si="80"/>
        <v>NOK</v>
      </c>
      <c r="F148" s="783" t="str">
        <f t="shared" si="81"/>
        <v>NOK</v>
      </c>
      <c r="G148" s="59"/>
      <c r="H148" s="105"/>
      <c r="I148" s="106"/>
      <c r="J148" s="106"/>
      <c r="K148" s="106"/>
      <c r="L148" s="107"/>
      <c r="M148" s="900" t="s">
        <v>111</v>
      </c>
      <c r="N148" s="901"/>
      <c r="O148" s="901"/>
      <c r="P148" s="107"/>
      <c r="Q148" s="107"/>
      <c r="R148" s="47"/>
      <c r="S148" s="47"/>
      <c r="T148" s="47"/>
      <c r="U148" s="47"/>
      <c r="V148" s="47"/>
      <c r="W148" s="47"/>
      <c r="X148" s="47"/>
      <c r="Y148" s="47"/>
      <c r="Z148" s="47"/>
      <c r="AA148" s="47"/>
      <c r="AB148" s="47"/>
      <c r="AC148" s="47"/>
      <c r="AD148" s="47"/>
      <c r="AE148" s="47"/>
      <c r="AF148" s="47"/>
      <c r="AG148" s="47"/>
    </row>
    <row r="149" spans="1:33" x14ac:dyDescent="0.3">
      <c r="A149" s="112" t="s">
        <v>84</v>
      </c>
      <c r="B149" s="112" t="s">
        <v>617</v>
      </c>
      <c r="C149" s="333"/>
      <c r="D149" s="721">
        <v>2</v>
      </c>
      <c r="E149" s="752" t="str">
        <f t="shared" si="80"/>
        <v>OK</v>
      </c>
      <c r="F149" s="752" t="str">
        <f t="shared" si="81"/>
        <v>OK</v>
      </c>
      <c r="G149" s="59"/>
      <c r="H149" s="108"/>
      <c r="I149" s="109"/>
      <c r="J149" s="109"/>
      <c r="K149" s="109"/>
      <c r="L149" s="110"/>
      <c r="M149" s="902" t="s">
        <v>111</v>
      </c>
      <c r="N149" s="903"/>
      <c r="O149" s="903"/>
      <c r="P149" s="110"/>
      <c r="Q149" s="110"/>
      <c r="R149" s="47"/>
      <c r="S149" s="47"/>
      <c r="T149" s="47"/>
      <c r="U149" s="47"/>
      <c r="V149" s="47"/>
      <c r="W149" s="47"/>
      <c r="X149" s="47"/>
      <c r="Y149" s="47"/>
      <c r="Z149" s="47"/>
      <c r="AA149" s="47"/>
      <c r="AB149" s="47"/>
      <c r="AC149" s="47"/>
      <c r="AD149" s="47"/>
      <c r="AE149" s="47"/>
      <c r="AF149" s="47"/>
      <c r="AG149" s="47"/>
    </row>
    <row r="150" spans="1:33" x14ac:dyDescent="0.3">
      <c r="A150" s="753" t="s">
        <v>84</v>
      </c>
      <c r="B150" s="753" t="s">
        <v>621</v>
      </c>
      <c r="C150" s="751"/>
      <c r="D150" s="754">
        <v>2</v>
      </c>
      <c r="E150" s="755" t="str">
        <f t="shared" si="80"/>
        <v>OK</v>
      </c>
      <c r="F150" s="755" t="str">
        <f t="shared" si="81"/>
        <v>OK</v>
      </c>
      <c r="G150" s="59"/>
      <c r="H150" s="105"/>
      <c r="I150" s="106"/>
      <c r="J150" s="106"/>
      <c r="K150" s="106"/>
      <c r="L150" s="107"/>
      <c r="M150" s="900" t="s">
        <v>111</v>
      </c>
      <c r="N150" s="901"/>
      <c r="O150" s="901"/>
      <c r="P150" s="107"/>
      <c r="Q150" s="107"/>
      <c r="R150" s="47"/>
      <c r="S150" s="47"/>
      <c r="T150" s="47"/>
      <c r="U150" s="47"/>
      <c r="V150" s="47"/>
      <c r="W150" s="47"/>
      <c r="X150" s="47"/>
      <c r="Y150" s="47"/>
      <c r="Z150" s="47"/>
      <c r="AA150" s="47"/>
      <c r="AB150" s="47"/>
      <c r="AC150" s="47"/>
      <c r="AD150" s="47"/>
      <c r="AE150" s="47"/>
      <c r="AF150" s="47"/>
      <c r="AG150" s="47"/>
    </row>
    <row r="151" spans="1:33" x14ac:dyDescent="0.3">
      <c r="A151" s="112" t="s">
        <v>84</v>
      </c>
      <c r="B151" s="112" t="s">
        <v>624</v>
      </c>
      <c r="C151" s="333"/>
      <c r="D151" s="721">
        <v>2</v>
      </c>
      <c r="E151" s="752" t="str">
        <f t="shared" si="80"/>
        <v>NOK</v>
      </c>
      <c r="F151" s="460" t="str">
        <f t="shared" si="81"/>
        <v>NOK</v>
      </c>
      <c r="G151" s="59"/>
      <c r="H151" s="108"/>
      <c r="I151" s="109"/>
      <c r="J151" s="109"/>
      <c r="K151" s="109"/>
      <c r="L151" s="110"/>
      <c r="M151" s="902" t="s">
        <v>111</v>
      </c>
      <c r="N151" s="903"/>
      <c r="O151" s="903"/>
      <c r="P151" s="110"/>
      <c r="Q151" s="110"/>
      <c r="R151" s="47"/>
      <c r="S151" s="47"/>
      <c r="T151" s="47"/>
      <c r="U151" s="47"/>
      <c r="V151" s="47"/>
      <c r="W151" s="47"/>
      <c r="X151" s="47"/>
      <c r="Y151" s="47"/>
      <c r="Z151" s="47"/>
      <c r="AA151" s="47"/>
      <c r="AB151" s="47"/>
      <c r="AC151" s="47"/>
      <c r="AD151" s="47"/>
      <c r="AE151" s="47"/>
      <c r="AF151" s="47"/>
      <c r="AG151" s="47"/>
    </row>
    <row r="152" spans="1:33" x14ac:dyDescent="0.3">
      <c r="A152" s="753" t="s">
        <v>84</v>
      </c>
      <c r="B152" s="753" t="s">
        <v>627</v>
      </c>
      <c r="C152" s="751"/>
      <c r="D152" s="754">
        <v>2</v>
      </c>
      <c r="E152" s="755" t="str">
        <f t="shared" si="80"/>
        <v>NOK</v>
      </c>
      <c r="F152" s="783" t="str">
        <f t="shared" si="81"/>
        <v>NOK</v>
      </c>
      <c r="G152" s="59"/>
      <c r="H152" s="105"/>
      <c r="I152" s="106"/>
      <c r="J152" s="106"/>
      <c r="K152" s="106"/>
      <c r="L152" s="107"/>
      <c r="M152" s="900" t="s">
        <v>111</v>
      </c>
      <c r="N152" s="901"/>
      <c r="O152" s="901"/>
      <c r="P152" s="107"/>
      <c r="Q152" s="107"/>
      <c r="R152" s="47"/>
      <c r="S152" s="47"/>
      <c r="T152" s="47"/>
      <c r="U152" s="47"/>
      <c r="V152" s="47"/>
      <c r="W152" s="47"/>
      <c r="X152" s="47"/>
      <c r="Y152" s="47"/>
      <c r="Z152" s="47"/>
      <c r="AA152" s="47"/>
      <c r="AB152" s="47"/>
      <c r="AC152" s="47"/>
      <c r="AD152" s="47"/>
      <c r="AE152" s="47"/>
      <c r="AF152" s="47"/>
      <c r="AG152" s="47"/>
    </row>
    <row r="153" spans="1:33" x14ac:dyDescent="0.3">
      <c r="A153" s="112" t="s">
        <v>84</v>
      </c>
      <c r="B153" s="112" t="s">
        <v>630</v>
      </c>
      <c r="C153" s="333"/>
      <c r="D153" s="721">
        <v>2</v>
      </c>
      <c r="E153" s="752" t="str">
        <f t="shared" si="80"/>
        <v>NOK</v>
      </c>
      <c r="F153" s="460" t="str">
        <f t="shared" si="81"/>
        <v>NOK</v>
      </c>
      <c r="G153" s="59"/>
      <c r="H153" s="108"/>
      <c r="I153" s="109"/>
      <c r="J153" s="109"/>
      <c r="K153" s="109"/>
      <c r="L153" s="110"/>
      <c r="M153" s="902" t="s">
        <v>111</v>
      </c>
      <c r="N153" s="903"/>
      <c r="O153" s="903"/>
      <c r="P153" s="110"/>
      <c r="Q153" s="110"/>
      <c r="R153" s="47"/>
      <c r="S153" s="47"/>
      <c r="T153" s="47"/>
      <c r="U153" s="47"/>
      <c r="V153" s="47"/>
      <c r="W153" s="47"/>
      <c r="X153" s="47"/>
      <c r="Y153" s="47"/>
      <c r="Z153" s="47"/>
      <c r="AA153" s="47"/>
      <c r="AB153" s="47"/>
      <c r="AC153" s="47"/>
      <c r="AD153" s="47"/>
      <c r="AE153" s="47"/>
      <c r="AF153" s="47"/>
      <c r="AG153" s="47"/>
    </row>
    <row r="154" spans="1:33" ht="14.85" customHeight="1" x14ac:dyDescent="0.3">
      <c r="A154" s="753" t="s">
        <v>84</v>
      </c>
      <c r="B154" s="753" t="s">
        <v>634</v>
      </c>
      <c r="C154" s="751"/>
      <c r="D154" s="754">
        <v>2</v>
      </c>
      <c r="E154" s="755" t="str">
        <f t="shared" si="80"/>
        <v>NOK</v>
      </c>
      <c r="F154" s="783" t="str">
        <f t="shared" si="81"/>
        <v>NOK</v>
      </c>
      <c r="G154" s="59"/>
      <c r="H154" s="155"/>
      <c r="I154" s="104">
        <f>COUNTIF(I132:I153,"OK")/(COUNTIF(I132:I153,"OK")+COUNTIF(I132:I153,"Não OK"))</f>
        <v>1</v>
      </c>
      <c r="J154" s="472">
        <f>COUNTIF(J132:J153,"OK")/(COUNTIF(J132:J153,"OK")+COUNTIF(J132:J153,"Não OK"))</f>
        <v>0.3</v>
      </c>
      <c r="K154" s="472">
        <f>COUNTIF(K132:K153,"OK")/(COUNTIF(K132:K153,"OK")+COUNTIF(K132:K153,"Não OK"))</f>
        <v>0</v>
      </c>
      <c r="L154" s="966">
        <f>AVERAGE(L132:L153)</f>
        <v>0.43333332900000004</v>
      </c>
      <c r="M154" s="590"/>
      <c r="N154" s="590"/>
      <c r="O154" s="904"/>
      <c r="P154" s="104"/>
      <c r="Q154" s="104"/>
      <c r="R154" s="47"/>
      <c r="S154" s="47"/>
      <c r="T154" s="47"/>
      <c r="U154" s="47"/>
      <c r="V154" s="47"/>
      <c r="W154" s="47"/>
      <c r="X154" s="47"/>
      <c r="Y154" s="47"/>
      <c r="Z154" s="47"/>
      <c r="AA154" s="47"/>
      <c r="AB154" s="47"/>
      <c r="AC154" s="47"/>
      <c r="AD154" s="47"/>
      <c r="AE154" s="47"/>
      <c r="AF154" s="47"/>
      <c r="AG154" s="47"/>
    </row>
    <row r="155" spans="1:33" ht="14.85" customHeight="1" x14ac:dyDescent="0.3">
      <c r="A155" s="112" t="s">
        <v>84</v>
      </c>
      <c r="B155" s="727" t="s">
        <v>636</v>
      </c>
      <c r="C155" s="333"/>
      <c r="D155" s="721">
        <v>2</v>
      </c>
      <c r="E155" s="650" t="s">
        <v>287</v>
      </c>
      <c r="F155" s="460" t="str">
        <f t="shared" si="81"/>
        <v>NOK</v>
      </c>
      <c r="G155" s="47"/>
      <c r="H155" s="59"/>
      <c r="I155" s="59"/>
      <c r="J155" s="59"/>
      <c r="K155" s="59"/>
      <c r="L155" s="59"/>
      <c r="M155" s="59"/>
      <c r="N155" s="59"/>
      <c r="O155" s="59"/>
      <c r="P155" s="47"/>
      <c r="Q155" s="47"/>
      <c r="R155" s="47"/>
      <c r="S155" s="47"/>
      <c r="T155" s="47"/>
      <c r="U155" s="47"/>
      <c r="V155" s="47"/>
      <c r="W155" s="47"/>
      <c r="X155" s="47"/>
      <c r="Y155" s="47"/>
      <c r="Z155" s="47"/>
      <c r="AA155" s="47"/>
      <c r="AB155" s="47"/>
      <c r="AC155" s="47"/>
      <c r="AD155" s="47"/>
      <c r="AE155" s="47"/>
      <c r="AF155" s="47"/>
      <c r="AG155" s="47"/>
    </row>
    <row r="156" spans="1:33" ht="15.6" x14ac:dyDescent="0.3">
      <c r="A156" s="753" t="s">
        <v>84</v>
      </c>
      <c r="B156" s="753" t="s">
        <v>639</v>
      </c>
      <c r="C156" s="751"/>
      <c r="D156" s="754">
        <v>2</v>
      </c>
      <c r="E156" s="755" t="str">
        <f t="shared" si="80"/>
        <v>OK</v>
      </c>
      <c r="F156" s="783" t="str">
        <f t="shared" si="81"/>
        <v>NOK</v>
      </c>
      <c r="G156" s="47"/>
      <c r="H156" s="395" t="s">
        <v>671</v>
      </c>
      <c r="I156" s="395"/>
      <c r="J156" s="395"/>
      <c r="K156" s="395"/>
      <c r="L156" s="99"/>
      <c r="M156" s="99"/>
      <c r="N156" s="99"/>
      <c r="O156" s="47"/>
      <c r="P156" s="47"/>
      <c r="Q156" s="47"/>
      <c r="R156" s="47"/>
      <c r="S156" s="47"/>
      <c r="T156" s="47"/>
      <c r="U156" s="47"/>
      <c r="V156" s="47"/>
      <c r="W156" s="47"/>
      <c r="X156" s="47"/>
      <c r="Y156" s="47"/>
      <c r="Z156" s="47"/>
      <c r="AA156" s="47"/>
      <c r="AB156" s="47"/>
      <c r="AC156" s="47"/>
      <c r="AD156" s="47"/>
      <c r="AE156" s="47"/>
      <c r="AF156" s="47"/>
      <c r="AG156" s="47"/>
    </row>
    <row r="157" spans="1:33" x14ac:dyDescent="0.3">
      <c r="A157" s="112" t="s">
        <v>84</v>
      </c>
      <c r="B157" s="112" t="s">
        <v>642</v>
      </c>
      <c r="C157" s="333"/>
      <c r="D157" s="721">
        <v>2</v>
      </c>
      <c r="E157" s="752" t="str">
        <f t="shared" si="80"/>
        <v>NOK</v>
      </c>
      <c r="F157" s="460" t="str">
        <f t="shared" si="81"/>
        <v>NOK</v>
      </c>
      <c r="G157" s="47"/>
      <c r="H157" s="335" t="s">
        <v>72</v>
      </c>
      <c r="I157" s="335" t="s">
        <v>73</v>
      </c>
      <c r="J157" s="335" t="s">
        <v>75</v>
      </c>
      <c r="K157" s="335" t="s">
        <v>74</v>
      </c>
      <c r="L157" s="335" t="s">
        <v>73</v>
      </c>
      <c r="M157" s="335" t="s">
        <v>74</v>
      </c>
      <c r="N157" s="335" t="s">
        <v>75</v>
      </c>
      <c r="O157" s="47"/>
      <c r="P157" s="47"/>
      <c r="Q157" s="47"/>
      <c r="R157" s="47"/>
      <c r="S157" s="47"/>
      <c r="T157" s="47"/>
      <c r="U157" s="47"/>
      <c r="V157" s="47"/>
      <c r="W157" s="47"/>
      <c r="X157" s="47"/>
      <c r="Y157" s="47"/>
      <c r="Z157" s="47"/>
      <c r="AA157" s="47"/>
      <c r="AB157" s="47"/>
      <c r="AC157" s="47"/>
      <c r="AD157" s="47"/>
      <c r="AE157" s="47"/>
      <c r="AF157" s="47"/>
      <c r="AG157" s="47"/>
    </row>
    <row r="158" spans="1:33" ht="14.85" customHeight="1" x14ac:dyDescent="0.3">
      <c r="A158" s="753" t="s">
        <v>78</v>
      </c>
      <c r="B158" s="753" t="s">
        <v>645</v>
      </c>
      <c r="C158" s="751"/>
      <c r="D158" s="754">
        <v>3</v>
      </c>
      <c r="E158" s="755" t="str">
        <f t="shared" si="80"/>
        <v>OK</v>
      </c>
      <c r="F158" s="755" t="str">
        <f t="shared" si="81"/>
        <v>OK</v>
      </c>
      <c r="G158" s="47"/>
      <c r="H158" s="750" t="s">
        <v>78</v>
      </c>
      <c r="I158" s="320">
        <f>COUNTIFS($E$131:$E$158,"OK",$A$131:$A$158,H158)</f>
        <v>3</v>
      </c>
      <c r="J158" s="320">
        <f>COUNTIF($A$130:$A$157,H158)</f>
        <v>3</v>
      </c>
      <c r="K158" s="320">
        <f>COUNTIFS($A$131:$A$158,H158,$F$131:$F$158,"OK")</f>
        <v>3</v>
      </c>
      <c r="L158" s="322">
        <f>IF(I158=0,"0",I158/J158)</f>
        <v>1</v>
      </c>
      <c r="M158" s="322">
        <f>IF(K158=0,"0",K158/J158)</f>
        <v>1</v>
      </c>
      <c r="N158" s="342">
        <v>1</v>
      </c>
      <c r="O158" s="47"/>
      <c r="P158" s="47"/>
      <c r="Q158" s="47"/>
      <c r="R158" s="47"/>
      <c r="S158" s="47"/>
      <c r="T158" s="47"/>
      <c r="U158" s="47"/>
      <c r="V158" s="47"/>
      <c r="W158" s="47"/>
      <c r="X158" s="47"/>
      <c r="Y158" s="47"/>
      <c r="Z158" s="47"/>
      <c r="AA158" s="47"/>
      <c r="AB158" s="47"/>
      <c r="AC158" s="47"/>
      <c r="AD158" s="47"/>
      <c r="AE158" s="47"/>
      <c r="AF158" s="47"/>
      <c r="AG158" s="47"/>
    </row>
    <row r="159" spans="1:33" ht="21" x14ac:dyDescent="0.3">
      <c r="A159" s="100"/>
      <c r="B159" s="100"/>
      <c r="C159" s="100"/>
      <c r="D159" s="113"/>
      <c r="E159" s="113">
        <f>(COUNTIF(E131:E158,"OK")+COUNTIF(E131:E158,"N/A"))/28</f>
        <v>0.7142857142857143</v>
      </c>
      <c r="F159" s="113">
        <f>(COUNTIF(F131:F158,"OK"))/28</f>
        <v>0.42857142857142855</v>
      </c>
      <c r="G159" s="47"/>
      <c r="H159" s="756" t="s">
        <v>81</v>
      </c>
      <c r="I159" s="768">
        <f>COUNTIFS($E$131:$E$158,"OK",$A$131:$A$158,H159)</f>
        <v>10</v>
      </c>
      <c r="J159" s="768">
        <f>COUNTIF($A$131:$A$158,H159)</f>
        <v>12</v>
      </c>
      <c r="K159" s="768">
        <f>COUNTIFS($A$131:$A$158,H159,$F$131:$F$158,"OK")</f>
        <v>6</v>
      </c>
      <c r="L159" s="769">
        <f>IF(I159=0,"0",I159/J159)</f>
        <v>0.83333333333333337</v>
      </c>
      <c r="M159" s="769">
        <f>IF(K159=0,"0",K159/J159)</f>
        <v>0.5</v>
      </c>
      <c r="N159" s="770">
        <v>1</v>
      </c>
      <c r="O159" s="47"/>
      <c r="P159" s="47"/>
      <c r="Q159" s="47"/>
      <c r="R159" s="47"/>
      <c r="S159" s="47"/>
      <c r="T159" s="47"/>
      <c r="U159" s="47"/>
      <c r="V159" s="47"/>
      <c r="W159" s="47"/>
      <c r="X159" s="47"/>
      <c r="Y159" s="47"/>
      <c r="Z159" s="47"/>
      <c r="AA159" s="47"/>
      <c r="AB159" s="47"/>
      <c r="AC159" s="47"/>
      <c r="AD159" s="47"/>
      <c r="AE159" s="47"/>
      <c r="AF159" s="47"/>
      <c r="AG159" s="47"/>
    </row>
    <row r="160" spans="1:33" x14ac:dyDescent="0.3">
      <c r="A160" s="47"/>
      <c r="B160" s="47"/>
      <c r="C160" s="47"/>
      <c r="D160" s="47"/>
      <c r="E160" s="47"/>
      <c r="F160" s="47"/>
      <c r="G160" s="47"/>
      <c r="H160" s="352" t="s">
        <v>84</v>
      </c>
      <c r="I160" s="320">
        <f>COUNTIFS($E$131:$E$158,"OK",$A$131:$A$158,H160)</f>
        <v>5</v>
      </c>
      <c r="J160" s="320">
        <f>COUNTIF($A$131:$A$158,H160)</f>
        <v>11</v>
      </c>
      <c r="K160" s="320">
        <f>COUNTIFS($A$131:$A$158,H160,$F$131:$F$158,"OK")</f>
        <v>2</v>
      </c>
      <c r="L160" s="322">
        <f>IF(I160=0,"0",I160/J160)</f>
        <v>0.45454545454545453</v>
      </c>
      <c r="M160" s="322">
        <f>IF(K160=0,"0",K160/J160)</f>
        <v>0.18181818181818182</v>
      </c>
      <c r="N160" s="342">
        <v>1</v>
      </c>
      <c r="O160" s="47"/>
      <c r="P160" s="47"/>
      <c r="Q160" s="47"/>
      <c r="R160" s="47"/>
      <c r="S160" s="47"/>
      <c r="T160" s="47"/>
      <c r="U160" s="47"/>
      <c r="V160" s="47"/>
      <c r="W160" s="47"/>
      <c r="X160" s="47"/>
      <c r="Y160" s="47"/>
      <c r="Z160" s="47"/>
      <c r="AA160" s="47"/>
      <c r="AB160" s="47"/>
      <c r="AC160" s="47"/>
      <c r="AD160" s="47"/>
      <c r="AE160" s="47"/>
      <c r="AF160" s="47"/>
      <c r="AG160" s="47"/>
    </row>
    <row r="161" spans="1:33" x14ac:dyDescent="0.3">
      <c r="A161" s="47"/>
      <c r="B161" s="47"/>
      <c r="C161" s="47"/>
      <c r="D161" s="47"/>
      <c r="E161" s="47"/>
      <c r="F161" s="47"/>
      <c r="G161" s="47"/>
      <c r="H161" s="756" t="s">
        <v>86</v>
      </c>
      <c r="I161" s="768">
        <f>COUNTIFS($E$131:$E$158,"OK",$A$131:$A$158,H161)</f>
        <v>1</v>
      </c>
      <c r="J161" s="768">
        <f>COUNTIF($A$131:$A$158,H161)</f>
        <v>1</v>
      </c>
      <c r="K161" s="768">
        <f>COUNTIFS($A$131:$A$158,H161,$F$131:$F$158,"OK")</f>
        <v>1</v>
      </c>
      <c r="L161" s="769">
        <f>IF(I161=0,"0",I161/J161)</f>
        <v>1</v>
      </c>
      <c r="M161" s="769">
        <f>IF(K161=0,"0",K161/J161)</f>
        <v>1</v>
      </c>
      <c r="N161" s="770">
        <v>1</v>
      </c>
      <c r="O161" s="47"/>
      <c r="P161" s="47"/>
      <c r="Q161" s="47"/>
      <c r="R161" s="47"/>
      <c r="S161" s="47"/>
      <c r="T161" s="47"/>
      <c r="U161" s="47"/>
      <c r="V161" s="47"/>
      <c r="W161" s="47"/>
      <c r="X161" s="47"/>
      <c r="Y161" s="47"/>
      <c r="Z161" s="47"/>
      <c r="AA161" s="47"/>
      <c r="AB161" s="47"/>
      <c r="AC161" s="47"/>
      <c r="AD161" s="47"/>
      <c r="AE161" s="47"/>
      <c r="AF161" s="47"/>
      <c r="AG161" s="47"/>
    </row>
    <row r="162" spans="1:33" x14ac:dyDescent="0.3">
      <c r="A162" s="47"/>
      <c r="B162" s="47"/>
      <c r="C162" s="47"/>
      <c r="D162" s="47"/>
      <c r="E162" s="47"/>
      <c r="F162" s="47"/>
      <c r="G162" s="47"/>
      <c r="H162" s="552"/>
      <c r="I162" s="396"/>
      <c r="J162" s="396"/>
      <c r="K162" s="396"/>
      <c r="L162" s="396"/>
      <c r="M162" s="396"/>
      <c r="N162" s="396"/>
      <c r="O162" s="396"/>
      <c r="P162" s="47"/>
      <c r="Q162" s="47"/>
      <c r="R162" s="47"/>
      <c r="S162" s="47"/>
      <c r="T162" s="47"/>
      <c r="U162" s="47"/>
      <c r="V162" s="47"/>
      <c r="W162" s="47"/>
      <c r="X162" s="47"/>
      <c r="Y162" s="47"/>
      <c r="Z162" s="47"/>
      <c r="AA162" s="47"/>
      <c r="AB162" s="47"/>
      <c r="AC162" s="47"/>
      <c r="AD162" s="47"/>
      <c r="AE162" s="47"/>
      <c r="AF162" s="47"/>
      <c r="AG162" s="47"/>
    </row>
    <row r="163" spans="1:33" x14ac:dyDescent="0.3">
      <c r="A163" s="47"/>
      <c r="B163" s="47"/>
      <c r="C163" s="47"/>
      <c r="D163" s="47"/>
      <c r="E163" s="47"/>
      <c r="F163" s="47"/>
      <c r="G163" s="47"/>
      <c r="H163" s="335" t="s">
        <v>662</v>
      </c>
      <c r="I163" s="335" t="s">
        <v>663</v>
      </c>
      <c r="J163" s="335" t="s">
        <v>664</v>
      </c>
      <c r="K163" s="335" t="s">
        <v>665</v>
      </c>
      <c r="L163" s="335" t="s">
        <v>666</v>
      </c>
      <c r="M163" s="335" t="s">
        <v>667</v>
      </c>
      <c r="N163" s="335" t="s">
        <v>668</v>
      </c>
      <c r="O163" s="335" t="s">
        <v>669</v>
      </c>
      <c r="P163" s="335" t="s">
        <v>670</v>
      </c>
      <c r="Q163" s="47"/>
      <c r="R163" s="47"/>
      <c r="S163" s="47"/>
      <c r="T163" s="47"/>
      <c r="U163" s="47"/>
      <c r="V163" s="47"/>
      <c r="W163" s="47"/>
      <c r="X163" s="47"/>
      <c r="Y163" s="47"/>
      <c r="Z163" s="47"/>
      <c r="AA163" s="47"/>
      <c r="AB163" s="47"/>
      <c r="AC163" s="47"/>
      <c r="AD163" s="47"/>
      <c r="AE163" s="47"/>
      <c r="AF163" s="47"/>
      <c r="AG163" s="47"/>
    </row>
    <row r="164" spans="1:33" x14ac:dyDescent="0.3">
      <c r="A164" s="47"/>
      <c r="B164" s="47"/>
      <c r="C164" s="47"/>
      <c r="D164" s="47"/>
      <c r="E164" s="47"/>
      <c r="F164" s="47"/>
      <c r="G164" s="47"/>
      <c r="H164" s="320">
        <v>1</v>
      </c>
      <c r="I164" s="320">
        <f>COUNTIF($D$131:$D$158,H164)</f>
        <v>13</v>
      </c>
      <c r="J164" s="320">
        <f>COUNTIFS($D$131:$D$158,H164,E131:E158,"OK")</f>
        <v>13</v>
      </c>
      <c r="K164" s="323">
        <f>COUNTIFS($D$131:$D$158,H164,E131:E158,"NOK")</f>
        <v>0</v>
      </c>
      <c r="L164" s="322">
        <f>COUNTIFS(E131:E158,"OK",D131:D158,H164)/I164</f>
        <v>1</v>
      </c>
      <c r="M164" s="320">
        <f>COUNTIFS($F$131:$F$158,"OK",$D$131:$D$158,H164)</f>
        <v>9</v>
      </c>
      <c r="N164" s="320">
        <f>COUNTIFS($F$131:$F$158,"NOK",$D$131:$D$158,H164)</f>
        <v>3</v>
      </c>
      <c r="O164" s="322">
        <f>J164/I164</f>
        <v>1</v>
      </c>
      <c r="P164" s="321"/>
      <c r="Q164" s="47"/>
      <c r="R164" s="47"/>
      <c r="S164" s="47"/>
      <c r="T164" s="47"/>
      <c r="U164" s="47"/>
      <c r="V164" s="47"/>
      <c r="W164" s="47"/>
      <c r="X164" s="47"/>
      <c r="Y164" s="47"/>
      <c r="Z164" s="47"/>
      <c r="AA164" s="47"/>
      <c r="AB164" s="47"/>
      <c r="AC164" s="47"/>
      <c r="AD164" s="47"/>
      <c r="AE164" s="47"/>
      <c r="AF164" s="47"/>
      <c r="AG164" s="47"/>
    </row>
    <row r="165" spans="1:33" x14ac:dyDescent="0.3">
      <c r="A165" s="47"/>
      <c r="B165" s="47"/>
      <c r="C165" s="47"/>
      <c r="D165" s="47"/>
      <c r="E165" s="47"/>
      <c r="F165" s="47"/>
      <c r="G165" s="47"/>
      <c r="H165" s="768">
        <v>2</v>
      </c>
      <c r="I165" s="768">
        <f>COUNTIF($D$131:$D$158,H165)</f>
        <v>14</v>
      </c>
      <c r="J165" s="768">
        <f>COUNTIFS($D$131:$D$158,H165,E131:E158,"OK")</f>
        <v>5</v>
      </c>
      <c r="K165" s="768">
        <f>COUNTIFS($D$131:$D$158,H165,E131:E158,"NOK")</f>
        <v>8</v>
      </c>
      <c r="L165" s="769">
        <f>COUNTIFS(E131:E158,"OK",D131:D158,H165)/I165</f>
        <v>0.35714285714285715</v>
      </c>
      <c r="M165" s="768">
        <f>COUNTIFS($F$131:$F$158,"OK",$D$131:$D$158,H165)</f>
        <v>2</v>
      </c>
      <c r="N165" s="768">
        <f>COUNTIFS($F$131:$F$158,"NOK",$D$131:$D$158,H165)</f>
        <v>12</v>
      </c>
      <c r="O165" s="769">
        <f>J165/I165</f>
        <v>0.35714285714285715</v>
      </c>
      <c r="P165" s="771"/>
      <c r="Q165" s="47"/>
      <c r="R165" s="47"/>
      <c r="S165" s="47"/>
      <c r="T165" s="47"/>
      <c r="U165" s="47"/>
      <c r="V165" s="47"/>
      <c r="W165" s="47"/>
      <c r="X165" s="47"/>
      <c r="Y165" s="47"/>
      <c r="Z165" s="47"/>
      <c r="AA165" s="47"/>
      <c r="AB165" s="47"/>
      <c r="AC165" s="47"/>
      <c r="AD165" s="47"/>
      <c r="AE165" s="47"/>
      <c r="AF165" s="47"/>
      <c r="AG165" s="47"/>
    </row>
    <row r="166" spans="1:33" x14ac:dyDescent="0.3">
      <c r="A166" s="47"/>
      <c r="B166" s="47"/>
      <c r="C166" s="47"/>
      <c r="D166" s="47"/>
      <c r="E166" s="47"/>
      <c r="F166" s="47"/>
      <c r="G166" s="47"/>
      <c r="H166" s="320">
        <v>3</v>
      </c>
      <c r="I166" s="320">
        <f>COUNTIF($D$131:$D$158,H166)</f>
        <v>1</v>
      </c>
      <c r="J166" s="320">
        <f>COUNTIFS($D$131:$D$158,H166,E131:E158,"OK")</f>
        <v>1</v>
      </c>
      <c r="K166" s="323">
        <f>COUNTIFS($D$131:$D$158,H166,E131:E158,"NOK")</f>
        <v>0</v>
      </c>
      <c r="L166" s="322">
        <f>COUNTIFS(E131:E158,"OK",D131:D158,H166)/I166</f>
        <v>1</v>
      </c>
      <c r="M166" s="320">
        <f>COUNTIFS($F$131:$F$158,"OK",$D$130:$D$157,H166)</f>
        <v>0</v>
      </c>
      <c r="N166" s="320">
        <f>COUNTIFS($F$131:$F$158,"NOK",$D$130:$D$157,H166)</f>
        <v>0</v>
      </c>
      <c r="O166" s="322">
        <f>J166/I166</f>
        <v>1</v>
      </c>
      <c r="P166" s="321"/>
      <c r="Q166" s="47"/>
      <c r="R166" s="47"/>
      <c r="S166" s="47"/>
      <c r="T166" s="47"/>
      <c r="U166" s="47"/>
      <c r="V166" s="47"/>
      <c r="W166" s="47"/>
      <c r="X166" s="47"/>
      <c r="Y166" s="47"/>
      <c r="Z166" s="47"/>
      <c r="AA166" s="47"/>
      <c r="AB166" s="47"/>
      <c r="AC166" s="47"/>
      <c r="AD166" s="47"/>
      <c r="AE166" s="47"/>
      <c r="AF166" s="47"/>
      <c r="AG166" s="47"/>
    </row>
    <row r="167" spans="1:33" x14ac:dyDescent="0.3">
      <c r="A167" s="47"/>
      <c r="B167" s="47"/>
      <c r="C167" s="47"/>
      <c r="D167" s="47"/>
      <c r="E167" s="47"/>
      <c r="F167" s="47"/>
      <c r="G167" s="47"/>
      <c r="H167" s="335" t="s">
        <v>133</v>
      </c>
      <c r="I167" s="335">
        <f>SUM(I164:I166)</f>
        <v>28</v>
      </c>
      <c r="J167" s="335"/>
      <c r="K167" s="335"/>
      <c r="L167" s="335"/>
      <c r="M167" s="335"/>
      <c r="N167" s="335"/>
      <c r="O167" s="335"/>
      <c r="P167" s="335"/>
      <c r="Q167" s="47"/>
      <c r="R167" s="47"/>
      <c r="S167" s="47"/>
      <c r="T167" s="47"/>
      <c r="U167" s="47"/>
      <c r="V167" s="47"/>
      <c r="W167" s="47"/>
      <c r="X167" s="47"/>
      <c r="Y167" s="47"/>
      <c r="Z167" s="47"/>
      <c r="AA167" s="47"/>
      <c r="AB167" s="47"/>
      <c r="AC167" s="47"/>
      <c r="AD167" s="47"/>
      <c r="AE167" s="47"/>
      <c r="AF167" s="47"/>
      <c r="AG167" s="47"/>
    </row>
    <row r="168" spans="1:33" x14ac:dyDescent="0.3">
      <c r="A168" s="47"/>
      <c r="B168" s="47"/>
      <c r="C168" s="47"/>
      <c r="D168" s="47"/>
      <c r="E168" s="47"/>
      <c r="F168" s="47"/>
      <c r="G168" s="47"/>
      <c r="H168" s="657" t="s">
        <v>1062</v>
      </c>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row>
    <row r="169" spans="1:33" x14ac:dyDescent="0.3">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row>
    <row r="170" spans="1:33" x14ac:dyDescent="0.3">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row>
    <row r="171" spans="1:33" x14ac:dyDescent="0.3">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row>
    <row r="172" spans="1:33" x14ac:dyDescent="0.3">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row>
    <row r="173" spans="1:33" x14ac:dyDescent="0.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row>
    <row r="174" spans="1:33" x14ac:dyDescent="0.3">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row>
    <row r="175" spans="1:33" x14ac:dyDescent="0.3">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row>
    <row r="176" spans="1:33" x14ac:dyDescent="0.3">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row>
    <row r="177" spans="1:33" x14ac:dyDescent="0.3">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row>
    <row r="178" spans="1:33" ht="21" customHeight="1" x14ac:dyDescent="0.3">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row>
    <row r="179" spans="1:33" x14ac:dyDescent="0.3">
      <c r="A179" s="47"/>
      <c r="B179" s="239"/>
      <c r="C179" s="47"/>
      <c r="D179" s="266"/>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row>
    <row r="180" spans="1:33" ht="21" x14ac:dyDescent="0.3">
      <c r="A180" s="548" t="s">
        <v>672</v>
      </c>
      <c r="B180" s="548" t="s">
        <v>673</v>
      </c>
      <c r="C180" s="548" t="s">
        <v>674</v>
      </c>
      <c r="D180" s="548" t="s">
        <v>675</v>
      </c>
      <c r="E180" s="548" t="s">
        <v>676</v>
      </c>
      <c r="F180" s="565" t="s">
        <v>1063</v>
      </c>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row>
    <row r="181" spans="1:33" x14ac:dyDescent="0.3">
      <c r="A181" s="550" t="s">
        <v>678</v>
      </c>
      <c r="B181" s="550" t="s">
        <v>1064</v>
      </c>
      <c r="C181" s="550" t="s">
        <v>1065</v>
      </c>
      <c r="D181" s="550" t="s">
        <v>679</v>
      </c>
      <c r="E181" s="5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row>
    <row r="182" spans="1:33" x14ac:dyDescent="0.3">
      <c r="A182" s="551" t="s">
        <v>678</v>
      </c>
      <c r="B182" s="551" t="s">
        <v>1066</v>
      </c>
      <c r="C182" s="551" t="s">
        <v>1067</v>
      </c>
      <c r="D182" s="551" t="s">
        <v>679</v>
      </c>
      <c r="E182" s="549"/>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row>
    <row r="183" spans="1:33" x14ac:dyDescent="0.3">
      <c r="A183" s="550" t="s">
        <v>678</v>
      </c>
      <c r="B183" s="550" t="s">
        <v>1068</v>
      </c>
      <c r="C183" s="550" t="s">
        <v>1069</v>
      </c>
      <c r="D183" s="550" t="s">
        <v>679</v>
      </c>
      <c r="E183" s="5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row>
    <row r="184" spans="1:33" x14ac:dyDescent="0.3">
      <c r="A184" s="551" t="s">
        <v>678</v>
      </c>
      <c r="B184" s="551" t="s">
        <v>1070</v>
      </c>
      <c r="C184" s="551" t="s">
        <v>1071</v>
      </c>
      <c r="D184" s="551" t="s">
        <v>679</v>
      </c>
      <c r="E184" s="549"/>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row>
    <row r="185" spans="1:33" x14ac:dyDescent="0.3">
      <c r="A185" s="550" t="s">
        <v>678</v>
      </c>
      <c r="B185" s="550" t="s">
        <v>1072</v>
      </c>
      <c r="C185" s="550" t="s">
        <v>1073</v>
      </c>
      <c r="D185" s="550" t="s">
        <v>679</v>
      </c>
      <c r="E185" s="5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row>
    <row r="186" spans="1:33" x14ac:dyDescent="0.3">
      <c r="A186" s="551" t="s">
        <v>678</v>
      </c>
      <c r="B186" s="551" t="s">
        <v>1074</v>
      </c>
      <c r="C186" s="551" t="s">
        <v>1075</v>
      </c>
      <c r="D186" s="551" t="s">
        <v>679</v>
      </c>
      <c r="E186" s="549"/>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row>
    <row r="187" spans="1:33" x14ac:dyDescent="0.3">
      <c r="A187" s="550" t="s">
        <v>678</v>
      </c>
      <c r="B187" s="550" t="s">
        <v>1076</v>
      </c>
      <c r="C187" s="550" t="s">
        <v>1040</v>
      </c>
      <c r="D187" s="550" t="s">
        <v>679</v>
      </c>
      <c r="E187" s="5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row>
    <row r="188" spans="1:33" x14ac:dyDescent="0.3">
      <c r="A188" s="551" t="s">
        <v>678</v>
      </c>
      <c r="B188" s="551" t="s">
        <v>1043</v>
      </c>
      <c r="C188" s="551" t="s">
        <v>632</v>
      </c>
      <c r="D188" s="551" t="s">
        <v>688</v>
      </c>
      <c r="E188" s="549"/>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row>
    <row r="189" spans="1:33" x14ac:dyDescent="0.3">
      <c r="A189" s="550" t="s">
        <v>678</v>
      </c>
      <c r="B189" s="550" t="s">
        <v>1046</v>
      </c>
      <c r="C189" s="550" t="s">
        <v>632</v>
      </c>
      <c r="D189" s="550" t="s">
        <v>688</v>
      </c>
      <c r="E189" s="5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row>
    <row r="190" spans="1:33" x14ac:dyDescent="0.3">
      <c r="A190" s="551" t="s">
        <v>678</v>
      </c>
      <c r="B190" s="551" t="s">
        <v>1077</v>
      </c>
      <c r="C190" s="551" t="s">
        <v>1078</v>
      </c>
      <c r="D190" s="551" t="s">
        <v>679</v>
      </c>
      <c r="E190" s="549"/>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row>
    <row r="191" spans="1:33" x14ac:dyDescent="0.3">
      <c r="A191" s="550" t="s">
        <v>678</v>
      </c>
      <c r="B191" s="550" t="s">
        <v>1048</v>
      </c>
      <c r="C191" s="550" t="s">
        <v>638</v>
      </c>
      <c r="D191" s="550" t="s">
        <v>688</v>
      </c>
      <c r="E191" s="5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row>
    <row r="192" spans="1:33" x14ac:dyDescent="0.3">
      <c r="A192" s="551" t="s">
        <v>678</v>
      </c>
      <c r="B192" s="551" t="s">
        <v>1050</v>
      </c>
      <c r="C192" s="551" t="s">
        <v>641</v>
      </c>
      <c r="D192" s="551" t="s">
        <v>688</v>
      </c>
      <c r="E192" s="549"/>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row>
    <row r="193" spans="1:33" x14ac:dyDescent="0.3">
      <c r="A193" s="550" t="s">
        <v>678</v>
      </c>
      <c r="B193" s="550" t="s">
        <v>1079</v>
      </c>
      <c r="C193" s="550" t="s">
        <v>1080</v>
      </c>
      <c r="D193" s="550" t="s">
        <v>679</v>
      </c>
      <c r="E193" s="5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row>
    <row r="194" spans="1:33" x14ac:dyDescent="0.3">
      <c r="A194" s="551" t="s">
        <v>678</v>
      </c>
      <c r="B194" s="551" t="s">
        <v>1081</v>
      </c>
      <c r="C194" s="551" t="s">
        <v>1082</v>
      </c>
      <c r="D194" s="551" t="s">
        <v>679</v>
      </c>
      <c r="E194" s="549"/>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row>
    <row r="195" spans="1:33" x14ac:dyDescent="0.3">
      <c r="A195" s="550" t="s">
        <v>678</v>
      </c>
      <c r="B195" s="550" t="s">
        <v>1083</v>
      </c>
      <c r="C195" s="550" t="s">
        <v>1084</v>
      </c>
      <c r="D195" s="550" t="s">
        <v>679</v>
      </c>
      <c r="E195" s="5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row>
    <row r="196" spans="1:33" x14ac:dyDescent="0.3">
      <c r="A196" s="551" t="s">
        <v>678</v>
      </c>
      <c r="B196" s="551" t="s">
        <v>1058</v>
      </c>
      <c r="C196" s="551" t="s">
        <v>1085</v>
      </c>
      <c r="D196" s="551" t="s">
        <v>679</v>
      </c>
      <c r="E196" s="549"/>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row>
    <row r="197" spans="1:33" x14ac:dyDescent="0.3">
      <c r="A197" s="550" t="s">
        <v>678</v>
      </c>
      <c r="B197" s="550" t="s">
        <v>1086</v>
      </c>
      <c r="C197" s="550" t="s">
        <v>1087</v>
      </c>
      <c r="D197" s="550" t="s">
        <v>679</v>
      </c>
      <c r="E197" s="5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row>
    <row r="198" spans="1:33" x14ac:dyDescent="0.3">
      <c r="A198" s="551" t="s">
        <v>678</v>
      </c>
      <c r="B198" s="551" t="s">
        <v>1088</v>
      </c>
      <c r="C198" s="551" t="s">
        <v>1089</v>
      </c>
      <c r="D198" s="551" t="s">
        <v>679</v>
      </c>
      <c r="E198" s="549"/>
      <c r="F198" s="47"/>
      <c r="G198" s="47"/>
      <c r="H198" s="47"/>
      <c r="I198" s="47"/>
      <c r="J198" s="47"/>
      <c r="AG198" s="47"/>
    </row>
    <row r="199" spans="1:33" x14ac:dyDescent="0.3">
      <c r="A199" s="550" t="s">
        <v>678</v>
      </c>
      <c r="B199" s="550" t="s">
        <v>1090</v>
      </c>
      <c r="C199" s="550" t="s">
        <v>1091</v>
      </c>
      <c r="D199" s="550" t="s">
        <v>679</v>
      </c>
      <c r="E199" s="547"/>
      <c r="F199" s="47"/>
      <c r="G199" s="47"/>
      <c r="H199" s="47"/>
      <c r="I199" s="47"/>
      <c r="J199" s="47"/>
    </row>
    <row r="200" spans="1:33" x14ac:dyDescent="0.3">
      <c r="A200" s="551" t="s">
        <v>678</v>
      </c>
      <c r="B200" s="551" t="s">
        <v>1092</v>
      </c>
      <c r="C200" s="551" t="s">
        <v>1093</v>
      </c>
      <c r="D200" s="551" t="s">
        <v>679</v>
      </c>
      <c r="E200" s="549"/>
      <c r="F200" s="47"/>
      <c r="G200" s="47"/>
      <c r="H200" s="47"/>
      <c r="I200" s="47"/>
      <c r="J200" s="47"/>
    </row>
    <row r="201" spans="1:33" x14ac:dyDescent="0.3">
      <c r="A201" s="550" t="s">
        <v>678</v>
      </c>
      <c r="B201" s="550" t="s">
        <v>1094</v>
      </c>
      <c r="C201" s="550" t="s">
        <v>1095</v>
      </c>
      <c r="D201" s="550" t="s">
        <v>679</v>
      </c>
      <c r="E201" s="547"/>
      <c r="F201" s="47"/>
      <c r="G201" s="47"/>
      <c r="H201" s="47"/>
      <c r="I201" s="47"/>
      <c r="J201" s="47"/>
    </row>
    <row r="202" spans="1:33" x14ac:dyDescent="0.3">
      <c r="A202" s="551" t="s">
        <v>678</v>
      </c>
      <c r="B202" s="551" t="s">
        <v>1060</v>
      </c>
      <c r="C202" s="551" t="s">
        <v>1096</v>
      </c>
      <c r="D202" s="551" t="s">
        <v>679</v>
      </c>
      <c r="E202" s="549"/>
      <c r="F202" s="47"/>
      <c r="G202" s="47"/>
      <c r="H202" s="47"/>
      <c r="I202" s="47"/>
      <c r="J202" s="47"/>
    </row>
    <row r="203" spans="1:33" x14ac:dyDescent="0.3">
      <c r="A203" s="550" t="s">
        <v>678</v>
      </c>
      <c r="B203" s="550" t="s">
        <v>1097</v>
      </c>
      <c r="C203" s="550" t="s">
        <v>1098</v>
      </c>
      <c r="D203" s="550" t="s">
        <v>679</v>
      </c>
      <c r="E203" s="547"/>
      <c r="F203" s="47"/>
      <c r="G203" s="47"/>
      <c r="H203" s="47"/>
      <c r="I203" s="47"/>
      <c r="J203" s="47"/>
    </row>
    <row r="204" spans="1:33" x14ac:dyDescent="0.3">
      <c r="A204" s="551" t="s">
        <v>678</v>
      </c>
      <c r="B204" s="551" t="s">
        <v>1099</v>
      </c>
      <c r="C204" s="551" t="s">
        <v>1100</v>
      </c>
      <c r="D204" s="551" t="s">
        <v>679</v>
      </c>
      <c r="E204" s="549"/>
      <c r="F204" s="47"/>
      <c r="G204" s="47"/>
      <c r="H204" s="47"/>
      <c r="I204" s="47"/>
      <c r="J204" s="47"/>
    </row>
    <row r="205" spans="1:33" x14ac:dyDescent="0.3">
      <c r="A205" s="550" t="s">
        <v>678</v>
      </c>
      <c r="B205" s="550" t="s">
        <v>1101</v>
      </c>
      <c r="C205" s="550" t="s">
        <v>1102</v>
      </c>
      <c r="D205" s="550" t="s">
        <v>679</v>
      </c>
      <c r="E205" s="547"/>
      <c r="F205" s="47"/>
      <c r="G205" s="47"/>
      <c r="H205" s="47"/>
      <c r="I205" s="47"/>
      <c r="J205" s="47"/>
    </row>
    <row r="206" spans="1:33" x14ac:dyDescent="0.3">
      <c r="A206" s="551" t="s">
        <v>678</v>
      </c>
      <c r="B206" s="551" t="s">
        <v>1103</v>
      </c>
      <c r="C206" s="551" t="s">
        <v>1104</v>
      </c>
      <c r="D206" s="551" t="s">
        <v>679</v>
      </c>
      <c r="E206" s="549"/>
      <c r="F206" s="47"/>
      <c r="G206" s="47"/>
      <c r="H206" s="47"/>
      <c r="I206" s="47"/>
      <c r="J206" s="47"/>
    </row>
    <row r="207" spans="1:33" x14ac:dyDescent="0.3">
      <c r="A207" s="550" t="s">
        <v>678</v>
      </c>
      <c r="B207" s="550" t="s">
        <v>1105</v>
      </c>
      <c r="C207" s="550" t="s">
        <v>1106</v>
      </c>
      <c r="D207" s="550" t="s">
        <v>679</v>
      </c>
      <c r="E207" s="547"/>
      <c r="F207" s="47"/>
      <c r="G207" s="47"/>
      <c r="H207" s="47"/>
      <c r="I207" s="47"/>
      <c r="J207" s="47"/>
    </row>
    <row r="208" spans="1:33" x14ac:dyDescent="0.3">
      <c r="A208" s="551" t="s">
        <v>678</v>
      </c>
      <c r="B208" s="551" t="s">
        <v>1107</v>
      </c>
      <c r="C208" s="551" t="s">
        <v>1108</v>
      </c>
      <c r="D208" s="551" t="s">
        <v>688</v>
      </c>
      <c r="E208" s="549"/>
      <c r="F208" s="47"/>
      <c r="G208" s="47"/>
      <c r="H208" s="47"/>
      <c r="I208" s="47"/>
      <c r="J208" s="47"/>
    </row>
    <row r="209" spans="1:10" x14ac:dyDescent="0.3">
      <c r="A209" s="550" t="s">
        <v>678</v>
      </c>
      <c r="B209" s="550" t="s">
        <v>1109</v>
      </c>
      <c r="C209" s="550" t="s">
        <v>1110</v>
      </c>
      <c r="D209" s="550" t="s">
        <v>679</v>
      </c>
      <c r="E209" s="547"/>
      <c r="F209" s="47"/>
      <c r="G209" s="47"/>
      <c r="H209" s="47"/>
      <c r="I209" s="47"/>
      <c r="J209" s="47"/>
    </row>
    <row r="210" spans="1:10" x14ac:dyDescent="0.3">
      <c r="A210" s="551" t="s">
        <v>678</v>
      </c>
      <c r="B210" s="551" t="s">
        <v>1111</v>
      </c>
      <c r="C210" s="551" t="s">
        <v>1112</v>
      </c>
      <c r="D210" s="551" t="s">
        <v>679</v>
      </c>
      <c r="E210" s="549"/>
      <c r="F210" s="47"/>
      <c r="G210" s="47"/>
      <c r="H210" s="47"/>
      <c r="I210" s="47"/>
      <c r="J210" s="47"/>
    </row>
    <row r="211" spans="1:10" x14ac:dyDescent="0.3">
      <c r="A211" s="550" t="s">
        <v>678</v>
      </c>
      <c r="B211" s="550" t="s">
        <v>1113</v>
      </c>
      <c r="C211" s="550" t="s">
        <v>1114</v>
      </c>
      <c r="D211" s="550" t="s">
        <v>688</v>
      </c>
      <c r="E211" s="547"/>
      <c r="F211" s="47"/>
      <c r="G211" s="47"/>
      <c r="H211" s="47"/>
      <c r="I211" s="47"/>
      <c r="J211" s="47"/>
    </row>
    <row r="212" spans="1:10" x14ac:dyDescent="0.3">
      <c r="A212" s="551" t="s">
        <v>678</v>
      </c>
      <c r="B212" s="551" t="s">
        <v>1043</v>
      </c>
      <c r="C212" s="551" t="s">
        <v>632</v>
      </c>
      <c r="D212" s="551" t="s">
        <v>1115</v>
      </c>
      <c r="E212" s="549"/>
      <c r="F212" s="47"/>
      <c r="G212" s="47"/>
      <c r="H212" s="47"/>
      <c r="I212" s="47"/>
      <c r="J212" s="47"/>
    </row>
    <row r="213" spans="1:10" x14ac:dyDescent="0.3">
      <c r="A213" s="550" t="s">
        <v>678</v>
      </c>
      <c r="B213" s="550" t="s">
        <v>1116</v>
      </c>
      <c r="C213" s="550" t="s">
        <v>1117</v>
      </c>
      <c r="D213" s="550" t="s">
        <v>679</v>
      </c>
      <c r="E213" s="547"/>
      <c r="F213" s="47"/>
      <c r="G213" s="47"/>
      <c r="H213" s="47"/>
      <c r="I213" s="47"/>
      <c r="J213" s="47"/>
    </row>
    <row r="214" spans="1:10" x14ac:dyDescent="0.3">
      <c r="A214" s="551" t="s">
        <v>678</v>
      </c>
      <c r="B214" s="551" t="s">
        <v>1046</v>
      </c>
      <c r="C214" s="551" t="s">
        <v>632</v>
      </c>
      <c r="D214" s="551" t="s">
        <v>1115</v>
      </c>
      <c r="E214" s="549"/>
      <c r="F214" s="47"/>
      <c r="G214" s="47"/>
      <c r="H214" s="47"/>
      <c r="I214" s="47"/>
      <c r="J214" s="47"/>
    </row>
    <row r="215" spans="1:10" x14ac:dyDescent="0.3">
      <c r="A215" s="550" t="s">
        <v>678</v>
      </c>
      <c r="B215" s="550" t="s">
        <v>1048</v>
      </c>
      <c r="C215" s="550" t="s">
        <v>638</v>
      </c>
      <c r="D215" s="550" t="s">
        <v>1115</v>
      </c>
      <c r="E215" s="547"/>
      <c r="F215" s="47"/>
      <c r="G215" s="47"/>
      <c r="H215" s="47"/>
      <c r="I215" s="47"/>
      <c r="J215" s="47"/>
    </row>
    <row r="216" spans="1:10" x14ac:dyDescent="0.3">
      <c r="A216" s="551" t="s">
        <v>678</v>
      </c>
      <c r="B216" s="551" t="s">
        <v>1050</v>
      </c>
      <c r="C216" s="551" t="s">
        <v>641</v>
      </c>
      <c r="D216" s="551" t="s">
        <v>1115</v>
      </c>
      <c r="E216" s="549"/>
      <c r="F216" s="47"/>
      <c r="G216" s="47"/>
      <c r="H216" s="47"/>
      <c r="I216" s="47"/>
      <c r="J216" s="47"/>
    </row>
    <row r="217" spans="1:10" x14ac:dyDescent="0.3">
      <c r="A217" s="550" t="s">
        <v>678</v>
      </c>
      <c r="B217" s="550" t="s">
        <v>1118</v>
      </c>
      <c r="C217" s="550" t="s">
        <v>1119</v>
      </c>
      <c r="D217" s="550" t="s">
        <v>688</v>
      </c>
      <c r="E217" s="547"/>
      <c r="F217" s="47"/>
      <c r="G217" s="47"/>
      <c r="H217" s="47"/>
      <c r="I217" s="47"/>
      <c r="J217" s="47"/>
    </row>
    <row r="218" spans="1:10" x14ac:dyDescent="0.3">
      <c r="A218" s="551" t="s">
        <v>678</v>
      </c>
      <c r="B218" s="551" t="s">
        <v>1120</v>
      </c>
      <c r="C218" s="551" t="s">
        <v>1121</v>
      </c>
      <c r="D218" s="551" t="s">
        <v>688</v>
      </c>
      <c r="E218" s="549"/>
      <c r="F218" s="47"/>
      <c r="G218" s="47"/>
      <c r="H218" s="47"/>
      <c r="I218" s="47"/>
      <c r="J218" s="47"/>
    </row>
    <row r="219" spans="1:10" x14ac:dyDescent="0.3">
      <c r="A219" s="550" t="s">
        <v>678</v>
      </c>
      <c r="B219" s="550" t="s">
        <v>1122</v>
      </c>
      <c r="C219" s="550" t="s">
        <v>1123</v>
      </c>
      <c r="D219" s="550" t="s">
        <v>679</v>
      </c>
      <c r="E219" s="547"/>
      <c r="F219" s="47"/>
      <c r="G219" s="47"/>
      <c r="H219" s="47"/>
      <c r="I219" s="47"/>
      <c r="J219" s="47"/>
    </row>
    <row r="220" spans="1:10" x14ac:dyDescent="0.3">
      <c r="A220" s="551" t="s">
        <v>678</v>
      </c>
      <c r="B220" s="551" t="s">
        <v>1124</v>
      </c>
      <c r="C220" s="551" t="s">
        <v>1125</v>
      </c>
      <c r="D220" s="551" t="s">
        <v>679</v>
      </c>
      <c r="E220" s="549"/>
      <c r="F220" s="47"/>
      <c r="G220" s="47"/>
      <c r="H220" s="47"/>
      <c r="I220" s="47"/>
      <c r="J220" s="47"/>
    </row>
    <row r="221" spans="1:10" x14ac:dyDescent="0.3">
      <c r="A221" s="550" t="s">
        <v>678</v>
      </c>
      <c r="B221" s="550" t="s">
        <v>1126</v>
      </c>
      <c r="C221" s="550" t="s">
        <v>1127</v>
      </c>
      <c r="D221" s="550" t="s">
        <v>688</v>
      </c>
      <c r="E221" s="547"/>
      <c r="F221" s="47"/>
      <c r="G221" s="47"/>
      <c r="H221" s="47"/>
      <c r="I221" s="47"/>
      <c r="J221" s="47"/>
    </row>
    <row r="222" spans="1:10" x14ac:dyDescent="0.3">
      <c r="A222" s="551" t="s">
        <v>678</v>
      </c>
      <c r="B222" s="551" t="s">
        <v>1128</v>
      </c>
      <c r="C222" s="551" t="s">
        <v>1129</v>
      </c>
      <c r="D222" s="551" t="s">
        <v>688</v>
      </c>
      <c r="E222" s="549"/>
      <c r="F222" s="47"/>
      <c r="G222" s="47"/>
      <c r="H222" s="47"/>
      <c r="I222" s="47"/>
      <c r="J222" s="47"/>
    </row>
    <row r="223" spans="1:10" x14ac:dyDescent="0.3">
      <c r="A223" s="550" t="s">
        <v>678</v>
      </c>
      <c r="B223" s="550" t="s">
        <v>1130</v>
      </c>
      <c r="C223" s="550" t="s">
        <v>1131</v>
      </c>
      <c r="D223" s="550" t="s">
        <v>679</v>
      </c>
      <c r="E223" s="547"/>
      <c r="F223" s="47"/>
      <c r="G223" s="47"/>
      <c r="H223" s="47"/>
      <c r="I223" s="47"/>
      <c r="J223" s="47"/>
    </row>
    <row r="224" spans="1:10" x14ac:dyDescent="0.3">
      <c r="A224" s="551" t="s">
        <v>678</v>
      </c>
      <c r="B224" s="551" t="s">
        <v>1132</v>
      </c>
      <c r="C224" s="551" t="s">
        <v>1133</v>
      </c>
      <c r="D224" s="551" t="s">
        <v>679</v>
      </c>
      <c r="E224" s="549"/>
      <c r="F224" s="47"/>
      <c r="G224" s="47"/>
      <c r="H224" s="47"/>
      <c r="I224" s="47"/>
      <c r="J224" s="47"/>
    </row>
    <row r="225" spans="1:10" x14ac:dyDescent="0.3">
      <c r="A225" s="550" t="s">
        <v>678</v>
      </c>
      <c r="B225" s="550" t="s">
        <v>1134</v>
      </c>
      <c r="C225" s="550" t="s">
        <v>1123</v>
      </c>
      <c r="D225" s="550" t="s">
        <v>679</v>
      </c>
      <c r="E225" s="547"/>
      <c r="F225" s="47"/>
      <c r="G225" s="47"/>
      <c r="H225" s="47"/>
      <c r="I225" s="47"/>
      <c r="J225" s="47"/>
    </row>
    <row r="226" spans="1:10" x14ac:dyDescent="0.3">
      <c r="A226" s="551" t="s">
        <v>678</v>
      </c>
      <c r="B226" s="551" t="s">
        <v>1135</v>
      </c>
      <c r="C226" s="551" t="s">
        <v>1136</v>
      </c>
      <c r="D226" s="551" t="s">
        <v>688</v>
      </c>
      <c r="E226" s="549"/>
      <c r="F226" s="47"/>
      <c r="G226" s="47"/>
      <c r="H226" s="47"/>
      <c r="I226" s="47"/>
      <c r="J226" s="47"/>
    </row>
    <row r="227" spans="1:10" x14ac:dyDescent="0.3">
      <c r="A227" s="550" t="s">
        <v>678</v>
      </c>
      <c r="B227" s="550" t="s">
        <v>1137</v>
      </c>
      <c r="C227" s="550" t="s">
        <v>1138</v>
      </c>
      <c r="D227" s="550" t="s">
        <v>688</v>
      </c>
      <c r="E227" s="547"/>
      <c r="F227" s="47"/>
      <c r="G227" s="47"/>
      <c r="H227" s="47"/>
      <c r="I227" s="47"/>
      <c r="J227" s="47"/>
    </row>
    <row r="228" spans="1:10" x14ac:dyDescent="0.3">
      <c r="A228" s="551" t="s">
        <v>678</v>
      </c>
      <c r="B228" s="551" t="s">
        <v>1139</v>
      </c>
      <c r="C228" s="551" t="s">
        <v>1140</v>
      </c>
      <c r="D228" s="551" t="s">
        <v>679</v>
      </c>
      <c r="E228" s="549"/>
      <c r="F228" s="47"/>
      <c r="G228" s="47"/>
      <c r="H228" s="47"/>
      <c r="I228" s="47"/>
      <c r="J228" s="47"/>
    </row>
    <row r="229" spans="1:10" x14ac:dyDescent="0.3">
      <c r="A229" s="550" t="s">
        <v>678</v>
      </c>
      <c r="B229" s="550" t="s">
        <v>1141</v>
      </c>
      <c r="C229" s="550" t="s">
        <v>1142</v>
      </c>
      <c r="D229" s="550" t="s">
        <v>679</v>
      </c>
      <c r="E229" s="547"/>
      <c r="F229" s="47"/>
      <c r="G229" s="47"/>
      <c r="H229" s="47"/>
      <c r="I229" s="47"/>
      <c r="J229" s="47"/>
    </row>
    <row r="230" spans="1:10" x14ac:dyDescent="0.3">
      <c r="A230" s="551" t="s">
        <v>678</v>
      </c>
      <c r="B230" s="551" t="s">
        <v>1143</v>
      </c>
      <c r="C230" s="551" t="s">
        <v>1144</v>
      </c>
      <c r="D230" s="551" t="s">
        <v>688</v>
      </c>
      <c r="E230" s="549"/>
      <c r="F230" s="47"/>
      <c r="G230" s="47"/>
      <c r="H230" s="47"/>
      <c r="I230" s="47"/>
      <c r="J230" s="47"/>
    </row>
    <row r="231" spans="1:10" x14ac:dyDescent="0.3">
      <c r="A231" s="550" t="s">
        <v>678</v>
      </c>
      <c r="B231" s="550" t="s">
        <v>1145</v>
      </c>
      <c r="C231" s="550" t="s">
        <v>1096</v>
      </c>
      <c r="D231" s="550" t="s">
        <v>679</v>
      </c>
      <c r="E231" s="547"/>
      <c r="F231" s="47"/>
      <c r="G231" s="47"/>
      <c r="H231" s="47"/>
      <c r="I231" s="47"/>
      <c r="J231" s="47"/>
    </row>
    <row r="232" spans="1:10" x14ac:dyDescent="0.3">
      <c r="A232" s="551" t="s">
        <v>678</v>
      </c>
      <c r="B232" s="551" t="s">
        <v>1146</v>
      </c>
      <c r="C232" s="551" t="s">
        <v>1085</v>
      </c>
      <c r="D232" s="551" t="s">
        <v>679</v>
      </c>
      <c r="E232" s="549"/>
      <c r="F232" s="47"/>
      <c r="G232" s="47"/>
      <c r="H232" s="47"/>
      <c r="I232" s="47"/>
      <c r="J232" s="47"/>
    </row>
    <row r="233" spans="1:10" x14ac:dyDescent="0.3">
      <c r="A233" s="550" t="s">
        <v>678</v>
      </c>
      <c r="B233" s="550" t="s">
        <v>1147</v>
      </c>
      <c r="C233" s="550" t="s">
        <v>1140</v>
      </c>
      <c r="D233" s="550" t="s">
        <v>679</v>
      </c>
      <c r="E233" s="547"/>
      <c r="F233" s="47"/>
      <c r="G233" s="47"/>
      <c r="H233" s="47"/>
      <c r="I233" s="47"/>
      <c r="J233" s="47"/>
    </row>
    <row r="234" spans="1:10" x14ac:dyDescent="0.3">
      <c r="A234" s="551" t="s">
        <v>678</v>
      </c>
      <c r="B234" s="551" t="s">
        <v>1148</v>
      </c>
      <c r="C234" s="551" t="s">
        <v>1142</v>
      </c>
      <c r="D234" s="551" t="s">
        <v>679</v>
      </c>
      <c r="E234" s="549"/>
      <c r="F234" s="47"/>
      <c r="G234" s="47"/>
      <c r="H234" s="47"/>
      <c r="I234" s="47"/>
      <c r="J234" s="47"/>
    </row>
    <row r="235" spans="1:10" x14ac:dyDescent="0.3">
      <c r="A235" s="550" t="s">
        <v>678</v>
      </c>
      <c r="B235" s="550" t="s">
        <v>1149</v>
      </c>
      <c r="C235" s="550" t="s">
        <v>1150</v>
      </c>
      <c r="D235" s="550" t="s">
        <v>688</v>
      </c>
      <c r="E235" s="547"/>
      <c r="F235" s="47"/>
      <c r="G235" s="47"/>
      <c r="H235" s="47"/>
      <c r="I235" s="47"/>
      <c r="J235" s="47"/>
    </row>
    <row r="236" spans="1:10" x14ac:dyDescent="0.3">
      <c r="A236" s="551" t="s">
        <v>678</v>
      </c>
      <c r="B236" s="551" t="s">
        <v>1151</v>
      </c>
      <c r="C236" s="551" t="s">
        <v>1152</v>
      </c>
      <c r="D236" s="551" t="s">
        <v>688</v>
      </c>
      <c r="E236" s="549"/>
      <c r="F236" s="47"/>
      <c r="G236" s="47"/>
      <c r="H236" s="47"/>
      <c r="I236" s="47"/>
      <c r="J236" s="47"/>
    </row>
    <row r="237" spans="1:10" x14ac:dyDescent="0.3">
      <c r="A237" s="550" t="s">
        <v>678</v>
      </c>
      <c r="B237" s="550" t="s">
        <v>1153</v>
      </c>
      <c r="C237" s="550" t="s">
        <v>1154</v>
      </c>
      <c r="D237" s="550" t="s">
        <v>679</v>
      </c>
      <c r="E237" s="547"/>
      <c r="F237" s="47"/>
      <c r="G237" s="47"/>
      <c r="H237" s="47"/>
      <c r="I237" s="47"/>
      <c r="J237" s="47"/>
    </row>
    <row r="238" spans="1:10" x14ac:dyDescent="0.3">
      <c r="A238" s="551" t="s">
        <v>678</v>
      </c>
      <c r="B238" s="551" t="s">
        <v>1155</v>
      </c>
      <c r="C238" s="551" t="s">
        <v>1156</v>
      </c>
      <c r="D238" s="551" t="s">
        <v>1157</v>
      </c>
      <c r="E238" s="549"/>
      <c r="F238" s="47"/>
      <c r="G238" s="47"/>
      <c r="H238" s="47"/>
      <c r="I238" s="47"/>
      <c r="J238" s="47"/>
    </row>
    <row r="239" spans="1:10" x14ac:dyDescent="0.3">
      <c r="A239" s="550" t="s">
        <v>678</v>
      </c>
      <c r="B239" s="550" t="s">
        <v>1158</v>
      </c>
      <c r="C239" s="550" t="s">
        <v>1159</v>
      </c>
      <c r="D239" s="550" t="s">
        <v>688</v>
      </c>
      <c r="E239" s="547"/>
      <c r="F239" s="47"/>
      <c r="G239" s="47"/>
      <c r="H239" s="47"/>
      <c r="I239" s="47"/>
      <c r="J239" s="47"/>
    </row>
    <row r="240" spans="1:10" x14ac:dyDescent="0.3">
      <c r="A240" s="551" t="s">
        <v>678</v>
      </c>
      <c r="B240" s="551" t="s">
        <v>1160</v>
      </c>
      <c r="C240" s="551" t="s">
        <v>1161</v>
      </c>
      <c r="D240" s="551" t="s">
        <v>688</v>
      </c>
      <c r="E240" s="549"/>
      <c r="F240" s="47"/>
      <c r="G240" s="47"/>
      <c r="H240" s="47"/>
      <c r="I240" s="47"/>
      <c r="J240" s="47"/>
    </row>
    <row r="241" spans="1:10" x14ac:dyDescent="0.3">
      <c r="A241" s="550" t="s">
        <v>678</v>
      </c>
      <c r="B241" s="550" t="s">
        <v>1162</v>
      </c>
      <c r="C241" s="550" t="s">
        <v>1163</v>
      </c>
      <c r="D241" s="550" t="s">
        <v>679</v>
      </c>
      <c r="E241" s="547"/>
      <c r="F241" s="47"/>
      <c r="G241" s="47"/>
      <c r="H241" s="47"/>
      <c r="I241" s="47"/>
      <c r="J241" s="47"/>
    </row>
    <row r="242" spans="1:10" x14ac:dyDescent="0.3">
      <c r="A242" s="551" t="s">
        <v>678</v>
      </c>
      <c r="B242" s="551" t="s">
        <v>1164</v>
      </c>
      <c r="C242" s="551" t="s">
        <v>1165</v>
      </c>
      <c r="D242" s="551" t="s">
        <v>679</v>
      </c>
      <c r="E242" s="549"/>
      <c r="F242" s="47"/>
      <c r="G242" s="47"/>
      <c r="H242" s="47"/>
      <c r="I242" s="47"/>
      <c r="J242" s="47"/>
    </row>
    <row r="243" spans="1:10" x14ac:dyDescent="0.3">
      <c r="A243" s="550" t="s">
        <v>678</v>
      </c>
      <c r="B243" s="550" t="s">
        <v>1166</v>
      </c>
      <c r="C243" s="550" t="s">
        <v>1156</v>
      </c>
      <c r="D243" s="550" t="s">
        <v>1157</v>
      </c>
      <c r="E243" s="547"/>
      <c r="F243" s="47"/>
      <c r="G243" s="47"/>
      <c r="H243" s="47"/>
      <c r="I243" s="47"/>
      <c r="J243" s="47"/>
    </row>
    <row r="244" spans="1:10" x14ac:dyDescent="0.3">
      <c r="A244" s="551" t="s">
        <v>678</v>
      </c>
      <c r="B244" s="551" t="s">
        <v>1113</v>
      </c>
      <c r="C244" s="551" t="s">
        <v>1114</v>
      </c>
      <c r="D244" s="551" t="s">
        <v>1115</v>
      </c>
      <c r="E244" s="549"/>
      <c r="F244" s="47"/>
      <c r="G244" s="47"/>
      <c r="H244" s="47"/>
      <c r="I244" s="47"/>
      <c r="J244" s="47"/>
    </row>
    <row r="245" spans="1:10" x14ac:dyDescent="0.3">
      <c r="A245" s="550" t="s">
        <v>678</v>
      </c>
      <c r="B245" s="550" t="s">
        <v>1167</v>
      </c>
      <c r="C245" s="550" t="s">
        <v>1168</v>
      </c>
      <c r="D245" s="550" t="s">
        <v>679</v>
      </c>
      <c r="E245" s="547"/>
      <c r="F245" s="47"/>
      <c r="G245" s="47"/>
      <c r="H245" s="47"/>
      <c r="I245" s="47"/>
      <c r="J245" s="47"/>
    </row>
    <row r="246" spans="1:10" x14ac:dyDescent="0.3">
      <c r="A246" s="551" t="s">
        <v>678</v>
      </c>
      <c r="B246" s="551" t="s">
        <v>1169</v>
      </c>
      <c r="C246" s="551" t="s">
        <v>1170</v>
      </c>
      <c r="D246" s="551" t="s">
        <v>679</v>
      </c>
      <c r="E246" s="549"/>
      <c r="F246" s="47"/>
      <c r="G246" s="47"/>
      <c r="H246" s="47"/>
      <c r="I246" s="47"/>
      <c r="J246" s="47"/>
    </row>
    <row r="247" spans="1:10" x14ac:dyDescent="0.3">
      <c r="A247" s="550" t="s">
        <v>678</v>
      </c>
      <c r="B247" s="550" t="s">
        <v>1171</v>
      </c>
      <c r="C247" s="550" t="s">
        <v>1172</v>
      </c>
      <c r="D247" s="550" t="s">
        <v>1173</v>
      </c>
      <c r="E247" s="547"/>
      <c r="F247" s="47"/>
      <c r="G247" s="47"/>
      <c r="H247" s="47"/>
      <c r="I247" s="47"/>
      <c r="J247" s="47"/>
    </row>
    <row r="248" spans="1:10" x14ac:dyDescent="0.3">
      <c r="A248" s="551" t="s">
        <v>678</v>
      </c>
      <c r="B248" s="551" t="s">
        <v>1174</v>
      </c>
      <c r="C248" s="551" t="s">
        <v>1175</v>
      </c>
      <c r="D248" s="551" t="s">
        <v>679</v>
      </c>
      <c r="E248" s="549"/>
      <c r="F248" s="47"/>
      <c r="G248" s="47"/>
      <c r="H248" s="47"/>
      <c r="I248" s="47"/>
      <c r="J248" s="47"/>
    </row>
    <row r="249" spans="1:10" x14ac:dyDescent="0.3">
      <c r="A249" s="550" t="s">
        <v>678</v>
      </c>
      <c r="B249" s="550" t="s">
        <v>1176</v>
      </c>
      <c r="C249" s="550" t="s">
        <v>1177</v>
      </c>
      <c r="D249" s="550" t="s">
        <v>679</v>
      </c>
      <c r="E249" s="547"/>
      <c r="F249" s="47"/>
      <c r="G249" s="47"/>
      <c r="H249" s="47"/>
      <c r="I249" s="47"/>
      <c r="J249" s="47"/>
    </row>
    <row r="250" spans="1:10" x14ac:dyDescent="0.3">
      <c r="A250" s="551" t="s">
        <v>678</v>
      </c>
      <c r="B250" s="551" t="s">
        <v>1178</v>
      </c>
      <c r="C250" s="551" t="s">
        <v>1179</v>
      </c>
      <c r="D250" s="551" t="s">
        <v>679</v>
      </c>
      <c r="E250" s="549"/>
      <c r="F250" s="47"/>
      <c r="G250" s="47"/>
      <c r="H250" s="47"/>
      <c r="I250" s="47"/>
      <c r="J250" s="47"/>
    </row>
    <row r="251" spans="1:10" x14ac:dyDescent="0.3">
      <c r="A251" s="550" t="s">
        <v>678</v>
      </c>
      <c r="B251" s="550" t="s">
        <v>1180</v>
      </c>
      <c r="C251" s="550" t="s">
        <v>1181</v>
      </c>
      <c r="D251" s="550" t="s">
        <v>679</v>
      </c>
      <c r="E251" s="547"/>
      <c r="F251" s="47"/>
      <c r="G251" s="47"/>
      <c r="H251" s="47"/>
      <c r="I251" s="47"/>
      <c r="J251" s="47"/>
    </row>
    <row r="252" spans="1:10" x14ac:dyDescent="0.3">
      <c r="A252" s="551" t="s">
        <v>678</v>
      </c>
      <c r="B252" s="551" t="s">
        <v>1182</v>
      </c>
      <c r="C252" s="551" t="s">
        <v>1183</v>
      </c>
      <c r="D252" s="551" t="s">
        <v>679</v>
      </c>
      <c r="E252" s="549"/>
      <c r="F252" s="47"/>
      <c r="G252" s="47"/>
      <c r="H252" s="47"/>
      <c r="I252" s="47"/>
      <c r="J252" s="47"/>
    </row>
    <row r="253" spans="1:10" x14ac:dyDescent="0.3">
      <c r="A253" s="550" t="s">
        <v>678</v>
      </c>
      <c r="B253" s="550" t="s">
        <v>1184</v>
      </c>
      <c r="C253" s="550" t="s">
        <v>1185</v>
      </c>
      <c r="D253" s="550" t="s">
        <v>679</v>
      </c>
      <c r="E253" s="547"/>
      <c r="F253" s="47"/>
      <c r="G253" s="47"/>
      <c r="H253" s="47"/>
      <c r="I253" s="47"/>
      <c r="J253" s="47"/>
    </row>
    <row r="254" spans="1:10" x14ac:dyDescent="0.3">
      <c r="A254" s="551" t="s">
        <v>678</v>
      </c>
      <c r="B254" s="551" t="s">
        <v>1186</v>
      </c>
      <c r="C254" s="551" t="s">
        <v>1187</v>
      </c>
      <c r="D254" s="551" t="s">
        <v>679</v>
      </c>
      <c r="E254" s="549"/>
      <c r="F254" s="47"/>
      <c r="G254" s="47"/>
      <c r="H254" s="47"/>
      <c r="I254" s="47"/>
      <c r="J254" s="47"/>
    </row>
    <row r="255" spans="1:10" x14ac:dyDescent="0.3">
      <c r="A255" s="550" t="s">
        <v>678</v>
      </c>
      <c r="B255" s="550" t="s">
        <v>1188</v>
      </c>
      <c r="C255" s="550" t="s">
        <v>1189</v>
      </c>
      <c r="D255" s="550" t="s">
        <v>679</v>
      </c>
      <c r="E255" s="547"/>
      <c r="F255" s="47"/>
      <c r="G255" s="47"/>
      <c r="H255" s="47"/>
      <c r="I255" s="47"/>
      <c r="J255" s="47"/>
    </row>
    <row r="256" spans="1:10" x14ac:dyDescent="0.3">
      <c r="A256" s="551" t="s">
        <v>678</v>
      </c>
      <c r="B256" s="551" t="s">
        <v>1190</v>
      </c>
      <c r="C256" s="551" t="s">
        <v>1065</v>
      </c>
      <c r="D256" s="551" t="s">
        <v>679</v>
      </c>
      <c r="E256" s="549"/>
      <c r="F256" s="47"/>
      <c r="G256" s="47"/>
      <c r="H256" s="47"/>
      <c r="I256" s="47"/>
      <c r="J256" s="47"/>
    </row>
    <row r="257" spans="1:10" x14ac:dyDescent="0.3">
      <c r="A257" s="550" t="s">
        <v>678</v>
      </c>
      <c r="B257" s="550" t="s">
        <v>1191</v>
      </c>
      <c r="C257" s="550" t="s">
        <v>1067</v>
      </c>
      <c r="D257" s="550" t="s">
        <v>679</v>
      </c>
      <c r="E257" s="547"/>
      <c r="F257" s="47"/>
      <c r="G257" s="47"/>
      <c r="H257" s="47"/>
      <c r="I257" s="47"/>
      <c r="J257" s="47"/>
    </row>
    <row r="258" spans="1:10" x14ac:dyDescent="0.3">
      <c r="A258" s="551" t="s">
        <v>678</v>
      </c>
      <c r="B258" s="551" t="s">
        <v>1192</v>
      </c>
      <c r="C258" s="551" t="s">
        <v>1193</v>
      </c>
      <c r="D258" s="551" t="s">
        <v>679</v>
      </c>
      <c r="E258" s="549"/>
      <c r="F258" s="47"/>
      <c r="G258" s="47"/>
      <c r="H258" s="47"/>
      <c r="I258" s="47"/>
      <c r="J258" s="47"/>
    </row>
    <row r="259" spans="1:10" x14ac:dyDescent="0.3">
      <c r="A259" s="550" t="s">
        <v>678</v>
      </c>
      <c r="B259" s="550" t="s">
        <v>1194</v>
      </c>
      <c r="C259" s="550" t="s">
        <v>1195</v>
      </c>
      <c r="D259" s="550" t="s">
        <v>679</v>
      </c>
      <c r="E259" s="547"/>
      <c r="F259" s="47"/>
      <c r="G259" s="47"/>
      <c r="H259" s="47"/>
      <c r="I259" s="47"/>
      <c r="J259" s="47"/>
    </row>
    <row r="260" spans="1:10" x14ac:dyDescent="0.3">
      <c r="A260" s="551" t="s">
        <v>678</v>
      </c>
      <c r="B260" s="551" t="s">
        <v>1054</v>
      </c>
      <c r="C260" s="551" t="s">
        <v>647</v>
      </c>
      <c r="D260" s="551" t="s">
        <v>679</v>
      </c>
      <c r="E260" s="549"/>
      <c r="F260" s="47"/>
      <c r="G260" s="47"/>
      <c r="H260" s="47"/>
      <c r="I260" s="47"/>
      <c r="J260" s="47"/>
    </row>
    <row r="261" spans="1:10" x14ac:dyDescent="0.3">
      <c r="A261" s="550" t="s">
        <v>678</v>
      </c>
      <c r="B261" s="550" t="s">
        <v>1052</v>
      </c>
      <c r="C261" s="550" t="s">
        <v>644</v>
      </c>
      <c r="D261" s="550" t="s">
        <v>679</v>
      </c>
      <c r="E261" s="547"/>
      <c r="F261" s="47"/>
      <c r="G261" s="47"/>
      <c r="H261" s="47"/>
      <c r="I261" s="47"/>
      <c r="J261" s="47"/>
    </row>
    <row r="262" spans="1:10" x14ac:dyDescent="0.3">
      <c r="A262" s="551" t="s">
        <v>678</v>
      </c>
      <c r="B262" s="551" t="s">
        <v>1056</v>
      </c>
      <c r="C262" s="551" t="s">
        <v>1196</v>
      </c>
      <c r="D262" s="551" t="s">
        <v>679</v>
      </c>
      <c r="E262" s="549"/>
      <c r="F262" s="47"/>
      <c r="G262" s="47"/>
      <c r="H262" s="47"/>
      <c r="I262" s="47"/>
      <c r="J262" s="47"/>
    </row>
    <row r="263" spans="1:10" x14ac:dyDescent="0.3">
      <c r="A263" s="550" t="s">
        <v>678</v>
      </c>
      <c r="B263" s="550" t="s">
        <v>1197</v>
      </c>
      <c r="C263" s="550" t="s">
        <v>1198</v>
      </c>
      <c r="D263" s="550" t="s">
        <v>1157</v>
      </c>
      <c r="E263" s="547"/>
      <c r="F263" s="47"/>
      <c r="G263" s="47"/>
      <c r="H263" s="47"/>
      <c r="I263" s="47"/>
      <c r="J263" s="47"/>
    </row>
    <row r="264" spans="1:10" x14ac:dyDescent="0.3">
      <c r="A264" s="551" t="s">
        <v>678</v>
      </c>
      <c r="B264" s="551" t="s">
        <v>1199</v>
      </c>
      <c r="C264" s="551" t="s">
        <v>1200</v>
      </c>
      <c r="D264" s="551" t="s">
        <v>679</v>
      </c>
      <c r="E264" s="549"/>
      <c r="F264" s="47"/>
      <c r="G264" s="47"/>
      <c r="H264" s="47"/>
      <c r="I264" s="47"/>
      <c r="J264" s="47"/>
    </row>
    <row r="265" spans="1:10" x14ac:dyDescent="0.3">
      <c r="A265" s="550" t="s">
        <v>678</v>
      </c>
      <c r="B265" s="550" t="s">
        <v>1201</v>
      </c>
      <c r="C265" s="550" t="s">
        <v>1202</v>
      </c>
      <c r="D265" s="550" t="s">
        <v>679</v>
      </c>
      <c r="E265" s="547"/>
      <c r="F265" s="47"/>
      <c r="G265" s="47"/>
      <c r="H265" s="47"/>
      <c r="I265" s="47"/>
      <c r="J265" s="47"/>
    </row>
    <row r="266" spans="1:10" x14ac:dyDescent="0.3">
      <c r="A266" s="551" t="s">
        <v>678</v>
      </c>
      <c r="B266" s="551" t="s">
        <v>1203</v>
      </c>
      <c r="C266" s="551" t="s">
        <v>1204</v>
      </c>
      <c r="D266" s="551" t="s">
        <v>679</v>
      </c>
      <c r="E266" s="549"/>
      <c r="F266" s="47"/>
      <c r="G266" s="47"/>
      <c r="H266" s="47"/>
      <c r="I266" s="47"/>
      <c r="J266" s="47"/>
    </row>
    <row r="267" spans="1:10" x14ac:dyDescent="0.3">
      <c r="A267" s="550" t="s">
        <v>678</v>
      </c>
      <c r="B267" s="550" t="s">
        <v>1205</v>
      </c>
      <c r="C267" s="550" t="s">
        <v>1206</v>
      </c>
      <c r="D267" s="550" t="s">
        <v>1157</v>
      </c>
      <c r="E267" s="547"/>
      <c r="F267" s="47"/>
      <c r="G267" s="47"/>
      <c r="H267" s="47"/>
      <c r="I267" s="47"/>
      <c r="J267" s="47"/>
    </row>
    <row r="268" spans="1:10" x14ac:dyDescent="0.3">
      <c r="A268" s="551" t="s">
        <v>678</v>
      </c>
      <c r="B268" s="551" t="s">
        <v>1207</v>
      </c>
      <c r="C268" s="551" t="s">
        <v>1208</v>
      </c>
      <c r="D268" s="551" t="s">
        <v>1157</v>
      </c>
      <c r="E268" s="549"/>
      <c r="F268" s="47"/>
      <c r="G268" s="47"/>
      <c r="H268" s="47"/>
      <c r="I268" s="47"/>
      <c r="J268" s="47"/>
    </row>
    <row r="269" spans="1:10" x14ac:dyDescent="0.3">
      <c r="A269" s="550" t="s">
        <v>678</v>
      </c>
      <c r="B269" s="550" t="s">
        <v>1209</v>
      </c>
      <c r="C269" s="550" t="s">
        <v>1210</v>
      </c>
      <c r="D269" s="550" t="s">
        <v>679</v>
      </c>
      <c r="E269" s="547"/>
      <c r="F269" s="47"/>
      <c r="G269" s="47"/>
      <c r="H269" s="47"/>
      <c r="I269" s="47"/>
      <c r="J269" s="47"/>
    </row>
    <row r="270" spans="1:10" x14ac:dyDescent="0.3">
      <c r="A270" s="551" t="s">
        <v>678</v>
      </c>
      <c r="B270" s="551" t="s">
        <v>1211</v>
      </c>
      <c r="C270" s="551" t="s">
        <v>1085</v>
      </c>
      <c r="D270" s="551" t="s">
        <v>679</v>
      </c>
      <c r="E270" s="549"/>
      <c r="F270" s="47"/>
      <c r="G270" s="47"/>
      <c r="H270" s="47"/>
      <c r="I270" s="47"/>
      <c r="J270" s="47"/>
    </row>
    <row r="271" spans="1:10" x14ac:dyDescent="0.3">
      <c r="A271" s="550" t="s">
        <v>678</v>
      </c>
      <c r="B271" s="550" t="s">
        <v>1212</v>
      </c>
      <c r="C271" s="550" t="s">
        <v>1213</v>
      </c>
      <c r="D271" s="550" t="s">
        <v>679</v>
      </c>
      <c r="E271" s="547"/>
      <c r="F271" s="47"/>
      <c r="G271" s="47"/>
      <c r="H271" s="47"/>
      <c r="I271" s="47"/>
      <c r="J271" s="47"/>
    </row>
    <row r="272" spans="1:10" x14ac:dyDescent="0.3">
      <c r="A272" s="551" t="s">
        <v>678</v>
      </c>
      <c r="B272" s="551" t="s">
        <v>1214</v>
      </c>
      <c r="C272" s="551" t="s">
        <v>1215</v>
      </c>
      <c r="D272" s="551" t="s">
        <v>679</v>
      </c>
      <c r="E272" s="549"/>
      <c r="F272" s="47"/>
      <c r="G272" s="47"/>
      <c r="H272" s="47"/>
      <c r="I272" s="47"/>
      <c r="J272" s="47"/>
    </row>
    <row r="273" spans="1:10" x14ac:dyDescent="0.3">
      <c r="A273" s="550" t="s">
        <v>678</v>
      </c>
      <c r="B273" s="550" t="s">
        <v>1216</v>
      </c>
      <c r="C273" s="550" t="s">
        <v>1170</v>
      </c>
      <c r="D273" s="550" t="s">
        <v>679</v>
      </c>
      <c r="E273" s="547"/>
      <c r="F273" s="47"/>
      <c r="G273" s="47"/>
      <c r="H273" s="47"/>
      <c r="I273" s="47"/>
      <c r="J273" s="47"/>
    </row>
    <row r="274" spans="1:10" x14ac:dyDescent="0.3">
      <c r="A274" s="551" t="s">
        <v>678</v>
      </c>
      <c r="B274" s="551" t="s">
        <v>1217</v>
      </c>
      <c r="C274" s="551" t="s">
        <v>1168</v>
      </c>
      <c r="D274" s="551" t="s">
        <v>679</v>
      </c>
      <c r="E274" s="549"/>
      <c r="F274" s="47"/>
      <c r="G274" s="47"/>
      <c r="H274" s="47"/>
      <c r="I274" s="47"/>
      <c r="J274" s="47"/>
    </row>
    <row r="275" spans="1:10" x14ac:dyDescent="0.3">
      <c r="A275" s="550" t="s">
        <v>678</v>
      </c>
      <c r="B275" s="550" t="s">
        <v>1218</v>
      </c>
      <c r="C275" s="550" t="s">
        <v>1219</v>
      </c>
      <c r="D275" s="550" t="s">
        <v>688</v>
      </c>
      <c r="E275" s="547"/>
      <c r="F275" s="47"/>
      <c r="G275" s="47"/>
      <c r="H275" s="47"/>
      <c r="I275" s="47"/>
      <c r="J275" s="47"/>
    </row>
    <row r="276" spans="1:10" x14ac:dyDescent="0.3">
      <c r="A276" s="551" t="s">
        <v>678</v>
      </c>
      <c r="B276" s="551" t="s">
        <v>1220</v>
      </c>
      <c r="C276" s="551" t="s">
        <v>1221</v>
      </c>
      <c r="D276" s="551" t="s">
        <v>679</v>
      </c>
      <c r="E276" s="549"/>
      <c r="F276" s="47"/>
      <c r="G276" s="47"/>
      <c r="H276" s="47"/>
      <c r="I276" s="47"/>
      <c r="J276" s="47"/>
    </row>
    <row r="277" spans="1:10" x14ac:dyDescent="0.3">
      <c r="A277" s="550" t="s">
        <v>678</v>
      </c>
      <c r="B277" s="550" t="s">
        <v>1222</v>
      </c>
      <c r="C277" s="550" t="s">
        <v>1223</v>
      </c>
      <c r="D277" s="550" t="s">
        <v>679</v>
      </c>
      <c r="E277" s="547"/>
      <c r="F277" s="47"/>
      <c r="G277" s="47"/>
      <c r="H277" s="47"/>
      <c r="I277" s="47"/>
      <c r="J277" s="47"/>
    </row>
    <row r="278" spans="1:10" x14ac:dyDescent="0.3">
      <c r="A278" s="551" t="s">
        <v>678</v>
      </c>
      <c r="B278" s="551" t="s">
        <v>1224</v>
      </c>
      <c r="C278" s="551" t="s">
        <v>1225</v>
      </c>
      <c r="D278" s="551" t="s">
        <v>679</v>
      </c>
      <c r="E278" s="549"/>
      <c r="F278" s="47"/>
      <c r="G278" s="47"/>
      <c r="H278" s="47"/>
      <c r="I278" s="47"/>
      <c r="J278" s="47"/>
    </row>
    <row r="279" spans="1:10" x14ac:dyDescent="0.3">
      <c r="A279" s="550" t="s">
        <v>678</v>
      </c>
      <c r="B279" s="550" t="s">
        <v>1226</v>
      </c>
      <c r="C279" s="550" t="s">
        <v>1219</v>
      </c>
      <c r="D279" s="550" t="s">
        <v>1115</v>
      </c>
      <c r="E279" s="547"/>
      <c r="F279" s="47"/>
      <c r="G279" s="47"/>
      <c r="H279" s="47"/>
      <c r="I279" s="47"/>
      <c r="J279" s="47"/>
    </row>
    <row r="280" spans="1:10" x14ac:dyDescent="0.3">
      <c r="A280" s="551" t="s">
        <v>678</v>
      </c>
      <c r="B280" s="551" t="s">
        <v>1227</v>
      </c>
      <c r="C280" s="551" t="s">
        <v>1228</v>
      </c>
      <c r="D280" s="551" t="s">
        <v>679</v>
      </c>
      <c r="E280" s="549"/>
      <c r="F280" s="47"/>
      <c r="G280" s="47"/>
      <c r="H280" s="47"/>
      <c r="I280" s="47"/>
      <c r="J280" s="47"/>
    </row>
    <row r="281" spans="1:10" x14ac:dyDescent="0.3">
      <c r="A281" s="550" t="s">
        <v>678</v>
      </c>
      <c r="B281" s="550" t="s">
        <v>1229</v>
      </c>
      <c r="C281" s="550" t="s">
        <v>1230</v>
      </c>
      <c r="D281" s="550" t="s">
        <v>688</v>
      </c>
      <c r="E281" s="547"/>
      <c r="F281" s="47"/>
      <c r="G281" s="47"/>
      <c r="H281" s="47"/>
      <c r="I281" s="47"/>
      <c r="J281" s="47"/>
    </row>
    <row r="282" spans="1:10" x14ac:dyDescent="0.3">
      <c r="A282" s="551" t="s">
        <v>678</v>
      </c>
      <c r="B282" s="551" t="s">
        <v>1231</v>
      </c>
      <c r="C282" s="551" t="s">
        <v>1232</v>
      </c>
      <c r="D282" s="551" t="s">
        <v>688</v>
      </c>
      <c r="E282" s="549"/>
      <c r="F282" s="47"/>
      <c r="G282" s="47"/>
      <c r="H282" s="47"/>
      <c r="I282" s="47"/>
      <c r="J282" s="47"/>
    </row>
    <row r="283" spans="1:10" x14ac:dyDescent="0.3">
      <c r="A283" s="550" t="s">
        <v>678</v>
      </c>
      <c r="B283" s="550" t="s">
        <v>1233</v>
      </c>
      <c r="C283" s="550" t="s">
        <v>1234</v>
      </c>
      <c r="D283" s="550" t="s">
        <v>688</v>
      </c>
      <c r="E283" s="547"/>
      <c r="F283" s="47"/>
      <c r="G283" s="47"/>
      <c r="H283" s="47"/>
      <c r="I283" s="47"/>
      <c r="J283" s="47"/>
    </row>
    <row r="284" spans="1:10" x14ac:dyDescent="0.3">
      <c r="A284" s="551" t="s">
        <v>678</v>
      </c>
      <c r="B284" s="551" t="s">
        <v>1235</v>
      </c>
      <c r="C284" s="551" t="s">
        <v>1236</v>
      </c>
      <c r="D284" s="551" t="s">
        <v>688</v>
      </c>
      <c r="E284" s="549"/>
      <c r="F284" s="47"/>
      <c r="G284" s="47"/>
      <c r="H284" s="47"/>
      <c r="I284" s="47"/>
      <c r="J284" s="47"/>
    </row>
    <row r="285" spans="1:10" x14ac:dyDescent="0.3">
      <c r="A285" s="550" t="s">
        <v>678</v>
      </c>
      <c r="B285" s="550" t="s">
        <v>1237</v>
      </c>
      <c r="C285" s="550" t="s">
        <v>1238</v>
      </c>
      <c r="D285" s="550" t="s">
        <v>679</v>
      </c>
      <c r="E285" s="547"/>
      <c r="F285" s="47"/>
      <c r="G285" s="47"/>
      <c r="H285" s="47"/>
      <c r="I285" s="47"/>
      <c r="J285" s="47"/>
    </row>
    <row r="286" spans="1:10" x14ac:dyDescent="0.3">
      <c r="A286" s="551" t="s">
        <v>678</v>
      </c>
      <c r="B286" s="551" t="s">
        <v>1239</v>
      </c>
      <c r="C286" s="551" t="s">
        <v>1240</v>
      </c>
      <c r="D286" s="551" t="s">
        <v>679</v>
      </c>
      <c r="E286" s="549"/>
      <c r="F286" s="47"/>
      <c r="G286" s="47"/>
      <c r="H286" s="47"/>
      <c r="I286" s="47"/>
      <c r="J286" s="47"/>
    </row>
    <row r="287" spans="1:10" x14ac:dyDescent="0.3">
      <c r="A287" s="550" t="s">
        <v>678</v>
      </c>
      <c r="B287" s="550" t="s">
        <v>1241</v>
      </c>
      <c r="C287" s="550" t="s">
        <v>1096</v>
      </c>
      <c r="D287" s="550" t="s">
        <v>679</v>
      </c>
      <c r="E287" s="547"/>
      <c r="F287" s="47"/>
      <c r="G287" s="47"/>
      <c r="H287" s="47"/>
      <c r="I287" s="47"/>
      <c r="J287" s="47"/>
    </row>
    <row r="288" spans="1:10" x14ac:dyDescent="0.3">
      <c r="A288" s="551" t="s">
        <v>678</v>
      </c>
      <c r="B288" s="551" t="s">
        <v>1242</v>
      </c>
      <c r="C288" s="551" t="s">
        <v>1095</v>
      </c>
      <c r="D288" s="551" t="s">
        <v>679</v>
      </c>
      <c r="E288" s="549"/>
      <c r="F288" s="47"/>
      <c r="G288" s="47"/>
      <c r="H288" s="47"/>
      <c r="I288" s="47"/>
      <c r="J288" s="47"/>
    </row>
    <row r="289" spans="1:10" x14ac:dyDescent="0.3">
      <c r="A289" s="550" t="s">
        <v>678</v>
      </c>
      <c r="B289" s="550" t="s">
        <v>1243</v>
      </c>
      <c r="C289" s="550" t="s">
        <v>1244</v>
      </c>
      <c r="D289" s="550" t="s">
        <v>679</v>
      </c>
      <c r="E289" s="547"/>
      <c r="F289" s="47"/>
      <c r="G289" s="47"/>
      <c r="H289" s="47"/>
      <c r="I289" s="47"/>
      <c r="J289" s="47"/>
    </row>
    <row r="290" spans="1:10" x14ac:dyDescent="0.3">
      <c r="A290" s="551" t="s">
        <v>678</v>
      </c>
      <c r="B290" s="551" t="s">
        <v>1245</v>
      </c>
      <c r="C290" s="551" t="s">
        <v>1246</v>
      </c>
      <c r="D290" s="551" t="s">
        <v>679</v>
      </c>
      <c r="E290" s="549"/>
      <c r="F290" s="47"/>
      <c r="G290" s="47"/>
      <c r="H290" s="47"/>
      <c r="I290" s="47"/>
      <c r="J290" s="47"/>
    </row>
    <row r="291" spans="1:10" x14ac:dyDescent="0.3">
      <c r="A291" s="550" t="s">
        <v>678</v>
      </c>
      <c r="B291" s="550" t="s">
        <v>1247</v>
      </c>
      <c r="C291" s="550" t="s">
        <v>1248</v>
      </c>
      <c r="D291" s="550" t="s">
        <v>688</v>
      </c>
      <c r="E291" s="547"/>
      <c r="F291" s="47"/>
      <c r="G291" s="47"/>
      <c r="H291" s="47"/>
      <c r="I291" s="47"/>
      <c r="J291" s="47"/>
    </row>
    <row r="292" spans="1:10" x14ac:dyDescent="0.3">
      <c r="A292" s="551" t="s">
        <v>678</v>
      </c>
      <c r="B292" s="551" t="s">
        <v>1249</v>
      </c>
      <c r="C292" s="551" t="s">
        <v>1095</v>
      </c>
      <c r="D292" s="551" t="s">
        <v>679</v>
      </c>
      <c r="E292" s="549"/>
      <c r="F292" s="47"/>
      <c r="G292" s="47"/>
      <c r="H292" s="47"/>
      <c r="I292" s="47"/>
      <c r="J292" s="47"/>
    </row>
    <row r="293" spans="1:10" x14ac:dyDescent="0.3">
      <c r="A293" s="550" t="s">
        <v>678</v>
      </c>
      <c r="B293" s="550" t="s">
        <v>1250</v>
      </c>
      <c r="C293" s="550" t="s">
        <v>1251</v>
      </c>
      <c r="D293" s="550" t="s">
        <v>679</v>
      </c>
      <c r="E293" s="547"/>
      <c r="F293" s="47"/>
      <c r="G293" s="47"/>
      <c r="H293" s="47"/>
      <c r="I293" s="47"/>
      <c r="J293" s="47"/>
    </row>
    <row r="294" spans="1:10" x14ac:dyDescent="0.3">
      <c r="A294" s="551" t="s">
        <v>678</v>
      </c>
      <c r="B294" s="551" t="s">
        <v>1252</v>
      </c>
      <c r="C294" s="551" t="s">
        <v>1150</v>
      </c>
      <c r="D294" s="551" t="s">
        <v>688</v>
      </c>
      <c r="E294" s="549"/>
      <c r="F294" s="47"/>
      <c r="G294" s="47"/>
      <c r="H294" s="47"/>
      <c r="I294" s="47"/>
      <c r="J294" s="47"/>
    </row>
    <row r="295" spans="1:10" x14ac:dyDescent="0.3">
      <c r="A295" s="550" t="s">
        <v>678</v>
      </c>
      <c r="B295" s="550" t="s">
        <v>1253</v>
      </c>
      <c r="C295" s="550" t="s">
        <v>1152</v>
      </c>
      <c r="D295" s="550" t="s">
        <v>688</v>
      </c>
      <c r="E295" s="547"/>
      <c r="F295" s="47"/>
      <c r="G295" s="47"/>
      <c r="H295" s="47"/>
      <c r="I295" s="47"/>
      <c r="J295" s="47"/>
    </row>
    <row r="296" spans="1:10" x14ac:dyDescent="0.3">
      <c r="A296" s="551" t="s">
        <v>678</v>
      </c>
      <c r="B296" s="551" t="s">
        <v>1254</v>
      </c>
      <c r="C296" s="551" t="s">
        <v>1255</v>
      </c>
      <c r="D296" s="551" t="s">
        <v>688</v>
      </c>
      <c r="E296" s="549"/>
      <c r="F296" s="47"/>
      <c r="G296" s="47"/>
      <c r="H296" s="47"/>
      <c r="I296" s="47"/>
      <c r="J296" s="47"/>
    </row>
    <row r="297" spans="1:10" x14ac:dyDescent="0.3">
      <c r="A297" s="550" t="s">
        <v>678</v>
      </c>
      <c r="B297" s="550" t="s">
        <v>1256</v>
      </c>
      <c r="C297" s="550" t="s">
        <v>1257</v>
      </c>
      <c r="D297" s="550" t="s">
        <v>688</v>
      </c>
      <c r="E297" s="547"/>
      <c r="F297" s="47"/>
      <c r="G297" s="47"/>
      <c r="H297" s="47"/>
      <c r="I297" s="47"/>
      <c r="J297" s="47"/>
    </row>
    <row r="298" spans="1:10" x14ac:dyDescent="0.3">
      <c r="A298" s="551" t="s">
        <v>678</v>
      </c>
      <c r="B298" s="551" t="s">
        <v>1258</v>
      </c>
      <c r="C298" s="551" t="s">
        <v>1259</v>
      </c>
      <c r="D298" s="551" t="s">
        <v>688</v>
      </c>
      <c r="E298" s="549"/>
      <c r="F298" s="47"/>
      <c r="G298" s="47"/>
      <c r="H298" s="47"/>
      <c r="I298" s="47"/>
      <c r="J298" s="47"/>
    </row>
    <row r="299" spans="1:10" x14ac:dyDescent="0.3">
      <c r="A299" s="550" t="s">
        <v>678</v>
      </c>
      <c r="B299" s="550" t="s">
        <v>1260</v>
      </c>
      <c r="C299" s="550" t="s">
        <v>1259</v>
      </c>
      <c r="D299" s="550" t="s">
        <v>688</v>
      </c>
      <c r="E299" s="547"/>
      <c r="F299" s="47"/>
      <c r="G299" s="47"/>
      <c r="H299" s="47"/>
      <c r="I299" s="47"/>
      <c r="J299" s="47"/>
    </row>
    <row r="300" spans="1:10" x14ac:dyDescent="0.3">
      <c r="A300" s="551" t="s">
        <v>678</v>
      </c>
      <c r="B300" s="551" t="s">
        <v>1261</v>
      </c>
      <c r="C300" s="551" t="s">
        <v>1262</v>
      </c>
      <c r="D300" s="551" t="s">
        <v>679</v>
      </c>
      <c r="E300" s="549"/>
      <c r="F300" s="47"/>
      <c r="G300" s="47"/>
      <c r="H300" s="47"/>
      <c r="I300" s="47"/>
      <c r="J300" s="47"/>
    </row>
    <row r="301" spans="1:10" x14ac:dyDescent="0.3">
      <c r="A301" s="550" t="s">
        <v>678</v>
      </c>
      <c r="B301" s="550" t="s">
        <v>1263</v>
      </c>
      <c r="C301" s="550" t="s">
        <v>1264</v>
      </c>
      <c r="D301" s="550" t="s">
        <v>688</v>
      </c>
      <c r="E301" s="547"/>
      <c r="F301" s="47"/>
      <c r="G301" s="47"/>
      <c r="H301" s="47"/>
      <c r="I301" s="47"/>
      <c r="J301" s="47"/>
    </row>
    <row r="302" spans="1:10" x14ac:dyDescent="0.3">
      <c r="A302" s="551" t="s">
        <v>678</v>
      </c>
      <c r="B302" s="551" t="s">
        <v>1265</v>
      </c>
      <c r="C302" s="551" t="s">
        <v>1266</v>
      </c>
      <c r="D302" s="551" t="s">
        <v>688</v>
      </c>
      <c r="E302" s="549"/>
      <c r="F302" s="47"/>
      <c r="G302" s="47"/>
      <c r="H302" s="47"/>
      <c r="I302" s="47"/>
      <c r="J302" s="47"/>
    </row>
    <row r="303" spans="1:10" x14ac:dyDescent="0.3">
      <c r="A303" s="550" t="s">
        <v>678</v>
      </c>
      <c r="B303" s="550" t="s">
        <v>1267</v>
      </c>
      <c r="C303" s="550" t="s">
        <v>1268</v>
      </c>
      <c r="D303" s="550" t="s">
        <v>688</v>
      </c>
      <c r="E303" s="547"/>
      <c r="F303" s="47"/>
      <c r="G303" s="47"/>
      <c r="H303" s="47"/>
      <c r="I303" s="47"/>
      <c r="J303" s="47"/>
    </row>
    <row r="304" spans="1:10" x14ac:dyDescent="0.3">
      <c r="A304" s="551" t="s">
        <v>678</v>
      </c>
      <c r="B304" s="551" t="s">
        <v>1269</v>
      </c>
      <c r="C304" s="551" t="s">
        <v>1270</v>
      </c>
      <c r="D304" s="551" t="s">
        <v>679</v>
      </c>
      <c r="E304" s="549"/>
      <c r="F304" s="47"/>
      <c r="G304" s="47"/>
      <c r="H304" s="47"/>
      <c r="I304" s="47"/>
      <c r="J304" s="47"/>
    </row>
    <row r="305" spans="1:10" x14ac:dyDescent="0.3">
      <c r="A305" s="550" t="s">
        <v>678</v>
      </c>
      <c r="B305" s="550" t="s">
        <v>1271</v>
      </c>
      <c r="C305" s="550" t="s">
        <v>1272</v>
      </c>
      <c r="D305" s="550" t="s">
        <v>679</v>
      </c>
      <c r="E305" s="547"/>
      <c r="F305" s="47"/>
      <c r="G305" s="47"/>
      <c r="H305" s="47"/>
      <c r="I305" s="47"/>
      <c r="J305" s="47"/>
    </row>
    <row r="306" spans="1:10" x14ac:dyDescent="0.3">
      <c r="A306" s="551" t="s">
        <v>678</v>
      </c>
      <c r="B306" s="551" t="s">
        <v>1273</v>
      </c>
      <c r="C306" s="551" t="s">
        <v>1274</v>
      </c>
      <c r="D306" s="551" t="s">
        <v>679</v>
      </c>
      <c r="E306" s="549"/>
      <c r="F306" s="47"/>
      <c r="G306" s="47"/>
      <c r="H306" s="47"/>
      <c r="I306" s="47"/>
      <c r="J306" s="47"/>
    </row>
    <row r="307" spans="1:10" x14ac:dyDescent="0.3">
      <c r="A307" s="550" t="s">
        <v>678</v>
      </c>
      <c r="B307" s="550" t="s">
        <v>1275</v>
      </c>
      <c r="C307" s="550" t="s">
        <v>1276</v>
      </c>
      <c r="D307" s="550" t="s">
        <v>679</v>
      </c>
      <c r="E307" s="547"/>
      <c r="F307" s="47"/>
      <c r="G307" s="47"/>
      <c r="H307" s="47"/>
      <c r="I307" s="47"/>
      <c r="J307" s="47"/>
    </row>
    <row r="308" spans="1:10" x14ac:dyDescent="0.3">
      <c r="A308" s="551" t="s">
        <v>678</v>
      </c>
      <c r="B308" s="551" t="s">
        <v>1277</v>
      </c>
      <c r="C308" s="551" t="s">
        <v>1278</v>
      </c>
      <c r="D308" s="551" t="s">
        <v>679</v>
      </c>
      <c r="E308" s="549"/>
      <c r="F308" s="47"/>
      <c r="G308" s="47"/>
      <c r="H308" s="47"/>
      <c r="I308" s="47"/>
      <c r="J308" s="47"/>
    </row>
    <row r="309" spans="1:10" x14ac:dyDescent="0.3">
      <c r="A309" s="550" t="s">
        <v>678</v>
      </c>
      <c r="B309" s="550" t="s">
        <v>1218</v>
      </c>
      <c r="C309" s="550" t="s">
        <v>1219</v>
      </c>
      <c r="D309" s="550" t="s">
        <v>1115</v>
      </c>
      <c r="E309" s="547"/>
      <c r="F309" s="47"/>
      <c r="G309" s="47"/>
      <c r="H309" s="47"/>
      <c r="I309" s="47"/>
      <c r="J309" s="47"/>
    </row>
    <row r="310" spans="1:10" x14ac:dyDescent="0.3">
      <c r="A310" s="551" t="s">
        <v>678</v>
      </c>
      <c r="B310" s="551" t="s">
        <v>1279</v>
      </c>
      <c r="C310" s="551" t="s">
        <v>1280</v>
      </c>
      <c r="D310" s="551" t="s">
        <v>688</v>
      </c>
      <c r="E310" s="549"/>
      <c r="F310" s="47"/>
      <c r="G310" s="47"/>
      <c r="H310" s="47"/>
      <c r="I310" s="47"/>
      <c r="J310" s="47"/>
    </row>
    <row r="311" spans="1:10" x14ac:dyDescent="0.3">
      <c r="A311" s="550" t="s">
        <v>678</v>
      </c>
      <c r="B311" s="550" t="s">
        <v>1281</v>
      </c>
      <c r="C311" s="550" t="s">
        <v>1282</v>
      </c>
      <c r="D311" s="550" t="s">
        <v>688</v>
      </c>
      <c r="E311" s="547"/>
      <c r="F311" s="47"/>
      <c r="G311" s="47"/>
      <c r="H311" s="47"/>
      <c r="I311" s="47"/>
      <c r="J311" s="47"/>
    </row>
    <row r="312" spans="1:10" x14ac:dyDescent="0.3">
      <c r="A312" s="551" t="s">
        <v>678</v>
      </c>
      <c r="B312" s="551" t="s">
        <v>1283</v>
      </c>
      <c r="C312" s="551" t="s">
        <v>1284</v>
      </c>
      <c r="D312" s="551" t="s">
        <v>688</v>
      </c>
      <c r="E312" s="549"/>
      <c r="F312" s="47"/>
      <c r="G312" s="47"/>
      <c r="H312" s="47"/>
      <c r="I312" s="47"/>
      <c r="J312" s="47"/>
    </row>
    <row r="313" spans="1:10" x14ac:dyDescent="0.3">
      <c r="A313" s="550" t="s">
        <v>678</v>
      </c>
      <c r="B313" s="550" t="s">
        <v>1285</v>
      </c>
      <c r="C313" s="550" t="s">
        <v>1286</v>
      </c>
      <c r="D313" s="550" t="s">
        <v>688</v>
      </c>
      <c r="E313" s="547"/>
      <c r="F313" s="47"/>
      <c r="G313" s="47"/>
      <c r="H313" s="47"/>
      <c r="I313" s="47"/>
      <c r="J313" s="47"/>
    </row>
    <row r="314" spans="1:10" x14ac:dyDescent="0.3">
      <c r="A314" s="551" t="s">
        <v>678</v>
      </c>
      <c r="B314" s="551" t="s">
        <v>1287</v>
      </c>
      <c r="C314" s="551" t="s">
        <v>1288</v>
      </c>
      <c r="D314" s="551" t="s">
        <v>688</v>
      </c>
      <c r="E314" s="549"/>
      <c r="F314" s="47"/>
      <c r="G314" s="47"/>
      <c r="H314" s="47"/>
      <c r="I314" s="47"/>
      <c r="J314" s="47"/>
    </row>
    <row r="315" spans="1:10" x14ac:dyDescent="0.3">
      <c r="A315" s="550" t="s">
        <v>678</v>
      </c>
      <c r="B315" s="550" t="s">
        <v>1235</v>
      </c>
      <c r="C315" s="550" t="s">
        <v>1236</v>
      </c>
      <c r="D315" s="550" t="s">
        <v>1115</v>
      </c>
      <c r="E315" s="547"/>
      <c r="F315" s="47"/>
      <c r="G315" s="47"/>
      <c r="H315" s="47"/>
      <c r="I315" s="47"/>
      <c r="J315" s="47"/>
    </row>
    <row r="316" spans="1:10" x14ac:dyDescent="0.3">
      <c r="A316" s="551" t="s">
        <v>678</v>
      </c>
      <c r="B316" s="551" t="s">
        <v>1289</v>
      </c>
      <c r="C316" s="551" t="s">
        <v>1290</v>
      </c>
      <c r="D316" s="551" t="s">
        <v>688</v>
      </c>
      <c r="E316" s="549"/>
      <c r="F316" s="47"/>
      <c r="G316" s="47"/>
      <c r="H316" s="47"/>
      <c r="I316" s="47"/>
      <c r="J316" s="47"/>
    </row>
    <row r="317" spans="1:10" x14ac:dyDescent="0.3">
      <c r="A317" s="550" t="s">
        <v>678</v>
      </c>
      <c r="B317" s="550" t="s">
        <v>1291</v>
      </c>
      <c r="C317" s="550" t="s">
        <v>1292</v>
      </c>
      <c r="D317" s="550" t="s">
        <v>688</v>
      </c>
      <c r="E317" s="547"/>
      <c r="F317" s="47"/>
      <c r="G317" s="47"/>
      <c r="H317" s="47"/>
      <c r="I317" s="47"/>
      <c r="J317" s="47"/>
    </row>
    <row r="318" spans="1:10" x14ac:dyDescent="0.3">
      <c r="A318" s="551" t="s">
        <v>678</v>
      </c>
      <c r="B318" s="551" t="s">
        <v>1293</v>
      </c>
      <c r="C318" s="551" t="s">
        <v>1294</v>
      </c>
      <c r="D318" s="551" t="s">
        <v>1157</v>
      </c>
      <c r="E318" s="549"/>
      <c r="F318" s="47"/>
      <c r="G318" s="47"/>
      <c r="H318" s="47"/>
      <c r="I318" s="47"/>
      <c r="J318" s="47"/>
    </row>
    <row r="319" spans="1:10" x14ac:dyDescent="0.3">
      <c r="A319" s="550" t="s">
        <v>678</v>
      </c>
      <c r="B319" s="550" t="s">
        <v>1143</v>
      </c>
      <c r="C319" s="550" t="s">
        <v>1144</v>
      </c>
      <c r="D319" s="550" t="s">
        <v>1115</v>
      </c>
      <c r="E319" s="547"/>
      <c r="F319" s="47"/>
      <c r="G319" s="47"/>
      <c r="H319" s="47"/>
      <c r="I319" s="47"/>
      <c r="J319" s="47"/>
    </row>
    <row r="320" spans="1:10" x14ac:dyDescent="0.3">
      <c r="A320" s="551" t="s">
        <v>678</v>
      </c>
      <c r="B320" s="551" t="s">
        <v>1247</v>
      </c>
      <c r="C320" s="551" t="s">
        <v>1248</v>
      </c>
      <c r="D320" s="551" t="s">
        <v>1115</v>
      </c>
      <c r="E320" s="549"/>
      <c r="F320" s="47"/>
      <c r="G320" s="47"/>
      <c r="H320" s="47"/>
      <c r="I320" s="47"/>
      <c r="J320" s="47"/>
    </row>
    <row r="321" spans="1:10" x14ac:dyDescent="0.3">
      <c r="A321" s="550" t="s">
        <v>678</v>
      </c>
      <c r="B321" s="550" t="s">
        <v>1295</v>
      </c>
      <c r="C321" s="550" t="s">
        <v>1296</v>
      </c>
      <c r="D321" s="550" t="s">
        <v>679</v>
      </c>
      <c r="E321" s="547"/>
      <c r="F321" s="47"/>
      <c r="G321" s="47"/>
      <c r="H321" s="47"/>
      <c r="I321" s="47"/>
      <c r="J321" s="47"/>
    </row>
    <row r="322" spans="1:10" x14ac:dyDescent="0.3">
      <c r="A322" s="551" t="s">
        <v>678</v>
      </c>
      <c r="B322" s="551" t="s">
        <v>1151</v>
      </c>
      <c r="C322" s="551" t="s">
        <v>1152</v>
      </c>
      <c r="D322" s="551" t="s">
        <v>1115</v>
      </c>
      <c r="E322" s="549"/>
      <c r="F322" s="47"/>
      <c r="G322" s="47"/>
      <c r="H322" s="47"/>
      <c r="I322" s="47"/>
      <c r="J322" s="47"/>
    </row>
    <row r="323" spans="1:10" x14ac:dyDescent="0.3">
      <c r="A323" s="550" t="s">
        <v>678</v>
      </c>
      <c r="B323" s="550" t="s">
        <v>1149</v>
      </c>
      <c r="C323" s="550" t="s">
        <v>1150</v>
      </c>
      <c r="D323" s="550" t="s">
        <v>1115</v>
      </c>
      <c r="E323" s="547"/>
      <c r="F323" s="47"/>
      <c r="G323" s="47"/>
      <c r="H323" s="47"/>
      <c r="I323" s="47"/>
      <c r="J323" s="47"/>
    </row>
    <row r="324" spans="1:10" x14ac:dyDescent="0.3">
      <c r="A324" s="551" t="s">
        <v>678</v>
      </c>
      <c r="B324" s="551" t="s">
        <v>1253</v>
      </c>
      <c r="C324" s="551" t="s">
        <v>1152</v>
      </c>
      <c r="D324" s="551" t="s">
        <v>1115</v>
      </c>
      <c r="E324" s="549"/>
      <c r="F324" s="47"/>
      <c r="G324" s="47"/>
      <c r="H324" s="47"/>
      <c r="I324" s="47"/>
      <c r="J324" s="47"/>
    </row>
    <row r="325" spans="1:10" x14ac:dyDescent="0.3">
      <c r="A325" s="550" t="s">
        <v>678</v>
      </c>
      <c r="B325" s="550" t="s">
        <v>1252</v>
      </c>
      <c r="C325" s="550" t="s">
        <v>1150</v>
      </c>
      <c r="D325" s="550" t="s">
        <v>1115</v>
      </c>
      <c r="E325" s="547"/>
      <c r="F325" s="47"/>
      <c r="G325" s="47"/>
      <c r="H325" s="47"/>
      <c r="I325" s="47"/>
      <c r="J325" s="47"/>
    </row>
    <row r="326" spans="1:10" x14ac:dyDescent="0.3">
      <c r="A326" s="551" t="s">
        <v>678</v>
      </c>
      <c r="B326" s="551" t="s">
        <v>1256</v>
      </c>
      <c r="C326" s="551" t="s">
        <v>1257</v>
      </c>
      <c r="D326" s="551" t="s">
        <v>1115</v>
      </c>
      <c r="E326" s="549"/>
      <c r="F326" s="47"/>
      <c r="G326" s="47"/>
      <c r="H326" s="47"/>
      <c r="I326" s="47"/>
      <c r="J326" s="47"/>
    </row>
    <row r="327" spans="1:10" x14ac:dyDescent="0.3">
      <c r="A327" s="550" t="s">
        <v>678</v>
      </c>
      <c r="B327" s="550" t="s">
        <v>1160</v>
      </c>
      <c r="C327" s="550" t="s">
        <v>1161</v>
      </c>
      <c r="D327" s="550" t="s">
        <v>1115</v>
      </c>
      <c r="E327" s="547"/>
      <c r="F327" s="47"/>
      <c r="G327" s="47"/>
      <c r="H327" s="47"/>
      <c r="I327" s="47"/>
      <c r="J327" s="47"/>
    </row>
    <row r="328" spans="1:10" x14ac:dyDescent="0.3">
      <c r="A328" s="551" t="s">
        <v>678</v>
      </c>
      <c r="B328" s="551" t="s">
        <v>1258</v>
      </c>
      <c r="C328" s="551" t="s">
        <v>1259</v>
      </c>
      <c r="D328" s="551" t="s">
        <v>1115</v>
      </c>
      <c r="E328" s="549"/>
      <c r="F328" s="47"/>
      <c r="G328" s="47"/>
      <c r="H328" s="47"/>
      <c r="I328" s="47"/>
      <c r="J328" s="47"/>
    </row>
    <row r="329" spans="1:10" x14ac:dyDescent="0.3">
      <c r="A329" s="550" t="s">
        <v>678</v>
      </c>
      <c r="B329" s="550" t="s">
        <v>1260</v>
      </c>
      <c r="C329" s="550" t="s">
        <v>1259</v>
      </c>
      <c r="D329" s="550" t="s">
        <v>1115</v>
      </c>
      <c r="E329" s="547"/>
      <c r="F329" s="47"/>
      <c r="G329" s="47"/>
      <c r="H329" s="47"/>
      <c r="I329" s="47"/>
      <c r="J329" s="47"/>
    </row>
    <row r="330" spans="1:10" x14ac:dyDescent="0.3">
      <c r="A330" s="551" t="s">
        <v>678</v>
      </c>
      <c r="B330" s="551" t="s">
        <v>1279</v>
      </c>
      <c r="C330" s="551" t="s">
        <v>1280</v>
      </c>
      <c r="D330" s="551" t="s">
        <v>1115</v>
      </c>
      <c r="E330" s="549"/>
      <c r="F330" s="47"/>
      <c r="G330" s="47"/>
      <c r="H330" s="47"/>
      <c r="I330" s="47"/>
      <c r="J330" s="47"/>
    </row>
    <row r="331" spans="1:10" x14ac:dyDescent="0.3">
      <c r="A331" s="550" t="s">
        <v>678</v>
      </c>
      <c r="B331" s="550" t="s">
        <v>1281</v>
      </c>
      <c r="C331" s="550" t="s">
        <v>1282</v>
      </c>
      <c r="D331" s="550" t="s">
        <v>1115</v>
      </c>
      <c r="E331" s="547"/>
      <c r="F331" s="47"/>
      <c r="G331" s="47"/>
      <c r="H331" s="47"/>
      <c r="I331" s="47"/>
      <c r="J331" s="47"/>
    </row>
    <row r="332" spans="1:10" x14ac:dyDescent="0.3">
      <c r="A332" s="551" t="s">
        <v>678</v>
      </c>
      <c r="B332" s="551" t="s">
        <v>1297</v>
      </c>
      <c r="C332" s="551" t="s">
        <v>1298</v>
      </c>
      <c r="D332" s="551" t="s">
        <v>679</v>
      </c>
      <c r="E332" s="549"/>
      <c r="F332" s="47"/>
      <c r="G332" s="47"/>
      <c r="H332" s="47"/>
      <c r="I332" s="47"/>
      <c r="J332" s="47"/>
    </row>
    <row r="333" spans="1:10" x14ac:dyDescent="0.3">
      <c r="A333" s="550" t="s">
        <v>678</v>
      </c>
      <c r="B333" s="550" t="s">
        <v>1285</v>
      </c>
      <c r="C333" s="550" t="s">
        <v>1286</v>
      </c>
      <c r="D333" s="550" t="s">
        <v>1115</v>
      </c>
      <c r="E333" s="547"/>
      <c r="F333" s="47"/>
      <c r="G333" s="47"/>
      <c r="H333" s="47"/>
      <c r="I333" s="47"/>
      <c r="J333" s="47"/>
    </row>
    <row r="334" spans="1:10" x14ac:dyDescent="0.3">
      <c r="A334" s="551" t="s">
        <v>678</v>
      </c>
      <c r="B334" s="551" t="s">
        <v>1287</v>
      </c>
      <c r="C334" s="551" t="s">
        <v>1288</v>
      </c>
      <c r="D334" s="551" t="s">
        <v>1115</v>
      </c>
      <c r="E334" s="549"/>
      <c r="F334" s="47"/>
      <c r="G334" s="47"/>
      <c r="H334" s="47"/>
      <c r="I334" s="47"/>
      <c r="J334" s="47"/>
    </row>
    <row r="335" spans="1:10" x14ac:dyDescent="0.3">
      <c r="A335" s="550" t="s">
        <v>678</v>
      </c>
      <c r="B335" s="550" t="s">
        <v>1299</v>
      </c>
      <c r="C335" s="550" t="s">
        <v>1300</v>
      </c>
      <c r="D335" s="550" t="s">
        <v>679</v>
      </c>
      <c r="E335" s="547"/>
      <c r="F335" s="47"/>
      <c r="G335" s="47"/>
      <c r="H335" s="47"/>
      <c r="I335" s="47"/>
      <c r="J335" s="47"/>
    </row>
    <row r="336" spans="1:10" x14ac:dyDescent="0.3">
      <c r="A336" s="551" t="s">
        <v>678</v>
      </c>
      <c r="B336" s="551" t="s">
        <v>1301</v>
      </c>
      <c r="C336" s="551" t="s">
        <v>1302</v>
      </c>
      <c r="D336" s="551" t="s">
        <v>679</v>
      </c>
      <c r="E336" s="549"/>
      <c r="F336" s="47"/>
      <c r="G336" s="47"/>
      <c r="H336" s="47"/>
      <c r="I336" s="47"/>
      <c r="J336" s="47"/>
    </row>
    <row r="337" spans="1:10" x14ac:dyDescent="0.3">
      <c r="A337" s="550" t="s">
        <v>678</v>
      </c>
      <c r="B337" s="550" t="s">
        <v>1303</v>
      </c>
      <c r="C337" s="550" t="s">
        <v>1304</v>
      </c>
      <c r="D337" s="550" t="s">
        <v>679</v>
      </c>
      <c r="E337" s="547"/>
      <c r="F337" s="47"/>
      <c r="G337" s="47"/>
      <c r="H337" s="47"/>
      <c r="I337" s="47"/>
      <c r="J337" s="47"/>
    </row>
    <row r="338" spans="1:10" x14ac:dyDescent="0.3">
      <c r="A338" s="551" t="s">
        <v>678</v>
      </c>
      <c r="B338" s="551" t="s">
        <v>1305</v>
      </c>
      <c r="C338" s="551" t="s">
        <v>1306</v>
      </c>
      <c r="D338" s="551" t="s">
        <v>679</v>
      </c>
      <c r="E338" s="549"/>
      <c r="F338" s="47"/>
      <c r="G338" s="47"/>
      <c r="H338" s="47"/>
      <c r="I338" s="47"/>
      <c r="J338" s="47"/>
    </row>
    <row r="339" spans="1:10" x14ac:dyDescent="0.3">
      <c r="A339" s="550" t="s">
        <v>678</v>
      </c>
      <c r="B339" s="550" t="s">
        <v>1307</v>
      </c>
      <c r="C339" s="550" t="s">
        <v>1308</v>
      </c>
      <c r="D339" s="550" t="s">
        <v>679</v>
      </c>
      <c r="E339" s="547"/>
      <c r="F339" s="47"/>
      <c r="G339" s="47"/>
      <c r="H339" s="47"/>
      <c r="I339" s="47"/>
      <c r="J339" s="47"/>
    </row>
    <row r="340" spans="1:10" x14ac:dyDescent="0.3">
      <c r="A340" s="551" t="s">
        <v>678</v>
      </c>
      <c r="B340" s="551" t="s">
        <v>1309</v>
      </c>
      <c r="C340" s="551" t="s">
        <v>1310</v>
      </c>
      <c r="D340" s="551" t="s">
        <v>679</v>
      </c>
      <c r="E340" s="549"/>
      <c r="F340" s="47"/>
      <c r="G340" s="47"/>
      <c r="H340" s="47"/>
      <c r="I340" s="47"/>
      <c r="J340" s="47"/>
    </row>
    <row r="341" spans="1:10" x14ac:dyDescent="0.3">
      <c r="A341" s="550" t="s">
        <v>678</v>
      </c>
      <c r="B341" s="550" t="s">
        <v>1311</v>
      </c>
      <c r="C341" s="550" t="s">
        <v>1312</v>
      </c>
      <c r="D341" s="550" t="s">
        <v>679</v>
      </c>
      <c r="E341" s="547"/>
      <c r="F341" s="47"/>
      <c r="G341" s="47"/>
      <c r="H341" s="47"/>
      <c r="I341" s="47"/>
      <c r="J341" s="47"/>
    </row>
    <row r="342" spans="1:10" x14ac:dyDescent="0.3">
      <c r="A342" s="551" t="s">
        <v>678</v>
      </c>
      <c r="B342" s="551" t="s">
        <v>1313</v>
      </c>
      <c r="C342" s="551" t="s">
        <v>1314</v>
      </c>
      <c r="D342" s="551" t="s">
        <v>679</v>
      </c>
      <c r="E342" s="549"/>
      <c r="F342" s="47"/>
      <c r="G342" s="47"/>
      <c r="H342" s="47"/>
      <c r="I342" s="47"/>
      <c r="J342" s="47"/>
    </row>
    <row r="343" spans="1:10" x14ac:dyDescent="0.3">
      <c r="A343" s="550" t="s">
        <v>678</v>
      </c>
      <c r="B343" s="550" t="s">
        <v>1315</v>
      </c>
      <c r="C343" s="550" t="s">
        <v>1316</v>
      </c>
      <c r="D343" s="550" t="s">
        <v>688</v>
      </c>
      <c r="E343" s="547"/>
      <c r="F343" s="47"/>
      <c r="G343" s="47"/>
      <c r="H343" s="47"/>
      <c r="I343" s="47"/>
      <c r="J343" s="47"/>
    </row>
    <row r="344" spans="1:10" x14ac:dyDescent="0.3">
      <c r="A344" s="551" t="s">
        <v>678</v>
      </c>
      <c r="B344" s="551" t="s">
        <v>1317</v>
      </c>
      <c r="C344" s="551" t="s">
        <v>1318</v>
      </c>
      <c r="D344" s="551" t="s">
        <v>679</v>
      </c>
      <c r="E344" s="549"/>
      <c r="F344" s="47"/>
      <c r="G344" s="47"/>
      <c r="H344" s="47"/>
      <c r="I344" s="47"/>
      <c r="J344" s="47"/>
    </row>
    <row r="345" spans="1:10" x14ac:dyDescent="0.3">
      <c r="A345" s="550" t="s">
        <v>678</v>
      </c>
      <c r="B345" s="550" t="s">
        <v>1319</v>
      </c>
      <c r="C345" s="550" t="s">
        <v>1320</v>
      </c>
      <c r="D345" s="550" t="s">
        <v>679</v>
      </c>
      <c r="E345" s="547"/>
      <c r="F345" s="47"/>
      <c r="G345" s="47"/>
      <c r="H345" s="47"/>
      <c r="I345" s="47"/>
      <c r="J345" s="47"/>
    </row>
    <row r="346" spans="1:10" x14ac:dyDescent="0.3">
      <c r="A346" s="551" t="s">
        <v>678</v>
      </c>
      <c r="B346" s="551" t="s">
        <v>1321</v>
      </c>
      <c r="C346" s="551" t="s">
        <v>1322</v>
      </c>
      <c r="D346" s="551" t="s">
        <v>679</v>
      </c>
      <c r="E346" s="549"/>
      <c r="F346" s="47"/>
      <c r="G346" s="47"/>
      <c r="H346" s="47"/>
      <c r="I346" s="47"/>
      <c r="J346" s="47"/>
    </row>
    <row r="347" spans="1:10" x14ac:dyDescent="0.3">
      <c r="A347" s="550" t="s">
        <v>678</v>
      </c>
      <c r="B347" s="550" t="s">
        <v>1323</v>
      </c>
      <c r="C347" s="550" t="s">
        <v>1324</v>
      </c>
      <c r="D347" s="550" t="s">
        <v>679</v>
      </c>
      <c r="E347" s="547"/>
      <c r="F347" s="47"/>
      <c r="G347" s="47"/>
      <c r="H347" s="47"/>
      <c r="I347" s="47"/>
      <c r="J347" s="47"/>
    </row>
    <row r="348" spans="1:10" x14ac:dyDescent="0.3">
      <c r="A348" s="551" t="s">
        <v>678</v>
      </c>
      <c r="B348" s="551" t="s">
        <v>1325</v>
      </c>
      <c r="C348" s="551" t="s">
        <v>1326</v>
      </c>
      <c r="D348" s="551" t="s">
        <v>679</v>
      </c>
      <c r="E348" s="549"/>
      <c r="F348" s="47"/>
      <c r="G348" s="47"/>
      <c r="H348" s="47"/>
      <c r="I348" s="47"/>
      <c r="J348" s="47"/>
    </row>
    <row r="349" spans="1:10" x14ac:dyDescent="0.3">
      <c r="A349" s="550" t="s">
        <v>678</v>
      </c>
      <c r="B349" s="550" t="s">
        <v>1327</v>
      </c>
      <c r="C349" s="550" t="s">
        <v>1328</v>
      </c>
      <c r="D349" s="550" t="s">
        <v>1173</v>
      </c>
      <c r="E349" s="547"/>
      <c r="F349" s="47"/>
      <c r="G349" s="47"/>
      <c r="H349" s="47"/>
      <c r="I349" s="47"/>
      <c r="J349" s="47"/>
    </row>
    <row r="350" spans="1:10" x14ac:dyDescent="0.3">
      <c r="A350" s="551" t="s">
        <v>678</v>
      </c>
      <c r="B350" s="551" t="s">
        <v>1329</v>
      </c>
      <c r="C350" s="551" t="s">
        <v>1330</v>
      </c>
      <c r="D350" s="551" t="s">
        <v>679</v>
      </c>
      <c r="E350" s="549"/>
      <c r="F350" s="47"/>
      <c r="G350" s="47"/>
      <c r="H350" s="47"/>
      <c r="I350" s="47"/>
      <c r="J350" s="47"/>
    </row>
    <row r="351" spans="1:10" ht="21" x14ac:dyDescent="0.3">
      <c r="A351" s="113"/>
      <c r="B351" s="113"/>
      <c r="C351" s="113"/>
      <c r="D351" s="113"/>
      <c r="E351" s="364">
        <f>(COUNTIF(E181:E350,"Sim")/(COUNTA(B181:B350)))</f>
        <v>0</v>
      </c>
      <c r="F351" s="47"/>
      <c r="G351" s="47"/>
      <c r="H351" s="47"/>
      <c r="I351" s="47"/>
      <c r="J351" s="47"/>
    </row>
    <row r="352" spans="1:10" x14ac:dyDescent="0.3">
      <c r="F352" s="47"/>
      <c r="G352" s="47"/>
      <c r="H352" s="47"/>
      <c r="I352" s="47"/>
      <c r="J352" s="47"/>
    </row>
    <row r="353" spans="1:10" x14ac:dyDescent="0.3">
      <c r="F353" s="47"/>
      <c r="G353" s="47"/>
      <c r="H353" s="47"/>
      <c r="I353" s="47"/>
      <c r="J353" s="47"/>
    </row>
    <row r="354" spans="1:10" ht="15.6" x14ac:dyDescent="0.3">
      <c r="A354" s="1493" t="s">
        <v>547</v>
      </c>
      <c r="B354" s="1493"/>
      <c r="C354" s="1493"/>
      <c r="D354" s="99" t="s">
        <v>548</v>
      </c>
      <c r="E354" s="267" t="s">
        <v>73</v>
      </c>
      <c r="F354" s="99" t="s">
        <v>74</v>
      </c>
      <c r="G354" s="47"/>
      <c r="H354" s="47"/>
      <c r="I354" s="47"/>
      <c r="J354" s="47"/>
    </row>
    <row r="355" spans="1:10" x14ac:dyDescent="0.3">
      <c r="A355" s="112" t="s">
        <v>867</v>
      </c>
      <c r="B355" s="112" t="s">
        <v>551</v>
      </c>
      <c r="C355" s="333"/>
      <c r="D355" s="343">
        <v>1</v>
      </c>
      <c r="E355" s="205" t="s">
        <v>488</v>
      </c>
      <c r="F355" s="205" t="s">
        <v>488</v>
      </c>
      <c r="G355" s="47"/>
      <c r="H355" s="47"/>
      <c r="I355" s="47"/>
      <c r="J355" s="47"/>
    </row>
    <row r="356" spans="1:10" x14ac:dyDescent="0.3">
      <c r="A356" s="344" t="s">
        <v>867</v>
      </c>
      <c r="B356" s="345" t="s">
        <v>559</v>
      </c>
      <c r="C356" s="346"/>
      <c r="D356" s="347">
        <v>1</v>
      </c>
      <c r="E356" s="293" t="s">
        <v>287</v>
      </c>
      <c r="F356" s="293" t="s">
        <v>287</v>
      </c>
    </row>
    <row r="357" spans="1:10" x14ac:dyDescent="0.3">
      <c r="A357" s="112" t="s">
        <v>867</v>
      </c>
      <c r="B357" s="112" t="s">
        <v>868</v>
      </c>
      <c r="C357" s="333"/>
      <c r="D357" s="343">
        <v>1</v>
      </c>
      <c r="E357" s="205" t="s">
        <v>287</v>
      </c>
      <c r="F357" s="205" t="s">
        <v>287</v>
      </c>
    </row>
    <row r="358" spans="1:10" x14ac:dyDescent="0.3">
      <c r="A358" s="344" t="s">
        <v>867</v>
      </c>
      <c r="B358" s="345" t="s">
        <v>645</v>
      </c>
      <c r="C358" s="346"/>
      <c r="D358" s="347">
        <v>1</v>
      </c>
      <c r="E358" s="293" t="s">
        <v>287</v>
      </c>
      <c r="F358" s="293" t="s">
        <v>287</v>
      </c>
    </row>
    <row r="359" spans="1:10" x14ac:dyDescent="0.3">
      <c r="A359" s="112" t="s">
        <v>867</v>
      </c>
      <c r="B359" s="112" t="s">
        <v>602</v>
      </c>
      <c r="C359" s="333"/>
      <c r="D359" s="343">
        <v>1</v>
      </c>
      <c r="E359" s="205" t="s">
        <v>488</v>
      </c>
      <c r="F359" s="205" t="s">
        <v>488</v>
      </c>
    </row>
    <row r="360" spans="1:10" x14ac:dyDescent="0.3">
      <c r="A360" s="344" t="s">
        <v>869</v>
      </c>
      <c r="B360" s="345" t="s">
        <v>583</v>
      </c>
      <c r="C360" s="346"/>
      <c r="D360" s="347">
        <v>1</v>
      </c>
      <c r="E360" s="293" t="s">
        <v>488</v>
      </c>
      <c r="F360" s="293" t="s">
        <v>488</v>
      </c>
    </row>
    <row r="361" spans="1:10" x14ac:dyDescent="0.3">
      <c r="A361" s="112" t="s">
        <v>869</v>
      </c>
      <c r="B361" s="112" t="s">
        <v>639</v>
      </c>
      <c r="C361" s="333"/>
      <c r="D361" s="343">
        <v>1</v>
      </c>
      <c r="E361" s="205" t="s">
        <v>287</v>
      </c>
      <c r="F361" s="205" t="s">
        <v>488</v>
      </c>
    </row>
    <row r="362" spans="1:10" x14ac:dyDescent="0.3">
      <c r="A362" s="344" t="s">
        <v>869</v>
      </c>
      <c r="B362" s="345" t="s">
        <v>599</v>
      </c>
      <c r="C362" s="346"/>
      <c r="D362" s="347">
        <v>1</v>
      </c>
      <c r="E362" s="293" t="s">
        <v>488</v>
      </c>
      <c r="F362" s="293" t="s">
        <v>488</v>
      </c>
    </row>
    <row r="363" spans="1:10" x14ac:dyDescent="0.3">
      <c r="A363" s="112" t="s">
        <v>869</v>
      </c>
      <c r="B363" s="112" t="s">
        <v>870</v>
      </c>
      <c r="C363" s="333"/>
      <c r="D363" s="343">
        <v>1</v>
      </c>
      <c r="E363" s="205" t="s">
        <v>287</v>
      </c>
      <c r="F363" s="205" t="s">
        <v>488</v>
      </c>
    </row>
    <row r="364" spans="1:10" x14ac:dyDescent="0.3">
      <c r="A364" s="344" t="s">
        <v>869</v>
      </c>
      <c r="B364" s="345" t="s">
        <v>642</v>
      </c>
      <c r="C364" s="346"/>
      <c r="D364" s="347">
        <v>1</v>
      </c>
      <c r="E364" s="293" t="s">
        <v>488</v>
      </c>
      <c r="F364" s="293" t="s">
        <v>488</v>
      </c>
    </row>
    <row r="365" spans="1:10" x14ac:dyDescent="0.3">
      <c r="A365" s="112" t="s">
        <v>871</v>
      </c>
      <c r="B365" s="112" t="s">
        <v>627</v>
      </c>
      <c r="C365" s="333"/>
      <c r="D365" s="343">
        <v>1</v>
      </c>
      <c r="E365" s="109" t="s">
        <v>488</v>
      </c>
      <c r="F365" s="109" t="s">
        <v>488</v>
      </c>
    </row>
    <row r="366" spans="1:10" x14ac:dyDescent="0.3">
      <c r="A366" s="344" t="s">
        <v>871</v>
      </c>
      <c r="B366" s="345" t="s">
        <v>872</v>
      </c>
      <c r="C366" s="346"/>
      <c r="D366" s="347">
        <v>1</v>
      </c>
      <c r="E366" s="106" t="s">
        <v>488</v>
      </c>
      <c r="F366" s="106" t="s">
        <v>488</v>
      </c>
    </row>
    <row r="367" spans="1:10" x14ac:dyDescent="0.3">
      <c r="A367" s="112" t="s">
        <v>871</v>
      </c>
      <c r="B367" s="112" t="s">
        <v>634</v>
      </c>
      <c r="C367" s="333"/>
      <c r="D367" s="343">
        <v>1</v>
      </c>
      <c r="E367" s="109" t="s">
        <v>488</v>
      </c>
      <c r="F367" s="109" t="s">
        <v>488</v>
      </c>
    </row>
    <row r="368" spans="1:10" x14ac:dyDescent="0.3">
      <c r="A368" s="344" t="s">
        <v>871</v>
      </c>
      <c r="B368" s="345" t="s">
        <v>873</v>
      </c>
      <c r="C368" s="346"/>
      <c r="D368" s="347">
        <v>1</v>
      </c>
      <c r="E368" s="293" t="s">
        <v>287</v>
      </c>
      <c r="F368" s="293" t="s">
        <v>488</v>
      </c>
    </row>
    <row r="369" spans="1:6" x14ac:dyDescent="0.3">
      <c r="A369" s="112" t="s">
        <v>871</v>
      </c>
      <c r="B369" s="112" t="s">
        <v>874</v>
      </c>
      <c r="C369" s="333"/>
      <c r="D369" s="343">
        <v>1</v>
      </c>
      <c r="E369" s="205" t="s">
        <v>488</v>
      </c>
      <c r="F369" s="205" t="s">
        <v>488</v>
      </c>
    </row>
    <row r="370" spans="1:6" x14ac:dyDescent="0.3">
      <c r="A370" s="344" t="s">
        <v>871</v>
      </c>
      <c r="B370" s="345" t="s">
        <v>875</v>
      </c>
      <c r="C370" s="346"/>
      <c r="D370" s="347">
        <v>1</v>
      </c>
      <c r="E370" s="293" t="s">
        <v>488</v>
      </c>
      <c r="F370" s="293" t="s">
        <v>488</v>
      </c>
    </row>
    <row r="371" spans="1:6" x14ac:dyDescent="0.3">
      <c r="A371" s="112" t="s">
        <v>871</v>
      </c>
      <c r="B371" s="112" t="s">
        <v>876</v>
      </c>
      <c r="C371" s="333"/>
      <c r="D371" s="343">
        <v>1</v>
      </c>
      <c r="E371" s="205" t="s">
        <v>488</v>
      </c>
      <c r="F371" s="205" t="s">
        <v>488</v>
      </c>
    </row>
    <row r="372" spans="1:6" x14ac:dyDescent="0.3">
      <c r="A372" s="344" t="s">
        <v>877</v>
      </c>
      <c r="B372" s="345" t="s">
        <v>563</v>
      </c>
      <c r="C372" s="346"/>
      <c r="D372" s="347">
        <v>1</v>
      </c>
      <c r="E372" s="293" t="s">
        <v>287</v>
      </c>
      <c r="F372" s="293" t="s">
        <v>287</v>
      </c>
    </row>
    <row r="373" spans="1:6" x14ac:dyDescent="0.3">
      <c r="A373" s="112" t="s">
        <v>877</v>
      </c>
      <c r="B373" s="112" t="s">
        <v>596</v>
      </c>
      <c r="C373" s="333"/>
      <c r="D373" s="343">
        <v>1</v>
      </c>
      <c r="E373" s="205" t="s">
        <v>287</v>
      </c>
      <c r="F373" s="205" t="s">
        <v>287</v>
      </c>
    </row>
    <row r="374" spans="1:6" x14ac:dyDescent="0.3">
      <c r="A374" s="344" t="s">
        <v>877</v>
      </c>
      <c r="B374" s="345" t="s">
        <v>587</v>
      </c>
      <c r="C374" s="346"/>
      <c r="D374" s="347">
        <v>1</v>
      </c>
      <c r="E374" s="293" t="s">
        <v>287</v>
      </c>
      <c r="F374" s="293" t="s">
        <v>287</v>
      </c>
    </row>
    <row r="375" spans="1:6" x14ac:dyDescent="0.3">
      <c r="A375" s="112"/>
      <c r="B375" s="112" t="s">
        <v>878</v>
      </c>
      <c r="C375" s="333"/>
      <c r="D375" s="343">
        <v>1</v>
      </c>
      <c r="E375" s="205" t="s">
        <v>488</v>
      </c>
      <c r="F375" s="205" t="s">
        <v>488</v>
      </c>
    </row>
    <row r="376" spans="1:6" x14ac:dyDescent="0.3">
      <c r="A376" s="344" t="s">
        <v>877</v>
      </c>
      <c r="B376" s="345" t="s">
        <v>590</v>
      </c>
      <c r="C376" s="346"/>
      <c r="D376" s="347">
        <v>1</v>
      </c>
      <c r="E376" s="293" t="s">
        <v>488</v>
      </c>
      <c r="F376" s="293" t="s">
        <v>287</v>
      </c>
    </row>
    <row r="377" spans="1:6" x14ac:dyDescent="0.3">
      <c r="A377" s="112" t="s">
        <v>877</v>
      </c>
      <c r="B377" s="112" t="s">
        <v>593</v>
      </c>
      <c r="C377" s="333"/>
      <c r="D377" s="343">
        <v>1</v>
      </c>
      <c r="E377" s="205" t="s">
        <v>287</v>
      </c>
      <c r="F377" s="205" t="s">
        <v>388</v>
      </c>
    </row>
    <row r="378" spans="1:6" x14ac:dyDescent="0.3">
      <c r="A378" s="344" t="s">
        <v>877</v>
      </c>
      <c r="B378" s="345" t="s">
        <v>879</v>
      </c>
      <c r="C378" s="346"/>
      <c r="D378" s="347">
        <v>1</v>
      </c>
      <c r="E378" s="293" t="s">
        <v>287</v>
      </c>
      <c r="F378" s="293" t="s">
        <v>287</v>
      </c>
    </row>
    <row r="379" spans="1:6" x14ac:dyDescent="0.3">
      <c r="A379" s="112" t="s">
        <v>877</v>
      </c>
      <c r="B379" s="112" t="s">
        <v>880</v>
      </c>
      <c r="C379" s="333"/>
      <c r="D379" s="343">
        <v>1</v>
      </c>
      <c r="E379" s="205" t="s">
        <v>287</v>
      </c>
      <c r="F379" s="205" t="s">
        <v>488</v>
      </c>
    </row>
    <row r="380" spans="1:6" x14ac:dyDescent="0.3">
      <c r="A380" s="344" t="s">
        <v>877</v>
      </c>
      <c r="B380" s="345" t="s">
        <v>881</v>
      </c>
      <c r="C380" s="346"/>
      <c r="D380" s="347">
        <v>1</v>
      </c>
      <c r="E380" s="293" t="s">
        <v>562</v>
      </c>
      <c r="F380" s="293" t="s">
        <v>562</v>
      </c>
    </row>
    <row r="381" spans="1:6" x14ac:dyDescent="0.3">
      <c r="A381" s="112" t="s">
        <v>877</v>
      </c>
      <c r="B381" s="112" t="s">
        <v>882</v>
      </c>
      <c r="C381" s="333"/>
      <c r="D381" s="343">
        <v>1</v>
      </c>
      <c r="E381" s="205" t="s">
        <v>287</v>
      </c>
      <c r="F381" s="205" t="s">
        <v>287</v>
      </c>
    </row>
    <row r="382" spans="1:6" x14ac:dyDescent="0.3">
      <c r="A382" s="344" t="s">
        <v>877</v>
      </c>
      <c r="B382" s="345" t="s">
        <v>575</v>
      </c>
      <c r="C382" s="346"/>
      <c r="D382" s="347">
        <v>1</v>
      </c>
      <c r="E382" s="293" t="s">
        <v>287</v>
      </c>
      <c r="F382" s="293" t="s">
        <v>287</v>
      </c>
    </row>
    <row r="383" spans="1:6" x14ac:dyDescent="0.3">
      <c r="A383" s="112" t="s">
        <v>877</v>
      </c>
      <c r="B383" s="112" t="s">
        <v>883</v>
      </c>
      <c r="C383" s="333"/>
      <c r="D383" s="343">
        <v>1</v>
      </c>
      <c r="E383" s="205" t="s">
        <v>562</v>
      </c>
      <c r="F383" s="205" t="s">
        <v>287</v>
      </c>
    </row>
    <row r="384" spans="1:6" x14ac:dyDescent="0.3">
      <c r="A384" s="344" t="s">
        <v>877</v>
      </c>
      <c r="B384" s="345" t="s">
        <v>579</v>
      </c>
      <c r="C384" s="346"/>
      <c r="D384" s="347">
        <v>1</v>
      </c>
      <c r="E384" s="293" t="s">
        <v>287</v>
      </c>
      <c r="F384" s="293" t="s">
        <v>287</v>
      </c>
    </row>
    <row r="385" spans="1:6" x14ac:dyDescent="0.3">
      <c r="A385" s="112" t="s">
        <v>877</v>
      </c>
      <c r="B385" s="112" t="s">
        <v>617</v>
      </c>
      <c r="C385" s="333"/>
      <c r="D385" s="343">
        <v>1</v>
      </c>
      <c r="E385" s="205" t="s">
        <v>287</v>
      </c>
      <c r="F385" s="205" t="s">
        <v>287</v>
      </c>
    </row>
    <row r="386" spans="1:6" x14ac:dyDescent="0.3">
      <c r="A386" s="344" t="s">
        <v>871</v>
      </c>
      <c r="B386" s="345" t="s">
        <v>611</v>
      </c>
      <c r="C386" s="346"/>
      <c r="D386" s="347">
        <v>2</v>
      </c>
      <c r="E386" s="293" t="s">
        <v>287</v>
      </c>
      <c r="F386" s="293" t="s">
        <v>488</v>
      </c>
    </row>
    <row r="387" spans="1:6" x14ac:dyDescent="0.3">
      <c r="A387" s="112" t="s">
        <v>871</v>
      </c>
      <c r="B387" s="112" t="s">
        <v>884</v>
      </c>
      <c r="C387" s="333"/>
      <c r="D387" s="343">
        <v>2</v>
      </c>
      <c r="E387" s="205" t="s">
        <v>488</v>
      </c>
      <c r="F387" s="205" t="s">
        <v>287</v>
      </c>
    </row>
    <row r="388" spans="1:6" x14ac:dyDescent="0.3">
      <c r="A388" s="344" t="s">
        <v>871</v>
      </c>
      <c r="B388" s="345" t="s">
        <v>636</v>
      </c>
      <c r="C388" s="346"/>
      <c r="D388" s="347">
        <v>2</v>
      </c>
      <c r="E388" s="293" t="s">
        <v>488</v>
      </c>
      <c r="F388" s="293" t="s">
        <v>488</v>
      </c>
    </row>
    <row r="389" spans="1:6" x14ac:dyDescent="0.3">
      <c r="A389" s="112" t="s">
        <v>871</v>
      </c>
      <c r="B389" s="112" t="s">
        <v>630</v>
      </c>
      <c r="C389" s="333"/>
      <c r="D389" s="343">
        <v>2</v>
      </c>
      <c r="E389" s="205" t="s">
        <v>488</v>
      </c>
      <c r="F389" s="205" t="s">
        <v>488</v>
      </c>
    </row>
    <row r="390" spans="1:6" x14ac:dyDescent="0.3">
      <c r="A390" s="344" t="s">
        <v>871</v>
      </c>
      <c r="B390" s="345" t="s">
        <v>567</v>
      </c>
      <c r="C390" s="346"/>
      <c r="D390" s="347">
        <v>2</v>
      </c>
      <c r="E390" s="293" t="s">
        <v>488</v>
      </c>
      <c r="F390" s="293" t="s">
        <v>488</v>
      </c>
    </row>
    <row r="391" spans="1:6" x14ac:dyDescent="0.3">
      <c r="A391" s="112" t="s">
        <v>877</v>
      </c>
      <c r="B391" s="112" t="s">
        <v>608</v>
      </c>
      <c r="C391" s="333"/>
      <c r="D391" s="343">
        <v>2</v>
      </c>
      <c r="E391" s="205" t="s">
        <v>488</v>
      </c>
      <c r="F391" s="205" t="s">
        <v>488</v>
      </c>
    </row>
    <row r="392" spans="1:6" x14ac:dyDescent="0.3">
      <c r="A392" s="344" t="s">
        <v>877</v>
      </c>
      <c r="B392" s="345" t="s">
        <v>614</v>
      </c>
      <c r="C392" s="346"/>
      <c r="D392" s="347">
        <v>2</v>
      </c>
      <c r="E392" s="293" t="s">
        <v>488</v>
      </c>
      <c r="F392" s="293" t="s">
        <v>488</v>
      </c>
    </row>
    <row r="393" spans="1:6" x14ac:dyDescent="0.3">
      <c r="A393" s="112" t="s">
        <v>877</v>
      </c>
      <c r="B393" s="112" t="s">
        <v>885</v>
      </c>
      <c r="C393" s="333"/>
      <c r="D393" s="343">
        <v>2</v>
      </c>
      <c r="E393" s="205" t="s">
        <v>287</v>
      </c>
      <c r="F393" s="205" t="s">
        <v>488</v>
      </c>
    </row>
    <row r="394" spans="1:6" x14ac:dyDescent="0.3">
      <c r="A394" s="344" t="s">
        <v>877</v>
      </c>
      <c r="B394" s="345" t="s">
        <v>886</v>
      </c>
      <c r="C394" s="346"/>
      <c r="D394" s="347">
        <v>2</v>
      </c>
      <c r="E394" s="293" t="s">
        <v>287</v>
      </c>
      <c r="F394" s="293" t="s">
        <v>287</v>
      </c>
    </row>
    <row r="395" spans="1:6" x14ac:dyDescent="0.3">
      <c r="A395" s="112" t="s">
        <v>877</v>
      </c>
      <c r="B395" s="112" t="s">
        <v>887</v>
      </c>
      <c r="C395" s="333"/>
      <c r="D395" s="343">
        <v>2</v>
      </c>
      <c r="E395" s="109" t="s">
        <v>562</v>
      </c>
      <c r="F395" s="109" t="s">
        <v>562</v>
      </c>
    </row>
    <row r="396" spans="1:6" x14ac:dyDescent="0.3">
      <c r="A396" s="344" t="s">
        <v>877</v>
      </c>
      <c r="B396" s="345" t="s">
        <v>571</v>
      </c>
      <c r="C396" s="346"/>
      <c r="D396" s="347">
        <v>2</v>
      </c>
      <c r="E396" s="293" t="s">
        <v>287</v>
      </c>
      <c r="F396" s="293" t="s">
        <v>287</v>
      </c>
    </row>
    <row r="397" spans="1:6" x14ac:dyDescent="0.3">
      <c r="A397" s="112" t="s">
        <v>871</v>
      </c>
      <c r="B397" s="112" t="s">
        <v>621</v>
      </c>
      <c r="C397" s="333"/>
      <c r="D397" s="343">
        <v>3</v>
      </c>
      <c r="E397" s="205" t="s">
        <v>287</v>
      </c>
      <c r="F397" s="205" t="s">
        <v>287</v>
      </c>
    </row>
    <row r="398" spans="1:6" x14ac:dyDescent="0.3">
      <c r="A398" s="344" t="s">
        <v>871</v>
      </c>
      <c r="B398" s="345" t="s">
        <v>888</v>
      </c>
      <c r="C398" s="346"/>
      <c r="D398" s="347">
        <v>3</v>
      </c>
      <c r="E398" s="293" t="s">
        <v>488</v>
      </c>
      <c r="F398" s="293" t="s">
        <v>488</v>
      </c>
    </row>
    <row r="399" spans="1:6" x14ac:dyDescent="0.3">
      <c r="A399" s="112" t="s">
        <v>877</v>
      </c>
      <c r="B399" s="112" t="s">
        <v>605</v>
      </c>
      <c r="C399" s="333"/>
      <c r="D399" s="343">
        <v>3</v>
      </c>
      <c r="E399" s="205" t="s">
        <v>562</v>
      </c>
      <c r="F399" s="205" t="s">
        <v>488</v>
      </c>
    </row>
    <row r="400" spans="1:6" x14ac:dyDescent="0.3">
      <c r="A400" s="344" t="s">
        <v>877</v>
      </c>
      <c r="B400" s="345" t="s">
        <v>1331</v>
      </c>
      <c r="C400" s="346"/>
      <c r="D400" s="347">
        <v>3</v>
      </c>
      <c r="E400" s="293" t="s">
        <v>562</v>
      </c>
      <c r="F400" s="293" t="s">
        <v>488</v>
      </c>
    </row>
    <row r="401" spans="1:6" x14ac:dyDescent="0.3">
      <c r="A401" s="112" t="s">
        <v>877</v>
      </c>
      <c r="B401" s="112" t="s">
        <v>624</v>
      </c>
      <c r="C401" s="333"/>
      <c r="D401" s="343">
        <v>3</v>
      </c>
      <c r="E401" s="205" t="s">
        <v>488</v>
      </c>
      <c r="F401" s="205" t="s">
        <v>488</v>
      </c>
    </row>
    <row r="402" spans="1:6" ht="21" x14ac:dyDescent="0.3">
      <c r="A402" s="1492"/>
      <c r="B402" s="1492"/>
      <c r="C402" s="1492"/>
      <c r="D402" s="101"/>
      <c r="E402" s="364">
        <f>(COUNTIF(E355:E401,"OK")+COUNTIF(E355:E401,"N/A"))/47</f>
        <v>0.55319148936170215</v>
      </c>
      <c r="F402" s="364">
        <f>(COUNTIF(F355:F401,"OK")+COUNTIF(F355:F401,"N/A"))/47</f>
        <v>0.40425531914893614</v>
      </c>
    </row>
  </sheetData>
  <sheetProtection formatCells="0" formatColumns="0" formatRows="0" insertHyperlinks="0"/>
  <autoFilter ref="A54:AL128" xr:uid="{9B97C6E6-FA33-4918-9D46-4C713F7C7FAD}"/>
  <mergeCells count="743">
    <mergeCell ref="A402:C402"/>
    <mergeCell ref="A354:C354"/>
    <mergeCell ref="K127:K128"/>
    <mergeCell ref="K97:K98"/>
    <mergeCell ref="K99:K100"/>
    <mergeCell ref="K101:K102"/>
    <mergeCell ref="K103:K104"/>
    <mergeCell ref="K113:K114"/>
    <mergeCell ref="K115:K116"/>
    <mergeCell ref="K117:K118"/>
    <mergeCell ref="H130:L130"/>
    <mergeCell ref="H125:H126"/>
    <mergeCell ref="I105:I106"/>
    <mergeCell ref="L105:L106"/>
    <mergeCell ref="D103:D104"/>
    <mergeCell ref="E103:E104"/>
    <mergeCell ref="F103:F104"/>
    <mergeCell ref="G103:G104"/>
    <mergeCell ref="H103:H104"/>
    <mergeCell ref="I103:I104"/>
    <mergeCell ref="L103:L104"/>
    <mergeCell ref="D105:D106"/>
    <mergeCell ref="E105:E106"/>
    <mergeCell ref="I111:I112"/>
    <mergeCell ref="A2:AF2"/>
    <mergeCell ref="A1:AF1"/>
    <mergeCell ref="O4:AF4"/>
    <mergeCell ref="K123:K124"/>
    <mergeCell ref="K125:K126"/>
    <mergeCell ref="J113:J114"/>
    <mergeCell ref="J93:J94"/>
    <mergeCell ref="J95:J96"/>
    <mergeCell ref="J97:J98"/>
    <mergeCell ref="J99:J100"/>
    <mergeCell ref="J101:J102"/>
    <mergeCell ref="J103:J104"/>
    <mergeCell ref="J105:J106"/>
    <mergeCell ref="J55:J56"/>
    <mergeCell ref="K87:K88"/>
    <mergeCell ref="K89:K90"/>
    <mergeCell ref="K55:K56"/>
    <mergeCell ref="K109:K110"/>
    <mergeCell ref="L113:L114"/>
    <mergeCell ref="K91:K92"/>
    <mergeCell ref="K93:K94"/>
    <mergeCell ref="K95:K96"/>
    <mergeCell ref="A7:F7"/>
    <mergeCell ref="N107:N108"/>
    <mergeCell ref="AK127:AK128"/>
    <mergeCell ref="AL127:AL128"/>
    <mergeCell ref="AM127:AM128"/>
    <mergeCell ref="AK97:AK98"/>
    <mergeCell ref="AL97:AL98"/>
    <mergeCell ref="AM97:AM98"/>
    <mergeCell ref="AK101:AK102"/>
    <mergeCell ref="AL101:AL102"/>
    <mergeCell ref="AM101:AM102"/>
    <mergeCell ref="AK105:AK106"/>
    <mergeCell ref="AL105:AL106"/>
    <mergeCell ref="AM105:AM106"/>
    <mergeCell ref="AK107:AK108"/>
    <mergeCell ref="AL107:AL108"/>
    <mergeCell ref="AM107:AM108"/>
    <mergeCell ref="AK109:AK110"/>
    <mergeCell ref="AK103:AK104"/>
    <mergeCell ref="AK99:AK100"/>
    <mergeCell ref="AK121:AK122"/>
    <mergeCell ref="AL119:AL120"/>
    <mergeCell ref="AM119:AM120"/>
    <mergeCell ref="AL99:AL100"/>
    <mergeCell ref="AM99:AM100"/>
    <mergeCell ref="AL103:AL104"/>
    <mergeCell ref="AK125:AK126"/>
    <mergeCell ref="AL125:AL126"/>
    <mergeCell ref="AM125:AM126"/>
    <mergeCell ref="AL113:AL114"/>
    <mergeCell ref="AM113:AM114"/>
    <mergeCell ref="AK119:AK120"/>
    <mergeCell ref="AK117:AK118"/>
    <mergeCell ref="AL117:AL118"/>
    <mergeCell ref="AM117:AM118"/>
    <mergeCell ref="AL85:AL86"/>
    <mergeCell ref="AM85:AM86"/>
    <mergeCell ref="AK87:AK88"/>
    <mergeCell ref="AL87:AL88"/>
    <mergeCell ref="AM87:AM88"/>
    <mergeCell ref="AK89:AK90"/>
    <mergeCell ref="AL89:AL90"/>
    <mergeCell ref="AM89:AM90"/>
    <mergeCell ref="AM115:AM116"/>
    <mergeCell ref="AK95:AK96"/>
    <mergeCell ref="AL95:AL96"/>
    <mergeCell ref="AM95:AM96"/>
    <mergeCell ref="AL91:AL92"/>
    <mergeCell ref="AM91:AM92"/>
    <mergeCell ref="AK93:AK94"/>
    <mergeCell ref="AL93:AL94"/>
    <mergeCell ref="AL109:AL110"/>
    <mergeCell ref="AM109:AM110"/>
    <mergeCell ref="AM103:AM104"/>
    <mergeCell ref="AK111:AK112"/>
    <mergeCell ref="AL111:AL112"/>
    <mergeCell ref="AM111:AM112"/>
    <mergeCell ref="AK53:AM53"/>
    <mergeCell ref="AK55:AK56"/>
    <mergeCell ref="AL55:AL56"/>
    <mergeCell ref="AM55:AM56"/>
    <mergeCell ref="AK81:AK82"/>
    <mergeCell ref="AL81:AL82"/>
    <mergeCell ref="AK67:AK68"/>
    <mergeCell ref="AL67:AL68"/>
    <mergeCell ref="AM81:AM82"/>
    <mergeCell ref="AK71:AK72"/>
    <mergeCell ref="AK73:AK74"/>
    <mergeCell ref="AL73:AL74"/>
    <mergeCell ref="AM73:AM74"/>
    <mergeCell ref="AK75:AK76"/>
    <mergeCell ref="AL75:AL76"/>
    <mergeCell ref="AM75:AM76"/>
    <mergeCell ref="AL79:AL80"/>
    <mergeCell ref="AK77:AK78"/>
    <mergeCell ref="AL71:AL72"/>
    <mergeCell ref="AM71:AM72"/>
    <mergeCell ref="AL57:AL58"/>
    <mergeCell ref="AM57:AM58"/>
    <mergeCell ref="P83:P84"/>
    <mergeCell ref="O103:O104"/>
    <mergeCell ref="AK91:AK92"/>
    <mergeCell ref="AK57:AK58"/>
    <mergeCell ref="AM67:AM68"/>
    <mergeCell ref="AK69:AK70"/>
    <mergeCell ref="AL69:AL70"/>
    <mergeCell ref="AM69:AM70"/>
    <mergeCell ref="AK63:AK64"/>
    <mergeCell ref="AL63:AL64"/>
    <mergeCell ref="AK59:AK60"/>
    <mergeCell ref="AL59:AL60"/>
    <mergeCell ref="AM59:AM60"/>
    <mergeCell ref="AK61:AK62"/>
    <mergeCell ref="AL61:AL62"/>
    <mergeCell ref="AM61:AM62"/>
    <mergeCell ref="AM63:AM64"/>
    <mergeCell ref="AK65:AK66"/>
    <mergeCell ref="AL65:AL66"/>
    <mergeCell ref="AM65:AM66"/>
    <mergeCell ref="AM93:AM94"/>
    <mergeCell ref="AK85:AK86"/>
    <mergeCell ref="P81:P82"/>
    <mergeCell ref="O73:O74"/>
    <mergeCell ref="M127:M128"/>
    <mergeCell ref="M119:M120"/>
    <mergeCell ref="P119:P120"/>
    <mergeCell ref="P117:P118"/>
    <mergeCell ref="O109:O110"/>
    <mergeCell ref="P109:P110"/>
    <mergeCell ref="P101:P102"/>
    <mergeCell ref="AL77:AL78"/>
    <mergeCell ref="AM77:AM78"/>
    <mergeCell ref="AK79:AK80"/>
    <mergeCell ref="AM79:AM80"/>
    <mergeCell ref="AK83:AK84"/>
    <mergeCell ref="AL83:AL84"/>
    <mergeCell ref="AM83:AM84"/>
    <mergeCell ref="O107:O108"/>
    <mergeCell ref="P107:P108"/>
    <mergeCell ref="P79:P80"/>
    <mergeCell ref="O77:O78"/>
    <mergeCell ref="O79:O80"/>
    <mergeCell ref="O81:O82"/>
    <mergeCell ref="O83:O84"/>
    <mergeCell ref="P93:P94"/>
    <mergeCell ref="P77:P78"/>
    <mergeCell ref="O85:O86"/>
    <mergeCell ref="P125:P126"/>
    <mergeCell ref="P127:P128"/>
    <mergeCell ref="P97:P98"/>
    <mergeCell ref="N115:N116"/>
    <mergeCell ref="P87:P88"/>
    <mergeCell ref="N109:N110"/>
    <mergeCell ref="P115:P116"/>
    <mergeCell ref="O125:O126"/>
    <mergeCell ref="O127:O128"/>
    <mergeCell ref="O111:O112"/>
    <mergeCell ref="N95:N96"/>
    <mergeCell ref="O95:O96"/>
    <mergeCell ref="P89:P90"/>
    <mergeCell ref="P91:P92"/>
    <mergeCell ref="O119:O120"/>
    <mergeCell ref="N119:N120"/>
    <mergeCell ref="N93:N94"/>
    <mergeCell ref="N89:N90"/>
    <mergeCell ref="N87:N88"/>
    <mergeCell ref="N127:N128"/>
    <mergeCell ref="O87:O88"/>
    <mergeCell ref="O105:O106"/>
    <mergeCell ref="O97:O98"/>
    <mergeCell ref="O101:O102"/>
    <mergeCell ref="L107:L108"/>
    <mergeCell ref="N99:N100"/>
    <mergeCell ref="O99:O100"/>
    <mergeCell ref="P99:P100"/>
    <mergeCell ref="P103:P104"/>
    <mergeCell ref="K107:K108"/>
    <mergeCell ref="M107:M108"/>
    <mergeCell ref="L109:L110"/>
    <mergeCell ref="M103:M104"/>
    <mergeCell ref="M99:M100"/>
    <mergeCell ref="L99:L100"/>
    <mergeCell ref="M109:M110"/>
    <mergeCell ref="L93:L94"/>
    <mergeCell ref="N85:N86"/>
    <mergeCell ref="M91:M92"/>
    <mergeCell ref="L89:L90"/>
    <mergeCell ref="J91:J92"/>
    <mergeCell ref="P95:P96"/>
    <mergeCell ref="M95:M96"/>
    <mergeCell ref="N91:N92"/>
    <mergeCell ref="L87:L88"/>
    <mergeCell ref="M89:M90"/>
    <mergeCell ref="M87:M88"/>
    <mergeCell ref="O91:O92"/>
    <mergeCell ref="O93:O94"/>
    <mergeCell ref="L85:L86"/>
    <mergeCell ref="M93:M94"/>
    <mergeCell ref="P85:P86"/>
    <mergeCell ref="O89:O90"/>
    <mergeCell ref="I69:I70"/>
    <mergeCell ref="J69:J70"/>
    <mergeCell ref="I65:I66"/>
    <mergeCell ref="J65:J66"/>
    <mergeCell ref="M77:M78"/>
    <mergeCell ref="N77:N78"/>
    <mergeCell ref="N79:N80"/>
    <mergeCell ref="M81:M82"/>
    <mergeCell ref="N81:N82"/>
    <mergeCell ref="M75:M76"/>
    <mergeCell ref="N75:N76"/>
    <mergeCell ref="M73:M74"/>
    <mergeCell ref="N73:N74"/>
    <mergeCell ref="M79:M80"/>
    <mergeCell ref="L79:L80"/>
    <mergeCell ref="K75:K76"/>
    <mergeCell ref="K71:K72"/>
    <mergeCell ref="K69:K70"/>
    <mergeCell ref="K73:K74"/>
    <mergeCell ref="K77:K78"/>
    <mergeCell ref="L77:L78"/>
    <mergeCell ref="L73:L74"/>
    <mergeCell ref="L75:L76"/>
    <mergeCell ref="L71:L72"/>
    <mergeCell ref="M83:M84"/>
    <mergeCell ref="N83:N84"/>
    <mergeCell ref="M85:M86"/>
    <mergeCell ref="J89:J90"/>
    <mergeCell ref="I81:I82"/>
    <mergeCell ref="L83:L84"/>
    <mergeCell ref="L81:L82"/>
    <mergeCell ref="K83:K84"/>
    <mergeCell ref="K81:K82"/>
    <mergeCell ref="G89:G90"/>
    <mergeCell ref="H89:H90"/>
    <mergeCell ref="I89:I90"/>
    <mergeCell ref="J85:J86"/>
    <mergeCell ref="J87:J88"/>
    <mergeCell ref="H83:H84"/>
    <mergeCell ref="J83:J84"/>
    <mergeCell ref="I83:I84"/>
    <mergeCell ref="K85:K86"/>
    <mergeCell ref="H87:H88"/>
    <mergeCell ref="G83:G84"/>
    <mergeCell ref="L4:M4"/>
    <mergeCell ref="L5:M5"/>
    <mergeCell ref="L8:L9"/>
    <mergeCell ref="M8:M9"/>
    <mergeCell ref="L10:L11"/>
    <mergeCell ref="M10:M11"/>
    <mergeCell ref="K8:K9"/>
    <mergeCell ref="K10:K11"/>
    <mergeCell ref="K63:K64"/>
    <mergeCell ref="L61:L62"/>
    <mergeCell ref="L55:L56"/>
    <mergeCell ref="L57:L58"/>
    <mergeCell ref="L59:L60"/>
    <mergeCell ref="L63:L64"/>
    <mergeCell ref="M55:M56"/>
    <mergeCell ref="M59:M60"/>
    <mergeCell ref="M63:M64"/>
    <mergeCell ref="M61:M62"/>
    <mergeCell ref="M69:M70"/>
    <mergeCell ref="K79:K80"/>
    <mergeCell ref="N69:N70"/>
    <mergeCell ref="L69:L70"/>
    <mergeCell ref="M71:M72"/>
    <mergeCell ref="N71:N72"/>
    <mergeCell ref="M65:M66"/>
    <mergeCell ref="P59:P60"/>
    <mergeCell ref="P61:P62"/>
    <mergeCell ref="O59:O60"/>
    <mergeCell ref="O61:O62"/>
    <mergeCell ref="O65:O66"/>
    <mergeCell ref="N63:N64"/>
    <mergeCell ref="N59:N60"/>
    <mergeCell ref="N61:N62"/>
    <mergeCell ref="O67:O68"/>
    <mergeCell ref="O71:O72"/>
    <mergeCell ref="N65:N66"/>
    <mergeCell ref="O75:O76"/>
    <mergeCell ref="P65:P66"/>
    <mergeCell ref="P63:P64"/>
    <mergeCell ref="O63:O64"/>
    <mergeCell ref="P73:P74"/>
    <mergeCell ref="P75:P76"/>
    <mergeCell ref="P69:P70"/>
    <mergeCell ref="P67:P68"/>
    <mergeCell ref="P71:P72"/>
    <mergeCell ref="O69:O70"/>
    <mergeCell ref="U5:Y5"/>
    <mergeCell ref="U6:Y6"/>
    <mergeCell ref="M57:M58"/>
    <mergeCell ref="N57:N58"/>
    <mergeCell ref="P55:P56"/>
    <mergeCell ref="O55:O56"/>
    <mergeCell ref="U14:Y14"/>
    <mergeCell ref="U15:Y15"/>
    <mergeCell ref="U16:Y16"/>
    <mergeCell ref="U17:Y17"/>
    <mergeCell ref="U18:Y18"/>
    <mergeCell ref="U19:Y19"/>
    <mergeCell ref="U20:Y20"/>
    <mergeCell ref="U21:Y21"/>
    <mergeCell ref="U25:Y25"/>
    <mergeCell ref="O26:P26"/>
    <mergeCell ref="P57:P58"/>
    <mergeCell ref="O57:O58"/>
    <mergeCell ref="U22:Y22"/>
    <mergeCell ref="U23:Y23"/>
    <mergeCell ref="U24:Y24"/>
    <mergeCell ref="N55:N56"/>
    <mergeCell ref="J125:J126"/>
    <mergeCell ref="E123:E124"/>
    <mergeCell ref="F105:F106"/>
    <mergeCell ref="F107:F108"/>
    <mergeCell ref="F111:F112"/>
    <mergeCell ref="G111:G112"/>
    <mergeCell ref="J111:J112"/>
    <mergeCell ref="E109:E110"/>
    <mergeCell ref="J107:J108"/>
    <mergeCell ref="J109:J110"/>
    <mergeCell ref="G123:G124"/>
    <mergeCell ref="H123:H124"/>
    <mergeCell ref="J121:J122"/>
    <mergeCell ref="I123:I124"/>
    <mergeCell ref="H119:H120"/>
    <mergeCell ref="G117:G118"/>
    <mergeCell ref="H117:H118"/>
    <mergeCell ref="I117:I118"/>
    <mergeCell ref="H105:H106"/>
    <mergeCell ref="G105:G106"/>
    <mergeCell ref="G107:G108"/>
    <mergeCell ref="H107:H108"/>
    <mergeCell ref="E125:E126"/>
    <mergeCell ref="F125:F126"/>
    <mergeCell ref="G109:G110"/>
    <mergeCell ref="H109:H110"/>
    <mergeCell ref="I109:I110"/>
    <mergeCell ref="E75:E76"/>
    <mergeCell ref="F75:F76"/>
    <mergeCell ref="D73:D74"/>
    <mergeCell ref="J73:J74"/>
    <mergeCell ref="E93:E94"/>
    <mergeCell ref="G99:G100"/>
    <mergeCell ref="H99:H100"/>
    <mergeCell ref="I99:I100"/>
    <mergeCell ref="G101:G102"/>
    <mergeCell ref="H101:H102"/>
    <mergeCell ref="I101:I102"/>
    <mergeCell ref="G77:G78"/>
    <mergeCell ref="G79:G80"/>
    <mergeCell ref="J75:J76"/>
    <mergeCell ref="I77:I78"/>
    <mergeCell ref="J77:J78"/>
    <mergeCell ref="H77:H78"/>
    <mergeCell ref="I95:I96"/>
    <mergeCell ref="I93:I94"/>
    <mergeCell ref="A75:A76"/>
    <mergeCell ref="C75:C76"/>
    <mergeCell ref="A83:A84"/>
    <mergeCell ref="C83:C84"/>
    <mergeCell ref="A81:A82"/>
    <mergeCell ref="A77:A78"/>
    <mergeCell ref="C77:C78"/>
    <mergeCell ref="D75:D76"/>
    <mergeCell ref="D77:D78"/>
    <mergeCell ref="B75:B76"/>
    <mergeCell ref="B77:B78"/>
    <mergeCell ref="B79:B80"/>
    <mergeCell ref="B81:B82"/>
    <mergeCell ref="B83:B84"/>
    <mergeCell ref="C71:C72"/>
    <mergeCell ref="E71:E72"/>
    <mergeCell ref="F71:F72"/>
    <mergeCell ref="G71:G72"/>
    <mergeCell ref="H71:H72"/>
    <mergeCell ref="I71:I72"/>
    <mergeCell ref="J71:J72"/>
    <mergeCell ref="I85:I86"/>
    <mergeCell ref="C79:C80"/>
    <mergeCell ref="E79:E80"/>
    <mergeCell ref="D79:D80"/>
    <mergeCell ref="E77:E78"/>
    <mergeCell ref="G85:G86"/>
    <mergeCell ref="H79:H80"/>
    <mergeCell ref="I79:I80"/>
    <mergeCell ref="J79:J80"/>
    <mergeCell ref="H81:H82"/>
    <mergeCell ref="C4:D4"/>
    <mergeCell ref="E4:F4"/>
    <mergeCell ref="G4:I4"/>
    <mergeCell ref="C5:D5"/>
    <mergeCell ref="E5:F5"/>
    <mergeCell ref="G5:I5"/>
    <mergeCell ref="H7:J7"/>
    <mergeCell ref="A55:A56"/>
    <mergeCell ref="C55:C56"/>
    <mergeCell ref="E55:E56"/>
    <mergeCell ref="F55:F56"/>
    <mergeCell ref="J4:K4"/>
    <mergeCell ref="J5:K5"/>
    <mergeCell ref="G55:G56"/>
    <mergeCell ref="H55:H56"/>
    <mergeCell ref="D55:D56"/>
    <mergeCell ref="I55:I56"/>
    <mergeCell ref="B55:B56"/>
    <mergeCell ref="J57:J58"/>
    <mergeCell ref="J59:J60"/>
    <mergeCell ref="J61:J62"/>
    <mergeCell ref="H57:H58"/>
    <mergeCell ref="I57:I58"/>
    <mergeCell ref="E83:E84"/>
    <mergeCell ref="A73:A74"/>
    <mergeCell ref="C73:C74"/>
    <mergeCell ref="E73:E74"/>
    <mergeCell ref="F73:F74"/>
    <mergeCell ref="G73:G74"/>
    <mergeCell ref="H73:H74"/>
    <mergeCell ref="I73:I74"/>
    <mergeCell ref="A69:A70"/>
    <mergeCell ref="C69:C70"/>
    <mergeCell ref="E69:E70"/>
    <mergeCell ref="F69:F70"/>
    <mergeCell ref="F83:F84"/>
    <mergeCell ref="F77:F78"/>
    <mergeCell ref="C81:C82"/>
    <mergeCell ref="E81:E82"/>
    <mergeCell ref="F81:F82"/>
    <mergeCell ref="F79:F80"/>
    <mergeCell ref="A79:A80"/>
    <mergeCell ref="G127:G128"/>
    <mergeCell ref="H127:H128"/>
    <mergeCell ref="I127:I128"/>
    <mergeCell ref="G125:G126"/>
    <mergeCell ref="D87:D88"/>
    <mergeCell ref="F93:F94"/>
    <mergeCell ref="C93:C94"/>
    <mergeCell ref="F113:F114"/>
    <mergeCell ref="F123:F124"/>
    <mergeCell ref="F109:F110"/>
    <mergeCell ref="D123:D124"/>
    <mergeCell ref="H97:H98"/>
    <mergeCell ref="G91:G92"/>
    <mergeCell ref="H91:H92"/>
    <mergeCell ref="I91:I92"/>
    <mergeCell ref="I87:I88"/>
    <mergeCell ref="F97:F98"/>
    <mergeCell ref="C103:C104"/>
    <mergeCell ref="C111:C112"/>
    <mergeCell ref="F115:F116"/>
    <mergeCell ref="E91:E92"/>
    <mergeCell ref="D95:D96"/>
    <mergeCell ref="G97:G98"/>
    <mergeCell ref="G87:G88"/>
    <mergeCell ref="A127:A128"/>
    <mergeCell ref="C127:C128"/>
    <mergeCell ref="E127:E128"/>
    <mergeCell ref="F127:F128"/>
    <mergeCell ref="A97:A98"/>
    <mergeCell ref="A117:A118"/>
    <mergeCell ref="E97:E98"/>
    <mergeCell ref="E99:E100"/>
    <mergeCell ref="A113:A114"/>
    <mergeCell ref="C113:C114"/>
    <mergeCell ref="C117:C118"/>
    <mergeCell ref="D117:D118"/>
    <mergeCell ref="E117:E118"/>
    <mergeCell ref="F117:F118"/>
    <mergeCell ref="D109:D110"/>
    <mergeCell ref="D119:D120"/>
    <mergeCell ref="D101:D102"/>
    <mergeCell ref="E101:E102"/>
    <mergeCell ref="C99:C100"/>
    <mergeCell ref="C97:C98"/>
    <mergeCell ref="A105:A106"/>
    <mergeCell ref="C105:C106"/>
    <mergeCell ref="A103:A104"/>
    <mergeCell ref="C125:C126"/>
    <mergeCell ref="A89:A90"/>
    <mergeCell ref="C89:C90"/>
    <mergeCell ref="E89:E90"/>
    <mergeCell ref="F89:F90"/>
    <mergeCell ref="D89:D90"/>
    <mergeCell ref="D125:D126"/>
    <mergeCell ref="A95:A96"/>
    <mergeCell ref="C95:C96"/>
    <mergeCell ref="E95:E96"/>
    <mergeCell ref="A93:A94"/>
    <mergeCell ref="A101:A102"/>
    <mergeCell ref="C101:C102"/>
    <mergeCell ref="F95:F96"/>
    <mergeCell ref="F99:F100"/>
    <mergeCell ref="A111:A112"/>
    <mergeCell ref="D93:D94"/>
    <mergeCell ref="D97:D98"/>
    <mergeCell ref="A99:A100"/>
    <mergeCell ref="A91:A92"/>
    <mergeCell ref="C91:C92"/>
    <mergeCell ref="B97:B98"/>
    <mergeCell ref="B99:B100"/>
    <mergeCell ref="B101:B102"/>
    <mergeCell ref="B103:B104"/>
    <mergeCell ref="J127:J128"/>
    <mergeCell ref="F101:F102"/>
    <mergeCell ref="D113:D114"/>
    <mergeCell ref="E113:E114"/>
    <mergeCell ref="F85:F86"/>
    <mergeCell ref="A115:A116"/>
    <mergeCell ref="D115:D116"/>
    <mergeCell ref="E115:E116"/>
    <mergeCell ref="A87:A88"/>
    <mergeCell ref="C87:C88"/>
    <mergeCell ref="E87:E88"/>
    <mergeCell ref="A85:A86"/>
    <mergeCell ref="C85:C86"/>
    <mergeCell ref="D111:D112"/>
    <mergeCell ref="E111:E112"/>
    <mergeCell ref="A107:A108"/>
    <mergeCell ref="C107:C108"/>
    <mergeCell ref="D107:D108"/>
    <mergeCell ref="E107:E108"/>
    <mergeCell ref="A109:A110"/>
    <mergeCell ref="C109:C110"/>
    <mergeCell ref="C115:C116"/>
    <mergeCell ref="E85:E86"/>
    <mergeCell ref="A125:A126"/>
    <mergeCell ref="A67:A68"/>
    <mergeCell ref="C67:C68"/>
    <mergeCell ref="E67:E68"/>
    <mergeCell ref="F67:F68"/>
    <mergeCell ref="G67:G68"/>
    <mergeCell ref="H67:H68"/>
    <mergeCell ref="I67:I68"/>
    <mergeCell ref="M67:M68"/>
    <mergeCell ref="N67:N68"/>
    <mergeCell ref="J67:J68"/>
    <mergeCell ref="L67:L68"/>
    <mergeCell ref="G69:G70"/>
    <mergeCell ref="H69:H70"/>
    <mergeCell ref="K67:K68"/>
    <mergeCell ref="D71:D72"/>
    <mergeCell ref="A71:A72"/>
    <mergeCell ref="L65:L66"/>
    <mergeCell ref="K65:K66"/>
    <mergeCell ref="F59:F60"/>
    <mergeCell ref="G59:G60"/>
    <mergeCell ref="A61:A62"/>
    <mergeCell ref="C61:C62"/>
    <mergeCell ref="E61:E62"/>
    <mergeCell ref="F61:F62"/>
    <mergeCell ref="G61:G62"/>
    <mergeCell ref="H61:H62"/>
    <mergeCell ref="I61:I62"/>
    <mergeCell ref="D61:D62"/>
    <mergeCell ref="A65:A66"/>
    <mergeCell ref="C65:C66"/>
    <mergeCell ref="J63:J64"/>
    <mergeCell ref="E65:E66"/>
    <mergeCell ref="F65:F66"/>
    <mergeCell ref="G65:G66"/>
    <mergeCell ref="H65:H66"/>
    <mergeCell ref="L127:L128"/>
    <mergeCell ref="L91:L92"/>
    <mergeCell ref="L95:L96"/>
    <mergeCell ref="H85:H86"/>
    <mergeCell ref="D81:D82"/>
    <mergeCell ref="J81:J82"/>
    <mergeCell ref="G81:G82"/>
    <mergeCell ref="D83:D84"/>
    <mergeCell ref="G75:G76"/>
    <mergeCell ref="H75:H76"/>
    <mergeCell ref="I75:I76"/>
    <mergeCell ref="E119:E120"/>
    <mergeCell ref="F119:F120"/>
    <mergeCell ref="G119:G120"/>
    <mergeCell ref="D127:D128"/>
    <mergeCell ref="D91:D92"/>
    <mergeCell ref="D85:D86"/>
    <mergeCell ref="F91:F92"/>
    <mergeCell ref="F87:F88"/>
    <mergeCell ref="G93:G94"/>
    <mergeCell ref="H93:H94"/>
    <mergeCell ref="G95:G96"/>
    <mergeCell ref="H95:H96"/>
    <mergeCell ref="L117:L118"/>
    <mergeCell ref="A57:A58"/>
    <mergeCell ref="C57:C58"/>
    <mergeCell ref="E57:E58"/>
    <mergeCell ref="F57:F58"/>
    <mergeCell ref="G57:G58"/>
    <mergeCell ref="K59:K60"/>
    <mergeCell ref="K61:K62"/>
    <mergeCell ref="K57:K58"/>
    <mergeCell ref="A119:A120"/>
    <mergeCell ref="C119:C120"/>
    <mergeCell ref="A63:A64"/>
    <mergeCell ref="C63:C64"/>
    <mergeCell ref="E63:E64"/>
    <mergeCell ref="F63:F64"/>
    <mergeCell ref="G63:G64"/>
    <mergeCell ref="H63:H64"/>
    <mergeCell ref="I63:I64"/>
    <mergeCell ref="H59:H60"/>
    <mergeCell ref="I59:I60"/>
    <mergeCell ref="A59:A60"/>
    <mergeCell ref="C59:C60"/>
    <mergeCell ref="E59:E60"/>
    <mergeCell ref="D67:D68"/>
    <mergeCell ref="D69:D70"/>
    <mergeCell ref="I125:I126"/>
    <mergeCell ref="M125:M126"/>
    <mergeCell ref="N125:N126"/>
    <mergeCell ref="L125:L126"/>
    <mergeCell ref="M97:M98"/>
    <mergeCell ref="N97:N98"/>
    <mergeCell ref="M101:M102"/>
    <mergeCell ref="N101:N102"/>
    <mergeCell ref="M105:M106"/>
    <mergeCell ref="N105:N106"/>
    <mergeCell ref="M111:M112"/>
    <mergeCell ref="N111:N112"/>
    <mergeCell ref="I97:I98"/>
    <mergeCell ref="L97:L98"/>
    <mergeCell ref="K105:K106"/>
    <mergeCell ref="I107:I108"/>
    <mergeCell ref="N123:N124"/>
    <mergeCell ref="L111:L112"/>
    <mergeCell ref="K111:K112"/>
    <mergeCell ref="I119:I120"/>
    <mergeCell ref="L119:L120"/>
    <mergeCell ref="J119:J120"/>
    <mergeCell ref="K119:K120"/>
    <mergeCell ref="M115:M116"/>
    <mergeCell ref="D57:D58"/>
    <mergeCell ref="D59:D60"/>
    <mergeCell ref="D65:D66"/>
    <mergeCell ref="D63:D64"/>
    <mergeCell ref="AK115:AK116"/>
    <mergeCell ref="AL115:AL116"/>
    <mergeCell ref="G113:G114"/>
    <mergeCell ref="H113:H114"/>
    <mergeCell ref="I113:I114"/>
    <mergeCell ref="O115:O116"/>
    <mergeCell ref="O113:O114"/>
    <mergeCell ref="P113:P114"/>
    <mergeCell ref="AK113:AK114"/>
    <mergeCell ref="N113:N114"/>
    <mergeCell ref="G115:G116"/>
    <mergeCell ref="H115:H116"/>
    <mergeCell ref="I115:I116"/>
    <mergeCell ref="M113:M114"/>
    <mergeCell ref="P111:P112"/>
    <mergeCell ref="H111:H112"/>
    <mergeCell ref="P105:P106"/>
    <mergeCell ref="L101:L102"/>
    <mergeCell ref="D99:D100"/>
    <mergeCell ref="N103:N104"/>
    <mergeCell ref="J117:J118"/>
    <mergeCell ref="N117:N118"/>
    <mergeCell ref="O117:O118"/>
    <mergeCell ref="M117:M118"/>
    <mergeCell ref="AL123:AL124"/>
    <mergeCell ref="AM123:AM124"/>
    <mergeCell ref="A121:A122"/>
    <mergeCell ref="C121:C122"/>
    <mergeCell ref="D121:D122"/>
    <mergeCell ref="E121:E122"/>
    <mergeCell ref="F121:F122"/>
    <mergeCell ref="G121:G122"/>
    <mergeCell ref="H121:H122"/>
    <mergeCell ref="I121:I122"/>
    <mergeCell ref="L121:L122"/>
    <mergeCell ref="K121:K122"/>
    <mergeCell ref="M121:M122"/>
    <mergeCell ref="N121:N122"/>
    <mergeCell ref="O121:O122"/>
    <mergeCell ref="P121:P122"/>
    <mergeCell ref="A123:A124"/>
    <mergeCell ref="C123:C124"/>
    <mergeCell ref="AM121:AM122"/>
    <mergeCell ref="AL121:AL122"/>
    <mergeCell ref="L123:L124"/>
    <mergeCell ref="M123:M124"/>
    <mergeCell ref="O123:O124"/>
    <mergeCell ref="P123:P124"/>
    <mergeCell ref="AK123:AK124"/>
    <mergeCell ref="J123:J124"/>
    <mergeCell ref="B57:B58"/>
    <mergeCell ref="B59:B60"/>
    <mergeCell ref="B61:B62"/>
    <mergeCell ref="B63:B64"/>
    <mergeCell ref="B65:B66"/>
    <mergeCell ref="B67:B68"/>
    <mergeCell ref="B69:B70"/>
    <mergeCell ref="B71:B72"/>
    <mergeCell ref="B73:B74"/>
    <mergeCell ref="B85:B86"/>
    <mergeCell ref="B87:B88"/>
    <mergeCell ref="B89:B90"/>
    <mergeCell ref="B91:B92"/>
    <mergeCell ref="B93:B94"/>
    <mergeCell ref="B95:B96"/>
    <mergeCell ref="B123:B124"/>
    <mergeCell ref="L115:L116"/>
    <mergeCell ref="J115:J116"/>
    <mergeCell ref="B125:B126"/>
    <mergeCell ref="B127:B128"/>
    <mergeCell ref="B105:B106"/>
    <mergeCell ref="B107:B108"/>
    <mergeCell ref="B109:B110"/>
    <mergeCell ref="B111:B112"/>
    <mergeCell ref="B113:B114"/>
    <mergeCell ref="B115:B116"/>
    <mergeCell ref="B117:B118"/>
    <mergeCell ref="B119:B120"/>
    <mergeCell ref="B121:B122"/>
  </mergeCells>
  <conditionalFormatting sqref="F9:F12">
    <cfRule type="dataBar" priority="97">
      <dataBar showValue="0">
        <cfvo type="num" val="0"/>
        <cfvo type="num" val="1"/>
        <color rgb="FF00B050"/>
      </dataBar>
      <extLst>
        <ext xmlns:x14="http://schemas.microsoft.com/office/spreadsheetml/2009/9/main" uri="{B025F937-C7B1-47D3-B67F-A62EFF666E3E}">
          <x14:id>{093F8B2E-A620-4D82-B693-36ADEE2213A1}</x14:id>
        </ext>
      </extLst>
    </cfRule>
  </conditionalFormatting>
  <conditionalFormatting sqref="Q39">
    <cfRule type="cellIs" dxfId="117" priority="4" operator="greaterThan">
      <formula>Q38</formula>
    </cfRule>
    <cfRule type="cellIs" dxfId="116" priority="5" operator="lessThanOrEqual">
      <formula>Q38</formula>
    </cfRule>
    <cfRule type="cellIs" dxfId="115" priority="6" stopIfTrue="1" operator="equal">
      <formula>"Realizado"</formula>
    </cfRule>
  </conditionalFormatting>
  <conditionalFormatting sqref="R6:R25">
    <cfRule type="cellIs" dxfId="114" priority="62" operator="between">
      <formula>$Q$6</formula>
      <formula>0.01</formula>
    </cfRule>
    <cfRule type="cellIs" dxfId="113" priority="63" operator="greaterThanOrEqual">
      <formula>$Q$6</formula>
    </cfRule>
    <cfRule type="cellIs" dxfId="112" priority="64" operator="equal">
      <formula>0</formula>
    </cfRule>
  </conditionalFormatting>
  <conditionalFormatting sqref="S6:S25">
    <cfRule type="containsText" dxfId="111" priority="58" operator="containsText" text="Concluído">
      <formula>NOT(ISERROR(SEARCH("Concluído",S6)))</formula>
    </cfRule>
    <cfRule type="containsText" dxfId="110" priority="59" operator="containsText" text="Conforme Planejado">
      <formula>NOT(ISERROR(SEARCH("Conforme Planejado",S6)))</formula>
    </cfRule>
    <cfRule type="containsText" dxfId="109" priority="60" operator="containsText" text="FALTA PLANEJAMENTO">
      <formula>NOT(ISERROR(SEARCH("FALTA PLANEJAMENTO",S6)))</formula>
    </cfRule>
    <cfRule type="containsText" dxfId="108" priority="61" operator="containsText" text="Atraso">
      <formula>NOT(ISERROR(SEARCH("Atraso",S6)))</formula>
    </cfRule>
  </conditionalFormatting>
  <conditionalFormatting sqref="T6:T25 AP55:AP128">
    <cfRule type="cellIs" dxfId="107" priority="51" operator="lessThan">
      <formula>0</formula>
    </cfRule>
  </conditionalFormatting>
  <conditionalFormatting sqref="AA6:AA25">
    <cfRule type="cellIs" dxfId="106" priority="87" operator="lessThanOrEqual">
      <formula>0.81</formula>
    </cfRule>
  </conditionalFormatting>
  <conditionalFormatting sqref="AD6:AD25">
    <cfRule type="containsText" dxfId="105" priority="52" operator="containsText" text="ADIANTADO">
      <formula>NOT(ISERROR(SEARCH("ADIANTADO",AD6)))</formula>
    </cfRule>
    <cfRule type="containsText" dxfId="104" priority="53" operator="containsText" text="FALTA DE ACOMPANHAMENTO">
      <formula>NOT(ISERROR(SEARCH("FALTA DE ACOMPANHAMENTO",AD6)))</formula>
    </cfRule>
    <cfRule type="containsText" dxfId="103" priority="54" operator="containsText" text="Concluído">
      <formula>NOT(ISERROR(SEARCH("Concluído",AD6)))</formula>
    </cfRule>
    <cfRule type="containsText" dxfId="102" priority="55" operator="containsText" text="Conforme Planejado">
      <formula>NOT(ISERROR(SEARCH("Conforme Planejado",AD6)))</formula>
    </cfRule>
    <cfRule type="containsText" dxfId="101" priority="56" operator="containsText" text="PROJETO NÃO INICIADO">
      <formula>NOT(ISERROR(SEARCH("PROJETO NÃO INICIADO",AD6)))</formula>
    </cfRule>
    <cfRule type="containsText" dxfId="100" priority="57" operator="containsText" text="Atraso">
      <formula>NOT(ISERROR(SEARCH("Atraso",AD6)))</formula>
    </cfRule>
  </conditionalFormatting>
  <dataValidations count="5">
    <dataValidation type="list" allowBlank="1" showInputMessage="1" showErrorMessage="1" sqref="E181:E350" xr:uid="{DDC40D72-3144-4A16-99C0-63666151C2AE}">
      <formula1>"Sim,Não"</formula1>
    </dataValidation>
    <dataValidation type="list" allowBlank="1" showInputMessage="1" showErrorMessage="1" sqref="D130:D133 D138:D144 D152 D154 D156:D158" xr:uid="{3EC779AD-6098-4DC9-8116-8AFD1BB79E47}">
      <formula1>"1,2,3"</formula1>
    </dataValidation>
    <dataValidation type="list" allowBlank="1" showInputMessage="1" showErrorMessage="1" sqref="E131:F158" xr:uid="{D553EA2F-431B-4279-B302-1DE66BB66739}">
      <formula1>"NOK,OK"</formula1>
    </dataValidation>
    <dataValidation type="list" allowBlank="1" showInputMessage="1" showErrorMessage="1" sqref="AK55:AK128" xr:uid="{DBC6D52E-B120-44E8-AA94-630DB5341DA6}">
      <formula1>$AJ$47:$AJ$51</formula1>
    </dataValidation>
    <dataValidation type="list" allowBlank="1" showInputMessage="1" showErrorMessage="1" sqref="B55:B128" xr:uid="{3F2B0006-C904-4119-85D0-FC6153B9959D}">
      <formula1>"VA,GGF,MA,Outros"</formula1>
    </dataValidation>
  </dataValidations>
  <hyperlinks>
    <hyperlink ref="D77" r:id="rId1" xr:uid="{1AD26228-2810-4CB0-B99C-0BF9A84EEA17}"/>
    <hyperlink ref="D59" r:id="rId2" xr:uid="{BD60479E-19DE-4E43-8979-059C5AAC4623}"/>
    <hyperlink ref="D61" r:id="rId3" xr:uid="{81D1E526-5649-44A9-B478-C025983194C9}"/>
    <hyperlink ref="D67" r:id="rId4" xr:uid="{7853EA91-C0CA-4C68-BBB7-BD619BCEFD39}"/>
    <hyperlink ref="D69" r:id="rId5" xr:uid="{550F2565-B12A-4B14-A024-E8CDB31D7094}"/>
    <hyperlink ref="D79" r:id="rId6" xr:uid="{33B9C6B4-FAA4-4334-9131-2D64938B6797}"/>
    <hyperlink ref="D81" r:id="rId7" xr:uid="{F8C1C662-9D54-42FA-8784-0AEE7B3734CF}"/>
    <hyperlink ref="D83" r:id="rId8" xr:uid="{82D863A5-6982-4FF0-8EEB-B5813DF39CBB}"/>
    <hyperlink ref="D85" r:id="rId9" xr:uid="{51517224-436A-48BC-986B-166927C65168}"/>
    <hyperlink ref="H132" r:id="rId10" display="VW001214Z" xr:uid="{E197CC64-7C88-4312-B408-F3BBF3B0B103}"/>
    <hyperlink ref="H141" r:id="rId11" xr:uid="{7730F714-E341-476D-B8F1-7A41C140D6DE}"/>
    <hyperlink ref="H133" r:id="rId12" xr:uid="{E41C1789-FEFB-4ECF-8BF2-729D43874946}"/>
    <hyperlink ref="H134" r:id="rId13" xr:uid="{D7A32E0E-6CA4-4DA2-A701-9ACD2D4CE254}"/>
    <hyperlink ref="H135" r:id="rId14" xr:uid="{CFC3E67E-0384-4F10-A603-62566D0FCB7F}"/>
    <hyperlink ref="H136" r:id="rId15" xr:uid="{0D5C9F8C-45B6-447E-BC3E-5480C628FCF4}"/>
    <hyperlink ref="H137" r:id="rId16" xr:uid="{F77BC486-6817-4B75-85AD-E9E9401A6BB1}"/>
    <hyperlink ref="H138" r:id="rId17" xr:uid="{FFA9FAE6-73CB-4D3E-B2AE-1CF519DB935D}"/>
    <hyperlink ref="H139" r:id="rId18" xr:uid="{529C1178-7FCC-41B2-A7E9-CFA4E4DF0EF1}"/>
    <hyperlink ref="H140" r:id="rId19" xr:uid="{4EE5F383-9568-4F95-A086-9BC75443D785}"/>
    <hyperlink ref="D55" r:id="rId20" xr:uid="{CB5BBA02-38D0-4428-A5EF-9756C75002D1}"/>
    <hyperlink ref="D65" r:id="rId21" xr:uid="{4A4B5B5F-0534-4819-B08B-667C7A2D42A8}"/>
    <hyperlink ref="D87" r:id="rId22" xr:uid="{BDB40508-359E-4CC5-B13A-88CB9B911DA2}"/>
    <hyperlink ref="D89" r:id="rId23" xr:uid="{6BFAFBB8-BDD0-4EE5-A668-1754D6656B8C}"/>
    <hyperlink ref="D91" r:id="rId24" xr:uid="{771E7184-F5B1-43AF-8119-972F839B4FA6}"/>
    <hyperlink ref="D93" r:id="rId25" xr:uid="{EF26A1AE-1C8B-49C6-9189-59EB26536A4A}"/>
    <hyperlink ref="D95" r:id="rId26" xr:uid="{F9BD3B3A-2B3B-4D84-B930-B0844FD8E8CB}"/>
    <hyperlink ref="D97" r:id="rId27" xr:uid="{C363C099-58F8-4364-B70D-A10808F4385D}"/>
    <hyperlink ref="D99" r:id="rId28" xr:uid="{37CDD624-2296-486E-8D03-EA6CA7E47CC4}"/>
    <hyperlink ref="D65:D66" r:id="rId29" display="\\192.168.5.20\Departamentos\TI\Projetos\Master 2026\06 - Redução consumo MTP aplicando tolerância mínima\06 - Projeto Jarinu.xlsx" xr:uid="{D2DD1E0D-DA4B-4358-9A93-D59EB5A476C5}"/>
    <hyperlink ref="D63" r:id="rId30" xr:uid="{800078C3-A4B3-4947-9B1B-BACB4B220587}"/>
    <hyperlink ref="F180" r:id="rId31" xr:uid="{FDC5908C-7FA3-4008-802F-4E172C574263}"/>
    <hyperlink ref="D101" r:id="rId32" xr:uid="{AD07E258-1893-436C-8EB9-D898BA62980D}"/>
    <hyperlink ref="D103" r:id="rId33" xr:uid="{9E6BD9FD-2FE6-46E5-B135-2C1B3BBB3256}"/>
    <hyperlink ref="D57" r:id="rId34" xr:uid="{67DE4FC1-4180-414A-B3A7-E24D4BFBA2AA}"/>
    <hyperlink ref="D105" r:id="rId35" xr:uid="{85D89F43-B302-4455-B970-59F3D2C0CCE4}"/>
    <hyperlink ref="D107:D108" r:id="rId36" display="&quot;\\192.168.5.20\Departamentos\TI\Projetos\Master 2026\31 - Redução de Refugo\Kaizen XXX- poposta redução de custos com ensaios destrutivos..xlsx&quot;" xr:uid="{61908887-7C1A-49B9-9CB1-25F8EFF9E736}"/>
    <hyperlink ref="H168" r:id="rId37" xr:uid="{1B33AE36-D681-4429-805E-7A60A1F2E620}"/>
    <hyperlink ref="D115" r:id="rId38" xr:uid="{0E480A48-AB3C-4517-9839-A474CAF7C90D}"/>
    <hyperlink ref="D109" r:id="rId39" xr:uid="{F05AB797-0D30-406D-900B-963DC02341FB}"/>
    <hyperlink ref="D113" r:id="rId40" xr:uid="{B0A3A926-2C99-44F6-B087-FB70F57C78D1}"/>
    <hyperlink ref="D107" r:id="rId41" xr:uid="{E8DD6EFF-812D-427D-9FE7-632C05F990B5}"/>
    <hyperlink ref="D111" r:id="rId42" xr:uid="{64EC1FA9-E18E-406E-B805-D598C9B3C1AF}"/>
    <hyperlink ref="D119:D120" r:id="rId43" display="&quot;\\192.168.5.20\Departamentos\TI\Projetos\Master 2026\36 - Venda Robos\35 - Venda Robos.xlsx&quot;" xr:uid="{83FDE16B-BB5C-4E51-B4B0-1B061C459FEA}"/>
  </hyperlinks>
  <pageMargins left="0.75" right="0.75" top="1" bottom="1" header="0.5" footer="0.5"/>
  <pageSetup paperSize="9" orientation="portrait" r:id="rId44"/>
  <drawing r:id="rId45"/>
  <legacyDrawing r:id="rId46"/>
  <mc:AlternateContent xmlns:mc="http://schemas.openxmlformats.org/markup-compatibility/2006">
    <mc:Choice Requires="x14">
      <controls>
        <mc:AlternateContent xmlns:mc="http://schemas.openxmlformats.org/markup-compatibility/2006">
          <mc:Choice Requires="x14">
            <control shapeId="8311" r:id="rId47" name="Check Box 119">
              <controlPr defaultSize="0" autoFill="0" autoLine="0" autoPict="0">
                <anchor moveWithCells="1">
                  <from>
                    <xdr:col>11</xdr:col>
                    <xdr:colOff>0</xdr:colOff>
                    <xdr:row>58</xdr:row>
                    <xdr:rowOff>266700</xdr:rowOff>
                  </from>
                  <to>
                    <xdr:col>11</xdr:col>
                    <xdr:colOff>1821180</xdr:colOff>
                    <xdr:row>59</xdr:row>
                    <xdr:rowOff>175260</xdr:rowOff>
                  </to>
                </anchor>
              </controlPr>
            </control>
          </mc:Choice>
        </mc:AlternateContent>
        <mc:AlternateContent xmlns:mc="http://schemas.openxmlformats.org/markup-compatibility/2006">
          <mc:Choice Requires="x14">
            <control shapeId="8312" r:id="rId48" name="Check Box 120">
              <controlPr defaultSize="0" autoFill="0" autoLine="0" autoPict="0">
                <anchor moveWithCells="1">
                  <from>
                    <xdr:col>11</xdr:col>
                    <xdr:colOff>0</xdr:colOff>
                    <xdr:row>59</xdr:row>
                    <xdr:rowOff>144780</xdr:rowOff>
                  </from>
                  <to>
                    <xdr:col>11</xdr:col>
                    <xdr:colOff>1821180</xdr:colOff>
                    <xdr:row>59</xdr:row>
                    <xdr:rowOff>342900</xdr:rowOff>
                  </to>
                </anchor>
              </controlPr>
            </control>
          </mc:Choice>
        </mc:AlternateContent>
        <mc:AlternateContent xmlns:mc="http://schemas.openxmlformats.org/markup-compatibility/2006">
          <mc:Choice Requires="x14">
            <control shapeId="8313" r:id="rId49" name="Check Box 121">
              <controlPr defaultSize="0" autoFill="0" autoLine="0" autoPict="0">
                <anchor moveWithCells="1">
                  <from>
                    <xdr:col>11</xdr:col>
                    <xdr:colOff>0</xdr:colOff>
                    <xdr:row>58</xdr:row>
                    <xdr:rowOff>30480</xdr:rowOff>
                  </from>
                  <to>
                    <xdr:col>11</xdr:col>
                    <xdr:colOff>1821180</xdr:colOff>
                    <xdr:row>58</xdr:row>
                    <xdr:rowOff>259080</xdr:rowOff>
                  </to>
                </anchor>
              </controlPr>
            </control>
          </mc:Choice>
        </mc:AlternateContent>
        <mc:AlternateContent xmlns:mc="http://schemas.openxmlformats.org/markup-compatibility/2006">
          <mc:Choice Requires="x14">
            <control shapeId="8314" r:id="rId50" name="Check Box 122">
              <controlPr defaultSize="0" autoFill="0" autoLine="0" autoPict="0">
                <anchor moveWithCells="1">
                  <from>
                    <xdr:col>11</xdr:col>
                    <xdr:colOff>0</xdr:colOff>
                    <xdr:row>60</xdr:row>
                    <xdr:rowOff>266700</xdr:rowOff>
                  </from>
                  <to>
                    <xdr:col>11</xdr:col>
                    <xdr:colOff>1813560</xdr:colOff>
                    <xdr:row>61</xdr:row>
                    <xdr:rowOff>175260</xdr:rowOff>
                  </to>
                </anchor>
              </controlPr>
            </control>
          </mc:Choice>
        </mc:AlternateContent>
        <mc:AlternateContent xmlns:mc="http://schemas.openxmlformats.org/markup-compatibility/2006">
          <mc:Choice Requires="x14">
            <control shapeId="8315" r:id="rId51" name="Check Box 123">
              <controlPr defaultSize="0" autoFill="0" autoLine="0" autoPict="0">
                <anchor moveWithCells="1">
                  <from>
                    <xdr:col>11</xdr:col>
                    <xdr:colOff>0</xdr:colOff>
                    <xdr:row>61</xdr:row>
                    <xdr:rowOff>144780</xdr:rowOff>
                  </from>
                  <to>
                    <xdr:col>11</xdr:col>
                    <xdr:colOff>1813560</xdr:colOff>
                    <xdr:row>61</xdr:row>
                    <xdr:rowOff>342900</xdr:rowOff>
                  </to>
                </anchor>
              </controlPr>
            </control>
          </mc:Choice>
        </mc:AlternateContent>
        <mc:AlternateContent xmlns:mc="http://schemas.openxmlformats.org/markup-compatibility/2006">
          <mc:Choice Requires="x14">
            <control shapeId="8316" r:id="rId52" name="Check Box 124">
              <controlPr defaultSize="0" autoFill="0" autoLine="0" autoPict="0">
                <anchor moveWithCells="1">
                  <from>
                    <xdr:col>11</xdr:col>
                    <xdr:colOff>0</xdr:colOff>
                    <xdr:row>60</xdr:row>
                    <xdr:rowOff>30480</xdr:rowOff>
                  </from>
                  <to>
                    <xdr:col>11</xdr:col>
                    <xdr:colOff>1813560</xdr:colOff>
                    <xdr:row>60</xdr:row>
                    <xdr:rowOff>228600</xdr:rowOff>
                  </to>
                </anchor>
              </controlPr>
            </control>
          </mc:Choice>
        </mc:AlternateContent>
        <mc:AlternateContent xmlns:mc="http://schemas.openxmlformats.org/markup-compatibility/2006">
          <mc:Choice Requires="x14">
            <control shapeId="8317" r:id="rId53" name="Check Box 125">
              <controlPr defaultSize="0" autoFill="0" autoLine="0" autoPict="0">
                <anchor moveWithCells="1">
                  <from>
                    <xdr:col>11</xdr:col>
                    <xdr:colOff>0</xdr:colOff>
                    <xdr:row>62</xdr:row>
                    <xdr:rowOff>266700</xdr:rowOff>
                  </from>
                  <to>
                    <xdr:col>11</xdr:col>
                    <xdr:colOff>1813560</xdr:colOff>
                    <xdr:row>63</xdr:row>
                    <xdr:rowOff>175260</xdr:rowOff>
                  </to>
                </anchor>
              </controlPr>
            </control>
          </mc:Choice>
        </mc:AlternateContent>
        <mc:AlternateContent xmlns:mc="http://schemas.openxmlformats.org/markup-compatibility/2006">
          <mc:Choice Requires="x14">
            <control shapeId="8318" r:id="rId54" name="Check Box 126">
              <controlPr defaultSize="0" autoFill="0" autoLine="0" autoPict="0">
                <anchor moveWithCells="1">
                  <from>
                    <xdr:col>11</xdr:col>
                    <xdr:colOff>0</xdr:colOff>
                    <xdr:row>63</xdr:row>
                    <xdr:rowOff>144780</xdr:rowOff>
                  </from>
                  <to>
                    <xdr:col>11</xdr:col>
                    <xdr:colOff>1813560</xdr:colOff>
                    <xdr:row>63</xdr:row>
                    <xdr:rowOff>342900</xdr:rowOff>
                  </to>
                </anchor>
              </controlPr>
            </control>
          </mc:Choice>
        </mc:AlternateContent>
        <mc:AlternateContent xmlns:mc="http://schemas.openxmlformats.org/markup-compatibility/2006">
          <mc:Choice Requires="x14">
            <control shapeId="8319" r:id="rId55" name="Check Box 127">
              <controlPr defaultSize="0" autoFill="0" autoLine="0" autoPict="0">
                <anchor moveWithCells="1">
                  <from>
                    <xdr:col>11</xdr:col>
                    <xdr:colOff>0</xdr:colOff>
                    <xdr:row>62</xdr:row>
                    <xdr:rowOff>30480</xdr:rowOff>
                  </from>
                  <to>
                    <xdr:col>11</xdr:col>
                    <xdr:colOff>1813560</xdr:colOff>
                    <xdr:row>62</xdr:row>
                    <xdr:rowOff>259080</xdr:rowOff>
                  </to>
                </anchor>
              </controlPr>
            </control>
          </mc:Choice>
        </mc:AlternateContent>
        <mc:AlternateContent xmlns:mc="http://schemas.openxmlformats.org/markup-compatibility/2006">
          <mc:Choice Requires="x14">
            <control shapeId="8320" r:id="rId56" name="Check Box 128">
              <controlPr defaultSize="0" autoFill="0" autoLine="0" autoPict="0">
                <anchor moveWithCells="1">
                  <from>
                    <xdr:col>11</xdr:col>
                    <xdr:colOff>0</xdr:colOff>
                    <xdr:row>64</xdr:row>
                    <xdr:rowOff>266700</xdr:rowOff>
                  </from>
                  <to>
                    <xdr:col>11</xdr:col>
                    <xdr:colOff>1813560</xdr:colOff>
                    <xdr:row>65</xdr:row>
                    <xdr:rowOff>175260</xdr:rowOff>
                  </to>
                </anchor>
              </controlPr>
            </control>
          </mc:Choice>
        </mc:AlternateContent>
        <mc:AlternateContent xmlns:mc="http://schemas.openxmlformats.org/markup-compatibility/2006">
          <mc:Choice Requires="x14">
            <control shapeId="8321" r:id="rId57" name="Check Box 129">
              <controlPr defaultSize="0" autoFill="0" autoLine="0" autoPict="0">
                <anchor moveWithCells="1">
                  <from>
                    <xdr:col>11</xdr:col>
                    <xdr:colOff>0</xdr:colOff>
                    <xdr:row>65</xdr:row>
                    <xdr:rowOff>144780</xdr:rowOff>
                  </from>
                  <to>
                    <xdr:col>11</xdr:col>
                    <xdr:colOff>1813560</xdr:colOff>
                    <xdr:row>65</xdr:row>
                    <xdr:rowOff>342900</xdr:rowOff>
                  </to>
                </anchor>
              </controlPr>
            </control>
          </mc:Choice>
        </mc:AlternateContent>
        <mc:AlternateContent xmlns:mc="http://schemas.openxmlformats.org/markup-compatibility/2006">
          <mc:Choice Requires="x14">
            <control shapeId="8322" r:id="rId58" name="Check Box 130">
              <controlPr defaultSize="0" autoFill="0" autoLine="0" autoPict="0">
                <anchor moveWithCells="1">
                  <from>
                    <xdr:col>11</xdr:col>
                    <xdr:colOff>0</xdr:colOff>
                    <xdr:row>64</xdr:row>
                    <xdr:rowOff>30480</xdr:rowOff>
                  </from>
                  <to>
                    <xdr:col>11</xdr:col>
                    <xdr:colOff>1813560</xdr:colOff>
                    <xdr:row>64</xdr:row>
                    <xdr:rowOff>259080</xdr:rowOff>
                  </to>
                </anchor>
              </controlPr>
            </control>
          </mc:Choice>
        </mc:AlternateContent>
        <mc:AlternateContent xmlns:mc="http://schemas.openxmlformats.org/markup-compatibility/2006">
          <mc:Choice Requires="x14">
            <control shapeId="8323" r:id="rId59" name="Check Box 131">
              <controlPr defaultSize="0" autoFill="0" autoLine="0" autoPict="0">
                <anchor moveWithCells="1">
                  <from>
                    <xdr:col>11</xdr:col>
                    <xdr:colOff>0</xdr:colOff>
                    <xdr:row>66</xdr:row>
                    <xdr:rowOff>266700</xdr:rowOff>
                  </from>
                  <to>
                    <xdr:col>11</xdr:col>
                    <xdr:colOff>1813560</xdr:colOff>
                    <xdr:row>67</xdr:row>
                    <xdr:rowOff>190500</xdr:rowOff>
                  </to>
                </anchor>
              </controlPr>
            </control>
          </mc:Choice>
        </mc:AlternateContent>
        <mc:AlternateContent xmlns:mc="http://schemas.openxmlformats.org/markup-compatibility/2006">
          <mc:Choice Requires="x14">
            <control shapeId="8324" r:id="rId60" name="Check Box 132">
              <controlPr defaultSize="0" autoFill="0" autoLine="0" autoPict="0">
                <anchor moveWithCells="1">
                  <from>
                    <xdr:col>11</xdr:col>
                    <xdr:colOff>0</xdr:colOff>
                    <xdr:row>67</xdr:row>
                    <xdr:rowOff>144780</xdr:rowOff>
                  </from>
                  <to>
                    <xdr:col>11</xdr:col>
                    <xdr:colOff>1813560</xdr:colOff>
                    <xdr:row>67</xdr:row>
                    <xdr:rowOff>342900</xdr:rowOff>
                  </to>
                </anchor>
              </controlPr>
            </control>
          </mc:Choice>
        </mc:AlternateContent>
        <mc:AlternateContent xmlns:mc="http://schemas.openxmlformats.org/markup-compatibility/2006">
          <mc:Choice Requires="x14">
            <control shapeId="8325" r:id="rId61" name="Check Box 133">
              <controlPr defaultSize="0" autoFill="0" autoLine="0" autoPict="0">
                <anchor moveWithCells="1">
                  <from>
                    <xdr:col>11</xdr:col>
                    <xdr:colOff>0</xdr:colOff>
                    <xdr:row>66</xdr:row>
                    <xdr:rowOff>30480</xdr:rowOff>
                  </from>
                  <to>
                    <xdr:col>11</xdr:col>
                    <xdr:colOff>1813560</xdr:colOff>
                    <xdr:row>66</xdr:row>
                    <xdr:rowOff>259080</xdr:rowOff>
                  </to>
                </anchor>
              </controlPr>
            </control>
          </mc:Choice>
        </mc:AlternateContent>
        <mc:AlternateContent xmlns:mc="http://schemas.openxmlformats.org/markup-compatibility/2006">
          <mc:Choice Requires="x14">
            <control shapeId="8326" r:id="rId62" name="Check Box 134">
              <controlPr defaultSize="0" autoFill="0" autoLine="0" autoPict="0">
                <anchor moveWithCells="1">
                  <from>
                    <xdr:col>11</xdr:col>
                    <xdr:colOff>0</xdr:colOff>
                    <xdr:row>68</xdr:row>
                    <xdr:rowOff>266700</xdr:rowOff>
                  </from>
                  <to>
                    <xdr:col>11</xdr:col>
                    <xdr:colOff>1813560</xdr:colOff>
                    <xdr:row>69</xdr:row>
                    <xdr:rowOff>190500</xdr:rowOff>
                  </to>
                </anchor>
              </controlPr>
            </control>
          </mc:Choice>
        </mc:AlternateContent>
        <mc:AlternateContent xmlns:mc="http://schemas.openxmlformats.org/markup-compatibility/2006">
          <mc:Choice Requires="x14">
            <control shapeId="8329" r:id="rId63" name="Check Box 137">
              <controlPr defaultSize="0" autoFill="0" autoLine="0" autoPict="0">
                <anchor moveWithCells="1">
                  <from>
                    <xdr:col>11</xdr:col>
                    <xdr:colOff>0</xdr:colOff>
                    <xdr:row>70</xdr:row>
                    <xdr:rowOff>266700</xdr:rowOff>
                  </from>
                  <to>
                    <xdr:col>11</xdr:col>
                    <xdr:colOff>1813560</xdr:colOff>
                    <xdr:row>71</xdr:row>
                    <xdr:rowOff>190500</xdr:rowOff>
                  </to>
                </anchor>
              </controlPr>
            </control>
          </mc:Choice>
        </mc:AlternateContent>
        <mc:AlternateContent xmlns:mc="http://schemas.openxmlformats.org/markup-compatibility/2006">
          <mc:Choice Requires="x14">
            <control shapeId="8330" r:id="rId64" name="Check Box 138">
              <controlPr defaultSize="0" autoFill="0" autoLine="0" autoPict="0">
                <anchor moveWithCells="1">
                  <from>
                    <xdr:col>11</xdr:col>
                    <xdr:colOff>0</xdr:colOff>
                    <xdr:row>71</xdr:row>
                    <xdr:rowOff>144780</xdr:rowOff>
                  </from>
                  <to>
                    <xdr:col>11</xdr:col>
                    <xdr:colOff>1813560</xdr:colOff>
                    <xdr:row>71</xdr:row>
                    <xdr:rowOff>342900</xdr:rowOff>
                  </to>
                </anchor>
              </controlPr>
            </control>
          </mc:Choice>
        </mc:AlternateContent>
        <mc:AlternateContent xmlns:mc="http://schemas.openxmlformats.org/markup-compatibility/2006">
          <mc:Choice Requires="x14">
            <control shapeId="8332" r:id="rId65" name="Check Box 140">
              <controlPr defaultSize="0" autoFill="0" autoLine="0" autoPict="0">
                <anchor moveWithCells="1">
                  <from>
                    <xdr:col>11</xdr:col>
                    <xdr:colOff>0</xdr:colOff>
                    <xdr:row>72</xdr:row>
                    <xdr:rowOff>266700</xdr:rowOff>
                  </from>
                  <to>
                    <xdr:col>11</xdr:col>
                    <xdr:colOff>1813560</xdr:colOff>
                    <xdr:row>73</xdr:row>
                    <xdr:rowOff>190500</xdr:rowOff>
                  </to>
                </anchor>
              </controlPr>
            </control>
          </mc:Choice>
        </mc:AlternateContent>
        <mc:AlternateContent xmlns:mc="http://schemas.openxmlformats.org/markup-compatibility/2006">
          <mc:Choice Requires="x14">
            <control shapeId="8333" r:id="rId66" name="Check Box 141">
              <controlPr defaultSize="0" autoFill="0" autoLine="0" autoPict="0">
                <anchor moveWithCells="1">
                  <from>
                    <xdr:col>11</xdr:col>
                    <xdr:colOff>0</xdr:colOff>
                    <xdr:row>73</xdr:row>
                    <xdr:rowOff>144780</xdr:rowOff>
                  </from>
                  <to>
                    <xdr:col>11</xdr:col>
                    <xdr:colOff>1813560</xdr:colOff>
                    <xdr:row>73</xdr:row>
                    <xdr:rowOff>342900</xdr:rowOff>
                  </to>
                </anchor>
              </controlPr>
            </control>
          </mc:Choice>
        </mc:AlternateContent>
        <mc:AlternateContent xmlns:mc="http://schemas.openxmlformats.org/markup-compatibility/2006">
          <mc:Choice Requires="x14">
            <control shapeId="8334" r:id="rId67" name="Check Box 142">
              <controlPr defaultSize="0" autoFill="0" autoLine="0" autoPict="0">
                <anchor moveWithCells="1">
                  <from>
                    <xdr:col>11</xdr:col>
                    <xdr:colOff>0</xdr:colOff>
                    <xdr:row>72</xdr:row>
                    <xdr:rowOff>30480</xdr:rowOff>
                  </from>
                  <to>
                    <xdr:col>11</xdr:col>
                    <xdr:colOff>1813560</xdr:colOff>
                    <xdr:row>72</xdr:row>
                    <xdr:rowOff>259080</xdr:rowOff>
                  </to>
                </anchor>
              </controlPr>
            </control>
          </mc:Choice>
        </mc:AlternateContent>
        <mc:AlternateContent xmlns:mc="http://schemas.openxmlformats.org/markup-compatibility/2006">
          <mc:Choice Requires="x14">
            <control shapeId="8335" r:id="rId68" name="Check Box 143">
              <controlPr defaultSize="0" autoFill="0" autoLine="0" autoPict="0">
                <anchor moveWithCells="1">
                  <from>
                    <xdr:col>11</xdr:col>
                    <xdr:colOff>0</xdr:colOff>
                    <xdr:row>74</xdr:row>
                    <xdr:rowOff>266700</xdr:rowOff>
                  </from>
                  <to>
                    <xdr:col>11</xdr:col>
                    <xdr:colOff>1813560</xdr:colOff>
                    <xdr:row>75</xdr:row>
                    <xdr:rowOff>190500</xdr:rowOff>
                  </to>
                </anchor>
              </controlPr>
            </control>
          </mc:Choice>
        </mc:AlternateContent>
        <mc:AlternateContent xmlns:mc="http://schemas.openxmlformats.org/markup-compatibility/2006">
          <mc:Choice Requires="x14">
            <control shapeId="8336" r:id="rId69" name="Check Box 144">
              <controlPr defaultSize="0" autoFill="0" autoLine="0" autoPict="0">
                <anchor moveWithCells="1">
                  <from>
                    <xdr:col>11</xdr:col>
                    <xdr:colOff>0</xdr:colOff>
                    <xdr:row>75</xdr:row>
                    <xdr:rowOff>144780</xdr:rowOff>
                  </from>
                  <to>
                    <xdr:col>11</xdr:col>
                    <xdr:colOff>1813560</xdr:colOff>
                    <xdr:row>75</xdr:row>
                    <xdr:rowOff>342900</xdr:rowOff>
                  </to>
                </anchor>
              </controlPr>
            </control>
          </mc:Choice>
        </mc:AlternateContent>
        <mc:AlternateContent xmlns:mc="http://schemas.openxmlformats.org/markup-compatibility/2006">
          <mc:Choice Requires="x14">
            <control shapeId="8337" r:id="rId70" name="Check Box 145">
              <controlPr defaultSize="0" autoFill="0" autoLine="0" autoPict="0">
                <anchor moveWithCells="1">
                  <from>
                    <xdr:col>11</xdr:col>
                    <xdr:colOff>0</xdr:colOff>
                    <xdr:row>74</xdr:row>
                    <xdr:rowOff>30480</xdr:rowOff>
                  </from>
                  <to>
                    <xdr:col>11</xdr:col>
                    <xdr:colOff>1813560</xdr:colOff>
                    <xdr:row>74</xdr:row>
                    <xdr:rowOff>259080</xdr:rowOff>
                  </to>
                </anchor>
              </controlPr>
            </control>
          </mc:Choice>
        </mc:AlternateContent>
        <mc:AlternateContent xmlns:mc="http://schemas.openxmlformats.org/markup-compatibility/2006">
          <mc:Choice Requires="x14">
            <control shapeId="8338" r:id="rId71" name="Check Box 146">
              <controlPr defaultSize="0" autoFill="0" autoLine="0" autoPict="0">
                <anchor moveWithCells="1">
                  <from>
                    <xdr:col>11</xdr:col>
                    <xdr:colOff>0</xdr:colOff>
                    <xdr:row>76</xdr:row>
                    <xdr:rowOff>266700</xdr:rowOff>
                  </from>
                  <to>
                    <xdr:col>11</xdr:col>
                    <xdr:colOff>1813560</xdr:colOff>
                    <xdr:row>77</xdr:row>
                    <xdr:rowOff>182880</xdr:rowOff>
                  </to>
                </anchor>
              </controlPr>
            </control>
          </mc:Choice>
        </mc:AlternateContent>
        <mc:AlternateContent xmlns:mc="http://schemas.openxmlformats.org/markup-compatibility/2006">
          <mc:Choice Requires="x14">
            <control shapeId="8339" r:id="rId72" name="Check Box 147">
              <controlPr defaultSize="0" autoFill="0" autoLine="0" autoPict="0">
                <anchor moveWithCells="1">
                  <from>
                    <xdr:col>11</xdr:col>
                    <xdr:colOff>0</xdr:colOff>
                    <xdr:row>77</xdr:row>
                    <xdr:rowOff>144780</xdr:rowOff>
                  </from>
                  <to>
                    <xdr:col>11</xdr:col>
                    <xdr:colOff>1813560</xdr:colOff>
                    <xdr:row>77</xdr:row>
                    <xdr:rowOff>342900</xdr:rowOff>
                  </to>
                </anchor>
              </controlPr>
            </control>
          </mc:Choice>
        </mc:AlternateContent>
        <mc:AlternateContent xmlns:mc="http://schemas.openxmlformats.org/markup-compatibility/2006">
          <mc:Choice Requires="x14">
            <control shapeId="8340" r:id="rId73" name="Check Box 148">
              <controlPr defaultSize="0" autoFill="0" autoLine="0" autoPict="0">
                <anchor moveWithCells="1">
                  <from>
                    <xdr:col>11</xdr:col>
                    <xdr:colOff>0</xdr:colOff>
                    <xdr:row>76</xdr:row>
                    <xdr:rowOff>30480</xdr:rowOff>
                  </from>
                  <to>
                    <xdr:col>11</xdr:col>
                    <xdr:colOff>1813560</xdr:colOff>
                    <xdr:row>76</xdr:row>
                    <xdr:rowOff>259080</xdr:rowOff>
                  </to>
                </anchor>
              </controlPr>
            </control>
          </mc:Choice>
        </mc:AlternateContent>
        <mc:AlternateContent xmlns:mc="http://schemas.openxmlformats.org/markup-compatibility/2006">
          <mc:Choice Requires="x14">
            <control shapeId="8341" r:id="rId74" name="Check Box 149">
              <controlPr defaultSize="0" autoFill="0" autoLine="0" autoPict="0">
                <anchor moveWithCells="1">
                  <from>
                    <xdr:col>11</xdr:col>
                    <xdr:colOff>0</xdr:colOff>
                    <xdr:row>78</xdr:row>
                    <xdr:rowOff>266700</xdr:rowOff>
                  </from>
                  <to>
                    <xdr:col>11</xdr:col>
                    <xdr:colOff>1813560</xdr:colOff>
                    <xdr:row>79</xdr:row>
                    <xdr:rowOff>175260</xdr:rowOff>
                  </to>
                </anchor>
              </controlPr>
            </control>
          </mc:Choice>
        </mc:AlternateContent>
        <mc:AlternateContent xmlns:mc="http://schemas.openxmlformats.org/markup-compatibility/2006">
          <mc:Choice Requires="x14">
            <control shapeId="8342" r:id="rId75" name="Check Box 150">
              <controlPr defaultSize="0" autoFill="0" autoLine="0" autoPict="0">
                <anchor moveWithCells="1">
                  <from>
                    <xdr:col>11</xdr:col>
                    <xdr:colOff>0</xdr:colOff>
                    <xdr:row>79</xdr:row>
                    <xdr:rowOff>144780</xdr:rowOff>
                  </from>
                  <to>
                    <xdr:col>11</xdr:col>
                    <xdr:colOff>1813560</xdr:colOff>
                    <xdr:row>79</xdr:row>
                    <xdr:rowOff>342900</xdr:rowOff>
                  </to>
                </anchor>
              </controlPr>
            </control>
          </mc:Choice>
        </mc:AlternateContent>
        <mc:AlternateContent xmlns:mc="http://schemas.openxmlformats.org/markup-compatibility/2006">
          <mc:Choice Requires="x14">
            <control shapeId="8343" r:id="rId76" name="Check Box 151">
              <controlPr defaultSize="0" autoFill="0" autoLine="0" autoPict="0">
                <anchor moveWithCells="1">
                  <from>
                    <xdr:col>11</xdr:col>
                    <xdr:colOff>0</xdr:colOff>
                    <xdr:row>78</xdr:row>
                    <xdr:rowOff>30480</xdr:rowOff>
                  </from>
                  <to>
                    <xdr:col>11</xdr:col>
                    <xdr:colOff>1813560</xdr:colOff>
                    <xdr:row>78</xdr:row>
                    <xdr:rowOff>259080</xdr:rowOff>
                  </to>
                </anchor>
              </controlPr>
            </control>
          </mc:Choice>
        </mc:AlternateContent>
        <mc:AlternateContent xmlns:mc="http://schemas.openxmlformats.org/markup-compatibility/2006">
          <mc:Choice Requires="x14">
            <control shapeId="8344" r:id="rId77" name="Check Box 152">
              <controlPr defaultSize="0" autoFill="0" autoLine="0" autoPict="0">
                <anchor moveWithCells="1">
                  <from>
                    <xdr:col>11</xdr:col>
                    <xdr:colOff>0</xdr:colOff>
                    <xdr:row>80</xdr:row>
                    <xdr:rowOff>266700</xdr:rowOff>
                  </from>
                  <to>
                    <xdr:col>11</xdr:col>
                    <xdr:colOff>1813560</xdr:colOff>
                    <xdr:row>81</xdr:row>
                    <xdr:rowOff>175260</xdr:rowOff>
                  </to>
                </anchor>
              </controlPr>
            </control>
          </mc:Choice>
        </mc:AlternateContent>
        <mc:AlternateContent xmlns:mc="http://schemas.openxmlformats.org/markup-compatibility/2006">
          <mc:Choice Requires="x14">
            <control shapeId="8345" r:id="rId78" name="Check Box 153">
              <controlPr defaultSize="0" autoFill="0" autoLine="0" autoPict="0">
                <anchor moveWithCells="1">
                  <from>
                    <xdr:col>11</xdr:col>
                    <xdr:colOff>0</xdr:colOff>
                    <xdr:row>81</xdr:row>
                    <xdr:rowOff>144780</xdr:rowOff>
                  </from>
                  <to>
                    <xdr:col>11</xdr:col>
                    <xdr:colOff>1813560</xdr:colOff>
                    <xdr:row>81</xdr:row>
                    <xdr:rowOff>342900</xdr:rowOff>
                  </to>
                </anchor>
              </controlPr>
            </control>
          </mc:Choice>
        </mc:AlternateContent>
        <mc:AlternateContent xmlns:mc="http://schemas.openxmlformats.org/markup-compatibility/2006">
          <mc:Choice Requires="x14">
            <control shapeId="8346" r:id="rId79" name="Check Box 154">
              <controlPr defaultSize="0" autoFill="0" autoLine="0" autoPict="0">
                <anchor moveWithCells="1">
                  <from>
                    <xdr:col>11</xdr:col>
                    <xdr:colOff>0</xdr:colOff>
                    <xdr:row>80</xdr:row>
                    <xdr:rowOff>30480</xdr:rowOff>
                  </from>
                  <to>
                    <xdr:col>11</xdr:col>
                    <xdr:colOff>1813560</xdr:colOff>
                    <xdr:row>80</xdr:row>
                    <xdr:rowOff>259080</xdr:rowOff>
                  </to>
                </anchor>
              </controlPr>
            </control>
          </mc:Choice>
        </mc:AlternateContent>
        <mc:AlternateContent xmlns:mc="http://schemas.openxmlformats.org/markup-compatibility/2006">
          <mc:Choice Requires="x14">
            <control shapeId="8347" r:id="rId80" name="Check Box 155">
              <controlPr defaultSize="0" autoFill="0" autoLine="0" autoPict="0">
                <anchor moveWithCells="1">
                  <from>
                    <xdr:col>11</xdr:col>
                    <xdr:colOff>0</xdr:colOff>
                    <xdr:row>82</xdr:row>
                    <xdr:rowOff>266700</xdr:rowOff>
                  </from>
                  <to>
                    <xdr:col>11</xdr:col>
                    <xdr:colOff>1813560</xdr:colOff>
                    <xdr:row>83</xdr:row>
                    <xdr:rowOff>175260</xdr:rowOff>
                  </to>
                </anchor>
              </controlPr>
            </control>
          </mc:Choice>
        </mc:AlternateContent>
        <mc:AlternateContent xmlns:mc="http://schemas.openxmlformats.org/markup-compatibility/2006">
          <mc:Choice Requires="x14">
            <control shapeId="8348" r:id="rId81" name="Check Box 156">
              <controlPr defaultSize="0" autoFill="0" autoLine="0" autoPict="0">
                <anchor moveWithCells="1">
                  <from>
                    <xdr:col>11</xdr:col>
                    <xdr:colOff>0</xdr:colOff>
                    <xdr:row>83</xdr:row>
                    <xdr:rowOff>144780</xdr:rowOff>
                  </from>
                  <to>
                    <xdr:col>11</xdr:col>
                    <xdr:colOff>1813560</xdr:colOff>
                    <xdr:row>83</xdr:row>
                    <xdr:rowOff>342900</xdr:rowOff>
                  </to>
                </anchor>
              </controlPr>
            </control>
          </mc:Choice>
        </mc:AlternateContent>
        <mc:AlternateContent xmlns:mc="http://schemas.openxmlformats.org/markup-compatibility/2006">
          <mc:Choice Requires="x14">
            <control shapeId="8349" r:id="rId82" name="Check Box 157">
              <controlPr defaultSize="0" autoFill="0" autoLine="0" autoPict="0">
                <anchor moveWithCells="1">
                  <from>
                    <xdr:col>11</xdr:col>
                    <xdr:colOff>0</xdr:colOff>
                    <xdr:row>82</xdr:row>
                    <xdr:rowOff>30480</xdr:rowOff>
                  </from>
                  <to>
                    <xdr:col>11</xdr:col>
                    <xdr:colOff>1813560</xdr:colOff>
                    <xdr:row>82</xdr:row>
                    <xdr:rowOff>259080</xdr:rowOff>
                  </to>
                </anchor>
              </controlPr>
            </control>
          </mc:Choice>
        </mc:AlternateContent>
        <mc:AlternateContent xmlns:mc="http://schemas.openxmlformats.org/markup-compatibility/2006">
          <mc:Choice Requires="x14">
            <control shapeId="8350" r:id="rId83" name="Check Box 158">
              <controlPr defaultSize="0" autoFill="0" autoLine="0" autoPict="0">
                <anchor moveWithCells="1">
                  <from>
                    <xdr:col>11</xdr:col>
                    <xdr:colOff>0</xdr:colOff>
                    <xdr:row>84</xdr:row>
                    <xdr:rowOff>0</xdr:rowOff>
                  </from>
                  <to>
                    <xdr:col>11</xdr:col>
                    <xdr:colOff>1813560</xdr:colOff>
                    <xdr:row>84</xdr:row>
                    <xdr:rowOff>297180</xdr:rowOff>
                  </to>
                </anchor>
              </controlPr>
            </control>
          </mc:Choice>
        </mc:AlternateContent>
        <mc:AlternateContent xmlns:mc="http://schemas.openxmlformats.org/markup-compatibility/2006">
          <mc:Choice Requires="x14">
            <control shapeId="8359" r:id="rId84" name="Check Box 167">
              <controlPr defaultSize="0" autoFill="0" autoLine="0" autoPict="0">
                <anchor moveWithCells="1">
                  <from>
                    <xdr:col>11</xdr:col>
                    <xdr:colOff>0</xdr:colOff>
                    <xdr:row>84</xdr:row>
                    <xdr:rowOff>266700</xdr:rowOff>
                  </from>
                  <to>
                    <xdr:col>11</xdr:col>
                    <xdr:colOff>1813560</xdr:colOff>
                    <xdr:row>85</xdr:row>
                    <xdr:rowOff>175260</xdr:rowOff>
                  </to>
                </anchor>
              </controlPr>
            </control>
          </mc:Choice>
        </mc:AlternateContent>
        <mc:AlternateContent xmlns:mc="http://schemas.openxmlformats.org/markup-compatibility/2006">
          <mc:Choice Requires="x14">
            <control shapeId="8360" r:id="rId85" name="Check Box 168">
              <controlPr defaultSize="0" autoFill="0" autoLine="0" autoPict="0">
                <anchor moveWithCells="1">
                  <from>
                    <xdr:col>11</xdr:col>
                    <xdr:colOff>0</xdr:colOff>
                    <xdr:row>85</xdr:row>
                    <xdr:rowOff>144780</xdr:rowOff>
                  </from>
                  <to>
                    <xdr:col>11</xdr:col>
                    <xdr:colOff>1813560</xdr:colOff>
                    <xdr:row>85</xdr:row>
                    <xdr:rowOff>342900</xdr:rowOff>
                  </to>
                </anchor>
              </controlPr>
            </control>
          </mc:Choice>
        </mc:AlternateContent>
        <mc:AlternateContent xmlns:mc="http://schemas.openxmlformats.org/markup-compatibility/2006">
          <mc:Choice Requires="x14">
            <control shapeId="8362" r:id="rId86" name="Check Box 170">
              <controlPr defaultSize="0" autoFill="0" autoLine="0" autoPict="0">
                <anchor moveWithCells="1">
                  <from>
                    <xdr:col>11</xdr:col>
                    <xdr:colOff>0</xdr:colOff>
                    <xdr:row>86</xdr:row>
                    <xdr:rowOff>266700</xdr:rowOff>
                  </from>
                  <to>
                    <xdr:col>11</xdr:col>
                    <xdr:colOff>1813560</xdr:colOff>
                    <xdr:row>87</xdr:row>
                    <xdr:rowOff>190500</xdr:rowOff>
                  </to>
                </anchor>
              </controlPr>
            </control>
          </mc:Choice>
        </mc:AlternateContent>
        <mc:AlternateContent xmlns:mc="http://schemas.openxmlformats.org/markup-compatibility/2006">
          <mc:Choice Requires="x14">
            <control shapeId="8363" r:id="rId87" name="Check Box 171">
              <controlPr defaultSize="0" autoFill="0" autoLine="0" autoPict="0">
                <anchor moveWithCells="1">
                  <from>
                    <xdr:col>11</xdr:col>
                    <xdr:colOff>0</xdr:colOff>
                    <xdr:row>87</xdr:row>
                    <xdr:rowOff>144780</xdr:rowOff>
                  </from>
                  <to>
                    <xdr:col>11</xdr:col>
                    <xdr:colOff>1813560</xdr:colOff>
                    <xdr:row>87</xdr:row>
                    <xdr:rowOff>342900</xdr:rowOff>
                  </to>
                </anchor>
              </controlPr>
            </control>
          </mc:Choice>
        </mc:AlternateContent>
        <mc:AlternateContent xmlns:mc="http://schemas.openxmlformats.org/markup-compatibility/2006">
          <mc:Choice Requires="x14">
            <control shapeId="8364" r:id="rId88" name="Check Box 172">
              <controlPr defaultSize="0" autoFill="0" autoLine="0" autoPict="0">
                <anchor moveWithCells="1">
                  <from>
                    <xdr:col>11</xdr:col>
                    <xdr:colOff>0</xdr:colOff>
                    <xdr:row>86</xdr:row>
                    <xdr:rowOff>30480</xdr:rowOff>
                  </from>
                  <to>
                    <xdr:col>11</xdr:col>
                    <xdr:colOff>1813560</xdr:colOff>
                    <xdr:row>86</xdr:row>
                    <xdr:rowOff>297180</xdr:rowOff>
                  </to>
                </anchor>
              </controlPr>
            </control>
          </mc:Choice>
        </mc:AlternateContent>
        <mc:AlternateContent xmlns:mc="http://schemas.openxmlformats.org/markup-compatibility/2006">
          <mc:Choice Requires="x14">
            <control shapeId="8365" r:id="rId89" name="Check Box 173">
              <controlPr defaultSize="0" autoFill="0" autoLine="0" autoPict="0">
                <anchor moveWithCells="1">
                  <from>
                    <xdr:col>11</xdr:col>
                    <xdr:colOff>0</xdr:colOff>
                    <xdr:row>88</xdr:row>
                    <xdr:rowOff>266700</xdr:rowOff>
                  </from>
                  <to>
                    <xdr:col>11</xdr:col>
                    <xdr:colOff>1813560</xdr:colOff>
                    <xdr:row>89</xdr:row>
                    <xdr:rowOff>190500</xdr:rowOff>
                  </to>
                </anchor>
              </controlPr>
            </control>
          </mc:Choice>
        </mc:AlternateContent>
        <mc:AlternateContent xmlns:mc="http://schemas.openxmlformats.org/markup-compatibility/2006">
          <mc:Choice Requires="x14">
            <control shapeId="8371" r:id="rId90" name="Check Box 179">
              <controlPr defaultSize="0" autoFill="0" autoLine="0" autoPict="0">
                <anchor moveWithCells="1">
                  <from>
                    <xdr:col>11</xdr:col>
                    <xdr:colOff>0</xdr:colOff>
                    <xdr:row>92</xdr:row>
                    <xdr:rowOff>266700</xdr:rowOff>
                  </from>
                  <to>
                    <xdr:col>11</xdr:col>
                    <xdr:colOff>1813560</xdr:colOff>
                    <xdr:row>93</xdr:row>
                    <xdr:rowOff>190500</xdr:rowOff>
                  </to>
                </anchor>
              </controlPr>
            </control>
          </mc:Choice>
        </mc:AlternateContent>
        <mc:AlternateContent xmlns:mc="http://schemas.openxmlformats.org/markup-compatibility/2006">
          <mc:Choice Requires="x14">
            <control shapeId="8372" r:id="rId91" name="Check Box 180">
              <controlPr defaultSize="0" autoFill="0" autoLine="0" autoPict="0">
                <anchor moveWithCells="1">
                  <from>
                    <xdr:col>11</xdr:col>
                    <xdr:colOff>0</xdr:colOff>
                    <xdr:row>93</xdr:row>
                    <xdr:rowOff>144780</xdr:rowOff>
                  </from>
                  <to>
                    <xdr:col>11</xdr:col>
                    <xdr:colOff>1813560</xdr:colOff>
                    <xdr:row>93</xdr:row>
                    <xdr:rowOff>342900</xdr:rowOff>
                  </to>
                </anchor>
              </controlPr>
            </control>
          </mc:Choice>
        </mc:AlternateContent>
        <mc:AlternateContent xmlns:mc="http://schemas.openxmlformats.org/markup-compatibility/2006">
          <mc:Choice Requires="x14">
            <control shapeId="8374" r:id="rId92" name="Check Box 182">
              <controlPr defaultSize="0" autoFill="0" autoLine="0" autoPict="0">
                <anchor moveWithCells="1">
                  <from>
                    <xdr:col>11</xdr:col>
                    <xdr:colOff>0</xdr:colOff>
                    <xdr:row>94</xdr:row>
                    <xdr:rowOff>266700</xdr:rowOff>
                  </from>
                  <to>
                    <xdr:col>11</xdr:col>
                    <xdr:colOff>1813560</xdr:colOff>
                    <xdr:row>95</xdr:row>
                    <xdr:rowOff>190500</xdr:rowOff>
                  </to>
                </anchor>
              </controlPr>
            </control>
          </mc:Choice>
        </mc:AlternateContent>
        <mc:AlternateContent xmlns:mc="http://schemas.openxmlformats.org/markup-compatibility/2006">
          <mc:Choice Requires="x14">
            <control shapeId="8375" r:id="rId93" name="Check Box 183">
              <controlPr defaultSize="0" autoFill="0" autoLine="0" autoPict="0">
                <anchor moveWithCells="1">
                  <from>
                    <xdr:col>11</xdr:col>
                    <xdr:colOff>0</xdr:colOff>
                    <xdr:row>95</xdr:row>
                    <xdr:rowOff>144780</xdr:rowOff>
                  </from>
                  <to>
                    <xdr:col>11</xdr:col>
                    <xdr:colOff>1813560</xdr:colOff>
                    <xdr:row>95</xdr:row>
                    <xdr:rowOff>342900</xdr:rowOff>
                  </to>
                </anchor>
              </controlPr>
            </control>
          </mc:Choice>
        </mc:AlternateContent>
        <mc:AlternateContent xmlns:mc="http://schemas.openxmlformats.org/markup-compatibility/2006">
          <mc:Choice Requires="x14">
            <control shapeId="8376" r:id="rId94" name="Check Box 184">
              <controlPr defaultSize="0" autoFill="0" autoLine="0" autoPict="0">
                <anchor moveWithCells="1">
                  <from>
                    <xdr:col>11</xdr:col>
                    <xdr:colOff>0</xdr:colOff>
                    <xdr:row>94</xdr:row>
                    <xdr:rowOff>30480</xdr:rowOff>
                  </from>
                  <to>
                    <xdr:col>11</xdr:col>
                    <xdr:colOff>1813560</xdr:colOff>
                    <xdr:row>94</xdr:row>
                    <xdr:rowOff>335280</xdr:rowOff>
                  </to>
                </anchor>
              </controlPr>
            </control>
          </mc:Choice>
        </mc:AlternateContent>
        <mc:AlternateContent xmlns:mc="http://schemas.openxmlformats.org/markup-compatibility/2006">
          <mc:Choice Requires="x14">
            <control shapeId="8377" r:id="rId95" name="Check Box 185">
              <controlPr defaultSize="0" autoFill="0" autoLine="0" autoPict="0">
                <anchor moveWithCells="1">
                  <from>
                    <xdr:col>11</xdr:col>
                    <xdr:colOff>0</xdr:colOff>
                    <xdr:row>124</xdr:row>
                    <xdr:rowOff>266700</xdr:rowOff>
                  </from>
                  <to>
                    <xdr:col>11</xdr:col>
                    <xdr:colOff>1813560</xdr:colOff>
                    <xdr:row>125</xdr:row>
                    <xdr:rowOff>152400</xdr:rowOff>
                  </to>
                </anchor>
              </controlPr>
            </control>
          </mc:Choice>
        </mc:AlternateContent>
        <mc:AlternateContent xmlns:mc="http://schemas.openxmlformats.org/markup-compatibility/2006">
          <mc:Choice Requires="x14">
            <control shapeId="8378" r:id="rId96" name="Check Box 186">
              <controlPr defaultSize="0" autoFill="0" autoLine="0" autoPict="0">
                <anchor moveWithCells="1">
                  <from>
                    <xdr:col>11</xdr:col>
                    <xdr:colOff>0</xdr:colOff>
                    <xdr:row>125</xdr:row>
                    <xdr:rowOff>144780</xdr:rowOff>
                  </from>
                  <to>
                    <xdr:col>11</xdr:col>
                    <xdr:colOff>1813560</xdr:colOff>
                    <xdr:row>126</xdr:row>
                    <xdr:rowOff>38100</xdr:rowOff>
                  </to>
                </anchor>
              </controlPr>
            </control>
          </mc:Choice>
        </mc:AlternateContent>
        <mc:AlternateContent xmlns:mc="http://schemas.openxmlformats.org/markup-compatibility/2006">
          <mc:Choice Requires="x14">
            <control shapeId="8379" r:id="rId97" name="Check Box 187">
              <controlPr defaultSize="0" autoFill="0" autoLine="0" autoPict="0">
                <anchor moveWithCells="1">
                  <from>
                    <xdr:col>11</xdr:col>
                    <xdr:colOff>0</xdr:colOff>
                    <xdr:row>124</xdr:row>
                    <xdr:rowOff>30480</xdr:rowOff>
                  </from>
                  <to>
                    <xdr:col>11</xdr:col>
                    <xdr:colOff>1813560</xdr:colOff>
                    <xdr:row>124</xdr:row>
                    <xdr:rowOff>297180</xdr:rowOff>
                  </to>
                </anchor>
              </controlPr>
            </control>
          </mc:Choice>
        </mc:AlternateContent>
        <mc:AlternateContent xmlns:mc="http://schemas.openxmlformats.org/markup-compatibility/2006">
          <mc:Choice Requires="x14">
            <control shapeId="8380" r:id="rId98" name="Check Box 188">
              <controlPr defaultSize="0" autoFill="0" autoLine="0" autoPict="0">
                <anchor moveWithCells="1">
                  <from>
                    <xdr:col>11</xdr:col>
                    <xdr:colOff>0</xdr:colOff>
                    <xdr:row>126</xdr:row>
                    <xdr:rowOff>266700</xdr:rowOff>
                  </from>
                  <to>
                    <xdr:col>11</xdr:col>
                    <xdr:colOff>1813560</xdr:colOff>
                    <xdr:row>127</xdr:row>
                    <xdr:rowOff>152400</xdr:rowOff>
                  </to>
                </anchor>
              </controlPr>
            </control>
          </mc:Choice>
        </mc:AlternateContent>
        <mc:AlternateContent xmlns:mc="http://schemas.openxmlformats.org/markup-compatibility/2006">
          <mc:Choice Requires="x14">
            <control shapeId="8381" r:id="rId99" name="Check Box 189">
              <controlPr defaultSize="0" autoFill="0" autoLine="0" autoPict="0">
                <anchor moveWithCells="1">
                  <from>
                    <xdr:col>11</xdr:col>
                    <xdr:colOff>0</xdr:colOff>
                    <xdr:row>127</xdr:row>
                    <xdr:rowOff>144780</xdr:rowOff>
                  </from>
                  <to>
                    <xdr:col>11</xdr:col>
                    <xdr:colOff>1813560</xdr:colOff>
                    <xdr:row>128</xdr:row>
                    <xdr:rowOff>38100</xdr:rowOff>
                  </to>
                </anchor>
              </controlPr>
            </control>
          </mc:Choice>
        </mc:AlternateContent>
        <mc:AlternateContent xmlns:mc="http://schemas.openxmlformats.org/markup-compatibility/2006">
          <mc:Choice Requires="x14">
            <control shapeId="8382" r:id="rId100" name="Check Box 190">
              <controlPr defaultSize="0" autoFill="0" autoLine="0" autoPict="0">
                <anchor moveWithCells="1">
                  <from>
                    <xdr:col>11</xdr:col>
                    <xdr:colOff>0</xdr:colOff>
                    <xdr:row>126</xdr:row>
                    <xdr:rowOff>30480</xdr:rowOff>
                  </from>
                  <to>
                    <xdr:col>11</xdr:col>
                    <xdr:colOff>1813560</xdr:colOff>
                    <xdr:row>126</xdr:row>
                    <xdr:rowOff>297180</xdr:rowOff>
                  </to>
                </anchor>
              </controlPr>
            </control>
          </mc:Choice>
        </mc:AlternateContent>
        <mc:AlternateContent xmlns:mc="http://schemas.openxmlformats.org/markup-compatibility/2006">
          <mc:Choice Requires="x14">
            <control shapeId="8408" r:id="rId101" name="Check Box 216">
              <controlPr defaultSize="0" autoFill="0" autoLine="0" autoPict="0">
                <anchor moveWithCells="1">
                  <from>
                    <xdr:col>11</xdr:col>
                    <xdr:colOff>0</xdr:colOff>
                    <xdr:row>96</xdr:row>
                    <xdr:rowOff>266700</xdr:rowOff>
                  </from>
                  <to>
                    <xdr:col>11</xdr:col>
                    <xdr:colOff>1813560</xdr:colOff>
                    <xdr:row>97</xdr:row>
                    <xdr:rowOff>190500</xdr:rowOff>
                  </to>
                </anchor>
              </controlPr>
            </control>
          </mc:Choice>
        </mc:AlternateContent>
        <mc:AlternateContent xmlns:mc="http://schemas.openxmlformats.org/markup-compatibility/2006">
          <mc:Choice Requires="x14">
            <control shapeId="8409" r:id="rId102" name="Check Box 217">
              <controlPr defaultSize="0" autoFill="0" autoLine="0" autoPict="0">
                <anchor moveWithCells="1">
                  <from>
                    <xdr:col>11</xdr:col>
                    <xdr:colOff>0</xdr:colOff>
                    <xdr:row>97</xdr:row>
                    <xdr:rowOff>144780</xdr:rowOff>
                  </from>
                  <to>
                    <xdr:col>11</xdr:col>
                    <xdr:colOff>1813560</xdr:colOff>
                    <xdr:row>97</xdr:row>
                    <xdr:rowOff>342900</xdr:rowOff>
                  </to>
                </anchor>
              </controlPr>
            </control>
          </mc:Choice>
        </mc:AlternateContent>
        <mc:AlternateContent xmlns:mc="http://schemas.openxmlformats.org/markup-compatibility/2006">
          <mc:Choice Requires="x14">
            <control shapeId="8410" r:id="rId103" name="Check Box 218">
              <controlPr defaultSize="0" autoFill="0" autoLine="0" autoPict="0">
                <anchor moveWithCells="1">
                  <from>
                    <xdr:col>11</xdr:col>
                    <xdr:colOff>0</xdr:colOff>
                    <xdr:row>96</xdr:row>
                    <xdr:rowOff>30480</xdr:rowOff>
                  </from>
                  <to>
                    <xdr:col>11</xdr:col>
                    <xdr:colOff>1813560</xdr:colOff>
                    <xdr:row>96</xdr:row>
                    <xdr:rowOff>259080</xdr:rowOff>
                  </to>
                </anchor>
              </controlPr>
            </control>
          </mc:Choice>
        </mc:AlternateContent>
        <mc:AlternateContent xmlns:mc="http://schemas.openxmlformats.org/markup-compatibility/2006">
          <mc:Choice Requires="x14">
            <control shapeId="8411" r:id="rId104" name="Check Box 219">
              <controlPr defaultSize="0" autoFill="0" autoLine="0" autoPict="0">
                <anchor moveWithCells="1">
                  <from>
                    <xdr:col>11</xdr:col>
                    <xdr:colOff>0</xdr:colOff>
                    <xdr:row>98</xdr:row>
                    <xdr:rowOff>266700</xdr:rowOff>
                  </from>
                  <to>
                    <xdr:col>11</xdr:col>
                    <xdr:colOff>1813560</xdr:colOff>
                    <xdr:row>99</xdr:row>
                    <xdr:rowOff>190500</xdr:rowOff>
                  </to>
                </anchor>
              </controlPr>
            </control>
          </mc:Choice>
        </mc:AlternateContent>
        <mc:AlternateContent xmlns:mc="http://schemas.openxmlformats.org/markup-compatibility/2006">
          <mc:Choice Requires="x14">
            <control shapeId="8414" r:id="rId105" name="Check Box 222">
              <controlPr defaultSize="0" autoFill="0" autoLine="0" autoPict="0">
                <anchor moveWithCells="1">
                  <from>
                    <xdr:col>11</xdr:col>
                    <xdr:colOff>0</xdr:colOff>
                    <xdr:row>100</xdr:row>
                    <xdr:rowOff>266700</xdr:rowOff>
                  </from>
                  <to>
                    <xdr:col>11</xdr:col>
                    <xdr:colOff>1813560</xdr:colOff>
                    <xdr:row>101</xdr:row>
                    <xdr:rowOff>152400</xdr:rowOff>
                  </to>
                </anchor>
              </controlPr>
            </control>
          </mc:Choice>
        </mc:AlternateContent>
        <mc:AlternateContent xmlns:mc="http://schemas.openxmlformats.org/markup-compatibility/2006">
          <mc:Choice Requires="x14">
            <control shapeId="8415" r:id="rId106" name="Check Box 223">
              <controlPr defaultSize="0" autoFill="0" autoLine="0" autoPict="0">
                <anchor moveWithCells="1">
                  <from>
                    <xdr:col>11</xdr:col>
                    <xdr:colOff>0</xdr:colOff>
                    <xdr:row>101</xdr:row>
                    <xdr:rowOff>144780</xdr:rowOff>
                  </from>
                  <to>
                    <xdr:col>11</xdr:col>
                    <xdr:colOff>1813560</xdr:colOff>
                    <xdr:row>102</xdr:row>
                    <xdr:rowOff>68580</xdr:rowOff>
                  </to>
                </anchor>
              </controlPr>
            </control>
          </mc:Choice>
        </mc:AlternateContent>
        <mc:AlternateContent xmlns:mc="http://schemas.openxmlformats.org/markup-compatibility/2006">
          <mc:Choice Requires="x14">
            <control shapeId="8417" r:id="rId107" name="Check Box 225">
              <controlPr defaultSize="0" autoFill="0" autoLine="0" autoPict="0">
                <anchor moveWithCells="1">
                  <from>
                    <xdr:col>11</xdr:col>
                    <xdr:colOff>0</xdr:colOff>
                    <xdr:row>102</xdr:row>
                    <xdr:rowOff>266700</xdr:rowOff>
                  </from>
                  <to>
                    <xdr:col>11</xdr:col>
                    <xdr:colOff>1813560</xdr:colOff>
                    <xdr:row>103</xdr:row>
                    <xdr:rowOff>152400</xdr:rowOff>
                  </to>
                </anchor>
              </controlPr>
            </control>
          </mc:Choice>
        </mc:AlternateContent>
        <mc:AlternateContent xmlns:mc="http://schemas.openxmlformats.org/markup-compatibility/2006">
          <mc:Choice Requires="x14">
            <control shapeId="8418" r:id="rId108" name="Check Box 226">
              <controlPr defaultSize="0" autoFill="0" autoLine="0" autoPict="0">
                <anchor moveWithCells="1">
                  <from>
                    <xdr:col>11</xdr:col>
                    <xdr:colOff>0</xdr:colOff>
                    <xdr:row>103</xdr:row>
                    <xdr:rowOff>144780</xdr:rowOff>
                  </from>
                  <to>
                    <xdr:col>11</xdr:col>
                    <xdr:colOff>1813560</xdr:colOff>
                    <xdr:row>104</xdr:row>
                    <xdr:rowOff>68580</xdr:rowOff>
                  </to>
                </anchor>
              </controlPr>
            </control>
          </mc:Choice>
        </mc:AlternateContent>
        <mc:AlternateContent xmlns:mc="http://schemas.openxmlformats.org/markup-compatibility/2006">
          <mc:Choice Requires="x14">
            <control shapeId="8419" r:id="rId109" name="Check Box 227">
              <controlPr defaultSize="0" autoFill="0" autoLine="0" autoPict="0">
                <anchor moveWithCells="1">
                  <from>
                    <xdr:col>11</xdr:col>
                    <xdr:colOff>0</xdr:colOff>
                    <xdr:row>102</xdr:row>
                    <xdr:rowOff>30480</xdr:rowOff>
                  </from>
                  <to>
                    <xdr:col>11</xdr:col>
                    <xdr:colOff>1813560</xdr:colOff>
                    <xdr:row>102</xdr:row>
                    <xdr:rowOff>297180</xdr:rowOff>
                  </to>
                </anchor>
              </controlPr>
            </control>
          </mc:Choice>
        </mc:AlternateContent>
        <mc:AlternateContent xmlns:mc="http://schemas.openxmlformats.org/markup-compatibility/2006">
          <mc:Choice Requires="x14">
            <control shapeId="8420" r:id="rId110" name="Check Box 228">
              <controlPr defaultSize="0" autoFill="0" autoLine="0" autoPict="0">
                <anchor moveWithCells="1">
                  <from>
                    <xdr:col>11</xdr:col>
                    <xdr:colOff>0</xdr:colOff>
                    <xdr:row>104</xdr:row>
                    <xdr:rowOff>266700</xdr:rowOff>
                  </from>
                  <to>
                    <xdr:col>11</xdr:col>
                    <xdr:colOff>1813560</xdr:colOff>
                    <xdr:row>105</xdr:row>
                    <xdr:rowOff>152400</xdr:rowOff>
                  </to>
                </anchor>
              </controlPr>
            </control>
          </mc:Choice>
        </mc:AlternateContent>
        <mc:AlternateContent xmlns:mc="http://schemas.openxmlformats.org/markup-compatibility/2006">
          <mc:Choice Requires="x14">
            <control shapeId="8421" r:id="rId111" name="Check Box 229">
              <controlPr defaultSize="0" autoFill="0" autoLine="0" autoPict="0">
                <anchor moveWithCells="1">
                  <from>
                    <xdr:col>11</xdr:col>
                    <xdr:colOff>0</xdr:colOff>
                    <xdr:row>105</xdr:row>
                    <xdr:rowOff>144780</xdr:rowOff>
                  </from>
                  <to>
                    <xdr:col>11</xdr:col>
                    <xdr:colOff>1813560</xdr:colOff>
                    <xdr:row>106</xdr:row>
                    <xdr:rowOff>106680</xdr:rowOff>
                  </to>
                </anchor>
              </controlPr>
            </control>
          </mc:Choice>
        </mc:AlternateContent>
        <mc:AlternateContent xmlns:mc="http://schemas.openxmlformats.org/markup-compatibility/2006">
          <mc:Choice Requires="x14">
            <control shapeId="8422" r:id="rId112" name="Check Box 230">
              <controlPr defaultSize="0" autoFill="0" autoLine="0" autoPict="0">
                <anchor moveWithCells="1">
                  <from>
                    <xdr:col>11</xdr:col>
                    <xdr:colOff>0</xdr:colOff>
                    <xdr:row>104</xdr:row>
                    <xdr:rowOff>30480</xdr:rowOff>
                  </from>
                  <to>
                    <xdr:col>11</xdr:col>
                    <xdr:colOff>1813560</xdr:colOff>
                    <xdr:row>104</xdr:row>
                    <xdr:rowOff>297180</xdr:rowOff>
                  </to>
                </anchor>
              </controlPr>
            </control>
          </mc:Choice>
        </mc:AlternateContent>
        <mc:AlternateContent xmlns:mc="http://schemas.openxmlformats.org/markup-compatibility/2006">
          <mc:Choice Requires="x14">
            <control shapeId="8423" r:id="rId113" name="Check Box 231">
              <controlPr defaultSize="0" autoFill="0" autoLine="0" autoPict="0">
                <anchor moveWithCells="1">
                  <from>
                    <xdr:col>11</xdr:col>
                    <xdr:colOff>0</xdr:colOff>
                    <xdr:row>106</xdr:row>
                    <xdr:rowOff>0</xdr:rowOff>
                  </from>
                  <to>
                    <xdr:col>11</xdr:col>
                    <xdr:colOff>1813560</xdr:colOff>
                    <xdr:row>106</xdr:row>
                    <xdr:rowOff>259080</xdr:rowOff>
                  </to>
                </anchor>
              </controlPr>
            </control>
          </mc:Choice>
        </mc:AlternateContent>
        <mc:AlternateContent xmlns:mc="http://schemas.openxmlformats.org/markup-compatibility/2006">
          <mc:Choice Requires="x14">
            <control shapeId="8426" r:id="rId114" name="Check Box 234">
              <controlPr defaultSize="0" autoFill="0" autoLine="0" autoPict="0">
                <anchor moveWithCells="1">
                  <from>
                    <xdr:col>11</xdr:col>
                    <xdr:colOff>0</xdr:colOff>
                    <xdr:row>106</xdr:row>
                    <xdr:rowOff>266700</xdr:rowOff>
                  </from>
                  <to>
                    <xdr:col>11</xdr:col>
                    <xdr:colOff>1813560</xdr:colOff>
                    <xdr:row>107</xdr:row>
                    <xdr:rowOff>152400</xdr:rowOff>
                  </to>
                </anchor>
              </controlPr>
            </control>
          </mc:Choice>
        </mc:AlternateContent>
        <mc:AlternateContent xmlns:mc="http://schemas.openxmlformats.org/markup-compatibility/2006">
          <mc:Choice Requires="x14">
            <control shapeId="8427" r:id="rId115" name="Check Box 235">
              <controlPr defaultSize="0" autoFill="0" autoLine="0" autoPict="0">
                <anchor moveWithCells="1">
                  <from>
                    <xdr:col>11</xdr:col>
                    <xdr:colOff>0</xdr:colOff>
                    <xdr:row>107</xdr:row>
                    <xdr:rowOff>144780</xdr:rowOff>
                  </from>
                  <to>
                    <xdr:col>11</xdr:col>
                    <xdr:colOff>1813560</xdr:colOff>
                    <xdr:row>108</xdr:row>
                    <xdr:rowOff>38100</xdr:rowOff>
                  </to>
                </anchor>
              </controlPr>
            </control>
          </mc:Choice>
        </mc:AlternateContent>
        <mc:AlternateContent xmlns:mc="http://schemas.openxmlformats.org/markup-compatibility/2006">
          <mc:Choice Requires="x14">
            <control shapeId="8429" r:id="rId116" name="Check Box 237">
              <controlPr defaultSize="0" autoFill="0" autoLine="0" autoPict="0">
                <anchor moveWithCells="1">
                  <from>
                    <xdr:col>11</xdr:col>
                    <xdr:colOff>0</xdr:colOff>
                    <xdr:row>108</xdr:row>
                    <xdr:rowOff>266700</xdr:rowOff>
                  </from>
                  <to>
                    <xdr:col>11</xdr:col>
                    <xdr:colOff>1813560</xdr:colOff>
                    <xdr:row>109</xdr:row>
                    <xdr:rowOff>152400</xdr:rowOff>
                  </to>
                </anchor>
              </controlPr>
            </control>
          </mc:Choice>
        </mc:AlternateContent>
        <mc:AlternateContent xmlns:mc="http://schemas.openxmlformats.org/markup-compatibility/2006">
          <mc:Choice Requires="x14">
            <control shapeId="8430" r:id="rId117" name="Check Box 238">
              <controlPr defaultSize="0" autoFill="0" autoLine="0" autoPict="0">
                <anchor moveWithCells="1">
                  <from>
                    <xdr:col>11</xdr:col>
                    <xdr:colOff>0</xdr:colOff>
                    <xdr:row>109</xdr:row>
                    <xdr:rowOff>144780</xdr:rowOff>
                  </from>
                  <to>
                    <xdr:col>11</xdr:col>
                    <xdr:colOff>1813560</xdr:colOff>
                    <xdr:row>110</xdr:row>
                    <xdr:rowOff>38100</xdr:rowOff>
                  </to>
                </anchor>
              </controlPr>
            </control>
          </mc:Choice>
        </mc:AlternateContent>
        <mc:AlternateContent xmlns:mc="http://schemas.openxmlformats.org/markup-compatibility/2006">
          <mc:Choice Requires="x14">
            <control shapeId="8431" r:id="rId118" name="Check Box 239">
              <controlPr defaultSize="0" autoFill="0" autoLine="0" autoPict="0">
                <anchor moveWithCells="1">
                  <from>
                    <xdr:col>11</xdr:col>
                    <xdr:colOff>0</xdr:colOff>
                    <xdr:row>108</xdr:row>
                    <xdr:rowOff>30480</xdr:rowOff>
                  </from>
                  <to>
                    <xdr:col>11</xdr:col>
                    <xdr:colOff>1813560</xdr:colOff>
                    <xdr:row>108</xdr:row>
                    <xdr:rowOff>297180</xdr:rowOff>
                  </to>
                </anchor>
              </controlPr>
            </control>
          </mc:Choice>
        </mc:AlternateContent>
        <mc:AlternateContent xmlns:mc="http://schemas.openxmlformats.org/markup-compatibility/2006">
          <mc:Choice Requires="x14">
            <control shapeId="8432" r:id="rId119" name="Check Box 240">
              <controlPr defaultSize="0" autoFill="0" autoLine="0" autoPict="0">
                <anchor moveWithCells="1">
                  <from>
                    <xdr:col>11</xdr:col>
                    <xdr:colOff>0</xdr:colOff>
                    <xdr:row>110</xdr:row>
                    <xdr:rowOff>266700</xdr:rowOff>
                  </from>
                  <to>
                    <xdr:col>11</xdr:col>
                    <xdr:colOff>1813560</xdr:colOff>
                    <xdr:row>111</xdr:row>
                    <xdr:rowOff>152400</xdr:rowOff>
                  </to>
                </anchor>
              </controlPr>
            </control>
          </mc:Choice>
        </mc:AlternateContent>
        <mc:AlternateContent xmlns:mc="http://schemas.openxmlformats.org/markup-compatibility/2006">
          <mc:Choice Requires="x14">
            <control shapeId="8433" r:id="rId120" name="Check Box 241">
              <controlPr defaultSize="0" autoFill="0" autoLine="0" autoPict="0">
                <anchor moveWithCells="1">
                  <from>
                    <xdr:col>11</xdr:col>
                    <xdr:colOff>0</xdr:colOff>
                    <xdr:row>111</xdr:row>
                    <xdr:rowOff>144780</xdr:rowOff>
                  </from>
                  <to>
                    <xdr:col>11</xdr:col>
                    <xdr:colOff>1813560</xdr:colOff>
                    <xdr:row>112</xdr:row>
                    <xdr:rowOff>38100</xdr:rowOff>
                  </to>
                </anchor>
              </controlPr>
            </control>
          </mc:Choice>
        </mc:AlternateContent>
        <mc:AlternateContent xmlns:mc="http://schemas.openxmlformats.org/markup-compatibility/2006">
          <mc:Choice Requires="x14">
            <control shapeId="8434" r:id="rId121" name="Check Box 242">
              <controlPr defaultSize="0" autoFill="0" autoLine="0" autoPict="0">
                <anchor moveWithCells="1">
                  <from>
                    <xdr:col>11</xdr:col>
                    <xdr:colOff>0</xdr:colOff>
                    <xdr:row>110</xdr:row>
                    <xdr:rowOff>30480</xdr:rowOff>
                  </from>
                  <to>
                    <xdr:col>11</xdr:col>
                    <xdr:colOff>1813560</xdr:colOff>
                    <xdr:row>110</xdr:row>
                    <xdr:rowOff>281940</xdr:rowOff>
                  </to>
                </anchor>
              </controlPr>
            </control>
          </mc:Choice>
        </mc:AlternateContent>
        <mc:AlternateContent xmlns:mc="http://schemas.openxmlformats.org/markup-compatibility/2006">
          <mc:Choice Requires="x14">
            <control shapeId="8435" r:id="rId122" name="Check Box 243">
              <controlPr defaultSize="0" autoFill="0" autoLine="0" autoPict="0">
                <anchor moveWithCells="1">
                  <from>
                    <xdr:col>11</xdr:col>
                    <xdr:colOff>0</xdr:colOff>
                    <xdr:row>112</xdr:row>
                    <xdr:rowOff>266700</xdr:rowOff>
                  </from>
                  <to>
                    <xdr:col>11</xdr:col>
                    <xdr:colOff>1813560</xdr:colOff>
                    <xdr:row>113</xdr:row>
                    <xdr:rowOff>152400</xdr:rowOff>
                  </to>
                </anchor>
              </controlPr>
            </control>
          </mc:Choice>
        </mc:AlternateContent>
        <mc:AlternateContent xmlns:mc="http://schemas.openxmlformats.org/markup-compatibility/2006">
          <mc:Choice Requires="x14">
            <control shapeId="8436" r:id="rId123" name="Check Box 244">
              <controlPr defaultSize="0" autoFill="0" autoLine="0" autoPict="0">
                <anchor moveWithCells="1">
                  <from>
                    <xdr:col>11</xdr:col>
                    <xdr:colOff>0</xdr:colOff>
                    <xdr:row>113</xdr:row>
                    <xdr:rowOff>144780</xdr:rowOff>
                  </from>
                  <to>
                    <xdr:col>11</xdr:col>
                    <xdr:colOff>1813560</xdr:colOff>
                    <xdr:row>114</xdr:row>
                    <xdr:rowOff>38100</xdr:rowOff>
                  </to>
                </anchor>
              </controlPr>
            </control>
          </mc:Choice>
        </mc:AlternateContent>
        <mc:AlternateContent xmlns:mc="http://schemas.openxmlformats.org/markup-compatibility/2006">
          <mc:Choice Requires="x14">
            <control shapeId="8437" r:id="rId124" name="Check Box 245">
              <controlPr defaultSize="0" autoFill="0" autoLine="0" autoPict="0">
                <anchor moveWithCells="1">
                  <from>
                    <xdr:col>11</xdr:col>
                    <xdr:colOff>0</xdr:colOff>
                    <xdr:row>112</xdr:row>
                    <xdr:rowOff>30480</xdr:rowOff>
                  </from>
                  <to>
                    <xdr:col>11</xdr:col>
                    <xdr:colOff>1813560</xdr:colOff>
                    <xdr:row>112</xdr:row>
                    <xdr:rowOff>281940</xdr:rowOff>
                  </to>
                </anchor>
              </controlPr>
            </control>
          </mc:Choice>
        </mc:AlternateContent>
        <mc:AlternateContent xmlns:mc="http://schemas.openxmlformats.org/markup-compatibility/2006">
          <mc:Choice Requires="x14">
            <control shapeId="8438" r:id="rId125" name="Check Box 246">
              <controlPr defaultSize="0" autoFill="0" autoLine="0" autoPict="0">
                <anchor moveWithCells="1">
                  <from>
                    <xdr:col>11</xdr:col>
                    <xdr:colOff>0</xdr:colOff>
                    <xdr:row>114</xdr:row>
                    <xdr:rowOff>266700</xdr:rowOff>
                  </from>
                  <to>
                    <xdr:col>11</xdr:col>
                    <xdr:colOff>1813560</xdr:colOff>
                    <xdr:row>115</xdr:row>
                    <xdr:rowOff>152400</xdr:rowOff>
                  </to>
                </anchor>
              </controlPr>
            </control>
          </mc:Choice>
        </mc:AlternateContent>
        <mc:AlternateContent xmlns:mc="http://schemas.openxmlformats.org/markup-compatibility/2006">
          <mc:Choice Requires="x14">
            <control shapeId="8439" r:id="rId126" name="Check Box 247">
              <controlPr defaultSize="0" autoFill="0" autoLine="0" autoPict="0">
                <anchor moveWithCells="1">
                  <from>
                    <xdr:col>11</xdr:col>
                    <xdr:colOff>0</xdr:colOff>
                    <xdr:row>115</xdr:row>
                    <xdr:rowOff>144780</xdr:rowOff>
                  </from>
                  <to>
                    <xdr:col>11</xdr:col>
                    <xdr:colOff>1813560</xdr:colOff>
                    <xdr:row>116</xdr:row>
                    <xdr:rowOff>38100</xdr:rowOff>
                  </to>
                </anchor>
              </controlPr>
            </control>
          </mc:Choice>
        </mc:AlternateContent>
        <mc:AlternateContent xmlns:mc="http://schemas.openxmlformats.org/markup-compatibility/2006">
          <mc:Choice Requires="x14">
            <control shapeId="8440" r:id="rId127" name="Check Box 248">
              <controlPr defaultSize="0" autoFill="0" autoLine="0" autoPict="0">
                <anchor moveWithCells="1">
                  <from>
                    <xdr:col>11</xdr:col>
                    <xdr:colOff>0</xdr:colOff>
                    <xdr:row>114</xdr:row>
                    <xdr:rowOff>30480</xdr:rowOff>
                  </from>
                  <to>
                    <xdr:col>11</xdr:col>
                    <xdr:colOff>1813560</xdr:colOff>
                    <xdr:row>114</xdr:row>
                    <xdr:rowOff>281940</xdr:rowOff>
                  </to>
                </anchor>
              </controlPr>
            </control>
          </mc:Choice>
        </mc:AlternateContent>
        <mc:AlternateContent xmlns:mc="http://schemas.openxmlformats.org/markup-compatibility/2006">
          <mc:Choice Requires="x14">
            <control shapeId="8441" r:id="rId128" name="Check Box 249">
              <controlPr defaultSize="0" autoFill="0" autoLine="0" autoPict="0">
                <anchor moveWithCells="1">
                  <from>
                    <xdr:col>11</xdr:col>
                    <xdr:colOff>0</xdr:colOff>
                    <xdr:row>116</xdr:row>
                    <xdr:rowOff>266700</xdr:rowOff>
                  </from>
                  <to>
                    <xdr:col>11</xdr:col>
                    <xdr:colOff>1813560</xdr:colOff>
                    <xdr:row>117</xdr:row>
                    <xdr:rowOff>152400</xdr:rowOff>
                  </to>
                </anchor>
              </controlPr>
            </control>
          </mc:Choice>
        </mc:AlternateContent>
        <mc:AlternateContent xmlns:mc="http://schemas.openxmlformats.org/markup-compatibility/2006">
          <mc:Choice Requires="x14">
            <control shapeId="8442" r:id="rId129" name="Check Box 250">
              <controlPr defaultSize="0" autoFill="0" autoLine="0" autoPict="0">
                <anchor moveWithCells="1">
                  <from>
                    <xdr:col>11</xdr:col>
                    <xdr:colOff>0</xdr:colOff>
                    <xdr:row>117</xdr:row>
                    <xdr:rowOff>144780</xdr:rowOff>
                  </from>
                  <to>
                    <xdr:col>11</xdr:col>
                    <xdr:colOff>1813560</xdr:colOff>
                    <xdr:row>118</xdr:row>
                    <xdr:rowOff>38100</xdr:rowOff>
                  </to>
                </anchor>
              </controlPr>
            </control>
          </mc:Choice>
        </mc:AlternateContent>
        <mc:AlternateContent xmlns:mc="http://schemas.openxmlformats.org/markup-compatibility/2006">
          <mc:Choice Requires="x14">
            <control shapeId="8443" r:id="rId130" name="Check Box 251">
              <controlPr defaultSize="0" autoFill="0" autoLine="0" autoPict="0">
                <anchor moveWithCells="1">
                  <from>
                    <xdr:col>11</xdr:col>
                    <xdr:colOff>0</xdr:colOff>
                    <xdr:row>116</xdr:row>
                    <xdr:rowOff>30480</xdr:rowOff>
                  </from>
                  <to>
                    <xdr:col>11</xdr:col>
                    <xdr:colOff>1813560</xdr:colOff>
                    <xdr:row>116</xdr:row>
                    <xdr:rowOff>281940</xdr:rowOff>
                  </to>
                </anchor>
              </controlPr>
            </control>
          </mc:Choice>
        </mc:AlternateContent>
        <mc:AlternateContent xmlns:mc="http://schemas.openxmlformats.org/markup-compatibility/2006">
          <mc:Choice Requires="x14">
            <control shapeId="8444" r:id="rId131" name="Check Box 252">
              <controlPr defaultSize="0" autoFill="0" autoLine="0" autoPict="0">
                <anchor moveWithCells="1">
                  <from>
                    <xdr:col>11</xdr:col>
                    <xdr:colOff>0</xdr:colOff>
                    <xdr:row>118</xdr:row>
                    <xdr:rowOff>266700</xdr:rowOff>
                  </from>
                  <to>
                    <xdr:col>11</xdr:col>
                    <xdr:colOff>1813560</xdr:colOff>
                    <xdr:row>119</xdr:row>
                    <xdr:rowOff>152400</xdr:rowOff>
                  </to>
                </anchor>
              </controlPr>
            </control>
          </mc:Choice>
        </mc:AlternateContent>
        <mc:AlternateContent xmlns:mc="http://schemas.openxmlformats.org/markup-compatibility/2006">
          <mc:Choice Requires="x14">
            <control shapeId="8445" r:id="rId132" name="Check Box 253">
              <controlPr defaultSize="0" autoFill="0" autoLine="0" autoPict="0">
                <anchor moveWithCells="1">
                  <from>
                    <xdr:col>11</xdr:col>
                    <xdr:colOff>0</xdr:colOff>
                    <xdr:row>119</xdr:row>
                    <xdr:rowOff>144780</xdr:rowOff>
                  </from>
                  <to>
                    <xdr:col>11</xdr:col>
                    <xdr:colOff>1813560</xdr:colOff>
                    <xdr:row>120</xdr:row>
                    <xdr:rowOff>38100</xdr:rowOff>
                  </to>
                </anchor>
              </controlPr>
            </control>
          </mc:Choice>
        </mc:AlternateContent>
        <mc:AlternateContent xmlns:mc="http://schemas.openxmlformats.org/markup-compatibility/2006">
          <mc:Choice Requires="x14">
            <control shapeId="8446" r:id="rId133" name="Check Box 254">
              <controlPr defaultSize="0" autoFill="0" autoLine="0" autoPict="0">
                <anchor moveWithCells="1">
                  <from>
                    <xdr:col>11</xdr:col>
                    <xdr:colOff>0</xdr:colOff>
                    <xdr:row>118</xdr:row>
                    <xdr:rowOff>30480</xdr:rowOff>
                  </from>
                  <to>
                    <xdr:col>11</xdr:col>
                    <xdr:colOff>1813560</xdr:colOff>
                    <xdr:row>118</xdr:row>
                    <xdr:rowOff>297180</xdr:rowOff>
                  </to>
                </anchor>
              </controlPr>
            </control>
          </mc:Choice>
        </mc:AlternateContent>
        <mc:AlternateContent xmlns:mc="http://schemas.openxmlformats.org/markup-compatibility/2006">
          <mc:Choice Requires="x14">
            <control shapeId="8453" r:id="rId134" name="Check Box 261">
              <controlPr defaultSize="0" autoFill="0" autoLine="0" autoPict="0">
                <anchor moveWithCells="1">
                  <from>
                    <xdr:col>11</xdr:col>
                    <xdr:colOff>0</xdr:colOff>
                    <xdr:row>122</xdr:row>
                    <xdr:rowOff>266700</xdr:rowOff>
                  </from>
                  <to>
                    <xdr:col>11</xdr:col>
                    <xdr:colOff>1813560</xdr:colOff>
                    <xdr:row>123</xdr:row>
                    <xdr:rowOff>152400</xdr:rowOff>
                  </to>
                </anchor>
              </controlPr>
            </control>
          </mc:Choice>
        </mc:AlternateContent>
        <mc:AlternateContent xmlns:mc="http://schemas.openxmlformats.org/markup-compatibility/2006">
          <mc:Choice Requires="x14">
            <control shapeId="8454" r:id="rId135" name="Check Box 262">
              <controlPr defaultSize="0" autoFill="0" autoLine="0" autoPict="0">
                <anchor moveWithCells="1">
                  <from>
                    <xdr:col>11</xdr:col>
                    <xdr:colOff>0</xdr:colOff>
                    <xdr:row>123</xdr:row>
                    <xdr:rowOff>144780</xdr:rowOff>
                  </from>
                  <to>
                    <xdr:col>11</xdr:col>
                    <xdr:colOff>1813560</xdr:colOff>
                    <xdr:row>124</xdr:row>
                    <xdr:rowOff>38100</xdr:rowOff>
                  </to>
                </anchor>
              </controlPr>
            </control>
          </mc:Choice>
        </mc:AlternateContent>
        <mc:AlternateContent xmlns:mc="http://schemas.openxmlformats.org/markup-compatibility/2006">
          <mc:Choice Requires="x14">
            <control shapeId="8455" r:id="rId136" name="Check Box 263">
              <controlPr defaultSize="0" autoFill="0" autoLine="0" autoPict="0">
                <anchor moveWithCells="1">
                  <from>
                    <xdr:col>11</xdr:col>
                    <xdr:colOff>0</xdr:colOff>
                    <xdr:row>122</xdr:row>
                    <xdr:rowOff>30480</xdr:rowOff>
                  </from>
                  <to>
                    <xdr:col>11</xdr:col>
                    <xdr:colOff>1813560</xdr:colOff>
                    <xdr:row>122</xdr:row>
                    <xdr:rowOff>281940</xdr:rowOff>
                  </to>
                </anchor>
              </controlPr>
            </control>
          </mc:Choice>
        </mc:AlternateContent>
        <mc:AlternateContent xmlns:mc="http://schemas.openxmlformats.org/markup-compatibility/2006">
          <mc:Choice Requires="x14">
            <control shapeId="8535" r:id="rId137" name="Check Box 343">
              <controlPr defaultSize="0" autoFill="0" autoLine="0" autoPict="0">
                <anchor moveWithCells="1">
                  <from>
                    <xdr:col>11</xdr:col>
                    <xdr:colOff>7620</xdr:colOff>
                    <xdr:row>120</xdr:row>
                    <xdr:rowOff>243840</xdr:rowOff>
                  </from>
                  <to>
                    <xdr:col>11</xdr:col>
                    <xdr:colOff>1805940</xdr:colOff>
                    <xdr:row>121</xdr:row>
                    <xdr:rowOff>137160</xdr:rowOff>
                  </to>
                </anchor>
              </controlPr>
            </control>
          </mc:Choice>
        </mc:AlternateContent>
        <mc:AlternateContent xmlns:mc="http://schemas.openxmlformats.org/markup-compatibility/2006">
          <mc:Choice Requires="x14">
            <control shapeId="8305" r:id="rId138" name="Check Box 113">
              <controlPr defaultSize="0" autoFill="0" autoLine="0" autoPict="0">
                <anchor moveWithCells="1">
                  <from>
                    <xdr:col>11</xdr:col>
                    <xdr:colOff>0</xdr:colOff>
                    <xdr:row>54</xdr:row>
                    <xdr:rowOff>266700</xdr:rowOff>
                  </from>
                  <to>
                    <xdr:col>11</xdr:col>
                    <xdr:colOff>1813560</xdr:colOff>
                    <xdr:row>55</xdr:row>
                    <xdr:rowOff>190500</xdr:rowOff>
                  </to>
                </anchor>
              </controlPr>
            </control>
          </mc:Choice>
        </mc:AlternateContent>
        <mc:AlternateContent xmlns:mc="http://schemas.openxmlformats.org/markup-compatibility/2006">
          <mc:Choice Requires="x14">
            <control shapeId="8306" r:id="rId139" name="Check Box 114">
              <controlPr defaultSize="0" autoFill="0" autoLine="0" autoPict="0">
                <anchor moveWithCells="1">
                  <from>
                    <xdr:col>11</xdr:col>
                    <xdr:colOff>0</xdr:colOff>
                    <xdr:row>55</xdr:row>
                    <xdr:rowOff>144780</xdr:rowOff>
                  </from>
                  <to>
                    <xdr:col>11</xdr:col>
                    <xdr:colOff>1813560</xdr:colOff>
                    <xdr:row>55</xdr:row>
                    <xdr:rowOff>342900</xdr:rowOff>
                  </to>
                </anchor>
              </controlPr>
            </control>
          </mc:Choice>
        </mc:AlternateContent>
        <mc:AlternateContent xmlns:mc="http://schemas.openxmlformats.org/markup-compatibility/2006">
          <mc:Choice Requires="x14">
            <control shapeId="8307" r:id="rId140" name="Check Box 115">
              <controlPr defaultSize="0" autoFill="0" autoLine="0" autoPict="0">
                <anchor moveWithCells="1">
                  <from>
                    <xdr:col>11</xdr:col>
                    <xdr:colOff>0</xdr:colOff>
                    <xdr:row>54</xdr:row>
                    <xdr:rowOff>30480</xdr:rowOff>
                  </from>
                  <to>
                    <xdr:col>11</xdr:col>
                    <xdr:colOff>1813560</xdr:colOff>
                    <xdr:row>54</xdr:row>
                    <xdr:rowOff>259080</xdr:rowOff>
                  </to>
                </anchor>
              </controlPr>
            </control>
          </mc:Choice>
        </mc:AlternateContent>
        <mc:AlternateContent xmlns:mc="http://schemas.openxmlformats.org/markup-compatibility/2006">
          <mc:Choice Requires="x14">
            <control shapeId="8308" r:id="rId141" name="Check Box 116">
              <controlPr defaultSize="0" autoFill="0" autoLine="0" autoPict="0">
                <anchor moveWithCells="1">
                  <from>
                    <xdr:col>11</xdr:col>
                    <xdr:colOff>0</xdr:colOff>
                    <xdr:row>56</xdr:row>
                    <xdr:rowOff>266700</xdr:rowOff>
                  </from>
                  <to>
                    <xdr:col>11</xdr:col>
                    <xdr:colOff>1813560</xdr:colOff>
                    <xdr:row>57</xdr:row>
                    <xdr:rowOff>152400</xdr:rowOff>
                  </to>
                </anchor>
              </controlPr>
            </control>
          </mc:Choice>
        </mc:AlternateContent>
        <mc:AlternateContent xmlns:mc="http://schemas.openxmlformats.org/markup-compatibility/2006">
          <mc:Choice Requires="x14">
            <control shapeId="8309" r:id="rId142" name="Check Box 117">
              <controlPr defaultSize="0" autoFill="0" autoLine="0" autoPict="0">
                <anchor moveWithCells="1">
                  <from>
                    <xdr:col>11</xdr:col>
                    <xdr:colOff>0</xdr:colOff>
                    <xdr:row>57</xdr:row>
                    <xdr:rowOff>144780</xdr:rowOff>
                  </from>
                  <to>
                    <xdr:col>11</xdr:col>
                    <xdr:colOff>1813560</xdr:colOff>
                    <xdr:row>57</xdr:row>
                    <xdr:rowOff>342900</xdr:rowOff>
                  </to>
                </anchor>
              </controlPr>
            </control>
          </mc:Choice>
        </mc:AlternateContent>
        <mc:AlternateContent xmlns:mc="http://schemas.openxmlformats.org/markup-compatibility/2006">
          <mc:Choice Requires="x14">
            <control shapeId="8310" r:id="rId143" name="Check Box 118">
              <controlPr defaultSize="0" autoFill="0" autoLine="0" autoPict="0">
                <anchor moveWithCells="1">
                  <from>
                    <xdr:col>11</xdr:col>
                    <xdr:colOff>0</xdr:colOff>
                    <xdr:row>56</xdr:row>
                    <xdr:rowOff>30480</xdr:rowOff>
                  </from>
                  <to>
                    <xdr:col>11</xdr:col>
                    <xdr:colOff>1813560</xdr:colOff>
                    <xdr:row>56</xdr:row>
                    <xdr:rowOff>259080</xdr:rowOff>
                  </to>
                </anchor>
              </controlPr>
            </control>
          </mc:Choice>
        </mc:AlternateContent>
      </controls>
    </mc:Choice>
  </mc:AlternateContent>
  <tableParts count="1">
    <tablePart r:id="rId144"/>
  </tableParts>
  <extLst>
    <ext xmlns:x14="http://schemas.microsoft.com/office/spreadsheetml/2009/9/main" uri="{78C0D931-6437-407d-A8EE-F0AAD7539E65}">
      <x14:conditionalFormattings>
        <x14:conditionalFormatting xmlns:xm="http://schemas.microsoft.com/office/excel/2006/main">
          <x14:cfRule type="dataBar" id="{093F8B2E-A620-4D82-B693-36ADEE2213A1}">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86" id="{410A92BE-CB30-4760-BE24-93FF6AF22C4D}">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E0836CDE-7850-48D6-B7EE-7F46905DB304}">
          <x14:formula1>
            <xm:f>Parâmetros!$A$28:$A$29</xm:f>
          </x14:formula1>
          <xm:sqref>M55:M128 I132:K153</xm:sqref>
        </x14:dataValidation>
        <x14:dataValidation type="list" allowBlank="1" showInputMessage="1" showErrorMessage="1" xr:uid="{F5877D27-857B-4B1A-9C92-9533ABE800DF}">
          <x14:formula1>
            <xm:f>Parâmetros!$A$31:$A$33</xm:f>
          </x14:formula1>
          <xm:sqref>O55 O57 AJ109 AJ101 AJ105 AJ107 AJ103 AJ123 AJ111 AJ115 AJ119 AJ121 AJ113 AJ117 O59:O128</xm:sqref>
        </x14:dataValidation>
        <x14:dataValidation type="list" allowBlank="1" showInputMessage="1" showErrorMessage="1" xr:uid="{C27FEA21-2A85-473D-984A-EF86134F9EB4}">
          <x14:formula1>
            <xm:f>Parâmetros!$A$36:$A$38</xm:f>
          </x14:formula1>
          <xm:sqref>AE29:AE50 AC29:AC50 AA29:AA51 Y29:Y51 W29:W51 U29:U51 S29:S51 O29:O30 K50:K51 M50:M51 K29:K30 I29:I30 I38:I40 I42:I48 M29:M30 I51 M38:M48 K38:K48 O38:O51 Q29:Q30 P39 Q38:Q40 Q42:Q51</xm:sqref>
        </x14:dataValidation>
        <x14:dataValidation type="list" allowBlank="1" showInputMessage="1" showErrorMessage="1" xr:uid="{65B2C1D1-BF90-484C-94A8-7EDCAEA93055}">
          <x14:formula1>
            <xm:f>Parâmetros!$A$24:$A$27</xm:f>
          </x14:formula1>
          <xm:sqref>A101:A124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7265-C537-4C9F-8E83-DFC36F6B4475}">
  <dimension ref="A1:AP400"/>
  <sheetViews>
    <sheetView topLeftCell="A53" zoomScale="85" zoomScaleNormal="85" workbookViewId="0">
      <selection activeCell="S117" sqref="S117"/>
    </sheetView>
  </sheetViews>
  <sheetFormatPr defaultColWidth="8.5546875" defaultRowHeight="14.4" x14ac:dyDescent="0.3"/>
  <cols>
    <col min="1" max="1" width="33.44140625" style="62" customWidth="1"/>
    <col min="2" max="2" width="27.44140625" style="62" customWidth="1"/>
    <col min="3" max="3" width="44.21875" style="62" bestFit="1" customWidth="1"/>
    <col min="4" max="4" width="47.5546875" style="62" customWidth="1"/>
    <col min="5" max="5" width="17.21875" style="62" customWidth="1"/>
    <col min="6" max="6" width="18" style="62" bestFit="1" customWidth="1"/>
    <col min="7" max="7" width="17.77734375" style="111" bestFit="1" customWidth="1"/>
    <col min="8" max="8" width="47.77734375" style="62" bestFit="1" customWidth="1"/>
    <col min="9" max="9" width="22.44140625" style="62" bestFit="1" customWidth="1"/>
    <col min="10" max="10" width="27.21875" style="62" bestFit="1" customWidth="1"/>
    <col min="11" max="11" width="31.77734375" style="62" bestFit="1" customWidth="1"/>
    <col min="12" max="12" width="28.77734375" style="62" bestFit="1" customWidth="1"/>
    <col min="13" max="13" width="47.77734375" style="62" bestFit="1" customWidth="1"/>
    <col min="14" max="14" width="20.21875" style="62" bestFit="1" customWidth="1"/>
    <col min="15" max="15" width="26.44140625" style="62" bestFit="1" customWidth="1"/>
    <col min="16" max="16" width="22.44140625" style="111" customWidth="1"/>
    <col min="17" max="17" width="22.44140625" style="62" customWidth="1"/>
    <col min="18" max="18" width="21.44140625" style="62" customWidth="1"/>
    <col min="19" max="19" width="17.44140625" style="62" customWidth="1"/>
    <col min="20" max="20" width="20.44140625" style="62" customWidth="1"/>
    <col min="21" max="21" width="17.44140625" style="62" customWidth="1"/>
    <col min="22" max="22" width="18.5546875" style="62" customWidth="1"/>
    <col min="23" max="23" width="19" style="62" customWidth="1"/>
    <col min="24" max="24" width="18.5546875" style="62" customWidth="1"/>
    <col min="25" max="26" width="19" style="62" customWidth="1"/>
    <col min="27" max="27" width="18.5546875" style="62" customWidth="1"/>
    <col min="28" max="29" width="19" style="62" customWidth="1"/>
    <col min="30" max="30" width="26" style="62" customWidth="1"/>
    <col min="31" max="31" width="18.44140625" style="62" customWidth="1"/>
    <col min="32" max="32" width="19" style="62" customWidth="1"/>
    <col min="33" max="33" width="17.44140625" style="62" customWidth="1"/>
    <col min="34" max="34" width="22.44140625" style="62" bestFit="1" customWidth="1"/>
    <col min="35" max="35" width="45.5546875" style="62" customWidth="1"/>
    <col min="36" max="36" width="16.5546875" style="62" bestFit="1" customWidth="1"/>
    <col min="37" max="37" width="13.44140625" style="62" bestFit="1" customWidth="1"/>
    <col min="38" max="38" width="19" style="62" bestFit="1" customWidth="1"/>
    <col min="39" max="39" width="50" style="47" bestFit="1" customWidth="1"/>
    <col min="40" max="40" width="49.88671875" style="62" bestFit="1" customWidth="1"/>
    <col min="41" max="41" width="22.44140625" style="62" bestFit="1" customWidth="1"/>
    <col min="42" max="42" width="21.33203125" style="62" bestFit="1" customWidth="1"/>
    <col min="43" max="16384" width="8.5546875" style="62"/>
  </cols>
  <sheetData>
    <row r="1" spans="1:41" ht="50.1" customHeight="1" x14ac:dyDescent="0.3">
      <c r="A1" s="1181" t="s">
        <v>1332</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c r="AF1" s="1181"/>
      <c r="AG1" s="47"/>
      <c r="AH1" s="47"/>
      <c r="AI1" s="47"/>
      <c r="AJ1" s="47"/>
      <c r="AK1" s="47"/>
      <c r="AL1" s="47"/>
    </row>
    <row r="2" spans="1:41"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c r="AF2" s="1183"/>
      <c r="AG2" s="47"/>
      <c r="AH2" s="47"/>
      <c r="AI2" s="47"/>
      <c r="AJ2" s="47"/>
      <c r="AK2" s="47"/>
      <c r="AL2" s="47"/>
    </row>
    <row r="3" spans="1:41" ht="8.1" customHeight="1" x14ac:dyDescent="0.3">
      <c r="A3" s="47"/>
      <c r="B3" s="47"/>
      <c r="C3" s="47"/>
      <c r="D3" s="47"/>
      <c r="E3" s="47"/>
      <c r="F3" s="47"/>
      <c r="G3" s="59"/>
      <c r="H3" s="47"/>
      <c r="I3" s="47"/>
      <c r="J3" s="47"/>
      <c r="K3" s="47"/>
      <c r="L3" s="47"/>
      <c r="M3" s="47"/>
      <c r="N3" s="47"/>
      <c r="O3" s="47"/>
      <c r="P3" s="59"/>
      <c r="Q3" s="47"/>
      <c r="R3" s="47"/>
      <c r="S3" s="47"/>
      <c r="T3" s="47"/>
      <c r="U3" s="47"/>
      <c r="V3" s="47"/>
      <c r="W3" s="47"/>
      <c r="X3" s="47"/>
      <c r="Y3" s="47"/>
      <c r="Z3" s="47"/>
      <c r="AA3" s="47"/>
      <c r="AB3" s="47"/>
      <c r="AC3" s="47"/>
      <c r="AD3" s="47"/>
      <c r="AE3" s="47"/>
      <c r="AF3" s="47"/>
      <c r="AG3" s="47"/>
      <c r="AH3" s="47"/>
      <c r="AI3" s="47"/>
      <c r="AJ3" s="47"/>
      <c r="AK3" s="47"/>
      <c r="AL3" s="47"/>
    </row>
    <row r="4" spans="1:41" ht="22.35" customHeight="1" x14ac:dyDescent="0.3">
      <c r="A4" s="1185" t="s">
        <v>89</v>
      </c>
      <c r="B4" s="1185"/>
      <c r="C4" s="508" t="s">
        <v>110</v>
      </c>
      <c r="D4" s="511" t="s">
        <v>49</v>
      </c>
      <c r="E4" s="1187" t="s">
        <v>50</v>
      </c>
      <c r="F4" s="1187"/>
      <c r="G4" s="1188" t="s">
        <v>51</v>
      </c>
      <c r="H4" s="1188"/>
      <c r="I4" s="1188"/>
      <c r="J4" s="1189" t="s">
        <v>53</v>
      </c>
      <c r="K4" s="1191"/>
      <c r="L4" s="1189" t="s">
        <v>54</v>
      </c>
      <c r="M4" s="1191"/>
      <c r="N4" s="47"/>
      <c r="O4" s="1192" t="s">
        <v>112</v>
      </c>
      <c r="P4" s="1193"/>
      <c r="Q4" s="1193"/>
      <c r="R4" s="1193"/>
      <c r="S4" s="1193"/>
      <c r="T4" s="1193"/>
      <c r="U4" s="1193"/>
      <c r="V4" s="1193"/>
      <c r="W4" s="1193"/>
      <c r="X4" s="1193"/>
      <c r="Y4" s="1193"/>
      <c r="Z4" s="1193"/>
      <c r="AA4" s="1193"/>
      <c r="AB4" s="1193"/>
      <c r="AC4" s="1193"/>
      <c r="AD4" s="1193"/>
      <c r="AE4" s="1193"/>
      <c r="AF4" s="1193"/>
      <c r="AG4" s="47"/>
      <c r="AH4" s="47"/>
      <c r="AI4" s="47"/>
      <c r="AJ4" s="47"/>
      <c r="AK4" s="47"/>
      <c r="AL4" s="47"/>
    </row>
    <row r="5" spans="1:41" ht="45" customHeight="1" x14ac:dyDescent="0.3">
      <c r="A5" s="1196">
        <f>Parâmetros!E6</f>
        <v>13367000</v>
      </c>
      <c r="B5" s="1196"/>
      <c r="C5" s="510">
        <f>SUM(I55:I114)</f>
        <v>7884000.0258561671</v>
      </c>
      <c r="D5" s="512">
        <f>SUMIF(Q55:Q114,"Previsto",AI55:AI114)</f>
        <v>3589075.8000000003</v>
      </c>
      <c r="E5" s="1198">
        <f>SUM(N55:N114)</f>
        <v>2199075.8000000003</v>
      </c>
      <c r="F5" s="1198"/>
      <c r="G5" s="1078">
        <f>SUMIF(Q55:Q114,"Real",AI55:AI114)</f>
        <v>1194100.1099999996</v>
      </c>
      <c r="H5" s="1078"/>
      <c r="I5" s="1078"/>
      <c r="J5" s="1050">
        <f>G5/A5</f>
        <v>8.9331945088651124E-2</v>
      </c>
      <c r="K5" s="1052"/>
      <c r="L5" s="1060">
        <f>SUM(I9:I11)</f>
        <v>22</v>
      </c>
      <c r="M5" s="1061"/>
      <c r="N5" s="242"/>
      <c r="O5" s="382" t="s">
        <v>115</v>
      </c>
      <c r="P5" s="382" t="s">
        <v>72</v>
      </c>
      <c r="Q5" s="382" t="s">
        <v>891</v>
      </c>
      <c r="R5" s="386" t="s">
        <v>117</v>
      </c>
      <c r="S5" s="386" t="s">
        <v>118</v>
      </c>
      <c r="T5" s="542" t="s">
        <v>119</v>
      </c>
      <c r="U5" s="1202" t="s">
        <v>120</v>
      </c>
      <c r="V5" s="1202"/>
      <c r="W5" s="1202"/>
      <c r="X5" s="1202"/>
      <c r="Y5" s="1202"/>
      <c r="Z5" s="382" t="s">
        <v>121</v>
      </c>
      <c r="AA5" s="382" t="s">
        <v>122</v>
      </c>
      <c r="AB5" s="382" t="s">
        <v>123</v>
      </c>
      <c r="AC5" s="382" t="s">
        <v>124</v>
      </c>
      <c r="AD5" s="382" t="s">
        <v>125</v>
      </c>
      <c r="AE5" s="386" t="s">
        <v>126</v>
      </c>
      <c r="AF5" s="47" t="s">
        <v>1333</v>
      </c>
      <c r="AG5" s="47" t="s">
        <v>67</v>
      </c>
      <c r="AH5" s="47"/>
      <c r="AI5" s="47"/>
      <c r="AJ5" s="47"/>
      <c r="AK5" s="47"/>
      <c r="AL5" s="47"/>
      <c r="AN5" s="47"/>
    </row>
    <row r="6" spans="1:41" ht="20.100000000000001" customHeight="1" x14ac:dyDescent="0.3">
      <c r="A6" s="47"/>
      <c r="B6" s="47"/>
      <c r="C6" s="659"/>
      <c r="D6" s="47"/>
      <c r="E6" s="47"/>
      <c r="F6" s="47"/>
      <c r="G6" s="59"/>
      <c r="H6" s="47"/>
      <c r="I6" s="47"/>
      <c r="J6" s="47"/>
      <c r="K6" s="47"/>
      <c r="L6" s="47"/>
      <c r="M6" s="47"/>
      <c r="N6" s="47"/>
      <c r="O6" s="372" cm="1">
        <f t="array" ref="O6:O25">_xlfn.SEQUENCE(20)</f>
        <v>1</v>
      </c>
      <c r="P6" s="372" t="str">
        <f t="shared" ref="P6:P19" si="0">_xlfn.XLOOKUP(U6,$C$55:$C$114,$A$55:$A$114)</f>
        <v>Redução de custo</v>
      </c>
      <c r="Q6" s="373">
        <f>MAX(I55:I114)</f>
        <v>3000000</v>
      </c>
      <c r="R6" s="465">
        <f t="shared" ref="R6:R25" si="1">_xlfn.XLOOKUP(Q6,$I$55:$I$114,$N$55:$N$114)</f>
        <v>0</v>
      </c>
      <c r="S6" s="1014" t="str">
        <f t="shared" ref="S6:S25" si="2">IF(_xlfn.XLOOKUP(U6,$C$55:$C$162,$J$55:$J$162,"Em analise")=0,"Em analise",_xlfn.XLOOKUP(U6,$C$55:$C$162,$J$55:$J$162,"Em analise"))</f>
        <v>Em analise</v>
      </c>
      <c r="T6" s="543" cm="1">
        <f t="array" aca="1" ref="T6" ca="1">SUMPRODUCT(($C$55:$C$161=U6)*(S$54:$AG$54&lt;=TODAY())*(ISNUMBER(R$56:$AF$162)),R$56:$AF$162)</f>
        <v>0.5</v>
      </c>
      <c r="U6" s="1515" t="str">
        <f t="shared" ref="U6:U25" si="3">IFERROR(HYPERLINK(INDEX($D$55:$D$114,MATCH(Q6,$I$55:$I$114,0)),INDEX($C$55:$C$114,MATCH(Q6,$I$55:$I$114,0))
   ),
   ""
)</f>
        <v>01 - Clientes com baixa margem de contribuição.</v>
      </c>
      <c r="V6" s="1515"/>
      <c r="W6" s="1515"/>
      <c r="X6" s="1515"/>
      <c r="Y6" s="1515"/>
      <c r="Z6" s="374">
        <f>Pareto!D4</f>
        <v>9.7358633687966378E-2</v>
      </c>
      <c r="AA6" s="375">
        <f>Pareto!E4</f>
        <v>9.7358633687966378E-2</v>
      </c>
      <c r="AB6" s="383" cm="1">
        <f t="array" aca="1" ref="AB6" ca="1">IFERROR(INDEX($R$55:$R$114,MATCH(1,($AN$55:$AN$114=U6)*($Q$55:$Q$114="Previsto"), 0) ), "")</f>
        <v>1</v>
      </c>
      <c r="AC6" s="383" cm="1">
        <f t="array" ref="AC6">IFERROR(INDEX($R$55:$R$114,MATCH(1,($AN$55:$AN$114=U6)*($Q$55:$Q$114="Real"), 0) ), "")</f>
        <v>0.5</v>
      </c>
      <c r="AD6" s="400" t="str">
        <f t="shared" ref="AD6:AD13" ca="1" si="4">IF(OR(AB6="",AC6=""),"",IF(AC6=100%,"CONCLUÍDO",IF(AC6=0,IF(AB6=0,"PROJETO NÃO INICIADO","FALTA DE ACOMPANHAMENTO"),IF(AC6&gt;AB6,"ADIANTADO",IF(AC6=AB6,"CONFORME PLANEJADO","ATRASO")))))</f>
        <v>ATRASO</v>
      </c>
      <c r="AE6" s="376" cm="1">
        <f t="array" ref="AE6:AE25">_xlfn.XLOOKUP($U$6:$U$25,$C$55:$C$114,$P$55:$P$114)</f>
        <v>0.9</v>
      </c>
      <c r="AF6" s="47" t="s">
        <v>1334</v>
      </c>
      <c r="AG6" s="47" t="s">
        <v>1335</v>
      </c>
      <c r="AH6" s="47"/>
      <c r="AI6" s="47"/>
      <c r="AJ6" s="47"/>
      <c r="AK6" s="47"/>
      <c r="AL6" s="47"/>
      <c r="AN6" s="47"/>
    </row>
    <row r="7" spans="1:41" ht="20.100000000000001" customHeight="1" x14ac:dyDescent="0.3">
      <c r="A7" s="857" t="s">
        <v>129</v>
      </c>
      <c r="B7" s="857"/>
      <c r="C7" s="857"/>
      <c r="D7" s="857"/>
      <c r="E7" s="857"/>
      <c r="F7" s="857"/>
      <c r="G7" s="47"/>
      <c r="H7" s="1059" t="s">
        <v>59</v>
      </c>
      <c r="I7" s="1059"/>
      <c r="J7" s="1059"/>
      <c r="K7" s="852" t="s">
        <v>60</v>
      </c>
      <c r="L7" s="856"/>
      <c r="M7" s="856"/>
      <c r="N7" s="47"/>
      <c r="O7" s="377">
        <v>2</v>
      </c>
      <c r="P7" s="377" t="str">
        <f t="shared" si="0"/>
        <v>BSW</v>
      </c>
      <c r="Q7" s="378">
        <f t="shared" ref="Q7:Q25" si="5">IFERROR(LARGE($I$55:$I$114,O7)," ")</f>
        <v>700000</v>
      </c>
      <c r="R7" s="466">
        <f t="shared" si="1"/>
        <v>0</v>
      </c>
      <c r="S7" s="535">
        <f t="shared" si="2"/>
        <v>46204</v>
      </c>
      <c r="T7" s="544" cm="1">
        <f t="array" aca="1" ref="T7" ca="1">SUMPRODUCT(($C$55:$C$161=U7)*(S$54:$AG$54&lt;=TODAY())*(ISNUMBER(R$56:$AF$162)),R$56:$AF$162)</f>
        <v>1</v>
      </c>
      <c r="U7" s="1495" t="str">
        <f t="shared" si="3"/>
        <v>16 - Tolerância das MP's</v>
      </c>
      <c r="V7" s="1495"/>
      <c r="W7" s="1495"/>
      <c r="X7" s="1495"/>
      <c r="Y7" s="1495"/>
      <c r="Z7" s="379">
        <f>Pareto!D5</f>
        <v>7.1742493967216006E-2</v>
      </c>
      <c r="AA7" s="380">
        <f>Pareto!E5</f>
        <v>0.16910112765518237</v>
      </c>
      <c r="AB7" s="384" cm="1">
        <f t="array" aca="1" ref="AB7" ca="1">IFERROR(INDEX($R$55:$R$114,MATCH(1,($AN$55:$AN$114=U7)*($Q$55:$Q$114="Previsto"), 0) ), "")</f>
        <v>0</v>
      </c>
      <c r="AC7" s="384" cm="1">
        <f t="array" ref="AC7">IFERROR(INDEX($R$55:$R$114,MATCH(1,($AN$55:$AN$114=U7)*($Q$55:$Q$114="Real"), 0) ), "")</f>
        <v>1</v>
      </c>
      <c r="AD7" s="401" t="str">
        <f t="shared" ca="1" si="4"/>
        <v>CONCLUÍDO</v>
      </c>
      <c r="AE7" s="381">
        <v>0.5</v>
      </c>
      <c r="AF7" s="62" t="s">
        <v>1334</v>
      </c>
      <c r="AG7" s="47"/>
      <c r="AH7" s="47"/>
      <c r="AI7" s="47"/>
      <c r="AJ7" s="47"/>
      <c r="AK7" s="47"/>
      <c r="AL7" s="47"/>
      <c r="AN7" s="47"/>
      <c r="AO7" s="47"/>
    </row>
    <row r="8" spans="1:41" ht="20.100000000000001" customHeight="1" x14ac:dyDescent="0.3">
      <c r="A8" s="15" t="s">
        <v>62</v>
      </c>
      <c r="B8" s="15" t="s">
        <v>63</v>
      </c>
      <c r="C8" s="15" t="s">
        <v>64</v>
      </c>
      <c r="D8" s="855" t="s">
        <v>65</v>
      </c>
      <c r="E8" s="15" t="s">
        <v>66</v>
      </c>
      <c r="F8" s="15" t="s">
        <v>131</v>
      </c>
      <c r="G8" s="47"/>
      <c r="H8" s="15" t="s">
        <v>67</v>
      </c>
      <c r="I8" s="15" t="s">
        <v>63</v>
      </c>
      <c r="J8" s="15" t="s">
        <v>68</v>
      </c>
      <c r="K8" s="1404" t="s">
        <v>69</v>
      </c>
      <c r="L8" s="1404" t="s">
        <v>70</v>
      </c>
      <c r="M8" s="1404" t="s">
        <v>132</v>
      </c>
      <c r="N8" s="47"/>
      <c r="O8" s="372">
        <v>3</v>
      </c>
      <c r="P8" s="372" t="str">
        <f t="shared" si="0"/>
        <v>Você Resolve</v>
      </c>
      <c r="Q8" s="373">
        <f t="shared" si="5"/>
        <v>690000</v>
      </c>
      <c r="R8" s="465">
        <f t="shared" si="1"/>
        <v>0</v>
      </c>
      <c r="S8" s="534">
        <f t="shared" si="2"/>
        <v>46235</v>
      </c>
      <c r="T8" s="543" cm="1">
        <f t="array" aca="1" ref="T8" ca="1">SUMPRODUCT(($C$55:$C$161=U8)*(S$54:$AG$54&lt;=TODAY())*(ISNUMBER(R$56:$AF$162)),R$56:$AF$162)</f>
        <v>0.75</v>
      </c>
      <c r="U8" s="1495" t="str">
        <f t="shared" si="3"/>
        <v xml:space="preserve">05 - Nitrogênio da máquina laser </v>
      </c>
      <c r="V8" s="1495"/>
      <c r="W8" s="1495"/>
      <c r="X8" s="1495"/>
      <c r="Y8" s="1495"/>
      <c r="Z8" s="374">
        <f>Pareto!D6</f>
        <v>6.2309524963165545E-2</v>
      </c>
      <c r="AA8" s="375">
        <f>Pareto!E6</f>
        <v>0.23141065261834792</v>
      </c>
      <c r="AB8" s="383" cm="1">
        <f t="array" aca="1" ref="AB8" ca="1">IFERROR(INDEX($R$55:$R$114,MATCH(1,($AN$55:$AN$114=U8)*($Q$55:$Q$114="Previsto"), 0) ), "")</f>
        <v>0.80930232558139537</v>
      </c>
      <c r="AC8" s="383" cm="1">
        <f t="array" ref="AC8">IFERROR(INDEX($R$55:$R$114,MATCH(1,($AN$55:$AN$114=U8)*($Q$55:$Q$114="Real"), 0) ), "")</f>
        <v>0.75</v>
      </c>
      <c r="AD8" s="400" t="str">
        <f t="shared" ca="1" si="4"/>
        <v>ATRASO</v>
      </c>
      <c r="AE8" s="376">
        <v>0.5</v>
      </c>
      <c r="AF8" s="62" t="s">
        <v>1336</v>
      </c>
      <c r="AG8" s="47" t="s">
        <v>1337</v>
      </c>
      <c r="AH8" s="47"/>
      <c r="AI8" s="47"/>
      <c r="AJ8" s="47"/>
      <c r="AK8" s="47"/>
      <c r="AL8" s="47"/>
      <c r="AN8" s="47"/>
      <c r="AO8" s="47"/>
    </row>
    <row r="9" spans="1:41" ht="29.25" customHeight="1" x14ac:dyDescent="0.3">
      <c r="A9" s="16" t="s">
        <v>76</v>
      </c>
      <c r="B9" s="17">
        <f>COUNTIF($A$55:$A$114,A9)</f>
        <v>8</v>
      </c>
      <c r="C9" s="18">
        <f>SUMIF($A$55:$A$114,A9,$I$55:$I$114)</f>
        <v>1919000.0019561648</v>
      </c>
      <c r="D9" s="18">
        <f>SUMIF($A$55:$A$114,A9,$N$55:$N$114)</f>
        <v>1019437.52</v>
      </c>
      <c r="E9" s="861">
        <f>IF($D$13=0,"",D9/$D$13)</f>
        <v>0.46357543473490098</v>
      </c>
      <c r="F9" s="19">
        <f>E9</f>
        <v>0.46357543473490098</v>
      </c>
      <c r="G9" s="47"/>
      <c r="H9" s="288" t="s">
        <v>77</v>
      </c>
      <c r="I9" s="24">
        <f>COUNTIF($O$55:$O$114,H9)</f>
        <v>3</v>
      </c>
      <c r="J9" s="193">
        <f>SUMIF($O$55:$O$114,H9,$I$55:$I$114)</f>
        <v>681600.00089999998</v>
      </c>
      <c r="K9" s="1405"/>
      <c r="L9" s="1405"/>
      <c r="M9" s="1405"/>
      <c r="N9" s="47"/>
      <c r="O9" s="377">
        <v>4</v>
      </c>
      <c r="P9" s="377" t="str">
        <f t="shared" si="0"/>
        <v>Kaizen</v>
      </c>
      <c r="Q9" s="378">
        <f t="shared" si="5"/>
        <v>600000.00089999998</v>
      </c>
      <c r="R9" s="466">
        <f t="shared" si="1"/>
        <v>607260.52</v>
      </c>
      <c r="S9" s="535">
        <f t="shared" si="2"/>
        <v>46023</v>
      </c>
      <c r="T9" s="544" cm="1">
        <f t="array" aca="1" ref="T9" ca="1">SUMPRODUCT(($C$55:$C$161=U9)*(S$54:$AG$54&lt;=TODAY())*(ISNUMBER(R$56:$AF$162)),R$56:$AF$162)</f>
        <v>380117.32999999996</v>
      </c>
      <c r="U9" s="1301" t="str">
        <f t="shared" si="3"/>
        <v xml:space="preserve">06 - Reaproveitamento de lixas </v>
      </c>
      <c r="V9" s="1301"/>
      <c r="W9" s="1301"/>
      <c r="X9" s="1301"/>
      <c r="Y9" s="1301"/>
      <c r="Z9" s="379">
        <f>Pareto!D7</f>
        <v>6.2309524314107995E-2</v>
      </c>
      <c r="AA9" s="380">
        <f>Pareto!E7</f>
        <v>0.29372017693245589</v>
      </c>
      <c r="AB9" s="384" cm="1">
        <f t="array" aca="1" ref="AB9" ca="1">IFERROR(INDEX($R$55:$R$114,MATCH(1,($AN$55:$AN$114=U9)*($Q$55:$Q$114="Previsto"), 0) ), "")</f>
        <v>1</v>
      </c>
      <c r="AC9" s="384" cm="1">
        <f t="array" ref="AC9">IFERROR(INDEX($R$55:$R$114,MATCH(1,($AN$55:$AN$114=U9)*($Q$55:$Q$114="Real"), 0) ), "")</f>
        <v>1</v>
      </c>
      <c r="AD9" s="401" t="str">
        <f t="shared" ca="1" si="4"/>
        <v>CONCLUÍDO</v>
      </c>
      <c r="AE9" s="381">
        <v>1</v>
      </c>
      <c r="AG9" s="62" t="s">
        <v>1338</v>
      </c>
      <c r="AI9" s="47"/>
      <c r="AJ9" s="47"/>
      <c r="AK9" s="47"/>
      <c r="AL9" s="47"/>
      <c r="AN9" s="47"/>
      <c r="AO9" s="47"/>
    </row>
    <row r="10" spans="1:41" ht="20.100000000000001" customHeight="1" x14ac:dyDescent="0.3">
      <c r="A10" s="16" t="s">
        <v>79</v>
      </c>
      <c r="B10" s="17">
        <f>COUNTIF($A$55:$A$114,A10)</f>
        <v>12</v>
      </c>
      <c r="C10" s="18">
        <f>SUMIF($A$55:$A$114,A10,$I$55:$I$114)</f>
        <v>4575000.0239000004</v>
      </c>
      <c r="D10" s="18">
        <f>SUMIF($A$55:$A$114,A10,$N$55:$N$114)</f>
        <v>1179638.28</v>
      </c>
      <c r="E10" s="861">
        <f>IF($D$13=0,"",D10/$D$13)</f>
        <v>0.53642456526509918</v>
      </c>
      <c r="F10" s="19">
        <f t="shared" ref="F10:F11" si="6">E10</f>
        <v>0.53642456526509918</v>
      </c>
      <c r="G10" s="47"/>
      <c r="H10" s="289" t="s">
        <v>80</v>
      </c>
      <c r="I10" s="25">
        <f>COUNTIF($O$55:$O$114,H10)</f>
        <v>15</v>
      </c>
      <c r="J10" s="194">
        <f>SUMIF($O$55:$O$114,H10,$I$55:$I$114)</f>
        <v>7072000.0249561667</v>
      </c>
      <c r="K10" s="1406">
        <f>E145</f>
        <v>0.8214285714285714</v>
      </c>
      <c r="L10" s="1406">
        <f>F145</f>
        <v>0</v>
      </c>
      <c r="M10" s="1406">
        <f>L140</f>
        <v>0.20833333125</v>
      </c>
      <c r="N10" s="47"/>
      <c r="O10" s="372">
        <v>5</v>
      </c>
      <c r="P10" s="372" t="str">
        <f t="shared" si="0"/>
        <v>Redução de custo</v>
      </c>
      <c r="Q10" s="373">
        <f t="shared" si="5"/>
        <v>500000.00799999997</v>
      </c>
      <c r="R10" s="465">
        <f t="shared" si="1"/>
        <v>505242.56</v>
      </c>
      <c r="S10" s="534">
        <f t="shared" si="2"/>
        <v>46023</v>
      </c>
      <c r="T10" s="543" cm="1">
        <f t="array" aca="1" ref="T10" ca="1">SUMPRODUCT(($C$55:$C$161=U10)*(S$54:$AG$54&lt;=TODAY())*(ISNUMBER(R$56:$AF$162)),R$56:$AF$162)</f>
        <v>569344.88</v>
      </c>
      <c r="U10" s="1302" t="str">
        <f t="shared" si="3"/>
        <v xml:space="preserve">03 - Consumo de desmoldante </v>
      </c>
      <c r="V10" s="1302"/>
      <c r="W10" s="1302"/>
      <c r="X10" s="1302"/>
      <c r="Y10" s="1302"/>
      <c r="Z10" s="374">
        <f>Pareto!D8</f>
        <v>5.8415179044476247E-2</v>
      </c>
      <c r="AA10" s="375">
        <f>Pareto!E8</f>
        <v>0.35213535597693213</v>
      </c>
      <c r="AB10" s="383" cm="1">
        <f t="array" aca="1" ref="AB10" ca="1">IFERROR(INDEX($R$55:$R$114,MATCH(1,($AN$55:$AN$114=U10)*($Q$55:$Q$114="Previsto"), 0) ), "")</f>
        <v>1</v>
      </c>
      <c r="AC10" s="383" cm="1">
        <f t="array" ref="AC10">IFERROR(INDEX($R$55:$R$114,MATCH(1,($AN$55:$AN$114=U10)*($Q$55:$Q$114="Real"), 0) ), "")</f>
        <v>1</v>
      </c>
      <c r="AD10" s="400" t="str">
        <f t="shared" ca="1" si="4"/>
        <v>CONCLUÍDO</v>
      </c>
      <c r="AE10" s="376">
        <v>0.8</v>
      </c>
      <c r="AG10" s="47" t="s">
        <v>1338</v>
      </c>
      <c r="AH10" s="47"/>
      <c r="AI10" s="47"/>
      <c r="AJ10" s="47"/>
      <c r="AK10" s="47"/>
      <c r="AL10" s="47"/>
      <c r="AN10" s="47"/>
      <c r="AO10" s="47"/>
    </row>
    <row r="11" spans="1:41" ht="20.100000000000001" customHeight="1" x14ac:dyDescent="0.3">
      <c r="A11" s="16" t="s">
        <v>82</v>
      </c>
      <c r="B11" s="17">
        <f>COUNTIF($A$55:$A$114,A11)</f>
        <v>1</v>
      </c>
      <c r="C11" s="18">
        <f>SUMIF($A$55:$A$114,A11,$I$55:$I$114)</f>
        <v>690000</v>
      </c>
      <c r="D11" s="18">
        <f>SUMIF($A$55:$A$114,A11,$N$55:$N$114)</f>
        <v>0</v>
      </c>
      <c r="E11" s="861">
        <f>IF($D$13=0,"",D11/$D$13)</f>
        <v>0</v>
      </c>
      <c r="F11" s="19">
        <f t="shared" si="6"/>
        <v>0</v>
      </c>
      <c r="G11" s="47"/>
      <c r="H11" s="290" t="s">
        <v>83</v>
      </c>
      <c r="I11" s="26">
        <f>COUNTIF($O$55:$O$114,H11)</f>
        <v>4</v>
      </c>
      <c r="J11" s="195">
        <f>SUMIF($O$55:$O$114,H11,$I$55:$I$114)</f>
        <v>130400</v>
      </c>
      <c r="K11" s="1407"/>
      <c r="L11" s="1407"/>
      <c r="M11" s="1407"/>
      <c r="N11" s="47"/>
      <c r="O11" s="377">
        <v>6</v>
      </c>
      <c r="P11" s="377" t="str">
        <f t="shared" si="0"/>
        <v>Kaizen</v>
      </c>
      <c r="Q11" s="378">
        <f t="shared" si="5"/>
        <v>450000</v>
      </c>
      <c r="R11" s="466">
        <f t="shared" si="1"/>
        <v>0</v>
      </c>
      <c r="S11" s="535" t="str">
        <f t="shared" si="2"/>
        <v>Em analise</v>
      </c>
      <c r="T11" s="544" cm="1">
        <f t="array" aca="1" ref="T11" ca="1">SUMPRODUCT(($C$55:$C$161=U11)*(S$54:$AG$54&lt;=TODAY())*(ISNUMBER(R$56:$AF$162)),R$56:$AF$162)</f>
        <v>0.9</v>
      </c>
      <c r="U11" s="1496" t="str">
        <f t="shared" si="3"/>
        <v xml:space="preserve">04 - Redução dos retrabalhos </v>
      </c>
      <c r="V11" s="1496"/>
      <c r="W11" s="1496"/>
      <c r="X11" s="1496"/>
      <c r="Y11" s="1496"/>
      <c r="Z11" s="379">
        <f>Pareto!D9</f>
        <v>5.1059193535171833E-2</v>
      </c>
      <c r="AA11" s="380">
        <f>Pareto!E9</f>
        <v>0.40319454951210398</v>
      </c>
      <c r="AB11" s="384" cm="1">
        <f t="array" aca="1" ref="AB11" ca="1">IFERROR(INDEX($R$55:$R$114,MATCH(1,($AN$55:$AN$114=U11)*($Q$55:$Q$114="Previsto"), 0) ), "")</f>
        <v>1</v>
      </c>
      <c r="AC11" s="384" cm="1">
        <f t="array" ref="AC11">IFERROR(INDEX($R$55:$R$114,MATCH(1,($AN$55:$AN$114=U11)*($Q$55:$Q$114="Real"), 0) ), "")</f>
        <v>0.9</v>
      </c>
      <c r="AD11" s="401" t="str">
        <f t="shared" ca="1" si="4"/>
        <v>ATRASO</v>
      </c>
      <c r="AE11" s="381">
        <v>1</v>
      </c>
      <c r="AF11" s="62" t="s">
        <v>1339</v>
      </c>
      <c r="AG11" s="47"/>
      <c r="AH11" s="47"/>
      <c r="AI11" s="47"/>
      <c r="AJ11" s="47"/>
      <c r="AK11" s="47"/>
      <c r="AL11" s="47"/>
      <c r="AN11" s="47"/>
      <c r="AO11" s="47"/>
    </row>
    <row r="12" spans="1:41" ht="20.100000000000001" customHeight="1" x14ac:dyDescent="0.3">
      <c r="A12" s="16" t="s">
        <v>85</v>
      </c>
      <c r="B12" s="17">
        <f>COUNTIF($A$55:$A$114,A12)</f>
        <v>1</v>
      </c>
      <c r="C12" s="18">
        <f>SUMIF($A$55:$A$114,A12,$I$55:$I$114)</f>
        <v>700000</v>
      </c>
      <c r="D12" s="18">
        <f>SUMIF($A$55:$A$114,A12,$N$55:$N$114)</f>
        <v>0</v>
      </c>
      <c r="E12" s="861">
        <f>IF($D$13=0,"",D12/$D$13)</f>
        <v>0</v>
      </c>
      <c r="F12" s="19">
        <f t="shared" ref="F12" si="7">E12</f>
        <v>0</v>
      </c>
      <c r="G12" s="47"/>
      <c r="H12" s="59"/>
      <c r="I12" s="47"/>
      <c r="J12" s="47"/>
      <c r="K12" s="47"/>
      <c r="L12" s="47"/>
      <c r="M12" s="47"/>
      <c r="N12" s="47"/>
      <c r="O12" s="372">
        <v>7</v>
      </c>
      <c r="P12" s="372" t="str">
        <f t="shared" si="0"/>
        <v>Kaizen</v>
      </c>
      <c r="Q12" s="373">
        <f t="shared" si="5"/>
        <v>400000.00089999998</v>
      </c>
      <c r="R12" s="465">
        <f t="shared" si="1"/>
        <v>405377</v>
      </c>
      <c r="S12" s="534">
        <f t="shared" si="2"/>
        <v>46023</v>
      </c>
      <c r="T12" s="543" cm="1">
        <f t="array" aca="1" ref="T12" ca="1">SUMPRODUCT(($C$55:$C$161=U12)*(S$54:$AG$54&lt;=TODAY())*(ISNUMBER(R$56:$AF$162)),R$56:$AF$162)</f>
        <v>575404.28</v>
      </c>
      <c r="U12" s="1302" t="str">
        <f t="shared" si="3"/>
        <v xml:space="preserve">07 - Consumo de gás </v>
      </c>
      <c r="V12" s="1302"/>
      <c r="W12" s="1302"/>
      <c r="X12" s="1302"/>
      <c r="Y12" s="1302"/>
      <c r="Z12" s="374">
        <f>Pareto!D10</f>
        <v>4.9761078445294579E-2</v>
      </c>
      <c r="AA12" s="375">
        <f>Pareto!E10</f>
        <v>0.45295562795739858</v>
      </c>
      <c r="AB12" s="383" cm="1">
        <f t="array" aca="1" ref="AB12" ca="1">IFERROR(INDEX($R$55:$R$114,MATCH(1,($AN$55:$AN$114=U12)*($Q$55:$Q$114="Previsto"), 0) ), "")</f>
        <v>0.5194029850746269</v>
      </c>
      <c r="AC12" s="383" cm="1">
        <f t="array" ref="AC12">IFERROR(INDEX($R$55:$R$114,MATCH(1,($AN$55:$AN$114=U12)*($Q$55:$Q$114="Real"), 0) ), "")</f>
        <v>0.6</v>
      </c>
      <c r="AD12" s="400" t="str">
        <f t="shared" ca="1" si="4"/>
        <v>ADIANTADO</v>
      </c>
      <c r="AE12" s="376">
        <v>1</v>
      </c>
      <c r="AF12" s="62" t="s">
        <v>1340</v>
      </c>
      <c r="AG12" s="47"/>
      <c r="AH12" s="47"/>
      <c r="AI12" s="47"/>
      <c r="AJ12" s="47"/>
      <c r="AK12" s="47"/>
      <c r="AL12" s="47"/>
      <c r="AN12" s="47"/>
      <c r="AO12" s="47"/>
    </row>
    <row r="13" spans="1:41" ht="20.100000000000001" customHeight="1" x14ac:dyDescent="0.35">
      <c r="A13" s="169" t="s">
        <v>29</v>
      </c>
      <c r="B13" s="170">
        <f>SUM(B9:B12)</f>
        <v>22</v>
      </c>
      <c r="C13" s="61">
        <f>SUM(C9:C12)</f>
        <v>7884000.0258561652</v>
      </c>
      <c r="D13" s="61">
        <f>SUM(D9:D12)</f>
        <v>2199075.7999999998</v>
      </c>
      <c r="E13" s="171">
        <f>SUM(E9:E12)</f>
        <v>1.0000000000000002</v>
      </c>
      <c r="F13" s="1031"/>
      <c r="G13" s="47"/>
      <c r="H13" s="59"/>
      <c r="I13" s="47"/>
      <c r="J13" s="47"/>
      <c r="K13" s="47"/>
      <c r="L13" s="168"/>
      <c r="M13" s="854"/>
      <c r="N13" s="854"/>
      <c r="O13" s="377">
        <v>8</v>
      </c>
      <c r="P13" s="377" t="str">
        <f t="shared" si="0"/>
        <v>Redução de custo</v>
      </c>
      <c r="Q13" s="378">
        <f t="shared" si="5"/>
        <v>300000.00099999999</v>
      </c>
      <c r="R13" s="466">
        <f t="shared" si="1"/>
        <v>307015</v>
      </c>
      <c r="S13" s="535">
        <f t="shared" si="2"/>
        <v>46023</v>
      </c>
      <c r="T13" s="544" cm="1">
        <f t="array" aca="1" ref="T13" ca="1">SUMPRODUCT(($C$55:$C$161=U13)*(S$54:$AG$54&lt;=TODAY())*(ISNUMBER(R$56:$AF$162)),R$56:$AF$162)</f>
        <v>90197</v>
      </c>
      <c r="U13" s="1496" t="str">
        <f t="shared" si="3"/>
        <v xml:space="preserve">Consumo de água </v>
      </c>
      <c r="V13" s="1496"/>
      <c r="W13" s="1496"/>
      <c r="X13" s="1496"/>
      <c r="Y13" s="1496"/>
      <c r="Z13" s="379">
        <f>Pareto!D11</f>
        <v>4.9328373415335497E-2</v>
      </c>
      <c r="AA13" s="380">
        <f>Pareto!E11</f>
        <v>0.5022840013727341</v>
      </c>
      <c r="AB13" s="384" cm="1">
        <f t="array" aca="1" ref="AB13" ca="1">IFERROR(INDEX($R$55:$R$114,MATCH(1,($AN$55:$AN$114=U13)*($Q$55:$Q$114="Previsto"), 0) ), "")</f>
        <v>1</v>
      </c>
      <c r="AC13" s="384" cm="1">
        <f t="array" ref="AC13">IFERROR(INDEX($R$55:$R$114,MATCH(1,($AN$55:$AN$114=U13)*($Q$55:$Q$114="Real"), 0) ), "")</f>
        <v>1</v>
      </c>
      <c r="AD13" s="401" t="str">
        <f t="shared" ca="1" si="4"/>
        <v>CONCLUÍDO</v>
      </c>
      <c r="AE13" s="381">
        <v>1</v>
      </c>
      <c r="AG13" s="47" t="s">
        <v>1338</v>
      </c>
      <c r="AH13" s="47"/>
      <c r="AI13" s="47"/>
      <c r="AJ13" s="47"/>
      <c r="AK13" s="47"/>
      <c r="AL13" s="47"/>
      <c r="AN13" s="47"/>
      <c r="AO13" s="47"/>
    </row>
    <row r="14" spans="1:41" ht="20.100000000000001" customHeight="1" x14ac:dyDescent="0.3">
      <c r="A14" s="47"/>
      <c r="B14" s="47"/>
      <c r="C14" s="47"/>
      <c r="D14" s="47"/>
      <c r="E14" s="47"/>
      <c r="F14" s="1032"/>
      <c r="G14" s="59"/>
      <c r="H14" s="47"/>
      <c r="I14" s="47"/>
      <c r="J14" s="47"/>
      <c r="K14" s="47"/>
      <c r="L14" s="47"/>
      <c r="M14" s="47"/>
      <c r="N14" s="47"/>
      <c r="O14" s="372">
        <v>9</v>
      </c>
      <c r="P14" s="372" t="str">
        <f t="shared" si="0"/>
        <v>Redução de custo</v>
      </c>
      <c r="Q14" s="373">
        <f t="shared" si="5"/>
        <v>200000.00399999999</v>
      </c>
      <c r="R14" s="465">
        <f t="shared" si="1"/>
        <v>210669</v>
      </c>
      <c r="S14" s="534">
        <f t="shared" si="2"/>
        <v>46054</v>
      </c>
      <c r="T14" s="543" cm="1">
        <f t="array" aca="1" ref="T14" ca="1">SUMPRODUCT(($C$55:$C$161=U14)*(S$54:$AG$54&lt;=TODAY())*(ISNUMBER(R$56:$AF$162)),R$56:$AF$162)</f>
        <v>0.8</v>
      </c>
      <c r="U14" s="1496" t="str">
        <f t="shared" si="3"/>
        <v xml:space="preserve">10 - Consumo de energia elétrica: vazamentos de ar </v>
      </c>
      <c r="V14" s="1496"/>
      <c r="W14" s="1496"/>
      <c r="X14" s="1496"/>
      <c r="Y14" s="1496"/>
      <c r="Z14" s="374">
        <f>Pareto!D12</f>
        <v>4.8289881343433698E-2</v>
      </c>
      <c r="AA14" s="375">
        <f>Pareto!E12</f>
        <v>0.55057388271616781</v>
      </c>
      <c r="AB14" s="383" cm="1">
        <f t="array" aca="1" ref="AB14" ca="1">IFERROR(INDEX($R$55:$R$114,MATCH(1,($AN$55:$AN$114=U14)*($Q$55:$Q$114="Previsto"), 0) ), "")</f>
        <v>1</v>
      </c>
      <c r="AC14" s="383" cm="1">
        <f t="array" ref="AC14">IFERROR(INDEX($R$55:$R$114,MATCH(1,($AN$55:$AN$114=U14)*($Q$55:$Q$114="Real"), 0) ), "")</f>
        <v>0.8</v>
      </c>
      <c r="AD14" s="400" t="str">
        <f t="shared" ref="AD14:AD25" ca="1" si="8">IF(OR(AB14="",AC14=""),"",IF(AC14=100%,"CONCLUÍDO",IF(AC14=0,IF(AB14=0,"PROJETO NÃO INICIADO","FALTA DE ACOMPANHAMENTO"),IF(AC14&gt;AB14,"ADIANTADO",IF(AC14=AB14,"CONFORME PLANEJADO","ATRASO")))))</f>
        <v>ATRASO</v>
      </c>
      <c r="AE14" s="376">
        <v>1</v>
      </c>
      <c r="AF14" s="47" t="s">
        <v>1341</v>
      </c>
      <c r="AG14" s="47"/>
      <c r="AH14" s="47"/>
      <c r="AI14" s="47"/>
      <c r="AJ14" s="47"/>
      <c r="AK14" s="47"/>
      <c r="AL14" s="47"/>
      <c r="AN14" s="47"/>
    </row>
    <row r="15" spans="1:41" ht="20.100000000000001" customHeight="1" x14ac:dyDescent="0.3">
      <c r="A15" s="47"/>
      <c r="B15" s="47"/>
      <c r="C15" s="47"/>
      <c r="D15" s="47"/>
      <c r="E15" s="47"/>
      <c r="F15" s="1032" t="s">
        <v>90</v>
      </c>
      <c r="G15" s="967">
        <f>SUMIF($B$55:$B$114,F15,$N$55:$N$114)</f>
        <v>0</v>
      </c>
      <c r="I15" s="47"/>
      <c r="J15" s="47"/>
      <c r="K15" s="47"/>
      <c r="L15" s="47"/>
      <c r="M15" s="47"/>
      <c r="N15" s="47"/>
      <c r="O15" s="377">
        <v>10</v>
      </c>
      <c r="P15" s="377" t="str">
        <f t="shared" si="0"/>
        <v>Redução de custo</v>
      </c>
      <c r="Q15" s="378">
        <f t="shared" si="5"/>
        <v>200000.00200000001</v>
      </c>
      <c r="R15" s="466">
        <f t="shared" si="1"/>
        <v>0</v>
      </c>
      <c r="S15" s="535" t="str">
        <f t="shared" si="2"/>
        <v>Em analise</v>
      </c>
      <c r="T15" s="544" cm="1">
        <f t="array" aca="1" ref="T15" ca="1">SUMPRODUCT(($C$55:$C$161=U15)*(S$54:$AG$54&lt;=TODAY())*(ISNUMBER(R$56:$AF$162)),R$56:$AF$162)</f>
        <v>0.85</v>
      </c>
      <c r="U15" s="1515" t="str">
        <f t="shared" si="3"/>
        <v>12 - Sistema hidráulico 3500T</v>
      </c>
      <c r="V15" s="1515"/>
      <c r="W15" s="1515"/>
      <c r="X15" s="1515"/>
      <c r="Y15" s="1515"/>
      <c r="Z15" s="379">
        <f>Pareto!D13</f>
        <v>4.0933895834129284E-2</v>
      </c>
      <c r="AA15" s="380">
        <f>Pareto!E13</f>
        <v>0.59150777855029713</v>
      </c>
      <c r="AB15" s="384" cm="1">
        <f t="array" aca="1" ref="AB15" ca="1">IFERROR(INDEX($R$55:$R$114,MATCH(1,($AN$55:$AN$114=U15)*($Q$55:$Q$114="Previsto"), 0) ), "")</f>
        <v>1</v>
      </c>
      <c r="AC15" s="384" cm="1">
        <f t="array" ref="AC15">IFERROR(INDEX($R$55:$R$114,MATCH(1,($AN$55:$AN$114=U15)*($Q$55:$Q$114="Real"), 0) ), "")</f>
        <v>0.85</v>
      </c>
      <c r="AD15" s="401" t="str">
        <f t="shared" ca="1" si="8"/>
        <v>ATRASO</v>
      </c>
      <c r="AE15" s="381">
        <v>0.5</v>
      </c>
      <c r="AF15" s="47" t="s">
        <v>1341</v>
      </c>
      <c r="AG15" s="47"/>
      <c r="AH15" s="47"/>
      <c r="AI15" s="47"/>
      <c r="AJ15" s="47"/>
      <c r="AK15" s="47"/>
      <c r="AL15" s="47"/>
      <c r="AN15" s="47"/>
    </row>
    <row r="16" spans="1:41" ht="20.100000000000001" customHeight="1" x14ac:dyDescent="0.3">
      <c r="A16" s="47"/>
      <c r="B16" s="47"/>
      <c r="C16" s="47"/>
      <c r="D16" s="47"/>
      <c r="E16" s="47"/>
      <c r="F16" s="1032" t="s">
        <v>91</v>
      </c>
      <c r="G16" s="967">
        <f>SUMIF($B$55:$B$114,F16,$N$55:$N$114)</f>
        <v>962886.72</v>
      </c>
      <c r="H16" s="47"/>
      <c r="I16" s="47"/>
      <c r="J16" s="47"/>
      <c r="K16" s="47"/>
      <c r="L16" s="47"/>
      <c r="M16" s="47"/>
      <c r="N16" s="47"/>
      <c r="O16" s="372">
        <v>11</v>
      </c>
      <c r="P16" s="372" t="str">
        <f t="shared" si="0"/>
        <v>Kaizen</v>
      </c>
      <c r="Q16" s="373">
        <f t="shared" si="5"/>
        <v>195000</v>
      </c>
      <c r="R16" s="465">
        <f t="shared" si="1"/>
        <v>0</v>
      </c>
      <c r="S16" s="534" t="str">
        <f t="shared" si="2"/>
        <v>Em analise</v>
      </c>
      <c r="T16" s="543" cm="1">
        <f t="array" aca="1" ref="T16" ca="1">SUMPRODUCT(($C$55:$C$161=U16)*(S$54:$AG$54&lt;=TODAY())*(ISNUMBER(R$56:$AF$162)),R$56:$AF$162)</f>
        <v>0.7</v>
      </c>
      <c r="U16" s="1495" t="str">
        <f t="shared" si="3"/>
        <v>09 - Critério para descarte de consumíveis</v>
      </c>
      <c r="V16" s="1495"/>
      <c r="W16" s="1495"/>
      <c r="X16" s="1495"/>
      <c r="Y16" s="1495"/>
      <c r="Z16" s="374">
        <f>Pareto!D14</f>
        <v>3.4616402396726663E-2</v>
      </c>
      <c r="AA16" s="375">
        <f>Pareto!E14</f>
        <v>0.62612418094702382</v>
      </c>
      <c r="AB16" s="383" cm="1">
        <f t="array" aca="1" ref="AB16" ca="1">IFERROR(INDEX($R$55:$R$114,MATCH(1,($AN$55:$AN$114=U16)*($Q$55:$Q$114="Previsto"), 0) ), "")</f>
        <v>0.73717948717948723</v>
      </c>
      <c r="AC16" s="383" cm="1">
        <f t="array" ref="AC16">IFERROR(INDEX($R$55:$R$114,MATCH(1,($AN$55:$AN$114=U16)*($Q$55:$Q$114="Real"), 0) ), "")</f>
        <v>0.7</v>
      </c>
      <c r="AD16" s="400" t="str">
        <f t="shared" ca="1" si="8"/>
        <v>ATRASO</v>
      </c>
      <c r="AE16" s="376">
        <v>1</v>
      </c>
      <c r="AF16" s="47" t="s">
        <v>1334</v>
      </c>
      <c r="AG16" s="47"/>
      <c r="AH16" s="47"/>
      <c r="AI16" s="47"/>
      <c r="AJ16" s="47"/>
      <c r="AK16" s="47"/>
      <c r="AL16" s="47"/>
      <c r="AN16" s="47"/>
    </row>
    <row r="17" spans="1:40" ht="20.100000000000001" customHeight="1" x14ac:dyDescent="0.3">
      <c r="A17" s="47"/>
      <c r="B17" s="47"/>
      <c r="C17" s="47"/>
      <c r="D17" s="47"/>
      <c r="E17" s="47"/>
      <c r="F17" s="1032" t="s">
        <v>93</v>
      </c>
      <c r="G17" s="967">
        <f>SUMIF($B$55:$B$114,F17,$N$55:$N$114)</f>
        <v>1236189.08</v>
      </c>
      <c r="H17" s="47"/>
      <c r="I17" s="47"/>
      <c r="J17" s="47"/>
      <c r="K17" s="47"/>
      <c r="L17" s="47"/>
      <c r="M17" s="47"/>
      <c r="N17" s="47"/>
      <c r="O17" s="377">
        <v>12</v>
      </c>
      <c r="P17" s="377" t="str">
        <f t="shared" si="0"/>
        <v>Kaizen</v>
      </c>
      <c r="Q17" s="378">
        <f t="shared" si="5"/>
        <v>165000</v>
      </c>
      <c r="R17" s="466">
        <f t="shared" si="1"/>
        <v>0</v>
      </c>
      <c r="S17" s="535" t="str">
        <f t="shared" si="2"/>
        <v>Em analise</v>
      </c>
      <c r="T17" s="544" cm="1">
        <f t="array" aca="1" ref="T17" ca="1">SUMPRODUCT(($C$55:$C$161=U17)*(S$54:$AG$54&lt;=TODAY())*(ISNUMBER(R$56:$AF$162)),R$56:$AF$162)</f>
        <v>1</v>
      </c>
      <c r="U17" s="1495" t="str">
        <f t="shared" si="3"/>
        <v xml:space="preserve">13 - Transferência Hasenclaver para o plasma </v>
      </c>
      <c r="V17" s="1495"/>
      <c r="W17" s="1495"/>
      <c r="X17" s="1495"/>
      <c r="Y17" s="1495"/>
      <c r="Z17" s="379">
        <f>Pareto!D15</f>
        <v>2.924783109002432E-2</v>
      </c>
      <c r="AA17" s="380">
        <f>Pareto!E15</f>
        <v>0.65537201203704809</v>
      </c>
      <c r="AB17" s="384" cm="1">
        <f t="array" aca="1" ref="AB17" ca="1">IFERROR(INDEX($R$55:$R$114,MATCH(1,($AN$55:$AN$114=U17)*($Q$55:$Q$114="Previsto"), 0) ), "")</f>
        <v>1</v>
      </c>
      <c r="AC17" s="384" cm="1">
        <f t="array" ref="AC17">IFERROR(INDEX($R$55:$R$114,MATCH(1,($AN$55:$AN$114=U17)*($Q$55:$Q$114="Real"), 0) ), "")</f>
        <v>1</v>
      </c>
      <c r="AD17" s="401" t="str">
        <f t="shared" ca="1" si="8"/>
        <v>CONCLUÍDO</v>
      </c>
      <c r="AE17" s="381">
        <v>1</v>
      </c>
      <c r="AF17" s="47" t="s">
        <v>1334</v>
      </c>
      <c r="AG17" s="47"/>
      <c r="AH17" s="47"/>
      <c r="AI17" s="47"/>
      <c r="AJ17" s="47"/>
      <c r="AK17" s="47"/>
      <c r="AL17" s="47"/>
      <c r="AN17" s="47"/>
    </row>
    <row r="18" spans="1:40" ht="20.100000000000001" customHeight="1" x14ac:dyDescent="0.3">
      <c r="A18" s="47"/>
      <c r="B18" s="47"/>
      <c r="C18" s="47"/>
      <c r="D18" s="47"/>
      <c r="E18" s="47"/>
      <c r="F18" s="1032" t="s">
        <v>94</v>
      </c>
      <c r="G18" s="967">
        <f>SUMIF($B$55:$B$114,F18,$N$55:$N$114)</f>
        <v>0</v>
      </c>
      <c r="H18" s="47"/>
      <c r="I18" s="47"/>
      <c r="J18" s="47"/>
      <c r="K18" s="47"/>
      <c r="L18" s="47"/>
      <c r="M18" s="47"/>
      <c r="N18" s="47"/>
      <c r="O18" s="372">
        <v>13</v>
      </c>
      <c r="P18" s="372" t="str">
        <f t="shared" si="0"/>
        <v>Redução de custo</v>
      </c>
      <c r="Q18" s="373">
        <f t="shared" si="5"/>
        <v>150000.00090000001</v>
      </c>
      <c r="R18" s="465">
        <f t="shared" si="1"/>
        <v>123686</v>
      </c>
      <c r="S18" s="534">
        <f t="shared" si="2"/>
        <v>46023</v>
      </c>
      <c r="T18" s="543" cm="1">
        <f t="array" aca="1" ref="T18" ca="1">SUMPRODUCT(($C$55:$C$161=U18)*(S$54:$AG$54&lt;=TODAY())*(ISNUMBER(R$56:$AF$162)),R$56:$AF$162)</f>
        <v>50665.950000000012</v>
      </c>
      <c r="U18" s="1495" t="str">
        <f t="shared" si="3"/>
        <v>14 - Consumo de EPI's</v>
      </c>
      <c r="V18" s="1495"/>
      <c r="W18" s="1495"/>
      <c r="X18" s="1495"/>
      <c r="Y18" s="1495"/>
      <c r="Z18" s="374">
        <f>Pareto!D16</f>
        <v>2.488053922264729E-2</v>
      </c>
      <c r="AA18" s="375">
        <f>Pareto!E16</f>
        <v>0.68025255125969541</v>
      </c>
      <c r="AB18" s="383" cm="1">
        <f t="array" aca="1" ref="AB18" ca="1">IFERROR(INDEX($R$55:$R$114,MATCH(1,($AN$55:$AN$114=U18)*($Q$55:$Q$114="Previsto"), 0) ), "")</f>
        <v>1</v>
      </c>
      <c r="AC18" s="383" cm="1">
        <f t="array" ref="AC18">IFERROR(INDEX($R$55:$R$114,MATCH(1,($AN$55:$AN$114=U18)*($Q$55:$Q$114="Real"), 0) ), "")</f>
        <v>1</v>
      </c>
      <c r="AD18" s="400" t="str">
        <f t="shared" ca="1" si="8"/>
        <v>CONCLUÍDO</v>
      </c>
      <c r="AE18" s="376">
        <v>1</v>
      </c>
      <c r="AF18" s="47" t="s">
        <v>1334</v>
      </c>
      <c r="AG18" s="47"/>
      <c r="AH18" s="47"/>
      <c r="AI18" s="47"/>
      <c r="AJ18" s="47"/>
      <c r="AK18" s="47"/>
      <c r="AL18" s="47"/>
      <c r="AN18" s="47"/>
    </row>
    <row r="19" spans="1:40" ht="20.100000000000001" customHeight="1" x14ac:dyDescent="0.3">
      <c r="A19" s="47"/>
      <c r="B19" s="47"/>
      <c r="C19" s="47"/>
      <c r="D19" s="47"/>
      <c r="E19" s="47"/>
      <c r="F19" s="1032"/>
      <c r="G19" s="59"/>
      <c r="H19" s="47"/>
      <c r="I19" s="47"/>
      <c r="J19" s="47"/>
      <c r="K19" s="47"/>
      <c r="L19" s="47"/>
      <c r="M19" s="47"/>
      <c r="N19" s="47"/>
      <c r="O19" s="377">
        <v>14</v>
      </c>
      <c r="P19" s="377" t="str">
        <f t="shared" si="0"/>
        <v>Kaizen</v>
      </c>
      <c r="Q19" s="378">
        <f t="shared" si="5"/>
        <v>90000</v>
      </c>
      <c r="R19" s="466">
        <f t="shared" si="1"/>
        <v>0</v>
      </c>
      <c r="S19" s="535" t="str">
        <f t="shared" si="2"/>
        <v>Em analise</v>
      </c>
      <c r="T19" s="544" cm="1">
        <f t="array" aca="1" ref="T19" ca="1">SUMPRODUCT(($C$55:$C$161=U19)*(S$54:$AG$54&lt;=TODAY())*(ISNUMBER(R$56:$AF$162)),R$56:$AF$162)</f>
        <v>0</v>
      </c>
      <c r="U19" s="1495" t="str">
        <f t="shared" si="3"/>
        <v>15 - Enclausuramento do jato granalha</v>
      </c>
      <c r="V19" s="1495"/>
      <c r="W19" s="1495"/>
      <c r="X19" s="1495"/>
      <c r="Y19" s="1495"/>
      <c r="Z19" s="379">
        <f>Pareto!D17</f>
        <v>2.2933366587831416E-2</v>
      </c>
      <c r="AA19" s="380">
        <f>Pareto!E17</f>
        <v>0.70318591784752682</v>
      </c>
      <c r="AB19" s="384" t="str" cm="1">
        <f t="array" aca="1" ref="AB19" ca="1">IFERROR(INDEX($R$55:$R$114,MATCH(1,($AN$55:$AN$114=U19)*($Q$55:$Q$114="Previsto"), 0) ), "")</f>
        <v/>
      </c>
      <c r="AC19" s="384" cm="1">
        <f t="array" ref="AC19">IFERROR(INDEX($R$55:$R$114,MATCH(1,($AN$55:$AN$114=U19)*($Q$55:$Q$114="Real"), 0) ), "")</f>
        <v>0</v>
      </c>
      <c r="AD19" s="401" t="str">
        <f t="shared" ca="1" si="8"/>
        <v/>
      </c>
      <c r="AE19" s="381">
        <v>0.5</v>
      </c>
      <c r="AF19" s="47"/>
      <c r="AG19" s="47" t="s">
        <v>1338</v>
      </c>
      <c r="AH19" s="47"/>
      <c r="AI19" s="47"/>
      <c r="AJ19" s="47"/>
      <c r="AK19" s="47"/>
      <c r="AL19" s="47"/>
      <c r="AN19" s="47"/>
    </row>
    <row r="20" spans="1:40" ht="20.100000000000001" customHeight="1" x14ac:dyDescent="0.3">
      <c r="A20" s="47"/>
      <c r="B20" s="47"/>
      <c r="C20" s="47"/>
      <c r="D20" s="47"/>
      <c r="E20" s="47"/>
      <c r="F20" s="47"/>
      <c r="G20" s="59"/>
      <c r="H20" s="47"/>
      <c r="I20" s="47"/>
      <c r="J20" s="47"/>
      <c r="K20" s="47"/>
      <c r="L20" s="47"/>
      <c r="M20" s="47"/>
      <c r="N20" s="47"/>
      <c r="O20" s="372">
        <v>15</v>
      </c>
      <c r="P20" s="372"/>
      <c r="Q20" s="373">
        <f t="shared" si="5"/>
        <v>69600</v>
      </c>
      <c r="R20" s="465">
        <f t="shared" si="1"/>
        <v>0</v>
      </c>
      <c r="S20" s="534" t="str">
        <f t="shared" si="2"/>
        <v>Em analise</v>
      </c>
      <c r="T20" s="543" cm="1">
        <f t="array" aca="1" ref="T20" ca="1">SUMPRODUCT(($C$55:$C$161=U20)*(S$54:$AG$54&lt;=TODAY())*(ISNUMBER(R$56:$AF$162)),R$56:$AF$162)</f>
        <v>1</v>
      </c>
      <c r="U20" s="1496" t="str">
        <f t="shared" si="3"/>
        <v xml:space="preserve">23 - Devolução das máquinas de solda alugadas </v>
      </c>
      <c r="V20" s="1496"/>
      <c r="W20" s="1496"/>
      <c r="X20" s="1496"/>
      <c r="Y20" s="1496"/>
      <c r="Z20" s="374">
        <f>Pareto!D18</f>
        <v>2.0769841438036001E-2</v>
      </c>
      <c r="AA20" s="375">
        <f>Pareto!E18</f>
        <v>0.72395575928556277</v>
      </c>
      <c r="AB20" s="383" cm="1">
        <f t="array" aca="1" ref="AB20" ca="1">IFERROR(INDEX($R$55:$R$114,MATCH(1,($AN$55:$AN$114=U20)*($Q$55:$Q$114="Previsto"), 0) ), "")</f>
        <v>1</v>
      </c>
      <c r="AC20" s="383" cm="1">
        <f t="array" ref="AC20">IFERROR(INDEX($R$55:$R$114,MATCH(1,($AN$55:$AN$114=U20)*($Q$55:$Q$114="Real"), 0) ), "")</f>
        <v>1</v>
      </c>
      <c r="AD20" s="400" t="str">
        <f t="shared" ca="1" si="8"/>
        <v>CONCLUÍDO</v>
      </c>
      <c r="AE20" s="376">
        <v>1</v>
      </c>
      <c r="AF20" s="47" t="s">
        <v>1339</v>
      </c>
      <c r="AG20" s="47"/>
      <c r="AH20" s="47"/>
      <c r="AI20" s="47"/>
      <c r="AJ20" s="47"/>
      <c r="AK20" s="47"/>
      <c r="AL20" s="47"/>
      <c r="AN20" s="47"/>
    </row>
    <row r="21" spans="1:40" ht="20.100000000000001" customHeight="1" x14ac:dyDescent="0.3">
      <c r="A21" s="47"/>
      <c r="B21" s="47"/>
      <c r="C21" s="47"/>
      <c r="D21" s="47"/>
      <c r="E21" s="47"/>
      <c r="F21" s="47"/>
      <c r="G21" s="59"/>
      <c r="H21" s="47"/>
      <c r="I21" s="47"/>
      <c r="J21" s="47"/>
      <c r="K21" s="47"/>
      <c r="L21" s="47"/>
      <c r="M21" s="47"/>
      <c r="N21" s="47"/>
      <c r="O21" s="377">
        <v>16</v>
      </c>
      <c r="P21" s="377" t="str">
        <f>_xlfn.XLOOKUP(U21,$C$55:$C$114,$A$55:$A$114)</f>
        <v>Redução de custo</v>
      </c>
      <c r="Q21" s="378">
        <f t="shared" si="5"/>
        <v>60000.008000000002</v>
      </c>
      <c r="R21" s="466">
        <f t="shared" si="1"/>
        <v>33025.72</v>
      </c>
      <c r="S21" s="535">
        <f t="shared" si="2"/>
        <v>46204</v>
      </c>
      <c r="T21" s="544" cm="1">
        <f t="array" aca="1" ref="T21" ca="1">SUMPRODUCT(($C$55:$C$161=U21)*(S$54:$AG$54&lt;=TODAY())*(ISNUMBER(R$56:$AF$162)),R$56:$AF$162)</f>
        <v>1</v>
      </c>
      <c r="U21" s="1495" t="str">
        <f t="shared" si="3"/>
        <v>20 - Limpador de grelha</v>
      </c>
      <c r="V21" s="1495"/>
      <c r="W21" s="1495"/>
      <c r="X21" s="1495"/>
      <c r="Y21" s="1495"/>
      <c r="Z21" s="379">
        <f>Pareto!D19</f>
        <v>2.0012607635607603E-2</v>
      </c>
      <c r="AA21" s="380">
        <f>Pareto!E19</f>
        <v>0.74396836692117041</v>
      </c>
      <c r="AB21" s="384" cm="1">
        <f t="array" aca="1" ref="AB21" ca="1">IFERROR(INDEX($R$55:$R$114,MATCH(1,($AN$55:$AN$114=U21)*($Q$55:$Q$114="Previsto"), 0) ), "")</f>
        <v>1</v>
      </c>
      <c r="AC21" s="384" cm="1">
        <f t="array" ref="AC21">IFERROR(INDEX($R$55:$R$114,MATCH(1,($AN$55:$AN$114=U21)*($Q$55:$Q$114="Real"), 0) ), "")</f>
        <v>1</v>
      </c>
      <c r="AD21" s="401" t="str">
        <f t="shared" ca="1" si="8"/>
        <v>CONCLUÍDO</v>
      </c>
      <c r="AE21" s="381">
        <v>1</v>
      </c>
      <c r="AF21" s="47" t="s">
        <v>1334</v>
      </c>
      <c r="AG21" s="47"/>
      <c r="AH21" s="47"/>
      <c r="AI21" s="47"/>
      <c r="AJ21" s="47"/>
      <c r="AK21" s="47"/>
      <c r="AL21" s="47"/>
      <c r="AN21" s="47"/>
    </row>
    <row r="22" spans="1:40" ht="20.100000000000001" customHeight="1" x14ac:dyDescent="0.3">
      <c r="A22" s="47"/>
      <c r="B22" s="47"/>
      <c r="C22" s="47"/>
      <c r="D22" s="47"/>
      <c r="E22" s="47"/>
      <c r="F22" s="47"/>
      <c r="G22" s="59"/>
      <c r="H22" s="47"/>
      <c r="I22" s="47"/>
      <c r="J22" s="47"/>
      <c r="K22" s="47"/>
      <c r="L22" s="47"/>
      <c r="M22" s="47"/>
      <c r="N22" s="47"/>
      <c r="O22" s="372">
        <v>17</v>
      </c>
      <c r="P22" s="372" t="str">
        <f>_xlfn.XLOOKUP(U22,$C$55:$C$114,$A$55:$A$114)</f>
        <v>Redução de custo</v>
      </c>
      <c r="Q22" s="373">
        <f t="shared" si="5"/>
        <v>55000</v>
      </c>
      <c r="R22" s="465">
        <f t="shared" si="1"/>
        <v>0</v>
      </c>
      <c r="S22" s="534" t="str">
        <f t="shared" si="2"/>
        <v>Em analise</v>
      </c>
      <c r="T22" s="543" cm="1">
        <f t="array" aca="1" ref="T22" ca="1">SUMPRODUCT(($C$55:$C$161=U22)*(S$54:$AG$54&lt;=TODAY())*(ISNUMBER(R$56:$AF$162)),R$56:$AF$162)</f>
        <v>0</v>
      </c>
      <c r="U22" s="1495" t="str">
        <f t="shared" si="3"/>
        <v>19 - Insumos logística</v>
      </c>
      <c r="V22" s="1495"/>
      <c r="W22" s="1495"/>
      <c r="X22" s="1495"/>
      <c r="Y22" s="1495"/>
      <c r="Z22" s="374">
        <f>Pareto!D20</f>
        <v>1.9731349366134198E-2</v>
      </c>
      <c r="AA22" s="375">
        <f>Pareto!E20</f>
        <v>0.7636997162873046</v>
      </c>
      <c r="AB22" s="383" cm="1">
        <f t="array" aca="1" ref="AB22" ca="1">IFERROR(INDEX($R$55:$R$114,MATCH(1,($AN$55:$AN$114=U22)*($Q$55:$Q$114="Previsto"), 0) ), "")</f>
        <v>1</v>
      </c>
      <c r="AC22" s="383" cm="1">
        <f t="array" ref="AC22">IFERROR(INDEX($R$55:$R$114,MATCH(1,($AN$55:$AN$114=U22)*($Q$55:$Q$114="Real"), 0) ), "")</f>
        <v>0</v>
      </c>
      <c r="AD22" s="400" t="str">
        <f t="shared" ca="1" si="8"/>
        <v>FALTA DE ACOMPANHAMENTO</v>
      </c>
      <c r="AE22" s="376">
        <v>1</v>
      </c>
      <c r="AF22" s="47" t="s">
        <v>1334</v>
      </c>
      <c r="AG22" s="47"/>
      <c r="AH22" s="47"/>
      <c r="AI22" s="47"/>
      <c r="AJ22" s="47"/>
      <c r="AK22" s="47"/>
      <c r="AL22" s="47"/>
      <c r="AN22" s="47"/>
    </row>
    <row r="23" spans="1:40" ht="20.100000000000001" customHeight="1" x14ac:dyDescent="0.3">
      <c r="A23" s="47"/>
      <c r="B23" s="47"/>
      <c r="C23" s="47"/>
      <c r="D23" s="47"/>
      <c r="E23" s="47"/>
      <c r="F23" s="47"/>
      <c r="G23" s="59"/>
      <c r="H23" s="47"/>
      <c r="I23" s="47"/>
      <c r="J23" s="47"/>
      <c r="K23" s="47"/>
      <c r="L23" s="47"/>
      <c r="M23" s="47"/>
      <c r="N23" s="47"/>
      <c r="O23" s="377">
        <v>18</v>
      </c>
      <c r="P23" s="377" t="str">
        <f>_xlfn.XLOOKUP(U23,$C$55:$C$114,$A$55:$A$114)</f>
        <v>Redução de custo</v>
      </c>
      <c r="Q23" s="378">
        <f t="shared" si="5"/>
        <v>40400</v>
      </c>
      <c r="R23" s="466">
        <f t="shared" si="1"/>
        <v>0</v>
      </c>
      <c r="S23" s="535" t="str">
        <f t="shared" si="2"/>
        <v>Em analise</v>
      </c>
      <c r="T23" s="544" cm="1">
        <f t="array" aca="1" ref="T23" ca="1">SUMPRODUCT(($C$55:$C$161=U23)*(S$54:$AG$54&lt;=TODAY())*(ISNUMBER(R$56:$AF$162)),R$56:$AF$162)</f>
        <v>0</v>
      </c>
      <c r="U23" s="1497" t="str">
        <f t="shared" si="3"/>
        <v xml:space="preserve">24 - Aquisição do equipamento de ultrassom </v>
      </c>
      <c r="V23" s="1498"/>
      <c r="W23" s="1498"/>
      <c r="X23" s="1498"/>
      <c r="Y23" s="1499"/>
      <c r="Z23" s="379">
        <f>Pareto!D21</f>
        <v>1.9471726348180167E-2</v>
      </c>
      <c r="AA23" s="380">
        <f>Pareto!E21</f>
        <v>0.78317144263548477</v>
      </c>
      <c r="AB23" s="384" t="str" cm="1">
        <f t="array" aca="1" ref="AB23" ca="1">IFERROR(INDEX($R$55:$R$114,MATCH(1,($AN$55:$AN$114=U23)*($Q$55:$Q$114="Previsto"), 0) ), "")</f>
        <v/>
      </c>
      <c r="AC23" s="384" cm="1">
        <f t="array" ref="AC23">IFERROR(INDEX($R$55:$R$114,MATCH(1,($AN$55:$AN$114=U23)*($Q$55:$Q$114="Real"), 0) ), "")</f>
        <v>0</v>
      </c>
      <c r="AD23" s="401" t="str">
        <f t="shared" ca="1" si="8"/>
        <v/>
      </c>
      <c r="AE23" s="381">
        <v>0</v>
      </c>
      <c r="AF23" s="47" t="s">
        <v>1342</v>
      </c>
      <c r="AG23" s="47"/>
      <c r="AH23" s="47"/>
      <c r="AI23" s="47"/>
      <c r="AJ23" s="47"/>
      <c r="AK23" s="47"/>
      <c r="AL23" s="47"/>
      <c r="AN23" s="47"/>
    </row>
    <row r="24" spans="1:40" ht="20.100000000000001" customHeight="1" x14ac:dyDescent="0.3">
      <c r="A24" s="47"/>
      <c r="B24" s="47"/>
      <c r="C24" s="47"/>
      <c r="D24" s="47"/>
      <c r="E24" s="47"/>
      <c r="F24" s="47"/>
      <c r="G24" s="59"/>
      <c r="H24" s="47"/>
      <c r="I24" s="47"/>
      <c r="J24" s="47"/>
      <c r="K24" s="47"/>
      <c r="L24" s="47"/>
      <c r="M24" s="47"/>
      <c r="N24" s="47"/>
      <c r="O24" s="372">
        <v>19</v>
      </c>
      <c r="P24" s="372" t="str">
        <f>_xlfn.XLOOKUP(U24,$C$55:$C$114,$A$55:$A$114)</f>
        <v>Kaizen</v>
      </c>
      <c r="Q24" s="373">
        <f t="shared" si="5"/>
        <v>12000</v>
      </c>
      <c r="R24" s="465">
        <f t="shared" si="1"/>
        <v>0</v>
      </c>
      <c r="S24" s="534" t="str">
        <f t="shared" si="2"/>
        <v>Em analise</v>
      </c>
      <c r="T24" s="543" cm="1">
        <f t="array" aca="1" ref="T24" ca="1">SUMPRODUCT(($C$55:$C$161=U24)*(S$54:$AG$54&lt;=TODAY())*(ISNUMBER(R$56:$AF$162)),R$56:$AF$162)</f>
        <v>1</v>
      </c>
      <c r="U24" s="1497" t="str">
        <f t="shared" si="3"/>
        <v xml:space="preserve">22 - Tablet - Dobradeira </v>
      </c>
      <c r="V24" s="1498"/>
      <c r="W24" s="1498"/>
      <c r="X24" s="1498"/>
      <c r="Y24" s="1499"/>
      <c r="Z24" s="374">
        <f>Pareto!D22</f>
        <v>1.4711971018608832E-2</v>
      </c>
      <c r="AA24" s="375">
        <f>Pareto!E22</f>
        <v>0.79788341365409365</v>
      </c>
      <c r="AB24" s="383" cm="1">
        <f t="array" aca="1" ref="AB24" ca="1">IFERROR(INDEX($R$55:$R$114,MATCH(1,($AN$55:$AN$114=U24)*($Q$55:$Q$114="Previsto"), 0) ), "")</f>
        <v>1</v>
      </c>
      <c r="AC24" s="383" cm="1">
        <f t="array" ref="AC24">IFERROR(INDEX($R$55:$R$114,MATCH(1,($AN$55:$AN$114=U24)*($Q$55:$Q$114="Real"), 0) ), "")</f>
        <v>1</v>
      </c>
      <c r="AD24" s="400" t="str">
        <f t="shared" ca="1" si="8"/>
        <v>CONCLUÍDO</v>
      </c>
      <c r="AE24" s="376">
        <v>1</v>
      </c>
      <c r="AF24" s="47" t="s">
        <v>1343</v>
      </c>
      <c r="AG24" s="47"/>
      <c r="AH24" s="47"/>
      <c r="AI24" s="47"/>
      <c r="AJ24" s="47"/>
      <c r="AK24" s="47"/>
      <c r="AL24" s="47"/>
      <c r="AN24" s="47"/>
    </row>
    <row r="25" spans="1:40" ht="20.100000000000001" customHeight="1" x14ac:dyDescent="0.3">
      <c r="A25" s="47"/>
      <c r="B25" s="47"/>
      <c r="C25" s="47"/>
      <c r="D25" s="47"/>
      <c r="E25" s="47"/>
      <c r="F25" s="47"/>
      <c r="G25" s="59"/>
      <c r="H25" s="47"/>
      <c r="I25" s="47"/>
      <c r="J25" s="47"/>
      <c r="K25" s="47"/>
      <c r="L25" s="47"/>
      <c r="M25" s="47"/>
      <c r="N25" s="47"/>
      <c r="O25" s="377">
        <v>20</v>
      </c>
      <c r="P25" s="377" t="str">
        <f>_xlfn.XLOOKUP(U25,$C$55:$C$114,$A$55:$A$114)</f>
        <v>Kaizen</v>
      </c>
      <c r="Q25" s="378">
        <f t="shared" si="5"/>
        <v>7000.0001561649997</v>
      </c>
      <c r="R25" s="466">
        <f t="shared" si="1"/>
        <v>6800</v>
      </c>
      <c r="S25" s="535">
        <f t="shared" si="2"/>
        <v>46113</v>
      </c>
      <c r="T25" s="544" cm="1">
        <f t="array" aca="1" ref="T25" ca="1">SUMPRODUCT(($C$55:$C$161=U25)*(S$54:$AG$54&lt;=TODAY())*(ISNUMBER(R$56:$AF$162)),R$56:$AF$162)</f>
        <v>1</v>
      </c>
      <c r="U25" s="1497" t="str">
        <f t="shared" si="3"/>
        <v xml:space="preserve">02 - Eficiência dos planos de corte </v>
      </c>
      <c r="V25" s="1498"/>
      <c r="W25" s="1498"/>
      <c r="X25" s="1498"/>
      <c r="Y25" s="1499"/>
      <c r="Z25" s="379">
        <f>Pareto!D23</f>
        <v>1.3760019952698849E-2</v>
      </c>
      <c r="AA25" s="380">
        <f>Pareto!E23</f>
        <v>0.81164343360679247</v>
      </c>
      <c r="AB25" s="384" cm="1">
        <f t="array" aca="1" ref="AB25" ca="1">IFERROR(INDEX($R$55:$R$114,MATCH(1,($AN$55:$AN$114=U25)*($Q$55:$Q$114="Previsto"), 0) ), "")</f>
        <v>0.47039473684210525</v>
      </c>
      <c r="AC25" s="384" cm="1">
        <f t="array" ref="AC25">IFERROR(INDEX($R$55:$R$114,MATCH(1,($AN$55:$AN$114=U25)*($Q$55:$Q$114="Real"), 0) ), "")</f>
        <v>1</v>
      </c>
      <c r="AD25" s="401" t="str">
        <f t="shared" ca="1" si="8"/>
        <v>CONCLUÍDO</v>
      </c>
      <c r="AE25" s="381">
        <v>1</v>
      </c>
      <c r="AF25" s="47" t="s">
        <v>1344</v>
      </c>
      <c r="AG25" s="47"/>
      <c r="AH25" s="47"/>
      <c r="AI25" s="47"/>
      <c r="AJ25" s="47"/>
      <c r="AK25" s="47"/>
      <c r="AL25" s="47"/>
      <c r="AN25" s="47"/>
    </row>
    <row r="26" spans="1:40" ht="20.100000000000001" customHeight="1" x14ac:dyDescent="0.3">
      <c r="A26" s="47"/>
      <c r="B26" s="47"/>
      <c r="C26" s="47"/>
      <c r="D26" s="47"/>
      <c r="E26" s="47"/>
      <c r="F26" s="47"/>
      <c r="G26" s="59"/>
      <c r="H26" s="47"/>
      <c r="I26" s="47"/>
      <c r="J26" s="47"/>
      <c r="K26" s="47"/>
      <c r="L26" s="47"/>
      <c r="M26" s="47"/>
      <c r="N26" s="47"/>
      <c r="O26" s="1079" t="s">
        <v>133</v>
      </c>
      <c r="P26" s="1080"/>
      <c r="Q26" s="435">
        <f>SUM(Q6:Q25)</f>
        <v>7884000.0258561671</v>
      </c>
      <c r="R26" s="435">
        <f>SUM(R6:R25)</f>
        <v>2199075.8000000003</v>
      </c>
      <c r="S26" s="47"/>
      <c r="T26" s="435">
        <f ca="1">SUM(T6:T25)</f>
        <v>1665739.9400000002</v>
      </c>
      <c r="U26" s="47"/>
      <c r="V26" s="47"/>
      <c r="W26" s="47"/>
      <c r="X26" s="47"/>
      <c r="Y26" s="47"/>
      <c r="Z26" s="47"/>
      <c r="AA26" s="47"/>
      <c r="AB26" s="47"/>
      <c r="AC26" s="47"/>
      <c r="AD26" s="47"/>
      <c r="AE26" s="47"/>
      <c r="AF26" s="47"/>
      <c r="AG26" s="47"/>
      <c r="AH26" s="47"/>
      <c r="AI26" s="47"/>
      <c r="AJ26" s="47"/>
      <c r="AK26" s="47"/>
      <c r="AL26" s="47"/>
    </row>
    <row r="27" spans="1:40" ht="15.6" x14ac:dyDescent="0.3">
      <c r="A27" s="63" t="s">
        <v>134</v>
      </c>
      <c r="B27" s="63"/>
      <c r="C27" s="63"/>
      <c r="D27" s="63"/>
      <c r="E27" s="63"/>
      <c r="F27" s="63"/>
      <c r="G27" s="101"/>
      <c r="H27" s="63"/>
      <c r="I27" s="63"/>
      <c r="J27" s="63"/>
      <c r="K27" s="63"/>
      <c r="L27" s="63"/>
      <c r="M27" s="63"/>
      <c r="N27" s="63"/>
      <c r="O27" s="63"/>
      <c r="P27" s="101"/>
      <c r="Q27" s="63"/>
      <c r="R27" s="63"/>
      <c r="S27" s="63"/>
      <c r="T27" s="63"/>
      <c r="U27" s="63"/>
      <c r="V27" s="63"/>
      <c r="W27" s="63"/>
      <c r="X27" s="63"/>
      <c r="Y27" s="63"/>
      <c r="Z27" s="63"/>
      <c r="AA27" s="63"/>
      <c r="AB27" s="63"/>
      <c r="AC27" s="63"/>
      <c r="AD27" s="63"/>
      <c r="AE27" s="63"/>
      <c r="AF27" s="47"/>
      <c r="AG27" s="47"/>
      <c r="AH27" s="47"/>
      <c r="AI27" s="47"/>
      <c r="AJ27" s="47"/>
      <c r="AK27" s="47"/>
      <c r="AL27" s="47"/>
    </row>
    <row r="28" spans="1:40" ht="28.5" customHeight="1" x14ac:dyDescent="0.3">
      <c r="A28" s="64" t="s">
        <v>135</v>
      </c>
      <c r="B28" s="65" t="s">
        <v>31</v>
      </c>
      <c r="C28" s="65" t="s">
        <v>136</v>
      </c>
      <c r="D28" s="65" t="s">
        <v>137</v>
      </c>
      <c r="E28" s="65" t="s">
        <v>138</v>
      </c>
      <c r="F28" s="65" t="s">
        <v>139</v>
      </c>
      <c r="G28" s="65" t="s">
        <v>140</v>
      </c>
      <c r="H28" s="65" t="s">
        <v>141</v>
      </c>
      <c r="I28" s="66" t="s">
        <v>142</v>
      </c>
      <c r="J28" s="65" t="s">
        <v>143</v>
      </c>
      <c r="K28" s="66" t="s">
        <v>144</v>
      </c>
      <c r="L28" s="6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65" t="s">
        <v>163</v>
      </c>
      <c r="AE28" s="172" t="s">
        <v>164</v>
      </c>
      <c r="AF28" s="47"/>
      <c r="AG28" s="47"/>
      <c r="AH28" s="47"/>
      <c r="AI28" s="47"/>
      <c r="AJ28" s="47"/>
      <c r="AK28" s="47"/>
      <c r="AL28" s="47"/>
    </row>
    <row r="29" spans="1:40" x14ac:dyDescent="0.3">
      <c r="A29" s="67" t="s">
        <v>165</v>
      </c>
      <c r="B29" s="68" t="s">
        <v>166</v>
      </c>
      <c r="C29" s="68" t="s">
        <v>1345</v>
      </c>
      <c r="D29" s="69" t="s">
        <v>168</v>
      </c>
      <c r="E29" s="69" t="s">
        <v>893</v>
      </c>
      <c r="F29" s="662">
        <v>0.438</v>
      </c>
      <c r="G29" s="662">
        <v>0.50800000000000001</v>
      </c>
      <c r="H29" s="291">
        <v>0.49199999999999999</v>
      </c>
      <c r="I29" s="69" t="s">
        <v>1346</v>
      </c>
      <c r="J29" s="291">
        <v>0.51600000000000001</v>
      </c>
      <c r="K29" s="69" t="s">
        <v>1346</v>
      </c>
      <c r="L29" s="881">
        <v>0.46500000000000002</v>
      </c>
      <c r="M29" s="69" t="s">
        <v>1346</v>
      </c>
      <c r="N29" s="873">
        <v>0.47799999999999998</v>
      </c>
      <c r="O29" s="69" t="s">
        <v>1346</v>
      </c>
      <c r="P29" s="873">
        <v>0.55000000000000004</v>
      </c>
      <c r="Q29" s="69" t="s">
        <v>1346</v>
      </c>
      <c r="R29" s="69"/>
      <c r="S29" s="69"/>
      <c r="T29" s="69"/>
      <c r="U29" s="69"/>
      <c r="V29" s="69"/>
      <c r="W29" s="69"/>
      <c r="X29" s="69"/>
      <c r="Y29" s="69"/>
      <c r="Z29" s="69"/>
      <c r="AA29" s="69"/>
      <c r="AB29" s="69"/>
      <c r="AC29" s="69"/>
      <c r="AD29" s="69"/>
      <c r="AE29" s="69"/>
      <c r="AF29" s="47"/>
      <c r="AG29" s="47"/>
      <c r="AH29" s="47"/>
      <c r="AI29" s="47"/>
      <c r="AJ29" s="47"/>
      <c r="AK29" s="47"/>
      <c r="AL29" s="47"/>
    </row>
    <row r="30" spans="1:40" x14ac:dyDescent="0.3">
      <c r="A30" s="67" t="s">
        <v>165</v>
      </c>
      <c r="B30" s="68" t="s">
        <v>171</v>
      </c>
      <c r="C30" s="68" t="s">
        <v>167</v>
      </c>
      <c r="D30" s="68" t="s">
        <v>168</v>
      </c>
      <c r="E30" s="68" t="s">
        <v>894</v>
      </c>
      <c r="F30" s="292">
        <v>1.4E-2</v>
      </c>
      <c r="G30" s="199">
        <v>8.0000000000000002E-3</v>
      </c>
      <c r="H30" s="199">
        <v>7.0000000000000001E-3</v>
      </c>
      <c r="I30" s="68" t="s">
        <v>1347</v>
      </c>
      <c r="J30" s="199">
        <v>4.7999999999999996E-3</v>
      </c>
      <c r="K30" s="68" t="s">
        <v>1347</v>
      </c>
      <c r="L30" s="199">
        <v>3.8E-3</v>
      </c>
      <c r="M30" s="68" t="s">
        <v>1347</v>
      </c>
      <c r="N30" s="318">
        <v>0.39</v>
      </c>
      <c r="O30" s="68" t="s">
        <v>1347</v>
      </c>
      <c r="P30" s="199">
        <v>3.3999999999999998E-3</v>
      </c>
      <c r="Q30" s="68" t="s">
        <v>1347</v>
      </c>
      <c r="R30" s="68"/>
      <c r="S30" s="68"/>
      <c r="T30" s="68"/>
      <c r="U30" s="68"/>
      <c r="V30" s="68"/>
      <c r="W30" s="68"/>
      <c r="X30" s="68"/>
      <c r="Y30" s="68"/>
      <c r="Z30" s="68"/>
      <c r="AA30" s="68"/>
      <c r="AB30" s="68"/>
      <c r="AC30" s="68"/>
      <c r="AD30" s="68"/>
      <c r="AE30" s="68"/>
      <c r="AF30" s="47"/>
      <c r="AG30" s="47"/>
      <c r="AH30" s="47"/>
      <c r="AI30" s="47"/>
      <c r="AJ30" s="47"/>
      <c r="AK30" s="47"/>
      <c r="AL30" s="47"/>
    </row>
    <row r="31" spans="1:40" x14ac:dyDescent="0.3">
      <c r="A31" s="67" t="s">
        <v>174</v>
      </c>
      <c r="B31" s="68" t="s">
        <v>896</v>
      </c>
      <c r="C31" s="68" t="s">
        <v>167</v>
      </c>
      <c r="D31" s="68" t="s">
        <v>176</v>
      </c>
      <c r="E31" s="68" t="s">
        <v>893</v>
      </c>
      <c r="F31" s="292">
        <v>0.65</v>
      </c>
      <c r="G31" s="292">
        <v>0.68</v>
      </c>
      <c r="H31" s="292">
        <v>0.63500000000000001</v>
      </c>
      <c r="I31" s="68" t="s">
        <v>1347</v>
      </c>
      <c r="J31" s="318">
        <f>[18]Indicadores!$AK$229</f>
        <v>0.63200000000000001</v>
      </c>
      <c r="K31" s="68" t="s">
        <v>1347</v>
      </c>
      <c r="L31" s="292">
        <v>0.67</v>
      </c>
      <c r="M31" s="68" t="s">
        <v>1347</v>
      </c>
      <c r="N31" s="882">
        <f>N33*N34*N35</f>
        <v>0.62493023999999997</v>
      </c>
      <c r="O31" s="68" t="s">
        <v>1347</v>
      </c>
      <c r="P31" s="199">
        <v>0.65100000000000002</v>
      </c>
      <c r="Q31" s="68" t="s">
        <v>1347</v>
      </c>
      <c r="R31" s="68"/>
      <c r="S31" s="68"/>
      <c r="T31" s="68"/>
      <c r="U31" s="68"/>
      <c r="V31" s="68"/>
      <c r="W31" s="68"/>
      <c r="X31" s="68"/>
      <c r="Y31" s="68"/>
      <c r="Z31" s="68"/>
      <c r="AA31" s="68"/>
      <c r="AB31" s="68"/>
      <c r="AC31" s="68"/>
      <c r="AD31" s="68"/>
      <c r="AE31" s="68"/>
      <c r="AF31" s="47"/>
      <c r="AG31" s="47"/>
      <c r="AH31" s="47"/>
      <c r="AI31" s="47"/>
      <c r="AJ31" s="47"/>
      <c r="AK31" s="47"/>
      <c r="AL31" s="47"/>
    </row>
    <row r="32" spans="1:40" x14ac:dyDescent="0.3">
      <c r="A32" s="67" t="s">
        <v>174</v>
      </c>
      <c r="B32" s="68" t="s">
        <v>899</v>
      </c>
      <c r="C32" s="68" t="s">
        <v>167</v>
      </c>
      <c r="D32" s="68" t="s">
        <v>168</v>
      </c>
      <c r="E32" s="68" t="s">
        <v>893</v>
      </c>
      <c r="F32" s="292">
        <v>0.55000000000000004</v>
      </c>
      <c r="G32" s="292">
        <v>0.6</v>
      </c>
      <c r="H32" s="292">
        <v>0.56999999999999995</v>
      </c>
      <c r="I32" s="68" t="s">
        <v>1348</v>
      </c>
      <c r="J32" s="318">
        <f>[18]Indicadores!$AK$211</f>
        <v>0.67100000000000004</v>
      </c>
      <c r="K32" s="68" t="s">
        <v>1348</v>
      </c>
      <c r="L32" s="292">
        <v>0.67100000000000004</v>
      </c>
      <c r="M32" s="68" t="s">
        <v>1348</v>
      </c>
      <c r="N32" s="199">
        <v>0.63100000000000001</v>
      </c>
      <c r="O32" s="68" t="s">
        <v>1348</v>
      </c>
      <c r="P32" s="199">
        <v>0.68100000000000005</v>
      </c>
      <c r="Q32" s="68" t="s">
        <v>1348</v>
      </c>
      <c r="R32" s="68"/>
      <c r="S32" s="68"/>
      <c r="T32" s="68"/>
      <c r="U32" s="68"/>
      <c r="V32" s="68"/>
      <c r="W32" s="68"/>
      <c r="X32" s="68"/>
      <c r="Y32" s="68"/>
      <c r="Z32" s="68"/>
      <c r="AA32" s="68"/>
      <c r="AB32" s="68"/>
      <c r="AC32" s="68"/>
      <c r="AD32" s="68"/>
      <c r="AE32" s="68"/>
      <c r="AF32" s="47"/>
      <c r="AG32" s="47"/>
      <c r="AH32" s="47"/>
      <c r="AI32" s="47"/>
      <c r="AJ32" s="47"/>
      <c r="AK32" s="47"/>
      <c r="AL32" s="47"/>
    </row>
    <row r="33" spans="1:38" x14ac:dyDescent="0.3">
      <c r="A33" s="67" t="s">
        <v>174</v>
      </c>
      <c r="B33" s="68" t="s">
        <v>902</v>
      </c>
      <c r="C33" s="68" t="s">
        <v>167</v>
      </c>
      <c r="D33" s="68" t="s">
        <v>176</v>
      </c>
      <c r="E33" s="68" t="s">
        <v>893</v>
      </c>
      <c r="F33" s="292">
        <v>0.76</v>
      </c>
      <c r="G33" s="292">
        <v>0.8</v>
      </c>
      <c r="H33" s="292">
        <v>0.87</v>
      </c>
      <c r="I33" s="68" t="s">
        <v>1347</v>
      </c>
      <c r="J33" s="292">
        <v>0.876</v>
      </c>
      <c r="K33" s="68" t="s">
        <v>1347</v>
      </c>
      <c r="L33" s="292">
        <v>0.89400000000000002</v>
      </c>
      <c r="M33" s="68" t="s">
        <v>1347</v>
      </c>
      <c r="N33" s="199">
        <v>0.88</v>
      </c>
      <c r="O33" s="68" t="s">
        <v>1347</v>
      </c>
      <c r="P33" s="199">
        <v>0.78500000000000003</v>
      </c>
      <c r="Q33" s="68" t="s">
        <v>1347</v>
      </c>
      <c r="R33" s="68"/>
      <c r="S33" s="68"/>
      <c r="T33" s="68"/>
      <c r="U33" s="68"/>
      <c r="V33" s="68"/>
      <c r="W33" s="68"/>
      <c r="X33" s="68"/>
      <c r="Y33" s="68"/>
      <c r="Z33" s="68"/>
      <c r="AA33" s="68"/>
      <c r="AB33" s="68"/>
      <c r="AC33" s="68"/>
      <c r="AD33" s="68"/>
      <c r="AE33" s="68"/>
      <c r="AF33" s="47"/>
      <c r="AG33" s="47"/>
      <c r="AH33" s="47"/>
      <c r="AI33" s="47"/>
      <c r="AJ33" s="47"/>
      <c r="AK33" s="47"/>
      <c r="AL33" s="47"/>
    </row>
    <row r="34" spans="1:38" x14ac:dyDescent="0.3">
      <c r="A34" s="67" t="s">
        <v>174</v>
      </c>
      <c r="B34" s="68" t="s">
        <v>200</v>
      </c>
      <c r="C34" s="68" t="s">
        <v>167</v>
      </c>
      <c r="D34" s="68" t="s">
        <v>176</v>
      </c>
      <c r="E34" s="68" t="s">
        <v>893</v>
      </c>
      <c r="F34" s="292">
        <v>0.95</v>
      </c>
      <c r="G34" s="292">
        <v>0.95</v>
      </c>
      <c r="H34" s="292">
        <v>0.97599999999999998</v>
      </c>
      <c r="I34" s="68" t="s">
        <v>1347</v>
      </c>
      <c r="J34" s="626">
        <v>0.996</v>
      </c>
      <c r="K34" s="68" t="s">
        <v>1347</v>
      </c>
      <c r="L34" s="292">
        <v>0.996</v>
      </c>
      <c r="M34" s="68" t="s">
        <v>1347</v>
      </c>
      <c r="N34" s="199">
        <v>0.996</v>
      </c>
      <c r="O34" s="68" t="s">
        <v>1347</v>
      </c>
      <c r="P34" s="199">
        <v>0.99099999999999999</v>
      </c>
      <c r="Q34" s="68" t="s">
        <v>1347</v>
      </c>
      <c r="R34" s="68"/>
      <c r="S34" s="68"/>
      <c r="T34" s="68"/>
      <c r="U34" s="68"/>
      <c r="V34" s="68"/>
      <c r="W34" s="68"/>
      <c r="X34" s="68"/>
      <c r="Y34" s="68"/>
      <c r="Z34" s="68"/>
      <c r="AA34" s="68"/>
      <c r="AB34" s="68"/>
      <c r="AC34" s="68"/>
      <c r="AD34" s="68"/>
      <c r="AE34" s="68"/>
      <c r="AF34" s="47"/>
      <c r="AG34" s="47"/>
      <c r="AH34" s="47"/>
      <c r="AI34" s="47"/>
      <c r="AJ34" s="47"/>
      <c r="AK34" s="47"/>
      <c r="AL34" s="47"/>
    </row>
    <row r="35" spans="1:38" x14ac:dyDescent="0.3">
      <c r="A35" s="67" t="s">
        <v>174</v>
      </c>
      <c r="B35" s="68" t="s">
        <v>904</v>
      </c>
      <c r="C35" s="68" t="s">
        <v>167</v>
      </c>
      <c r="D35" s="68" t="s">
        <v>176</v>
      </c>
      <c r="E35" s="68" t="s">
        <v>893</v>
      </c>
      <c r="F35" s="292">
        <v>0.9</v>
      </c>
      <c r="G35" s="292">
        <v>0.91500000000000004</v>
      </c>
      <c r="H35" s="318">
        <v>0.73</v>
      </c>
      <c r="I35" s="68" t="s">
        <v>1347</v>
      </c>
      <c r="J35" s="298">
        <f>[18]Indicadores!$AK$239</f>
        <v>0.91700000000000004</v>
      </c>
      <c r="K35" s="68" t="s">
        <v>1347</v>
      </c>
      <c r="L35" s="318">
        <v>0.69599999999999995</v>
      </c>
      <c r="M35" s="287" t="s">
        <v>1347</v>
      </c>
      <c r="N35" s="199">
        <v>0.71299999999999997</v>
      </c>
      <c r="O35" s="287" t="s">
        <v>1347</v>
      </c>
      <c r="P35" s="1016">
        <v>0.91700000000000004</v>
      </c>
      <c r="Q35" s="287" t="s">
        <v>1347</v>
      </c>
      <c r="R35" s="287"/>
      <c r="S35" s="287"/>
      <c r="T35" s="287"/>
      <c r="U35" s="287"/>
      <c r="V35" s="287"/>
      <c r="W35" s="287"/>
      <c r="X35" s="287"/>
      <c r="Y35" s="287"/>
      <c r="Z35" s="287"/>
      <c r="AA35" s="287"/>
      <c r="AB35" s="287"/>
      <c r="AC35" s="287"/>
      <c r="AD35" s="287"/>
      <c r="AE35" s="287"/>
      <c r="AF35" s="47"/>
      <c r="AG35" s="47"/>
      <c r="AH35" s="47"/>
      <c r="AI35" s="47"/>
      <c r="AJ35" s="47"/>
      <c r="AK35" s="47"/>
      <c r="AL35" s="47"/>
    </row>
    <row r="36" spans="1:38" x14ac:dyDescent="0.3">
      <c r="A36" s="67" t="s">
        <v>174</v>
      </c>
      <c r="B36" s="68" t="s">
        <v>185</v>
      </c>
      <c r="C36" s="68" t="s">
        <v>186</v>
      </c>
      <c r="D36" s="68" t="s">
        <v>168</v>
      </c>
      <c r="E36" s="68" t="s">
        <v>893</v>
      </c>
      <c r="F36" s="315">
        <v>180.8</v>
      </c>
      <c r="G36" s="316">
        <v>7.708333333333333</v>
      </c>
      <c r="H36" s="296">
        <v>7.625</v>
      </c>
      <c r="I36" s="68" t="s">
        <v>1347</v>
      </c>
      <c r="J36" s="197">
        <v>185</v>
      </c>
      <c r="K36" s="68" t="s">
        <v>1347</v>
      </c>
      <c r="L36" s="203">
        <v>0.69444444444444442</v>
      </c>
      <c r="M36" s="68" t="s">
        <v>1347</v>
      </c>
      <c r="N36" s="296">
        <v>7.708333333333333</v>
      </c>
      <c r="O36" s="68" t="s">
        <v>1347</v>
      </c>
      <c r="P36" s="317">
        <v>0.70138888888888884</v>
      </c>
      <c r="Q36" s="68" t="s">
        <v>1347</v>
      </c>
      <c r="R36" s="68"/>
      <c r="S36" s="68"/>
      <c r="T36" s="68"/>
      <c r="U36" s="68"/>
      <c r="V36" s="68"/>
      <c r="W36" s="68"/>
      <c r="X36" s="68"/>
      <c r="Y36" s="68"/>
      <c r="Z36" s="68"/>
      <c r="AA36" s="68"/>
      <c r="AB36" s="68"/>
      <c r="AC36" s="68"/>
      <c r="AD36" s="68"/>
      <c r="AE36" s="68"/>
      <c r="AF36" s="47"/>
      <c r="AG36" s="47"/>
      <c r="AH36" s="47"/>
      <c r="AI36" s="47"/>
      <c r="AJ36" s="47"/>
      <c r="AK36" s="47"/>
      <c r="AL36" s="47"/>
    </row>
    <row r="37" spans="1:38" x14ac:dyDescent="0.3">
      <c r="A37" s="67" t="s">
        <v>174</v>
      </c>
      <c r="B37" s="68" t="s">
        <v>190</v>
      </c>
      <c r="C37" s="68" t="s">
        <v>186</v>
      </c>
      <c r="D37" s="68" t="s">
        <v>168</v>
      </c>
      <c r="E37" s="68" t="s">
        <v>894</v>
      </c>
      <c r="F37" s="315">
        <v>41.86</v>
      </c>
      <c r="G37" s="315">
        <v>0.70833333333333337</v>
      </c>
      <c r="H37" s="297">
        <v>0.70833333333333337</v>
      </c>
      <c r="I37" s="68" t="s">
        <v>1347</v>
      </c>
      <c r="J37" s="197">
        <v>17</v>
      </c>
      <c r="K37" s="68" t="s">
        <v>1347</v>
      </c>
      <c r="L37" s="203">
        <v>7.7256944444444446</v>
      </c>
      <c r="M37" s="68" t="s">
        <v>1347</v>
      </c>
      <c r="N37" s="317">
        <v>0.70833333333333337</v>
      </c>
      <c r="O37" s="68" t="s">
        <v>1347</v>
      </c>
      <c r="P37" s="296">
        <v>7.7222222222222223</v>
      </c>
      <c r="Q37" s="68" t="s">
        <v>1347</v>
      </c>
      <c r="R37" s="68"/>
      <c r="S37" s="68"/>
      <c r="T37" s="68"/>
      <c r="U37" s="68"/>
      <c r="V37" s="68"/>
      <c r="W37" s="68"/>
      <c r="X37" s="68"/>
      <c r="Y37" s="68"/>
      <c r="Z37" s="68"/>
      <c r="AA37" s="68"/>
      <c r="AB37" s="68"/>
      <c r="AC37" s="68"/>
      <c r="AD37" s="68"/>
      <c r="AE37" s="68"/>
      <c r="AF37" s="47"/>
      <c r="AG37" s="47"/>
      <c r="AH37" s="47"/>
      <c r="AI37" s="47"/>
      <c r="AJ37" s="47"/>
      <c r="AK37" s="47"/>
      <c r="AL37" s="47"/>
    </row>
    <row r="38" spans="1:38" x14ac:dyDescent="0.3">
      <c r="A38" s="67" t="s">
        <v>174</v>
      </c>
      <c r="B38" s="68" t="s">
        <v>195</v>
      </c>
      <c r="C38" s="68" t="s">
        <v>196</v>
      </c>
      <c r="D38" s="68" t="s">
        <v>168</v>
      </c>
      <c r="E38" s="68" t="s">
        <v>894</v>
      </c>
      <c r="F38" s="200">
        <v>2416000</v>
      </c>
      <c r="G38" s="200">
        <v>1080000</v>
      </c>
      <c r="H38" s="197">
        <v>61469.21</v>
      </c>
      <c r="I38" s="68" t="s">
        <v>1347</v>
      </c>
      <c r="J38" s="319">
        <v>95264</v>
      </c>
      <c r="K38" s="68" t="s">
        <v>1347</v>
      </c>
      <c r="L38" s="872">
        <v>116000</v>
      </c>
      <c r="M38" s="68" t="s">
        <v>1347</v>
      </c>
      <c r="N38" s="319">
        <v>99127.5</v>
      </c>
      <c r="O38" s="68" t="s">
        <v>1347</v>
      </c>
      <c r="P38" s="319">
        <v>136450.57999999999</v>
      </c>
      <c r="Q38" s="68" t="s">
        <v>1347</v>
      </c>
      <c r="R38" s="68"/>
      <c r="S38" s="68"/>
      <c r="T38" s="68"/>
      <c r="U38" s="68"/>
      <c r="V38" s="68"/>
      <c r="W38" s="68"/>
      <c r="X38" s="68"/>
      <c r="Y38" s="68"/>
      <c r="Z38" s="68"/>
      <c r="AA38" s="68"/>
      <c r="AB38" s="68"/>
      <c r="AC38" s="68"/>
      <c r="AD38" s="68"/>
      <c r="AE38" s="68"/>
      <c r="AF38" s="47"/>
      <c r="AG38" s="47"/>
      <c r="AH38" s="47"/>
      <c r="AI38" s="47"/>
      <c r="AJ38" s="47"/>
      <c r="AK38" s="47"/>
      <c r="AL38" s="47"/>
    </row>
    <row r="39" spans="1:38" x14ac:dyDescent="0.3">
      <c r="A39" s="67" t="s">
        <v>174</v>
      </c>
      <c r="B39" s="68" t="s">
        <v>197</v>
      </c>
      <c r="C39" s="68" t="s">
        <v>196</v>
      </c>
      <c r="D39" s="68" t="s">
        <v>176</v>
      </c>
      <c r="E39" s="68" t="s">
        <v>894</v>
      </c>
      <c r="F39" s="201">
        <v>0.85</v>
      </c>
      <c r="G39" s="201">
        <v>0.95</v>
      </c>
      <c r="H39" s="201">
        <v>0.95</v>
      </c>
      <c r="I39" s="68" t="s">
        <v>1348</v>
      </c>
      <c r="J39" s="201">
        <v>0.95</v>
      </c>
      <c r="K39" s="68" t="s">
        <v>1348</v>
      </c>
      <c r="L39" s="662">
        <v>0.98</v>
      </c>
      <c r="M39" s="68" t="s">
        <v>1348</v>
      </c>
      <c r="N39" s="201">
        <v>0.95</v>
      </c>
      <c r="O39" s="68" t="s">
        <v>1348</v>
      </c>
      <c r="P39" s="201">
        <v>0.97</v>
      </c>
      <c r="Q39" s="68" t="s">
        <v>1348</v>
      </c>
      <c r="R39" s="68"/>
      <c r="S39" s="68"/>
      <c r="T39" s="68"/>
      <c r="U39" s="68"/>
      <c r="V39" s="68"/>
      <c r="W39" s="68"/>
      <c r="X39" s="68"/>
      <c r="Y39" s="68"/>
      <c r="Z39" s="68"/>
      <c r="AA39" s="68"/>
      <c r="AB39" s="68"/>
      <c r="AC39" s="68"/>
      <c r="AD39" s="68"/>
      <c r="AE39" s="68"/>
      <c r="AF39" s="47"/>
      <c r="AG39" s="47"/>
      <c r="AH39" s="47"/>
      <c r="AI39" s="47"/>
      <c r="AJ39" s="47"/>
      <c r="AK39" s="47"/>
      <c r="AL39" s="47"/>
    </row>
    <row r="40" spans="1:38" x14ac:dyDescent="0.3">
      <c r="A40" s="67" t="s">
        <v>200</v>
      </c>
      <c r="B40" s="68" t="s">
        <v>201</v>
      </c>
      <c r="C40" s="68" t="s">
        <v>202</v>
      </c>
      <c r="D40" s="68" t="s">
        <v>168</v>
      </c>
      <c r="E40" s="68" t="s">
        <v>894</v>
      </c>
      <c r="F40" s="197">
        <v>58541</v>
      </c>
      <c r="G40" s="197">
        <v>42735</v>
      </c>
      <c r="H40" s="197">
        <v>364085</v>
      </c>
      <c r="I40" s="68" t="s">
        <v>1347</v>
      </c>
      <c r="J40" s="197">
        <v>659531</v>
      </c>
      <c r="K40" s="68" t="s">
        <v>1347</v>
      </c>
      <c r="L40" s="197">
        <v>741478</v>
      </c>
      <c r="M40" s="68" t="s">
        <v>1347</v>
      </c>
      <c r="N40" s="197">
        <v>0</v>
      </c>
      <c r="O40" s="68" t="s">
        <v>1347</v>
      </c>
      <c r="P40" s="197">
        <v>0</v>
      </c>
      <c r="Q40" s="68" t="s">
        <v>1347</v>
      </c>
      <c r="R40" s="68"/>
      <c r="S40" s="68"/>
      <c r="T40" s="68"/>
      <c r="U40" s="68"/>
      <c r="V40" s="68"/>
      <c r="W40" s="68"/>
      <c r="X40" s="68"/>
      <c r="Y40" s="68"/>
      <c r="Z40" s="68"/>
      <c r="AA40" s="68"/>
      <c r="AB40" s="68"/>
      <c r="AC40" s="68"/>
      <c r="AD40" s="68"/>
      <c r="AE40" s="68"/>
      <c r="AF40" s="47"/>
      <c r="AG40" s="47"/>
      <c r="AH40" s="47"/>
      <c r="AI40" s="47"/>
      <c r="AJ40" s="47"/>
      <c r="AK40" s="47"/>
      <c r="AL40" s="47"/>
    </row>
    <row r="41" spans="1:38" x14ac:dyDescent="0.3">
      <c r="A41" s="67" t="s">
        <v>200</v>
      </c>
      <c r="B41" s="68" t="s">
        <v>204</v>
      </c>
      <c r="C41" s="68" t="s">
        <v>202</v>
      </c>
      <c r="D41" s="68" t="s">
        <v>168</v>
      </c>
      <c r="E41" s="68" t="s">
        <v>894</v>
      </c>
      <c r="F41" s="197">
        <v>3275</v>
      </c>
      <c r="G41" s="197">
        <v>2400</v>
      </c>
      <c r="H41" s="197">
        <v>37</v>
      </c>
      <c r="I41" s="68" t="s">
        <v>1347</v>
      </c>
      <c r="J41" s="197">
        <v>51</v>
      </c>
      <c r="K41" s="68" t="s">
        <v>1347</v>
      </c>
      <c r="L41" s="198">
        <v>10</v>
      </c>
      <c r="M41" s="68" t="s">
        <v>1347</v>
      </c>
      <c r="N41" s="200">
        <v>46097</v>
      </c>
      <c r="O41" s="68" t="s">
        <v>1347</v>
      </c>
      <c r="P41" s="200">
        <v>35558</v>
      </c>
      <c r="Q41" s="68" t="s">
        <v>1347</v>
      </c>
      <c r="R41" s="68"/>
      <c r="S41" s="68"/>
      <c r="T41" s="68"/>
      <c r="U41" s="68"/>
      <c r="V41" s="68"/>
      <c r="W41" s="68"/>
      <c r="X41" s="68"/>
      <c r="Y41" s="68"/>
      <c r="Z41" s="68"/>
      <c r="AA41" s="68"/>
      <c r="AB41" s="68"/>
      <c r="AC41" s="68"/>
      <c r="AD41" s="68"/>
      <c r="AE41" s="68"/>
      <c r="AF41" s="47"/>
      <c r="AG41" s="47"/>
      <c r="AH41" s="47"/>
      <c r="AI41" s="47"/>
      <c r="AJ41" s="47"/>
      <c r="AK41" s="47"/>
      <c r="AL41" s="47"/>
    </row>
    <row r="42" spans="1:38" x14ac:dyDescent="0.3">
      <c r="A42" s="67" t="s">
        <v>200</v>
      </c>
      <c r="B42" s="68" t="s">
        <v>210</v>
      </c>
      <c r="C42" s="68" t="s">
        <v>167</v>
      </c>
      <c r="D42" s="68" t="s">
        <v>168</v>
      </c>
      <c r="E42" s="68" t="s">
        <v>894</v>
      </c>
      <c r="F42" s="199">
        <v>2.4299999999999999E-2</v>
      </c>
      <c r="G42" s="199">
        <v>1.23E-2</v>
      </c>
      <c r="H42" s="199">
        <v>9.7000000000000003E-3</v>
      </c>
      <c r="I42" s="68" t="s">
        <v>1348</v>
      </c>
      <c r="J42" s="197">
        <v>0.88</v>
      </c>
      <c r="K42" s="68" t="s">
        <v>1348</v>
      </c>
      <c r="L42" s="873">
        <v>6.4000000000000003E-3</v>
      </c>
      <c r="M42" s="68" t="s">
        <v>1348</v>
      </c>
      <c r="N42" s="199">
        <v>6.7999999999999996E-3</v>
      </c>
      <c r="O42" s="68" t="s">
        <v>1348</v>
      </c>
      <c r="P42" s="199">
        <v>8.6999999999999994E-3</v>
      </c>
      <c r="Q42" s="68" t="s">
        <v>1348</v>
      </c>
      <c r="R42" s="68"/>
      <c r="S42" s="68"/>
      <c r="T42" s="68"/>
      <c r="U42" s="68"/>
      <c r="V42" s="68"/>
      <c r="W42" s="68"/>
      <c r="X42" s="68"/>
      <c r="Y42" s="68"/>
      <c r="Z42" s="68"/>
      <c r="AA42" s="68"/>
      <c r="AB42" s="68"/>
      <c r="AC42" s="68"/>
      <c r="AD42" s="68"/>
      <c r="AE42" s="68"/>
      <c r="AF42" s="47"/>
      <c r="AG42" s="47"/>
      <c r="AH42" s="47"/>
      <c r="AI42" s="47"/>
      <c r="AJ42" s="47"/>
      <c r="AK42" s="47"/>
      <c r="AL42" s="47"/>
    </row>
    <row r="43" spans="1:38" x14ac:dyDescent="0.3">
      <c r="A43" s="67" t="s">
        <v>200</v>
      </c>
      <c r="B43" s="68" t="s">
        <v>214</v>
      </c>
      <c r="C43" s="68" t="s">
        <v>215</v>
      </c>
      <c r="D43" s="68" t="s">
        <v>216</v>
      </c>
      <c r="E43" s="68" t="s">
        <v>894</v>
      </c>
      <c r="F43" s="197">
        <v>47</v>
      </c>
      <c r="G43" s="197">
        <v>42</v>
      </c>
      <c r="H43" s="197">
        <v>3</v>
      </c>
      <c r="I43" s="68" t="s">
        <v>1348</v>
      </c>
      <c r="J43" s="197">
        <v>4</v>
      </c>
      <c r="K43" s="68" t="s">
        <v>1348</v>
      </c>
      <c r="L43" s="197">
        <v>1</v>
      </c>
      <c r="M43" s="68" t="s">
        <v>1348</v>
      </c>
      <c r="N43" s="197">
        <v>1</v>
      </c>
      <c r="O43" s="68" t="s">
        <v>1348</v>
      </c>
      <c r="P43" s="197">
        <v>1</v>
      </c>
      <c r="Q43" s="68" t="s">
        <v>1348</v>
      </c>
      <c r="R43" s="68"/>
      <c r="S43" s="68"/>
      <c r="T43" s="68"/>
      <c r="U43" s="68"/>
      <c r="V43" s="68"/>
      <c r="W43" s="68"/>
      <c r="X43" s="68"/>
      <c r="Y43" s="68"/>
      <c r="Z43" s="68"/>
      <c r="AA43" s="68"/>
      <c r="AB43" s="68"/>
      <c r="AC43" s="68"/>
      <c r="AD43" s="68"/>
      <c r="AE43" s="68"/>
      <c r="AF43" s="47"/>
      <c r="AG43" s="47"/>
      <c r="AH43" s="47"/>
      <c r="AI43" s="47"/>
      <c r="AJ43" s="47"/>
      <c r="AK43" s="47"/>
      <c r="AL43" s="47"/>
    </row>
    <row r="44" spans="1:38" x14ac:dyDescent="0.3">
      <c r="A44" s="67" t="s">
        <v>218</v>
      </c>
      <c r="B44" s="68" t="s">
        <v>219</v>
      </c>
      <c r="C44" s="68" t="s">
        <v>220</v>
      </c>
      <c r="D44" s="325" t="s">
        <v>168</v>
      </c>
      <c r="E44" s="68" t="s">
        <v>894</v>
      </c>
      <c r="F44" s="197">
        <v>31</v>
      </c>
      <c r="G44" s="197">
        <v>20</v>
      </c>
      <c r="H44" s="197">
        <v>20</v>
      </c>
      <c r="I44" s="68" t="s">
        <v>1348</v>
      </c>
      <c r="J44" s="197">
        <v>36</v>
      </c>
      <c r="K44" s="68" t="s">
        <v>1348</v>
      </c>
      <c r="L44" s="197">
        <v>56</v>
      </c>
      <c r="M44" s="68" t="s">
        <v>1348</v>
      </c>
      <c r="N44" s="197">
        <v>12</v>
      </c>
      <c r="O44" s="68" t="s">
        <v>1348</v>
      </c>
      <c r="P44" s="197">
        <v>12</v>
      </c>
      <c r="Q44" s="68" t="s">
        <v>1348</v>
      </c>
      <c r="R44" s="68"/>
      <c r="S44" s="68"/>
      <c r="T44" s="68"/>
      <c r="U44" s="68"/>
      <c r="V44" s="68"/>
      <c r="W44" s="68"/>
      <c r="X44" s="68"/>
      <c r="Y44" s="68"/>
      <c r="Z44" s="68"/>
      <c r="AA44" s="68"/>
      <c r="AB44" s="68"/>
      <c r="AC44" s="68"/>
      <c r="AD44" s="68"/>
      <c r="AE44" s="68"/>
      <c r="AF44" s="47"/>
      <c r="AG44" s="47"/>
      <c r="AH44" s="47"/>
      <c r="AI44" s="47"/>
      <c r="AJ44" s="47"/>
      <c r="AK44" s="47"/>
      <c r="AL44" s="47"/>
    </row>
    <row r="45" spans="1:38" ht="15.6" x14ac:dyDescent="0.3">
      <c r="A45" s="67" t="s">
        <v>222</v>
      </c>
      <c r="B45" s="68" t="s">
        <v>223</v>
      </c>
      <c r="C45" s="68" t="s">
        <v>167</v>
      </c>
      <c r="D45" s="68" t="s">
        <v>224</v>
      </c>
      <c r="E45" s="68" t="s">
        <v>893</v>
      </c>
      <c r="F45" s="298">
        <v>0.6</v>
      </c>
      <c r="G45" s="298">
        <v>0.9</v>
      </c>
      <c r="H45" s="298">
        <v>0.6</v>
      </c>
      <c r="I45" s="68" t="s">
        <v>1348</v>
      </c>
      <c r="J45" s="201">
        <v>0.6</v>
      </c>
      <c r="K45" s="68" t="s">
        <v>1348</v>
      </c>
      <c r="L45" s="201">
        <v>0.65</v>
      </c>
      <c r="M45" s="68" t="s">
        <v>1348</v>
      </c>
      <c r="N45" s="201">
        <v>0.65</v>
      </c>
      <c r="O45" s="68" t="s">
        <v>1348</v>
      </c>
      <c r="P45" s="201">
        <v>0.65</v>
      </c>
      <c r="Q45" s="68" t="s">
        <v>1348</v>
      </c>
      <c r="R45" s="68"/>
      <c r="S45" s="68"/>
      <c r="T45" s="68"/>
      <c r="U45" s="68"/>
      <c r="V45" s="68"/>
      <c r="W45" s="68"/>
      <c r="X45" s="68"/>
      <c r="Y45" s="68"/>
      <c r="Z45" s="68"/>
      <c r="AA45" s="68"/>
      <c r="AB45" s="68"/>
      <c r="AC45" s="68"/>
      <c r="AD45" s="68"/>
      <c r="AE45" s="68"/>
      <c r="AF45" s="47"/>
      <c r="AG45" s="479"/>
      <c r="AH45" s="47"/>
      <c r="AI45" s="47"/>
      <c r="AJ45" s="1203" t="s">
        <v>227</v>
      </c>
      <c r="AK45" s="1203"/>
      <c r="AL45" s="47"/>
    </row>
    <row r="46" spans="1:38" x14ac:dyDescent="0.3">
      <c r="A46" s="67" t="s">
        <v>228</v>
      </c>
      <c r="B46" s="68" t="s">
        <v>229</v>
      </c>
      <c r="C46" s="68" t="s">
        <v>167</v>
      </c>
      <c r="D46" s="68" t="s">
        <v>176</v>
      </c>
      <c r="E46" s="68" t="s">
        <v>893</v>
      </c>
      <c r="F46" s="298">
        <v>0.94</v>
      </c>
      <c r="G46" s="201">
        <v>1</v>
      </c>
      <c r="H46" s="298">
        <v>0.94</v>
      </c>
      <c r="I46" s="68" t="s">
        <v>1347</v>
      </c>
      <c r="J46" s="201">
        <v>0.23</v>
      </c>
      <c r="K46" s="68" t="s">
        <v>1347</v>
      </c>
      <c r="L46" s="201">
        <v>0.66</v>
      </c>
      <c r="M46" s="68" t="s">
        <v>1347</v>
      </c>
      <c r="N46" s="201">
        <v>0.75</v>
      </c>
      <c r="O46" s="68" t="s">
        <v>1347</v>
      </c>
      <c r="P46" s="201">
        <v>1</v>
      </c>
      <c r="Q46" s="68" t="s">
        <v>1347</v>
      </c>
      <c r="R46" s="68"/>
      <c r="S46" s="68"/>
      <c r="T46" s="68"/>
      <c r="U46" s="68"/>
      <c r="V46" s="68"/>
      <c r="W46" s="68"/>
      <c r="X46" s="68"/>
      <c r="Y46" s="68"/>
      <c r="Z46" s="68"/>
      <c r="AA46" s="68"/>
      <c r="AB46" s="68"/>
      <c r="AC46" s="68"/>
      <c r="AD46" s="68"/>
      <c r="AE46" s="68"/>
      <c r="AF46" s="47"/>
      <c r="AG46" s="47"/>
      <c r="AH46" s="47"/>
      <c r="AI46" s="47"/>
      <c r="AJ46" s="476" t="s">
        <v>232</v>
      </c>
      <c r="AK46" s="476" t="s">
        <v>233</v>
      </c>
      <c r="AL46" s="47"/>
    </row>
    <row r="47" spans="1:38" x14ac:dyDescent="0.3">
      <c r="A47" s="67" t="s">
        <v>174</v>
      </c>
      <c r="B47" s="68" t="s">
        <v>234</v>
      </c>
      <c r="C47" s="68" t="s">
        <v>186</v>
      </c>
      <c r="D47" s="68" t="s">
        <v>168</v>
      </c>
      <c r="E47" s="68" t="s">
        <v>893</v>
      </c>
      <c r="F47" s="197">
        <v>148</v>
      </c>
      <c r="G47" s="296">
        <v>7</v>
      </c>
      <c r="H47" s="409">
        <v>9.9166666666666661</v>
      </c>
      <c r="I47" s="68" t="s">
        <v>1347</v>
      </c>
      <c r="J47" s="197">
        <v>204</v>
      </c>
      <c r="K47" s="68" t="s">
        <v>1347</v>
      </c>
      <c r="L47" s="203">
        <v>6.9444444444444448E-2</v>
      </c>
      <c r="M47" s="68" t="s">
        <v>1347</v>
      </c>
      <c r="N47" s="317">
        <v>9.0277777777777776E-2</v>
      </c>
      <c r="O47" s="68" t="s">
        <v>1347</v>
      </c>
      <c r="P47" s="317">
        <v>8.3333333333333329E-2</v>
      </c>
      <c r="Q47" s="68" t="s">
        <v>1347</v>
      </c>
      <c r="R47" s="68"/>
      <c r="S47" s="68"/>
      <c r="T47" s="68"/>
      <c r="U47" s="68"/>
      <c r="V47" s="68"/>
      <c r="W47" s="68"/>
      <c r="X47" s="68"/>
      <c r="Y47" s="68"/>
      <c r="Z47" s="68"/>
      <c r="AA47" s="68"/>
      <c r="AB47" s="68"/>
      <c r="AC47" s="68"/>
      <c r="AD47" s="68"/>
      <c r="AE47" s="68"/>
      <c r="AF47" s="47"/>
      <c r="AG47" s="47"/>
      <c r="AH47" s="47"/>
      <c r="AI47" s="47"/>
      <c r="AJ47" s="239" t="s">
        <v>26</v>
      </c>
      <c r="AK47" s="477">
        <f>SUMIF($AK$55:$AK$114,AJ47,$AM$55:$AM$114)</f>
        <v>0</v>
      </c>
      <c r="AL47" s="47"/>
    </row>
    <row r="48" spans="1:38" x14ac:dyDescent="0.3">
      <c r="A48" s="67" t="s">
        <v>174</v>
      </c>
      <c r="B48" s="68" t="s">
        <v>243</v>
      </c>
      <c r="C48" s="68" t="s">
        <v>186</v>
      </c>
      <c r="D48" s="68" t="s">
        <v>168</v>
      </c>
      <c r="E48" s="68" t="s">
        <v>894</v>
      </c>
      <c r="F48" s="317">
        <v>6.9444444444444448E-2</v>
      </c>
      <c r="G48" s="317">
        <v>6.25E-2</v>
      </c>
      <c r="H48" s="317">
        <v>7.6388888888888895E-2</v>
      </c>
      <c r="I48" s="68" t="s">
        <v>1348</v>
      </c>
      <c r="J48" s="296">
        <v>2.4</v>
      </c>
      <c r="K48" s="68" t="s">
        <v>1348</v>
      </c>
      <c r="L48" s="203">
        <v>6.666666666666667</v>
      </c>
      <c r="M48" s="68" t="s">
        <v>1348</v>
      </c>
      <c r="N48" s="296">
        <v>6.583333333333333</v>
      </c>
      <c r="O48" s="68" t="s">
        <v>1348</v>
      </c>
      <c r="P48" s="296">
        <v>5.708333333333333</v>
      </c>
      <c r="Q48" s="68" t="s">
        <v>1348</v>
      </c>
      <c r="R48" s="68"/>
      <c r="S48" s="68"/>
      <c r="T48" s="68"/>
      <c r="U48" s="68"/>
      <c r="V48" s="68"/>
      <c r="W48" s="68"/>
      <c r="X48" s="68"/>
      <c r="Y48" s="68"/>
      <c r="Z48" s="68"/>
      <c r="AA48" s="68"/>
      <c r="AB48" s="68"/>
      <c r="AC48" s="68"/>
      <c r="AD48" s="68"/>
      <c r="AE48" s="68"/>
      <c r="AF48" s="47"/>
      <c r="AG48" s="47"/>
      <c r="AH48" s="47"/>
      <c r="AI48" s="47"/>
      <c r="AJ48" s="265" t="s">
        <v>27</v>
      </c>
      <c r="AK48" s="478">
        <f>SUMIF($AK$55:$AK$114,AJ48,$AM$55:$AM$114)</f>
        <v>0</v>
      </c>
      <c r="AL48" s="47"/>
    </row>
    <row r="49" spans="1:42" x14ac:dyDescent="0.3">
      <c r="A49" s="67" t="s">
        <v>246</v>
      </c>
      <c r="B49" s="68" t="s">
        <v>247</v>
      </c>
      <c r="C49" s="68" t="s">
        <v>248</v>
      </c>
      <c r="D49" s="68" t="s">
        <v>168</v>
      </c>
      <c r="E49" s="197" t="s">
        <v>169</v>
      </c>
      <c r="F49" s="536" t="s">
        <v>88</v>
      </c>
      <c r="G49" s="536" t="s">
        <v>88</v>
      </c>
      <c r="H49" s="319">
        <v>105000</v>
      </c>
      <c r="I49" s="68"/>
      <c r="J49" s="319">
        <v>384000</v>
      </c>
      <c r="K49" s="68"/>
      <c r="L49" s="800"/>
      <c r="M49" s="68"/>
      <c r="N49" s="68"/>
      <c r="O49" s="68"/>
      <c r="P49" s="197"/>
      <c r="Q49" s="68"/>
      <c r="R49" s="68"/>
      <c r="S49" s="68"/>
      <c r="T49" s="68"/>
      <c r="U49" s="68"/>
      <c r="V49" s="68"/>
      <c r="W49" s="68"/>
      <c r="X49" s="68"/>
      <c r="Y49" s="68"/>
      <c r="Z49" s="68"/>
      <c r="AA49" s="68"/>
      <c r="AB49" s="68"/>
      <c r="AC49" s="68"/>
      <c r="AD49" s="68"/>
      <c r="AE49" s="68"/>
      <c r="AF49" s="47"/>
      <c r="AG49" s="47"/>
      <c r="AH49" s="47"/>
      <c r="AI49" s="47"/>
      <c r="AJ49" s="239" t="s">
        <v>249</v>
      </c>
      <c r="AK49" s="477">
        <f>SUMIF($AK$55:$AK$114,AJ49,$AM$55:$AM$114)</f>
        <v>0</v>
      </c>
      <c r="AL49" s="47"/>
    </row>
    <row r="50" spans="1:42" x14ac:dyDescent="0.3">
      <c r="A50" s="67"/>
      <c r="B50" s="68"/>
      <c r="C50" s="68"/>
      <c r="D50" s="68"/>
      <c r="E50" s="68"/>
      <c r="F50" s="68"/>
      <c r="G50" s="68"/>
      <c r="H50" s="197"/>
      <c r="I50" s="68"/>
      <c r="J50" s="68"/>
      <c r="K50" s="68"/>
      <c r="L50" s="68"/>
      <c r="M50" s="68"/>
      <c r="N50" s="68"/>
      <c r="O50" s="68"/>
      <c r="P50" s="197"/>
      <c r="Q50" s="68"/>
      <c r="R50" s="68"/>
      <c r="S50" s="68"/>
      <c r="T50" s="68"/>
      <c r="U50" s="68"/>
      <c r="V50" s="68"/>
      <c r="W50" s="68"/>
      <c r="X50" s="68"/>
      <c r="Y50" s="68"/>
      <c r="Z50" s="68"/>
      <c r="AA50" s="68"/>
      <c r="AB50" s="68"/>
      <c r="AC50" s="68"/>
      <c r="AD50" s="68"/>
      <c r="AE50" s="68"/>
      <c r="AF50" s="47"/>
      <c r="AG50" s="47"/>
      <c r="AH50" s="47"/>
      <c r="AI50" s="47"/>
      <c r="AJ50" s="265" t="s">
        <v>250</v>
      </c>
      <c r="AK50" s="478">
        <f>SUMIF($AK$55:$AK$114,AJ50,$AM$55:$AM$114)</f>
        <v>0</v>
      </c>
      <c r="AL50" s="47"/>
    </row>
    <row r="51" spans="1:42" x14ac:dyDescent="0.3">
      <c r="A51" s="79"/>
      <c r="B51" s="80"/>
      <c r="C51" s="80"/>
      <c r="D51" s="80"/>
      <c r="E51" s="80"/>
      <c r="F51" s="80"/>
      <c r="G51" s="80"/>
      <c r="H51" s="202"/>
      <c r="I51" s="80"/>
      <c r="J51" s="80"/>
      <c r="K51" s="80"/>
      <c r="L51" s="80"/>
      <c r="M51" s="80"/>
      <c r="N51" s="80"/>
      <c r="O51" s="80"/>
      <c r="P51" s="202"/>
      <c r="Q51" s="80"/>
      <c r="R51" s="80"/>
      <c r="S51" s="80"/>
      <c r="T51" s="80"/>
      <c r="U51" s="80"/>
      <c r="V51" s="80"/>
      <c r="W51" s="80"/>
      <c r="X51" s="80"/>
      <c r="Y51" s="80"/>
      <c r="Z51" s="80"/>
      <c r="AA51" s="80"/>
      <c r="AB51" s="80"/>
      <c r="AC51" s="80"/>
      <c r="AD51" s="80"/>
      <c r="AE51" s="80"/>
      <c r="AF51" s="47"/>
      <c r="AG51" s="47"/>
      <c r="AH51" s="47"/>
      <c r="AI51" s="47"/>
      <c r="AJ51" s="239" t="s">
        <v>251</v>
      </c>
      <c r="AK51" s="477">
        <f>SUMIF($AK$55:$AK$114,AJ51,$AM$55:$AM$114)</f>
        <v>0</v>
      </c>
      <c r="AL51" s="47"/>
    </row>
    <row r="52" spans="1:42" x14ac:dyDescent="0.3">
      <c r="V52" s="81"/>
      <c r="AE52" s="47"/>
      <c r="AF52" s="47"/>
      <c r="AG52" s="47"/>
      <c r="AH52" s="47"/>
      <c r="AJ52" s="47"/>
      <c r="AK52" s="47"/>
      <c r="AL52" s="47"/>
    </row>
    <row r="53" spans="1:42" ht="15.6" x14ac:dyDescent="0.3">
      <c r="A53" s="208" t="s">
        <v>252</v>
      </c>
      <c r="B53" s="208"/>
      <c r="C53" s="208"/>
      <c r="D53" s="208"/>
      <c r="E53" s="208"/>
      <c r="F53" s="208"/>
      <c r="G53" s="208"/>
      <c r="H53" s="208"/>
      <c r="I53" s="471"/>
      <c r="J53" s="471"/>
      <c r="K53" s="471"/>
      <c r="L53" s="208"/>
      <c r="M53" s="208"/>
      <c r="N53" s="208"/>
      <c r="O53" s="82"/>
      <c r="P53" s="471"/>
      <c r="Q53" s="82"/>
      <c r="R53" s="82"/>
      <c r="S53" s="204" t="s">
        <v>253</v>
      </c>
      <c r="T53" s="204"/>
      <c r="U53" s="204"/>
      <c r="V53" s="204"/>
      <c r="W53" s="204" t="s">
        <v>254</v>
      </c>
      <c r="X53" s="204"/>
      <c r="Y53" s="204"/>
      <c r="Z53" s="204"/>
      <c r="AA53" s="204" t="s">
        <v>255</v>
      </c>
      <c r="AB53" s="204"/>
      <c r="AC53" s="204"/>
      <c r="AD53" s="204"/>
      <c r="AE53" s="204" t="s">
        <v>256</v>
      </c>
      <c r="AF53" s="204"/>
      <c r="AG53" s="204"/>
      <c r="AH53" s="204"/>
      <c r="AI53" s="83"/>
      <c r="AJ53" s="82"/>
      <c r="AK53" s="1204"/>
      <c r="AL53" s="1204"/>
      <c r="AM53" s="1204"/>
      <c r="AN53" s="593" t="s">
        <v>1349</v>
      </c>
      <c r="AO53" s="47"/>
    </row>
    <row r="54" spans="1:42" ht="44.85" customHeight="1" x14ac:dyDescent="0.3">
      <c r="A54" s="84" t="s">
        <v>914</v>
      </c>
      <c r="B54" s="84" t="s">
        <v>258</v>
      </c>
      <c r="C54" s="84" t="s">
        <v>259</v>
      </c>
      <c r="D54" s="84" t="s">
        <v>260</v>
      </c>
      <c r="E54" s="84" t="s">
        <v>261</v>
      </c>
      <c r="F54" s="84" t="s">
        <v>262</v>
      </c>
      <c r="G54" s="84" t="s">
        <v>263</v>
      </c>
      <c r="H54" s="84" t="s">
        <v>264</v>
      </c>
      <c r="I54" s="84" t="s">
        <v>915</v>
      </c>
      <c r="J54" s="84" t="s">
        <v>1350</v>
      </c>
      <c r="K54" s="264" t="s">
        <v>267</v>
      </c>
      <c r="L54" s="467" t="s">
        <v>268</v>
      </c>
      <c r="M54" s="84" t="s">
        <v>916</v>
      </c>
      <c r="N54" s="84" t="s">
        <v>270</v>
      </c>
      <c r="O54" s="84" t="s">
        <v>67</v>
      </c>
      <c r="P54" s="84" t="s">
        <v>126</v>
      </c>
      <c r="Q54" s="84"/>
      <c r="R54" s="84" t="s">
        <v>272</v>
      </c>
      <c r="S54" s="85">
        <v>46023</v>
      </c>
      <c r="T54" s="85">
        <v>46054</v>
      </c>
      <c r="U54" s="85">
        <v>46082</v>
      </c>
      <c r="V54" s="86" t="s">
        <v>273</v>
      </c>
      <c r="W54" s="85">
        <v>46113</v>
      </c>
      <c r="X54" s="85">
        <v>46143</v>
      </c>
      <c r="Y54" s="85">
        <v>46174</v>
      </c>
      <c r="Z54" s="86" t="s">
        <v>274</v>
      </c>
      <c r="AA54" s="85">
        <v>46204</v>
      </c>
      <c r="AB54" s="85">
        <v>46235</v>
      </c>
      <c r="AC54" s="85">
        <v>46266</v>
      </c>
      <c r="AD54" s="86" t="s">
        <v>275</v>
      </c>
      <c r="AE54" s="85">
        <v>46296</v>
      </c>
      <c r="AF54" s="85">
        <v>46327</v>
      </c>
      <c r="AG54" s="85">
        <v>46357</v>
      </c>
      <c r="AH54" s="84" t="s">
        <v>276</v>
      </c>
      <c r="AI54" s="84" t="s">
        <v>277</v>
      </c>
      <c r="AJ54" s="84" t="s">
        <v>278</v>
      </c>
      <c r="AK54" s="84" t="s">
        <v>227</v>
      </c>
      <c r="AL54" s="84" t="s">
        <v>279</v>
      </c>
      <c r="AM54" s="84" t="s">
        <v>280</v>
      </c>
      <c r="AN54" s="84" t="s">
        <v>281</v>
      </c>
      <c r="AP54" s="542" t="s">
        <v>282</v>
      </c>
    </row>
    <row r="55" spans="1:42" ht="29.1" customHeight="1" x14ac:dyDescent="0.3">
      <c r="A55" s="1036" t="s">
        <v>310</v>
      </c>
      <c r="B55" s="1299" t="s">
        <v>91</v>
      </c>
      <c r="C55" s="1113" t="s">
        <v>1351</v>
      </c>
      <c r="D55" s="1115" t="s">
        <v>1352</v>
      </c>
      <c r="E55" s="1303" t="s">
        <v>1353</v>
      </c>
      <c r="F55" s="1040" t="s">
        <v>1354</v>
      </c>
      <c r="G55" s="1117">
        <v>46054</v>
      </c>
      <c r="H55" s="1117">
        <v>46143</v>
      </c>
      <c r="I55" s="1517">
        <v>3000000</v>
      </c>
      <c r="J55" s="1158"/>
      <c r="K55" s="1121" t="str">
        <f>IF(J55="", "", 12 - MONTH(J55) + 1)</f>
        <v/>
      </c>
      <c r="L55" s="1074"/>
      <c r="M55" s="1513"/>
      <c r="N55" s="1494"/>
      <c r="O55" s="1057" t="s">
        <v>80</v>
      </c>
      <c r="P55" s="1057">
        <v>0.9</v>
      </c>
      <c r="Q55" s="87" t="s">
        <v>106</v>
      </c>
      <c r="R55" s="91">
        <f ca="1">IF(OR(G55="", H55=""), "", IF(TODAY()&lt;G55, 0, IF(TODAY()&gt;H55, 1, (TODAY()-G55+1)/(H55-G55+1))))</f>
        <v>1</v>
      </c>
      <c r="S55" s="309">
        <f>IFERROR(IF(AND(S$54 &gt;= EOMONTH($J55,-1)+1, S$54 &lt;= EOMONTH($J55,$K55-1)), IF(NOT(ISBLANK($N55)),$N55/$K55,$I55/$K55), 0), 0)</f>
        <v>0</v>
      </c>
      <c r="T55" s="309">
        <f>IFERROR(IF(AND(T$54 &gt;= EOMONTH($J55,-1)+1, T$54 &lt;= EOMONTH($J55,$K55-1)), IF(NOT(ISBLANK($N55)),$N55/$K55,$I55/$K55), 0), 0)</f>
        <v>0</v>
      </c>
      <c r="U55" s="309">
        <f>IFERROR(IF(AND(U$54 &gt;= EOMONTH($J55,-1)+1, U$54 &lt;= EOMONTH($J55,$K55-1)), IF(NOT(ISBLANK($N55)),$N55/$K55,$I55/$K55), 0), 0)</f>
        <v>0</v>
      </c>
      <c r="V55" s="310">
        <f t="shared" ref="V55" si="9">SUM(S55:U55)</f>
        <v>0</v>
      </c>
      <c r="W55" s="309">
        <f>IFERROR(IF(AND(W$54 &gt;= EOMONTH($J55,-1)+1, W$54 &lt;= EOMONTH($J55,$K55-1)), IF(NOT(ISBLANK($N55)),$N55/$K55,$I55/$K55), 0), 0)</f>
        <v>0</v>
      </c>
      <c r="X55" s="309">
        <f>IFERROR(IF(AND(X$54 &gt;= EOMONTH($J55,-1)+1, X$54 &lt;= EOMONTH($J55,$K55-1)), IF(NOT(ISBLANK($N55)),$N55/$K55,$I55/$K55), 0), 0)</f>
        <v>0</v>
      </c>
      <c r="Y55" s="309">
        <f>IFERROR(IF(AND(Y$54 &gt;= EOMONTH($J55,-1)+1, Y$54 &lt;= EOMONTH($J55,$K55-1)), IF(NOT(ISBLANK($N55)),$N55/$K55,$I55/$K55), 0), 0)</f>
        <v>0</v>
      </c>
      <c r="Z55" s="310">
        <f t="shared" ref="Z55" si="10">SUM(W55:Y55)</f>
        <v>0</v>
      </c>
      <c r="AA55" s="309">
        <f>IFERROR(IF(AND(AA$54 &gt;= EOMONTH($J55,-1)+1, AA$54 &lt;= EOMONTH($J55,$K55-1)), IF(NOT(ISBLANK($N55)),$N55/$K55,$I55/$K55), 0), 0)</f>
        <v>0</v>
      </c>
      <c r="AB55" s="309">
        <f>IFERROR(IF(AND(AB$54 &gt;= EOMONTH($J55,-1)+1, AB$54 &lt;= EOMONTH($J55,$K55-1)), IF(NOT(ISBLANK($N55)),$N55/$K55,$I55/$K55), 0), 0)</f>
        <v>0</v>
      </c>
      <c r="AC55" s="309">
        <f>IFERROR(IF(AND(AC$54 &gt;= EOMONTH($J55,-1)+1, AC$54 &lt;= EOMONTH($J55,$K55-1)), IF(NOT(ISBLANK($N55)),$N55/$K55,$I55/$K55), 0), 0)</f>
        <v>0</v>
      </c>
      <c r="AD55" s="310">
        <f t="shared" ref="AD55:AD58" si="11">SUM(AA55:AC55)</f>
        <v>0</v>
      </c>
      <c r="AE55" s="309">
        <f>IFERROR(IF(AND(AE$54 &gt;= EOMONTH($J55,-1)+1, AE$54 &lt;= EOMONTH($J55,$K55-1)), IF(NOT(ISBLANK($N55)),$N55/$K55,$I55/$K55), 0), 0)</f>
        <v>0</v>
      </c>
      <c r="AF55" s="309">
        <f>IFERROR(IF(AND(AF$54 &gt;= EOMONTH($J55,-1)+1, AF$54 &lt;= EOMONTH($J55,$K55-1)), IF(NOT(ISBLANK($N55)),$N55/$K55,$I55/$K55), 0), 0)</f>
        <v>0</v>
      </c>
      <c r="AG55" s="309">
        <f>IFERROR(IF(AND(AG$54 &gt;= EOMONTH($J55,-1)+1, AG$54 &lt;= EOMONTH($J55,$K55-1)), IF(NOT(ISBLANK($N55)),$N55/$K55,$I55/$K55), 0), 0)</f>
        <v>0</v>
      </c>
      <c r="AH55" s="89">
        <f t="shared" ref="AH55:AH56" si="12">SUM(AE55:AG55)</f>
        <v>0</v>
      </c>
      <c r="AI55" s="90">
        <f>SUM(V55,Z55,AD55,AH55)</f>
        <v>0</v>
      </c>
      <c r="AJ55" s="98"/>
      <c r="AK55" s="1040"/>
      <c r="AL55" s="1048"/>
      <c r="AM55" s="1046">
        <f>N55*AL55</f>
        <v>0</v>
      </c>
      <c r="AN55" s="98" t="str">
        <f>C55</f>
        <v>01 - Clientes com baixa margem de contribuição.</v>
      </c>
      <c r="AO55" s="62" t="s">
        <v>289</v>
      </c>
      <c r="AP55" s="543" t="str" cm="1">
        <f t="array" aca="1" ref="AP55" ca="1">IF(OR(AN55="",AN55=0),"",IF(SUMPRODUCT(($C$55:$C$161=AN55)*(S$54:$AG$54&lt;EOMONTH(TODAY(),-1)+1)*(ISNUMBER(S$55:$AG$161)),S$55:$AG$161)=0,"",SUMPRODUCT(($C$55:$C$161=AN55)*(S$54:$AG$54&lt;EOMONTH(TODAY(),-1)+1)*(ISNUMBER(S$55:$AG$161)),S$55:$AG$161)))</f>
        <v/>
      </c>
    </row>
    <row r="56" spans="1:42" ht="29.1" customHeight="1" x14ac:dyDescent="0.3">
      <c r="A56" s="1037"/>
      <c r="B56" s="1300"/>
      <c r="C56" s="1114"/>
      <c r="D56" s="1116"/>
      <c r="E56" s="1304"/>
      <c r="F56" s="1041"/>
      <c r="G56" s="1118"/>
      <c r="H56" s="1118"/>
      <c r="I56" s="1518"/>
      <c r="J56" s="1159"/>
      <c r="K56" s="1122"/>
      <c r="L56" s="1075"/>
      <c r="M56" s="1514"/>
      <c r="N56" s="1445"/>
      <c r="O56" s="1058"/>
      <c r="P56" s="1058"/>
      <c r="Q56" s="87" t="s">
        <v>107</v>
      </c>
      <c r="R56" s="91">
        <v>0.5</v>
      </c>
      <c r="S56" s="309"/>
      <c r="T56" s="309"/>
      <c r="U56" s="309"/>
      <c r="V56" s="310">
        <f t="shared" ref="V56" si="13">SUM(S56:U56)</f>
        <v>0</v>
      </c>
      <c r="W56" s="309"/>
      <c r="X56" s="309"/>
      <c r="Y56" s="309"/>
      <c r="Z56" s="310">
        <f t="shared" ref="Z56:Z58" si="14">SUM(W56:Y56)</f>
        <v>0</v>
      </c>
      <c r="AA56" s="309"/>
      <c r="AB56" s="309"/>
      <c r="AC56" s="309"/>
      <c r="AD56" s="310">
        <f t="shared" si="11"/>
        <v>0</v>
      </c>
      <c r="AE56" s="309"/>
      <c r="AF56" s="309"/>
      <c r="AG56" s="309"/>
      <c r="AH56" s="310">
        <f t="shared" si="12"/>
        <v>0</v>
      </c>
      <c r="AI56" s="311">
        <f t="shared" ref="AI56:AI114" si="15">SUM(V56,Z56,AD56,AH56)</f>
        <v>0</v>
      </c>
      <c r="AJ56" s="360"/>
      <c r="AK56" s="1041"/>
      <c r="AL56" s="1049"/>
      <c r="AM56" s="1047"/>
      <c r="AN56" s="92" t="str">
        <f>C55</f>
        <v>01 - Clientes com baixa margem de contribuição.</v>
      </c>
      <c r="AO56" s="62" t="s">
        <v>291</v>
      </c>
      <c r="AP56" s="543" t="str" cm="1">
        <f t="array" aca="1" ref="AP56" ca="1">IF(OR(AN56="",AN56=0),"",IF(SUMPRODUCT(($C$55:$C$161=AN56)*(S$54:$AG$54&lt;EOMONTH(TODAY(),-1)+1)*(ISNUMBER(S$56:$AG$162)),S$56:$AG$162)=0,"",SUMPRODUCT(($C$55:$C$161=AN56)*(S$54:$AG$54&lt;EOMONTH(TODAY(),-1)+1)*(ISNUMBER(S$56:$AG$162)),S$56:$AG$162)))</f>
        <v/>
      </c>
    </row>
    <row r="57" spans="1:42" ht="29.1" customHeight="1" x14ac:dyDescent="0.3">
      <c r="A57" s="1038" t="s">
        <v>76</v>
      </c>
      <c r="B57" s="1038" t="s">
        <v>91</v>
      </c>
      <c r="C57" s="1095" t="s">
        <v>1355</v>
      </c>
      <c r="D57" s="1097" t="s">
        <v>1356</v>
      </c>
      <c r="E57" s="1363" t="s">
        <v>1357</v>
      </c>
      <c r="F57" s="1099" t="s">
        <v>1334</v>
      </c>
      <c r="G57" s="1150">
        <v>46054</v>
      </c>
      <c r="H57" s="1150">
        <v>46357</v>
      </c>
      <c r="I57" s="1152">
        <v>7000.0001561649997</v>
      </c>
      <c r="J57" s="1109">
        <v>46113</v>
      </c>
      <c r="K57" s="1213">
        <f>IF(J57="", "", 12 - MONTH(J57) + 1)</f>
        <v>9</v>
      </c>
      <c r="L57" s="1076"/>
      <c r="M57" s="1320" t="s">
        <v>287</v>
      </c>
      <c r="N57" s="1449">
        <v>6800</v>
      </c>
      <c r="O57" s="1042" t="s">
        <v>80</v>
      </c>
      <c r="P57" s="1042">
        <v>1</v>
      </c>
      <c r="Q57" s="93" t="s">
        <v>106</v>
      </c>
      <c r="R57" s="96">
        <f ca="1">IF(OR(G57="", H57=""), "", IF(TODAY()&lt;G57, 0, IF(TODAY()&gt;H57, 1, (TODAY()-G57+1)/(H57-G57+1))))</f>
        <v>0.47039473684210525</v>
      </c>
      <c r="S57" s="532">
        <f>IFERROR(IF(AND(S$54&gt;=EOMONTH($J57,-1)+1,S$54&lt;=EOMONTH(EOMONTH($J57,-1)+1,$K57-1)),IF(NOT(ISBLANK($N57)),$N57/$K57,$I57/$K57),0),0)</f>
        <v>0</v>
      </c>
      <c r="T57" s="641">
        <f>IFERROR(IF(AND(T$54&gt;=EOMONTH($J57,-1)+1,T$54&lt;=EOMONTH(EOMONTH($J57,-1)+1,$K57-1)),IF(NOT(ISBLANK($N57)),$N57/$K57,$I57/$K57),0),0)</f>
        <v>0</v>
      </c>
      <c r="U57" s="641">
        <f>IFERROR(IF(AND(U$54&gt;=EOMONTH($J57,-1)+1,U$54&lt;=EOMONTH(EOMONTH($J57,-1)+1,$K57-1)),IF(NOT(ISBLANK($N57)),$N57/$K57,$I57/$K57),0),0)</f>
        <v>0</v>
      </c>
      <c r="V57" s="89">
        <f t="shared" ref="V57:V58" si="16">SUM(S57:U57)</f>
        <v>0</v>
      </c>
      <c r="W57" s="532">
        <f>IFERROR(IF(AND(W$54&gt;=EOMONTH($J57,-1)+1,W$54&lt;=EOMONTH(EOMONTH($J57,-1)+1,$K57-1)),IF(NOT(ISBLANK($N57)),$N57/$K57,$I57/$K57),0),0)</f>
        <v>755.55555555555554</v>
      </c>
      <c r="X57" s="532">
        <f>IFERROR(IF(AND(X$54&gt;=EOMONTH($J57,-1)+1,X$54&lt;=EOMONTH(EOMONTH($J57,-1)+1,$K57-1)),IF(NOT(ISBLANK($N57)),$N57/$K57,$I57/$K57),0),0)</f>
        <v>755.55555555555554</v>
      </c>
      <c r="Y57" s="532">
        <f>IFERROR(IF(AND(Y$54&gt;=EOMONTH($J57,-1)+1,Y$54&lt;=EOMONTH(EOMONTH($J57,-1)+1,$K57-1)),IF(NOT(ISBLANK($N57)),$N57/$K57,$I57/$K57),0),0)</f>
        <v>755.55555555555554</v>
      </c>
      <c r="Z57" s="89">
        <f t="shared" si="14"/>
        <v>2266.6666666666665</v>
      </c>
      <c r="AA57" s="532">
        <f>IFERROR(IF(AND(AA$54&gt;=EOMONTH($J57,-1)+1,AA$54&lt;=EOMONTH(EOMONTH($J57,-1)+1,$K57-1)),IF(NOT(ISBLANK($N57)),$N57/$K57,$I57/$K57),0),0)</f>
        <v>755.55555555555554</v>
      </c>
      <c r="AB57" s="532">
        <f>IFERROR(IF(AND(AB$54&gt;=EOMONTH($J57,-1)+1,AB$54&lt;=EOMONTH(EOMONTH($J57,-1)+1,$K57-1)),IF(NOT(ISBLANK($N57)),$N57/$K57,$I57/$K57),0),0)</f>
        <v>755.55555555555554</v>
      </c>
      <c r="AC57" s="532">
        <f>IFERROR(IF(AND(AC$54&gt;=EOMONTH($J57,-1)+1,AC$54&lt;=EOMONTH(EOMONTH($J57,-1)+1,$K57-1)),IF(NOT(ISBLANK($N57)),$N57/$K57,$I57/$K57),0),0)</f>
        <v>755.55555555555554</v>
      </c>
      <c r="AD57" s="89">
        <f t="shared" si="11"/>
        <v>2266.6666666666665</v>
      </c>
      <c r="AE57" s="532">
        <f>IFERROR(IF(AND(AE$54&gt;=EOMONTH($J57,-1)+1,AE$54&lt;=EOMONTH(EOMONTH($J57,-1)+1,$K57-1)),IF(NOT(ISBLANK($N57)),$N57/$K57,$I57/$K57),0),0)</f>
        <v>755.55555555555554</v>
      </c>
      <c r="AF57" s="532">
        <f>IFERROR(IF(AND(AF$54&gt;=EOMONTH($J57,-1)+1,AF$54&lt;=EOMONTH(EOMONTH($J57,-1)+1,$K57-1)),IF(NOT(ISBLANK($N57)),$N57/$K57,$I57/$K57),0),0)</f>
        <v>755.55555555555554</v>
      </c>
      <c r="AG57" s="532">
        <f>IFERROR(IF(AND(AG$54&gt;=EOMONTH($J57,-1)+1,AG$54&lt;=EOMONTH(EOMONTH($J57,-1)+1,$K57-1)),IF(NOT(ISBLANK($N57)),$N57/$K57,$I57/$K57),0),0)</f>
        <v>755.55555555555554</v>
      </c>
      <c r="AH57" s="89">
        <f t="shared" ref="AH57:AH114" si="17">SUM(AE57:AG57)</f>
        <v>2266.6666666666665</v>
      </c>
      <c r="AI57" s="95">
        <f t="shared" si="15"/>
        <v>6800</v>
      </c>
      <c r="AJ57" s="97"/>
      <c r="AK57" s="1038"/>
      <c r="AL57" s="1042"/>
      <c r="AM57" s="1044">
        <f>N57*AL57</f>
        <v>0</v>
      </c>
      <c r="AN57" s="97" t="str">
        <f>C57</f>
        <v xml:space="preserve">02 - Eficiência dos planos de corte </v>
      </c>
      <c r="AO57" s="62" t="s">
        <v>289</v>
      </c>
      <c r="AP57" s="543" cm="1">
        <f t="array" aca="1" ref="AP57" ca="1">IF(OR(AN57="",AN57=0),"",IF(SUMPRODUCT(($C$55:$C$161=AN57)*(S$54:$AG$54&lt;EOMONTH(TODAY(),-1)+1)*(ISNUMBER(S$55:$AG$161)),S$55:$AG$161)=0,"",SUMPRODUCT(($C$55:$C$161=AN57)*(S$54:$AG$54&lt;EOMONTH(TODAY(),-1)+1)*(ISNUMBER(S$55:$AG$161)),S$55:$AG$161)))</f>
        <v>1511.1111111111111</v>
      </c>
    </row>
    <row r="58" spans="1:42" ht="29.1" customHeight="1" x14ac:dyDescent="0.3">
      <c r="A58" s="1039"/>
      <c r="B58" s="1039"/>
      <c r="C58" s="1096"/>
      <c r="D58" s="1098"/>
      <c r="E58" s="1364"/>
      <c r="F58" s="1100"/>
      <c r="G58" s="1151"/>
      <c r="H58" s="1151"/>
      <c r="I58" s="1151"/>
      <c r="J58" s="1110"/>
      <c r="K58" s="1214"/>
      <c r="L58" s="1077"/>
      <c r="M58" s="1321"/>
      <c r="N58" s="1450"/>
      <c r="O58" s="1043"/>
      <c r="P58" s="1043"/>
      <c r="Q58" s="93" t="s">
        <v>107</v>
      </c>
      <c r="R58" s="96">
        <v>1</v>
      </c>
      <c r="S58" s="312">
        <v>0</v>
      </c>
      <c r="T58" s="630">
        <v>0</v>
      </c>
      <c r="U58" s="630">
        <v>0</v>
      </c>
      <c r="V58" s="310">
        <f t="shared" si="16"/>
        <v>0</v>
      </c>
      <c r="W58" s="312"/>
      <c r="X58" s="312"/>
      <c r="Y58" s="312"/>
      <c r="Z58" s="310">
        <f t="shared" si="14"/>
        <v>0</v>
      </c>
      <c r="AA58" s="312"/>
      <c r="AB58" s="312"/>
      <c r="AC58" s="312"/>
      <c r="AD58" s="310">
        <f t="shared" si="11"/>
        <v>0</v>
      </c>
      <c r="AE58" s="312"/>
      <c r="AF58" s="312"/>
      <c r="AG58" s="312"/>
      <c r="AH58" s="310">
        <f t="shared" si="17"/>
        <v>0</v>
      </c>
      <c r="AI58" s="313">
        <f t="shared" si="15"/>
        <v>0</v>
      </c>
      <c r="AJ58" s="97"/>
      <c r="AK58" s="1039"/>
      <c r="AL58" s="1043"/>
      <c r="AM58" s="1045"/>
      <c r="AN58" s="97" t="str">
        <f>C57</f>
        <v xml:space="preserve">02 - Eficiência dos planos de corte </v>
      </c>
      <c r="AO58" s="62" t="s">
        <v>291</v>
      </c>
      <c r="AP58" s="543" t="str" cm="1">
        <f t="array" aca="1" ref="AP58" ca="1">IF(OR(AN58="",AN58=0),"",IF(SUMPRODUCT(($C$55:$C$161=AN58)*(S$54:$AG$54&lt;EOMONTH(TODAY(),-1)+1)*(ISNUMBER(S$56:$AG$162)),S$56:$AG$162)=0,"",SUMPRODUCT(($C$55:$C$161=AN58)*(S$54:$AG$54&lt;EOMONTH(TODAY(),-1)+1)*(ISNUMBER(S$56:$AG$162)),S$56:$AG$162)))</f>
        <v/>
      </c>
    </row>
    <row r="59" spans="1:42" ht="29.1" customHeight="1" x14ac:dyDescent="0.3">
      <c r="A59" s="1036" t="s">
        <v>310</v>
      </c>
      <c r="B59" s="1299" t="s">
        <v>93</v>
      </c>
      <c r="C59" s="1113" t="s">
        <v>1358</v>
      </c>
      <c r="D59" s="1115" t="s">
        <v>1359</v>
      </c>
      <c r="E59" s="1303" t="s">
        <v>1360</v>
      </c>
      <c r="F59" s="1040" t="s">
        <v>1334</v>
      </c>
      <c r="G59" s="1117">
        <v>46023</v>
      </c>
      <c r="H59" s="1117">
        <v>46127</v>
      </c>
      <c r="I59" s="1074">
        <v>500000.00799999997</v>
      </c>
      <c r="J59" s="1158">
        <v>46023</v>
      </c>
      <c r="K59" s="1121">
        <f t="shared" ref="K59" si="18">IF(J59="", "", 12 - MONTH(J59) + 1)</f>
        <v>12</v>
      </c>
      <c r="L59" s="1074"/>
      <c r="M59" s="1119" t="s">
        <v>287</v>
      </c>
      <c r="N59" s="1053">
        <v>505242.56</v>
      </c>
      <c r="O59" s="1057" t="s">
        <v>80</v>
      </c>
      <c r="P59" s="1057">
        <v>0.8</v>
      </c>
      <c r="Q59" s="87" t="s">
        <v>106</v>
      </c>
      <c r="R59" s="91">
        <f ca="1">IF(OR(G59="", H59=""), "", IF(TODAY()&lt;G59, 0, IF(TODAY()&gt;H59, 1, (TODAY()-G59+1)/(H59-G59+1))))</f>
        <v>1</v>
      </c>
      <c r="S59" s="309">
        <f>IFERROR(IF(AND(S$54&gt;=EOMONTH($J59,-1)+1,S$54&lt;=EOMONTH(EOMONTH($J59,-1)+1,$K59-1)),IF(NOT(ISBLANK($N59)),$N59/$K59,$I59/$K59),0),0)</f>
        <v>42103.546666666669</v>
      </c>
      <c r="T59" s="780">
        <f>IFERROR(IF(AND(T$54&gt;=EOMONTH($J59,-1)+1,T$54&lt;=EOMONTH(EOMONTH($J59,-1)+1,$K59-1)),IF(NOT(ISBLANK($N59)),$N59/$K59,$I59/$K59),0),0)</f>
        <v>42103.546666666669</v>
      </c>
      <c r="U59" s="780">
        <f>IFERROR(IF(AND(U$54&gt;=EOMONTH($J59,-1)+1,U$54&lt;=EOMONTH(EOMONTH($J59,-1)+1,$K59-1)),IF(NOT(ISBLANK($N59)),$N59/$K59,$I59/$K59),0),0)</f>
        <v>42103.546666666669</v>
      </c>
      <c r="V59" s="89">
        <f>SUM(S59:U59)</f>
        <v>126310.64000000001</v>
      </c>
      <c r="W59" s="589">
        <f>IFERROR(IF(AND(W$54&gt;=EOMONTH($J59,-1)+1,W$54&lt;=EOMONTH(EOMONTH($J59,-1)+1,$K59-1)),IF(NOT(ISBLANK($N59)),$N59/$K59,$I59/$K59),0),0)</f>
        <v>42103.546666666669</v>
      </c>
      <c r="X59" s="309">
        <f>IFERROR(IF(AND(X$54&gt;=EOMONTH($J59,-1)+1,X$54&lt;=EOMONTH(EOMONTH($J59,-1)+1,$K59-1)),IF(NOT(ISBLANK($N59)),$N59/$K59,$I59/$K59),0),0)</f>
        <v>42103.546666666669</v>
      </c>
      <c r="Y59" s="309">
        <f>IFERROR(IF(AND(Y$54&gt;=EOMONTH($J59,-1)+1,Y$54&lt;=EOMONTH(EOMONTH($J59,-1)+1,$K59-1)),IF(NOT(ISBLANK($N59)),$N59/$K59,$I59/$K59),0),0)</f>
        <v>42103.546666666669</v>
      </c>
      <c r="Z59" s="89">
        <f t="shared" ref="Z59" si="19">SUM(W59:Y59)</f>
        <v>126310.64000000001</v>
      </c>
      <c r="AA59" s="309">
        <f>IFERROR(IF(AND(AA$54&gt;=EOMONTH($J59,-1)+1,AA$54&lt;=EOMONTH(EOMONTH($J59,-1)+1,$K59-1)),IF(NOT(ISBLANK($N59)),$N59/$K59,$I59/$K59),0),0)</f>
        <v>42103.546666666669</v>
      </c>
      <c r="AB59" s="309">
        <f>IFERROR(IF(AND(AB$54&gt;=EOMONTH($J59,-1)+1,AB$54&lt;=EOMONTH(EOMONTH($J59,-1)+1,$K59-1)),IF(NOT(ISBLANK($N59)),$N59/$K59,$I59/$K59),0),0)</f>
        <v>42103.546666666669</v>
      </c>
      <c r="AC59" s="309">
        <f>IFERROR(IF(AND(AC$54&gt;=EOMONTH($J59,-1)+1,AC$54&lt;=EOMONTH(EOMONTH($J59,-1)+1,$K59-1)),IF(NOT(ISBLANK($N59)),$N59/$K59,$I59/$K59),0),0)</f>
        <v>42103.546666666669</v>
      </c>
      <c r="AD59" s="89">
        <f t="shared" ref="AD59" si="20">SUM(AA59:AC59)</f>
        <v>126310.64000000001</v>
      </c>
      <c r="AE59" s="309">
        <f>IFERROR(IF(AND(AE$54&gt;=EOMONTH($J59,-1)+1,AE$54&lt;=EOMONTH(EOMONTH($J59,-1)+1,$K59-1)),IF(NOT(ISBLANK($N59)),$N59/$K59,$I59/$K59),0),0)</f>
        <v>42103.546666666669</v>
      </c>
      <c r="AF59" s="309">
        <f>IFERROR(IF(AND(AF$54&gt;=EOMONTH($J59,-1)+1,AF$54&lt;=EOMONTH(EOMONTH($J59,-1)+1,$K59-1)),IF(NOT(ISBLANK($N59)),$N59/$K59,$I59/$K59),0),0)</f>
        <v>42103.546666666669</v>
      </c>
      <c r="AG59" s="309">
        <f>IFERROR(IF(AND(AG$54&gt;=EOMONTH($J59,-1)+1,AG$54&lt;=EOMONTH(EOMONTH($J59,-1)+1,$K59-1)),IF(NOT(ISBLANK($N59)),$N59/$K59,$I59/$K59),0),0)</f>
        <v>42103.546666666669</v>
      </c>
      <c r="AH59" s="89">
        <f t="shared" si="17"/>
        <v>126310.64000000001</v>
      </c>
      <c r="AI59" s="90">
        <f t="shared" si="15"/>
        <v>505242.56000000006</v>
      </c>
      <c r="AJ59" s="98"/>
      <c r="AK59" s="1040"/>
      <c r="AL59" s="1048"/>
      <c r="AM59" s="1046">
        <f t="shared" ref="AM59" si="21">N59*AL59</f>
        <v>0</v>
      </c>
      <c r="AN59" s="98" t="str">
        <f>C59</f>
        <v xml:space="preserve">03 - Consumo de desmoldante </v>
      </c>
      <c r="AO59" s="62" t="s">
        <v>289</v>
      </c>
      <c r="AP59" s="543" cm="1">
        <f t="array" aca="1" ref="AP59" ca="1">IF(OR(AN59="",AN59=0),"",IF(SUMPRODUCT(($C$55:$C$161=AN59)*(S$54:$AG$54&lt;EOMONTH(TODAY(),-1)+1)*(ISNUMBER(S$55:$AG$161)),S$55:$AG$161)=0,"",SUMPRODUCT(($C$55:$C$161=AN59)*(S$54:$AG$54&lt;EOMONTH(TODAY(),-1)+1)*(ISNUMBER(S$55:$AG$161)),S$55:$AG$161)))</f>
        <v>210517.73333333334</v>
      </c>
    </row>
    <row r="60" spans="1:42" ht="29.1" customHeight="1" x14ac:dyDescent="0.3">
      <c r="A60" s="1037"/>
      <c r="B60" s="1300"/>
      <c r="C60" s="1114"/>
      <c r="D60" s="1116"/>
      <c r="E60" s="1304"/>
      <c r="F60" s="1041"/>
      <c r="G60" s="1118"/>
      <c r="H60" s="1118"/>
      <c r="I60" s="1075"/>
      <c r="J60" s="1159"/>
      <c r="K60" s="1122"/>
      <c r="L60" s="1075"/>
      <c r="M60" s="1451"/>
      <c r="N60" s="1417"/>
      <c r="O60" s="1058"/>
      <c r="P60" s="1058"/>
      <c r="Q60" s="87" t="s">
        <v>107</v>
      </c>
      <c r="R60" s="91">
        <v>1</v>
      </c>
      <c r="S60" s="589">
        <v>64807.31</v>
      </c>
      <c r="T60" s="589">
        <v>82635.649999999994</v>
      </c>
      <c r="U60" s="589">
        <v>94161.62</v>
      </c>
      <c r="V60" s="310">
        <f t="shared" ref="V60:V67" si="22">SUM(S60:U60)</f>
        <v>241604.58</v>
      </c>
      <c r="W60" s="589">
        <v>84706.19</v>
      </c>
      <c r="X60" s="309">
        <v>95590.15</v>
      </c>
      <c r="Y60" s="309"/>
      <c r="Z60" s="310">
        <f t="shared" ref="Z60:Z114" si="23">SUM(W60:Y60)</f>
        <v>180296.34</v>
      </c>
      <c r="AA60" s="309"/>
      <c r="AB60" s="309"/>
      <c r="AC60" s="309"/>
      <c r="AD60" s="310">
        <f t="shared" ref="AD60:AD114" si="24">SUM(AA60:AC60)</f>
        <v>0</v>
      </c>
      <c r="AE60" s="309"/>
      <c r="AF60" s="309"/>
      <c r="AG60" s="309"/>
      <c r="AH60" s="310">
        <f t="shared" si="17"/>
        <v>0</v>
      </c>
      <c r="AI60" s="311">
        <f t="shared" si="15"/>
        <v>421900.92</v>
      </c>
      <c r="AJ60" s="360"/>
      <c r="AK60" s="1041"/>
      <c r="AL60" s="1049"/>
      <c r="AM60" s="1047"/>
      <c r="AN60" s="92" t="str">
        <f>C59</f>
        <v xml:space="preserve">03 - Consumo de desmoldante </v>
      </c>
      <c r="AO60" s="62" t="s">
        <v>291</v>
      </c>
      <c r="AP60" s="543" cm="1">
        <f t="array" aca="1" ref="AP60" ca="1">IF(OR(AN60="",AN60=0),"",IF(SUMPRODUCT(($C$55:$C$161=AN60)*(S$54:$AG$54&lt;EOMONTH(TODAY(),-1)+1)*(ISNUMBER(S$56:$AG$162)),S$56:$AG$162)=0,"",SUMPRODUCT(($C$55:$C$161=AN60)*(S$54:$AG$54&lt;EOMONTH(TODAY(),-1)+1)*(ISNUMBER(S$56:$AG$162)),S$56:$AG$162)))</f>
        <v>421900.92000000004</v>
      </c>
    </row>
    <row r="61" spans="1:42" ht="29.1" customHeight="1" x14ac:dyDescent="0.3">
      <c r="A61" s="1036" t="s">
        <v>76</v>
      </c>
      <c r="B61" s="1038" t="s">
        <v>91</v>
      </c>
      <c r="C61" s="1095" t="s">
        <v>1361</v>
      </c>
      <c r="D61" s="1115" t="s">
        <v>1362</v>
      </c>
      <c r="E61" s="1303" t="s">
        <v>1363</v>
      </c>
      <c r="F61" s="1040" t="s">
        <v>1364</v>
      </c>
      <c r="G61" s="1516">
        <v>46023</v>
      </c>
      <c r="H61" s="1516">
        <v>46171</v>
      </c>
      <c r="I61" s="1074">
        <v>450000</v>
      </c>
      <c r="J61" s="1158"/>
      <c r="K61" s="1121" t="str">
        <f t="shared" ref="K61" si="25">IF(J61="", "", 12 - MONTH(J61) + 1)</f>
        <v/>
      </c>
      <c r="L61" s="1074"/>
      <c r="M61" s="1305"/>
      <c r="N61" s="1307"/>
      <c r="O61" s="1057" t="s">
        <v>80</v>
      </c>
      <c r="P61" s="1042">
        <v>1</v>
      </c>
      <c r="Q61" s="93" t="s">
        <v>106</v>
      </c>
      <c r="R61" s="96">
        <f ca="1">IF(OR(G61="", H61=""), "", IF(TODAY()&lt;G61, 0, IF(TODAY()&gt;H61, 1, (TODAY()-G61+1)/(H61-G61+1))))</f>
        <v>1</v>
      </c>
      <c r="S61" s="532">
        <f>IFERROR(IF(AND(S$54&gt;=EOMONTH($J61,-1)+1,S$54&lt;=EOMONTH(EOMONTH($J61,-1)+1,$K61-1)),IF(NOT(ISBLANK($N61)),$N61/$K61,$I61/$K61),0),0)</f>
        <v>0</v>
      </c>
      <c r="T61" s="532">
        <f>IFERROR(IF(AND(T$54&gt;=EOMONTH($J61,-1)+1,T$54&lt;=EOMONTH(EOMONTH($J61,-1)+1,$K61-1)),IF(NOT(ISBLANK($N61)),$N61/$K61,$I61/$K61),0),0)</f>
        <v>0</v>
      </c>
      <c r="U61" s="532">
        <f>IFERROR(IF(AND(U$54&gt;=EOMONTH($J61,-1)+1,U$54&lt;=EOMONTH(EOMONTH($J61,-1)+1,$K61-1)),IF(NOT(ISBLANK($N61)),$N61/$K61,$I61/$K61),0),0)</f>
        <v>0</v>
      </c>
      <c r="V61" s="89">
        <f t="shared" si="22"/>
        <v>0</v>
      </c>
      <c r="W61" s="532">
        <f>IFERROR(IF(AND(W$54&gt;=EOMONTH($J61,-1)+1,W$54&lt;=EOMONTH(EOMONTH($J61,-1)+1,$K61-1)),IF(NOT(ISBLANK($N61)),$N61/$K61,$I61/$K61),0),0)</f>
        <v>0</v>
      </c>
      <c r="X61" s="532">
        <f>IFERROR(IF(AND(X$54&gt;=EOMONTH($J61,-1)+1,X$54&lt;=EOMONTH(EOMONTH($J61,-1)+1,$K61-1)),IF(NOT(ISBLANK($N61)),$N61/$K61,$I61/$K61),0),0)</f>
        <v>0</v>
      </c>
      <c r="Y61" s="532">
        <f>IFERROR(IF(AND(Y$54&gt;=EOMONTH($J61,-1)+1,Y$54&lt;=EOMONTH(EOMONTH($J61,-1)+1,$K61-1)),IF(NOT(ISBLANK($N61)),$N61/$K61,$I61/$K61),0),0)</f>
        <v>0</v>
      </c>
      <c r="Z61" s="89">
        <f t="shared" si="23"/>
        <v>0</v>
      </c>
      <c r="AA61" s="532">
        <f>IFERROR(IF(AND(AA$54&gt;=EOMONTH($J61,-1)+1,AA$54&lt;=EOMONTH(EOMONTH($J61,-1)+1,$K61-1)),IF(NOT(ISBLANK($N61)),$N61/$K61,$I61/$K61),0),0)</f>
        <v>0</v>
      </c>
      <c r="AB61" s="532">
        <f>IFERROR(IF(AND(AB$54&gt;=EOMONTH($J61,-1)+1,AB$54&lt;=EOMONTH(EOMONTH($J61,-1)+1,$K61-1)),IF(NOT(ISBLANK($N61)),$N61/$K61,$I61/$K61),0),0)</f>
        <v>0</v>
      </c>
      <c r="AC61" s="532">
        <f>IFERROR(IF(AND(AC$54&gt;=EOMONTH($J61,-1)+1,AC$54&lt;=EOMONTH(EOMONTH($J61,-1)+1,$K61-1)),IF(NOT(ISBLANK($N61)),$N61/$K61,$I61/$K61),0),0)</f>
        <v>0</v>
      </c>
      <c r="AD61" s="89">
        <f t="shared" si="24"/>
        <v>0</v>
      </c>
      <c r="AE61" s="532">
        <f>IFERROR(IF(AND(AE$54&gt;=EOMONTH($J61,-1)+1,AE$54&lt;=EOMONTH(EOMONTH($J61,-1)+1,$K61-1)),IF(NOT(ISBLANK($N61)),$N61/$K61,$I61/$K61),0),0)</f>
        <v>0</v>
      </c>
      <c r="AF61" s="532">
        <f>IFERROR(IF(AND(AF$54&gt;=EOMONTH($J61,-1)+1,AF$54&lt;=EOMONTH(EOMONTH($J61,-1)+1,$K61-1)),IF(NOT(ISBLANK($N61)),$N61/$K61,$I61/$K61),0),0)</f>
        <v>0</v>
      </c>
      <c r="AG61" s="532">
        <f>IFERROR(IF(AND(AG$54&gt;=EOMONTH($J61,-1)+1,AG$54&lt;=EOMONTH(EOMONTH($J61,-1)+1,$K61-1)),IF(NOT(ISBLANK($N61)),$N61/$K61,$I61/$K61),0),0)</f>
        <v>0</v>
      </c>
      <c r="AH61" s="89">
        <f t="shared" si="17"/>
        <v>0</v>
      </c>
      <c r="AI61" s="95">
        <f t="shared" si="15"/>
        <v>0</v>
      </c>
      <c r="AJ61" s="97"/>
      <c r="AK61" s="1038"/>
      <c r="AL61" s="1042"/>
      <c r="AM61" s="1044">
        <f t="shared" ref="AM61" si="26">N61*AL61</f>
        <v>0</v>
      </c>
      <c r="AN61" s="97" t="str">
        <f>C61</f>
        <v xml:space="preserve">04 - Redução dos retrabalhos </v>
      </c>
      <c r="AO61" s="62" t="s">
        <v>289</v>
      </c>
      <c r="AP61" s="543" t="str" cm="1">
        <f t="array" aca="1" ref="AP61" ca="1">IF(OR(AN61="",AN61=0),"",IF(SUMPRODUCT(($C$55:$C$161=AN61)*(S$54:$AG$54&lt;EOMONTH(TODAY(),-1)+1)*(ISNUMBER(S$55:$AG$161)),S$55:$AG$161)=0,"",SUMPRODUCT(($C$55:$C$161=AN61)*(S$54:$AG$54&lt;EOMONTH(TODAY(),-1)+1)*(ISNUMBER(S$55:$AG$161)),S$55:$AG$161)))</f>
        <v/>
      </c>
    </row>
    <row r="62" spans="1:42" ht="29.1" customHeight="1" x14ac:dyDescent="0.3">
      <c r="A62" s="1037"/>
      <c r="B62" s="1039"/>
      <c r="C62" s="1096"/>
      <c r="D62" s="1116"/>
      <c r="E62" s="1304"/>
      <c r="F62" s="1041"/>
      <c r="G62" s="1075"/>
      <c r="H62" s="1075"/>
      <c r="I62" s="1075"/>
      <c r="J62" s="1159"/>
      <c r="K62" s="1122"/>
      <c r="L62" s="1075"/>
      <c r="M62" s="1306"/>
      <c r="N62" s="1054"/>
      <c r="O62" s="1058"/>
      <c r="P62" s="1043"/>
      <c r="Q62" s="93" t="s">
        <v>107</v>
      </c>
      <c r="R62" s="96">
        <v>0.9</v>
      </c>
      <c r="S62" s="312"/>
      <c r="T62" s="312"/>
      <c r="U62" s="312"/>
      <c r="V62" s="310">
        <f t="shared" si="22"/>
        <v>0</v>
      </c>
      <c r="W62" s="312"/>
      <c r="X62" s="312"/>
      <c r="Y62" s="312"/>
      <c r="Z62" s="310">
        <f t="shared" si="23"/>
        <v>0</v>
      </c>
      <c r="AA62" s="312"/>
      <c r="AB62" s="312"/>
      <c r="AC62" s="312"/>
      <c r="AD62" s="310">
        <f t="shared" si="24"/>
        <v>0</v>
      </c>
      <c r="AE62" s="312"/>
      <c r="AF62" s="312"/>
      <c r="AG62" s="312"/>
      <c r="AH62" s="310">
        <f t="shared" si="17"/>
        <v>0</v>
      </c>
      <c r="AI62" s="313">
        <f t="shared" si="15"/>
        <v>0</v>
      </c>
      <c r="AJ62" s="97"/>
      <c r="AK62" s="1039"/>
      <c r="AL62" s="1043"/>
      <c r="AM62" s="1045"/>
      <c r="AN62" s="97" t="str">
        <f>C61</f>
        <v xml:space="preserve">04 - Redução dos retrabalhos </v>
      </c>
      <c r="AO62" s="62" t="s">
        <v>291</v>
      </c>
      <c r="AP62" s="543" t="str" cm="1">
        <f t="array" aca="1" ref="AP62" ca="1">IF(OR(AN62="",AN62=0),"",IF(SUMPRODUCT(($C$55:$C$161=AN62)*(S$54:$AG$54&lt;EOMONTH(TODAY(),-1)+1)*(ISNUMBER(S$56:$AG$162)),S$56:$AG$162)=0,"",SUMPRODUCT(($C$55:$C$161=AN62)*(S$54:$AG$54&lt;EOMONTH(TODAY(),-1)+1)*(ISNUMBER(S$56:$AG$162)),S$56:$AG$162)))</f>
        <v/>
      </c>
    </row>
    <row r="63" spans="1:42" ht="29.1" customHeight="1" x14ac:dyDescent="0.3">
      <c r="A63" s="1036" t="s">
        <v>82</v>
      </c>
      <c r="B63" s="1299" t="s">
        <v>93</v>
      </c>
      <c r="C63" s="1113" t="s">
        <v>1365</v>
      </c>
      <c r="D63" s="1115" t="s">
        <v>1366</v>
      </c>
      <c r="E63" s="1303" t="s">
        <v>1367</v>
      </c>
      <c r="F63" s="1040" t="s">
        <v>1334</v>
      </c>
      <c r="G63" s="1117">
        <v>46023</v>
      </c>
      <c r="H63" s="1117">
        <v>46237</v>
      </c>
      <c r="I63" s="1511">
        <v>690000</v>
      </c>
      <c r="J63" s="1158">
        <v>46235</v>
      </c>
      <c r="K63" s="1121">
        <f t="shared" ref="K63" si="27">IF(J63="", "", 12 - MONTH(J63) + 1)</f>
        <v>5</v>
      </c>
      <c r="L63" s="1074"/>
      <c r="M63" s="1320"/>
      <c r="N63" s="1509"/>
      <c r="O63" s="1057" t="s">
        <v>80</v>
      </c>
      <c r="P63" s="1057">
        <v>0.5</v>
      </c>
      <c r="Q63" s="87" t="s">
        <v>106</v>
      </c>
      <c r="R63" s="91">
        <f ca="1">IF(OR(G63="", H63=""), "", IF(TODAY()&lt;G63, 0, IF(TODAY()&gt;H63, 1, (TODAY()-G63+1)/(H63-G63+1))))</f>
        <v>0.80930232558139537</v>
      </c>
      <c r="S63" s="309">
        <f>IFERROR(IF(AND(S$54&gt;=EOMONTH($J63,-1)+1,S$54&lt;=EOMONTH(EOMONTH($J63,-1)+1,$K63-1)),IF(NOT(ISBLANK($N63)),$N63/$K63,$I63/$K63),0),0)</f>
        <v>0</v>
      </c>
      <c r="T63" s="309">
        <f>IFERROR(IF(AND(T$54&gt;=EOMONTH($J63,-1)+1,T$54&lt;=EOMONTH(EOMONTH($J63,-1)+1,$K63-1)),IF(NOT(ISBLANK($N63)),$N63/$K63,$I63/$K63),0),0)</f>
        <v>0</v>
      </c>
      <c r="U63" s="309">
        <f>IFERROR(IF(AND(U$54&gt;=EOMONTH($J63,-1)+1,U$54&lt;=EOMONTH(EOMONTH($J63,-1)+1,$K63-1)),IF(NOT(ISBLANK($N63)),$N63/$K63,$I63/$K63),0),0)</f>
        <v>0</v>
      </c>
      <c r="V63" s="89">
        <f>SUM(S63:U63)</f>
        <v>0</v>
      </c>
      <c r="W63" s="309">
        <f>IFERROR(IF(AND(W$54&gt;=EOMONTH($J63,-1)+1,W$54&lt;=EOMONTH(EOMONTH($J63,-1)+1,$K63-1)),IF(NOT(ISBLANK($N63)),$N63/$K63,$I63/$K63),0),0)</f>
        <v>0</v>
      </c>
      <c r="X63" s="309">
        <f>IFERROR(IF(AND(X$54&gt;=EOMONTH($J63,-1)+1,X$54&lt;=EOMONTH(EOMONTH($J63,-1)+1,$K63-1)),IF(NOT(ISBLANK($N63)),$N63/$K63,$I63/$K63),0),0)</f>
        <v>0</v>
      </c>
      <c r="Y63" s="309">
        <f>IFERROR(IF(AND(Y$54&gt;=EOMONTH($J63,-1)+1,Y$54&lt;=EOMONTH(EOMONTH($J63,-1)+1,$K63-1)),IF(NOT(ISBLANK($N63)),$N63/$K63,$I63/$K63),0),0)</f>
        <v>0</v>
      </c>
      <c r="Z63" s="89">
        <f t="shared" si="23"/>
        <v>0</v>
      </c>
      <c r="AA63" s="309">
        <f>IFERROR(IF(AND(AA$54&gt;=EOMONTH($J63,-1)+1,AA$54&lt;=EOMONTH(EOMONTH($J63,-1)+1,$K63-1)),IF(NOT(ISBLANK($N63)),$N63/$K63,$I63/$K63),0),0)</f>
        <v>0</v>
      </c>
      <c r="AB63" s="309">
        <f>IFERROR(IF(AND(AB$54&gt;=EOMONTH($J63,-1)+1,AB$54&lt;=EOMONTH(EOMONTH($J63,-1)+1,$K63-1)),IF(NOT(ISBLANK($N63)),$N63/$K63,$I63/$K63),0),0)</f>
        <v>138000</v>
      </c>
      <c r="AC63" s="309">
        <f>IFERROR(IF(AND(AC$54&gt;=EOMONTH($J63,-1)+1,AC$54&lt;=EOMONTH(EOMONTH($J63,-1)+1,$K63-1)),IF(NOT(ISBLANK($N63)),$N63/$K63,$I63/$K63),0),0)</f>
        <v>138000</v>
      </c>
      <c r="AD63" s="89">
        <f t="shared" si="24"/>
        <v>276000</v>
      </c>
      <c r="AE63" s="309">
        <f>IFERROR(IF(AND(AE$54&gt;=EOMONTH($J63,-1)+1,AE$54&lt;=EOMONTH(EOMONTH($J63,-1)+1,$K63-1)),IF(NOT(ISBLANK($N63)),$N63/$K63,$I63/$K63),0),0)</f>
        <v>138000</v>
      </c>
      <c r="AF63" s="309">
        <f>IFERROR(IF(AND(AF$54&gt;=EOMONTH($J63,-1)+1,AF$54&lt;=EOMONTH(EOMONTH($J63,-1)+1,$K63-1)),IF(NOT(ISBLANK($N63)),$N63/$K63,$I63/$K63),0),0)</f>
        <v>138000</v>
      </c>
      <c r="AG63" s="309">
        <f>IFERROR(IF(AND(AG$54&gt;=EOMONTH($J63,-1)+1,AG$54&lt;=EOMONTH(EOMONTH($J63,-1)+1,$K63-1)),IF(NOT(ISBLANK($N63)),$N63/$K63,$I63/$K63),0),0)</f>
        <v>138000</v>
      </c>
      <c r="AH63" s="89">
        <f t="shared" si="17"/>
        <v>414000</v>
      </c>
      <c r="AI63" s="90">
        <f t="shared" si="15"/>
        <v>690000</v>
      </c>
      <c r="AJ63" s="98"/>
      <c r="AK63" s="1040"/>
      <c r="AL63" s="1048"/>
      <c r="AM63" s="1046">
        <f t="shared" ref="AM63" si="28">N63*AL63</f>
        <v>0</v>
      </c>
      <c r="AN63" s="98" t="str">
        <f>C63</f>
        <v xml:space="preserve">05 - Nitrogênio da máquina laser </v>
      </c>
      <c r="AO63" s="62" t="s">
        <v>289</v>
      </c>
      <c r="AP63" s="543" t="str" cm="1">
        <f t="array" aca="1" ref="AP63" ca="1">IF(OR(AN63="",AN63=0),"",IF(SUMPRODUCT(($C$55:$C$161=AN63)*(S$54:$AG$54&lt;EOMONTH(TODAY(),-1)+1)*(ISNUMBER(S$55:$AG$161)),S$55:$AG$161)=0,"",SUMPRODUCT(($C$55:$C$161=AN63)*(S$54:$AG$54&lt;EOMONTH(TODAY(),-1)+1)*(ISNUMBER(S$55:$AG$161)),S$55:$AG$161)))</f>
        <v/>
      </c>
    </row>
    <row r="64" spans="1:42" ht="29.1" customHeight="1" x14ac:dyDescent="0.3">
      <c r="A64" s="1037"/>
      <c r="B64" s="1300"/>
      <c r="C64" s="1114"/>
      <c r="D64" s="1116"/>
      <c r="E64" s="1304"/>
      <c r="F64" s="1041"/>
      <c r="G64" s="1118"/>
      <c r="H64" s="1118"/>
      <c r="I64" s="1512"/>
      <c r="J64" s="1159"/>
      <c r="K64" s="1122"/>
      <c r="L64" s="1075"/>
      <c r="M64" s="1321"/>
      <c r="N64" s="1510"/>
      <c r="O64" s="1058"/>
      <c r="P64" s="1058"/>
      <c r="Q64" s="87" t="s">
        <v>107</v>
      </c>
      <c r="R64" s="91">
        <v>0.75</v>
      </c>
      <c r="S64" s="309"/>
      <c r="T64" s="309"/>
      <c r="U64" s="309"/>
      <c r="V64" s="310">
        <f t="shared" si="22"/>
        <v>0</v>
      </c>
      <c r="W64" s="309"/>
      <c r="X64" s="309"/>
      <c r="Y64" s="309"/>
      <c r="Z64" s="310">
        <f t="shared" si="23"/>
        <v>0</v>
      </c>
      <c r="AA64" s="309"/>
      <c r="AB64" s="309"/>
      <c r="AC64" s="309"/>
      <c r="AD64" s="310">
        <f t="shared" si="24"/>
        <v>0</v>
      </c>
      <c r="AE64" s="309"/>
      <c r="AF64" s="309"/>
      <c r="AG64" s="309"/>
      <c r="AH64" s="310">
        <f t="shared" si="17"/>
        <v>0</v>
      </c>
      <c r="AI64" s="311">
        <f t="shared" si="15"/>
        <v>0</v>
      </c>
      <c r="AJ64" s="360"/>
      <c r="AK64" s="1041"/>
      <c r="AL64" s="1049"/>
      <c r="AM64" s="1047"/>
      <c r="AN64" s="92" t="str">
        <f>C63</f>
        <v xml:space="preserve">05 - Nitrogênio da máquina laser </v>
      </c>
      <c r="AO64" s="62" t="s">
        <v>291</v>
      </c>
      <c r="AP64" s="543" t="str" cm="1">
        <f t="array" aca="1" ref="AP64" ca="1">IF(OR(AN64="",AN64=0),"",IF(SUMPRODUCT(($C$55:$C$161=AN64)*(S$54:$AG$54&lt;EOMONTH(TODAY(),-1)+1)*(ISNUMBER(S$56:$AG$162)),S$56:$AG$162)=0,"",SUMPRODUCT(($C$55:$C$161=AN64)*(S$54:$AG$54&lt;EOMONTH(TODAY(),-1)+1)*(ISNUMBER(S$56:$AG$162)),S$56:$AG$162)))</f>
        <v/>
      </c>
    </row>
    <row r="65" spans="1:42" ht="29.1" customHeight="1" x14ac:dyDescent="0.3">
      <c r="A65" s="1038" t="s">
        <v>76</v>
      </c>
      <c r="B65" s="1038" t="s">
        <v>93</v>
      </c>
      <c r="C65" s="1095" t="s">
        <v>1368</v>
      </c>
      <c r="D65" s="1097" t="s">
        <v>1369</v>
      </c>
      <c r="E65" s="1363" t="s">
        <v>1370</v>
      </c>
      <c r="F65" s="1099" t="s">
        <v>1371</v>
      </c>
      <c r="G65" s="1150">
        <v>46023</v>
      </c>
      <c r="H65" s="1150">
        <v>46054</v>
      </c>
      <c r="I65" s="1152">
        <v>600000.00089999998</v>
      </c>
      <c r="J65" s="1109">
        <v>46023</v>
      </c>
      <c r="K65" s="1213">
        <f t="shared" ref="K65" si="29">IF(J65="", "", 12 - MONTH(J65) + 1)</f>
        <v>12</v>
      </c>
      <c r="L65" s="1076"/>
      <c r="M65" s="1320" t="s">
        <v>287</v>
      </c>
      <c r="N65" s="1449">
        <v>607260.52</v>
      </c>
      <c r="O65" s="1042" t="s">
        <v>77</v>
      </c>
      <c r="P65" s="1042">
        <v>1</v>
      </c>
      <c r="Q65" s="93" t="s">
        <v>106</v>
      </c>
      <c r="R65" s="96">
        <f ca="1">IF(OR(G65="", H65=""), "", IF(TODAY()&lt;G65, 0, IF(TODAY()&gt;H65, 1, (TODAY()-G65+1)/(H65-G65+1))))</f>
        <v>1</v>
      </c>
      <c r="S65" s="532">
        <f>IFERROR(IF(AND(S$54&gt;=EOMONTH($J65,-1)+1,S$54&lt;=EOMONTH(EOMONTH($J65,-1)+1,$K65-1)),IF(NOT(ISBLANK($N65)),$N65/$K65,$I65/$K65),0),0)</f>
        <v>50605.043333333335</v>
      </c>
      <c r="T65" s="532">
        <f>IFERROR(IF(AND(T$54&gt;=EOMONTH($J65,-1)+1,T$54&lt;=EOMONTH(EOMONTH($J65,-1)+1,$K65-1)),IF(NOT(ISBLANK($N65)),$N65/$K65,$I65/$K65),0),0)</f>
        <v>50605.043333333335</v>
      </c>
      <c r="U65" s="710">
        <f>IFERROR(IF(AND(U$54&gt;=EOMONTH($J65,-1)+1,U$54&lt;=EOMONTH(EOMONTH($J65,-1)+1,$K65-1)),IF(NOT(ISBLANK($N65)),$N65/$K65,$I65/$K65),0),0)</f>
        <v>50605.043333333335</v>
      </c>
      <c r="V65" s="89">
        <f t="shared" ref="V65:V66" si="30">SUM(S65:U65)</f>
        <v>151815.13</v>
      </c>
      <c r="W65" s="802">
        <f>IFERROR(IF(AND(W$54&gt;=EOMONTH($J65,-1)+1,W$54&lt;=EOMONTH(EOMONTH($J65,-1)+1,$K65-1)),IF(NOT(ISBLANK($N65)),$N65/$K65,$I65/$K65),0),0)</f>
        <v>50605.043333333335</v>
      </c>
      <c r="X65" s="532">
        <f>IFERROR(IF(AND(X$54&gt;=EOMONTH($J65,-1)+1,X$54&lt;=EOMONTH(EOMONTH($J65,-1)+1,$K65-1)),IF(NOT(ISBLANK($N65)),$N65/$K65,$I65/$K65),0),0)</f>
        <v>50605.043333333335</v>
      </c>
      <c r="Y65" s="532">
        <f>IFERROR(IF(AND(Y$54&gt;=EOMONTH($J65,-1)+1,Y$54&lt;=EOMONTH(EOMONTH($J65,-1)+1,$K65-1)),IF(NOT(ISBLANK($N65)),$N65/$K65,$I65/$K65),0),0)</f>
        <v>50605.043333333335</v>
      </c>
      <c r="Z65" s="89">
        <f t="shared" ref="Z65" si="31">SUM(W65:Y65)</f>
        <v>151815.13</v>
      </c>
      <c r="AA65" s="532">
        <f>IFERROR(IF(AND(AA$54&gt;=EOMONTH($J65,-1)+1,AA$54&lt;=EOMONTH(EOMONTH($J65,-1)+1,$K65-1)),IF(NOT(ISBLANK($N65)),$N65/$K65,$I65/$K65),0),0)</f>
        <v>50605.043333333335</v>
      </c>
      <c r="AB65" s="532">
        <f>IFERROR(IF(AND(AB$54&gt;=EOMONTH($J65,-1)+1,AB$54&lt;=EOMONTH(EOMONTH($J65,-1)+1,$K65-1)),IF(NOT(ISBLANK($N65)),$N65/$K65,$I65/$K65),0),0)</f>
        <v>50605.043333333335</v>
      </c>
      <c r="AC65" s="532">
        <f>IFERROR(IF(AND(AC$54&gt;=EOMONTH($J65,-1)+1,AC$54&lt;=EOMONTH(EOMONTH($J65,-1)+1,$K65-1)),IF(NOT(ISBLANK($N65)),$N65/$K65,$I65/$K65),0),0)</f>
        <v>50605.043333333335</v>
      </c>
      <c r="AD65" s="89">
        <f t="shared" ref="AD65" si="32">SUM(AA65:AC65)</f>
        <v>151815.13</v>
      </c>
      <c r="AE65" s="532">
        <f>IFERROR(IF(AND(AE$54&gt;=EOMONTH($J65,-1)+1,AE$54&lt;=EOMONTH(EOMONTH($J65,-1)+1,$K65-1)),IF(NOT(ISBLANK($N65)),$N65/$K65,$I65/$K65),0),0)</f>
        <v>50605.043333333335</v>
      </c>
      <c r="AF65" s="532">
        <f>IFERROR(IF(AND(AF$54&gt;=EOMONTH($J65,-1)+1,AF$54&lt;=EOMONTH(EOMONTH($J65,-1)+1,$K65-1)),IF(NOT(ISBLANK($N65)),$N65/$K65,$I65/$K65),0),0)</f>
        <v>50605.043333333335</v>
      </c>
      <c r="AG65" s="532">
        <f>IFERROR(IF(AND(AG$54&gt;=EOMONTH($J65,-1)+1,AG$54&lt;=EOMONTH(EOMONTH($J65,-1)+1,$K65-1)),IF(NOT(ISBLANK($N65)),$N65/$K65,$I65/$K65),0),0)</f>
        <v>50605.043333333335</v>
      </c>
      <c r="AH65" s="89">
        <f t="shared" si="17"/>
        <v>151815.13</v>
      </c>
      <c r="AI65" s="95">
        <f t="shared" si="15"/>
        <v>607260.52</v>
      </c>
      <c r="AJ65" s="97"/>
      <c r="AK65" s="1038"/>
      <c r="AL65" s="1042"/>
      <c r="AM65" s="1044">
        <f t="shared" ref="AM65" si="33">N65*AL65</f>
        <v>0</v>
      </c>
      <c r="AN65" s="97" t="str">
        <f>C65</f>
        <v xml:space="preserve">06 - Reaproveitamento de lixas </v>
      </c>
      <c r="AO65" s="62" t="s">
        <v>289</v>
      </c>
      <c r="AP65" s="543" cm="1">
        <f t="array" aca="1" ref="AP65" ca="1">IF(OR(AN65="",AN65=0),"",IF(SUMPRODUCT(($C$55:$C$161=AN65)*(S$54:$AG$54&lt;EOMONTH(TODAY(),-1)+1)*(ISNUMBER(S$55:$AG$161)),S$55:$AG$161)=0,"",SUMPRODUCT(($C$55:$C$161=AN65)*(S$54:$AG$54&lt;EOMONTH(TODAY(),-1)+1)*(ISNUMBER(S$55:$AG$161)),S$55:$AG$161)))</f>
        <v>253025.21666666667</v>
      </c>
    </row>
    <row r="66" spans="1:42" ht="29.1" customHeight="1" x14ac:dyDescent="0.3">
      <c r="A66" s="1039"/>
      <c r="B66" s="1039"/>
      <c r="C66" s="1096"/>
      <c r="D66" s="1098"/>
      <c r="E66" s="1364"/>
      <c r="F66" s="1100"/>
      <c r="G66" s="1151"/>
      <c r="H66" s="1151"/>
      <c r="I66" s="1151"/>
      <c r="J66" s="1110"/>
      <c r="K66" s="1214"/>
      <c r="L66" s="1077"/>
      <c r="M66" s="1321"/>
      <c r="N66" s="1450"/>
      <c r="O66" s="1043"/>
      <c r="P66" s="1043"/>
      <c r="Q66" s="93" t="s">
        <v>107</v>
      </c>
      <c r="R66" s="96">
        <v>1</v>
      </c>
      <c r="S66" s="630">
        <v>62740.98</v>
      </c>
      <c r="T66" s="630">
        <v>40979.870000000003</v>
      </c>
      <c r="U66" s="630">
        <v>97053.54</v>
      </c>
      <c r="V66" s="89">
        <f t="shared" si="30"/>
        <v>200774.39</v>
      </c>
      <c r="W66" s="312">
        <v>27431.49</v>
      </c>
      <c r="X66" s="312">
        <v>48189.599999999999</v>
      </c>
      <c r="Y66" s="312"/>
      <c r="Z66" s="310">
        <f t="shared" si="23"/>
        <v>75621.09</v>
      </c>
      <c r="AA66" s="312"/>
      <c r="AB66" s="312"/>
      <c r="AC66" s="312"/>
      <c r="AD66" s="310">
        <f t="shared" si="24"/>
        <v>0</v>
      </c>
      <c r="AE66" s="312"/>
      <c r="AF66" s="312"/>
      <c r="AG66" s="312"/>
      <c r="AH66" s="310">
        <f t="shared" si="17"/>
        <v>0</v>
      </c>
      <c r="AI66" s="311">
        <f t="shared" si="15"/>
        <v>276395.48</v>
      </c>
      <c r="AJ66" s="97"/>
      <c r="AK66" s="1039"/>
      <c r="AL66" s="1043"/>
      <c r="AM66" s="1045"/>
      <c r="AN66" s="97" t="str">
        <f>C65</f>
        <v xml:space="preserve">06 - Reaproveitamento de lixas </v>
      </c>
      <c r="AO66" s="62" t="s">
        <v>291</v>
      </c>
      <c r="AP66" s="543" cm="1">
        <f t="array" aca="1" ref="AP66" ca="1">IF(OR(AN66="",AN66=0),"",IF(SUMPRODUCT(($C$55:$C$161=AN66)*(S$54:$AG$54&lt;EOMONTH(TODAY(),-1)+1)*(ISNUMBER(S$56:$AG$162)),S$56:$AG$162)=0,"",SUMPRODUCT(($C$55:$C$161=AN66)*(S$54:$AG$54&lt;EOMONTH(TODAY(),-1)+1)*(ISNUMBER(S$56:$AG$162)),S$56:$AG$162)))</f>
        <v>276395.48</v>
      </c>
    </row>
    <row r="67" spans="1:42" ht="30" customHeight="1" x14ac:dyDescent="0.3">
      <c r="A67" s="1036" t="s">
        <v>76</v>
      </c>
      <c r="B67" s="1299" t="s">
        <v>91</v>
      </c>
      <c r="C67" s="1113" t="s">
        <v>1372</v>
      </c>
      <c r="D67" s="1115" t="s">
        <v>1373</v>
      </c>
      <c r="E67" s="1303" t="s">
        <v>1374</v>
      </c>
      <c r="F67" s="1040" t="s">
        <v>1375</v>
      </c>
      <c r="G67" s="1117">
        <v>46023</v>
      </c>
      <c r="H67" s="1117">
        <v>46357</v>
      </c>
      <c r="I67" s="1074">
        <v>400000.00089999998</v>
      </c>
      <c r="J67" s="1158">
        <v>46023</v>
      </c>
      <c r="K67" s="1121">
        <f t="shared" ref="K67" si="34">IF(J67="", "", 12 - MONTH(J67) + 1)</f>
        <v>12</v>
      </c>
      <c r="L67" s="1074"/>
      <c r="M67" s="1119" t="s">
        <v>287</v>
      </c>
      <c r="N67" s="1053">
        <v>405377</v>
      </c>
      <c r="O67" s="1057" t="s">
        <v>80</v>
      </c>
      <c r="P67" s="1057">
        <v>1</v>
      </c>
      <c r="Q67" s="87" t="s">
        <v>106</v>
      </c>
      <c r="R67" s="91">
        <f ca="1">IF(OR(G67="", H67=""), "", IF(TODAY()&lt;G67, 0, IF(TODAY()&gt;H67, 1, (TODAY()-G67+1)/(H67-G67+1))))</f>
        <v>0.5194029850746269</v>
      </c>
      <c r="S67" s="309">
        <f>IFERROR(IF(AND(S$54&gt;=EOMONTH($J67,-1)+1,S$54&lt;=EOMONTH(EOMONTH($J67,-1)+1,$K67-1)),IF(NOT(ISBLANK($N67)),$N67/$K67,$I67/$K67),0),0)</f>
        <v>33781.416666666664</v>
      </c>
      <c r="T67" s="780">
        <f>IFERROR(IF(AND(T$54&gt;=EOMONTH($J67,-1)+1,T$54&lt;=EOMONTH(EOMONTH($J67,-1)+1,$K67-1)),IF(NOT(ISBLANK($N67)),$N67/$K67,$I67/$K67),0),0)</f>
        <v>33781.416666666664</v>
      </c>
      <c r="U67" s="780">
        <f>IFERROR(IF(AND(U$54&gt;=EOMONTH($J67,-1)+1,U$54&lt;=EOMONTH(EOMONTH($J67,-1)+1,$K67-1)),IF(NOT(ISBLANK($N67)),$N67/$K67,$I67/$K67),0),0)</f>
        <v>33781.416666666664</v>
      </c>
      <c r="V67" s="89">
        <f t="shared" si="22"/>
        <v>101344.25</v>
      </c>
      <c r="W67" s="589">
        <f>IFERROR(IF(AND(W$54&gt;=EOMONTH($J67,-1)+1,W$54&lt;=EOMONTH(EOMONTH($J67,-1)+1,$K67-1)),IF(NOT(ISBLANK($N67)),$N67/$K67,$I67/$K67),0),0)</f>
        <v>33781.416666666664</v>
      </c>
      <c r="X67" s="309">
        <f>IFERROR(IF(AND(X$54&gt;=EOMONTH($J67,-1)+1,X$54&lt;=EOMONTH(EOMONTH($J67,-1)+1,$K67-1)),IF(NOT(ISBLANK($N67)),$N67/$K67,$I67/$K67),0),0)</f>
        <v>33781.416666666664</v>
      </c>
      <c r="Y67" s="309">
        <f>IFERROR(IF(AND(Y$54&gt;=EOMONTH($J67,-1)+1,Y$54&lt;=EOMONTH(EOMONTH($J67,-1)+1,$K67-1)),IF(NOT(ISBLANK($N67)),$N67/$K67,$I67/$K67),0),0)</f>
        <v>33781.416666666664</v>
      </c>
      <c r="Z67" s="89">
        <f t="shared" si="23"/>
        <v>101344.25</v>
      </c>
      <c r="AA67" s="309">
        <f>IFERROR(IF(AND(AA$54&gt;=EOMONTH($J67,-1)+1,AA$54&lt;=EOMONTH(EOMONTH($J67,-1)+1,$K67-1)),IF(NOT(ISBLANK($N67)),$N67/$K67,$I67/$K67),0),0)</f>
        <v>33781.416666666664</v>
      </c>
      <c r="AB67" s="309">
        <f>IFERROR(IF(AND(AB$54&gt;=EOMONTH($J67,-1)+1,AB$54&lt;=EOMONTH(EOMONTH($J67,-1)+1,$K67-1)),IF(NOT(ISBLANK($N67)),$N67/$K67,$I67/$K67),0),0)</f>
        <v>33781.416666666664</v>
      </c>
      <c r="AC67" s="309">
        <f>IFERROR(IF(AND(AC$54&gt;=EOMONTH($J67,-1)+1,AC$54&lt;=EOMONTH(EOMONTH($J67,-1)+1,$K67-1)),IF(NOT(ISBLANK($N67)),$N67/$K67,$I67/$K67),0),0)</f>
        <v>33781.416666666664</v>
      </c>
      <c r="AD67" s="89">
        <f t="shared" si="24"/>
        <v>101344.25</v>
      </c>
      <c r="AE67" s="309">
        <f>IFERROR(IF(AND(AE$54&gt;=EOMONTH($J67,-1)+1,AE$54&lt;=EOMONTH(EOMONTH($J67,-1)+1,$K67-1)),IF(NOT(ISBLANK($N67)),$N67/$K67,$I67/$K67),0),0)</f>
        <v>33781.416666666664</v>
      </c>
      <c r="AF67" s="309">
        <f>IFERROR(IF(AND(AF$54&gt;=EOMONTH($J67,-1)+1,AF$54&lt;=EOMONTH(EOMONTH($J67,-1)+1,$K67-1)),IF(NOT(ISBLANK($N67)),$N67/$K67,$I67/$K67),0),0)</f>
        <v>33781.416666666664</v>
      </c>
      <c r="AG67" s="309">
        <f>IFERROR(IF(AND(AG$54&gt;=EOMONTH($J67,-1)+1,AG$54&lt;=EOMONTH(EOMONTH($J67,-1)+1,$K67-1)),IF(NOT(ISBLANK($N67)),$N67/$K67,$I67/$K67),0),0)</f>
        <v>33781.416666666664</v>
      </c>
      <c r="AH67" s="89">
        <f t="shared" si="17"/>
        <v>101344.25</v>
      </c>
      <c r="AI67" s="90">
        <f t="shared" si="15"/>
        <v>405377</v>
      </c>
      <c r="AJ67" s="98"/>
      <c r="AK67" s="1040"/>
      <c r="AL67" s="1048"/>
      <c r="AM67" s="1046">
        <f t="shared" ref="AM67" si="35">N67*AL67</f>
        <v>0</v>
      </c>
      <c r="AN67" s="98" t="str">
        <f>C67</f>
        <v xml:space="preserve">07 - Consumo de gás </v>
      </c>
      <c r="AO67" s="62" t="s">
        <v>289</v>
      </c>
      <c r="AP67" s="543" cm="1">
        <f t="array" aca="1" ref="AP67" ca="1">IF(OR(AN67="",AN67=0),"",IF(SUMPRODUCT(($C$55:$C$161=AN67)*(S$54:$AG$54&lt;EOMONTH(TODAY(),-1)+1)*(ISNUMBER(S$55:$AG$161)),S$55:$AG$161)=0,"",SUMPRODUCT(($C$55:$C$161=AN67)*(S$54:$AG$54&lt;EOMONTH(TODAY(),-1)+1)*(ISNUMBER(S$55:$AG$161)),S$55:$AG$161)))</f>
        <v>168907.08333333331</v>
      </c>
    </row>
    <row r="68" spans="1:42" ht="29.1" customHeight="1" x14ac:dyDescent="0.3">
      <c r="A68" s="1037"/>
      <c r="B68" s="1300"/>
      <c r="C68" s="1114"/>
      <c r="D68" s="1116"/>
      <c r="E68" s="1304"/>
      <c r="F68" s="1041"/>
      <c r="G68" s="1118"/>
      <c r="H68" s="1118"/>
      <c r="I68" s="1075"/>
      <c r="J68" s="1159"/>
      <c r="K68" s="1122"/>
      <c r="L68" s="1075"/>
      <c r="M68" s="1451"/>
      <c r="N68" s="1417"/>
      <c r="O68" s="1058"/>
      <c r="P68" s="1058"/>
      <c r="Q68" s="87" t="s">
        <v>107</v>
      </c>
      <c r="R68" s="91">
        <v>0.6</v>
      </c>
      <c r="S68" s="780">
        <v>39832.5</v>
      </c>
      <c r="T68" s="781">
        <v>121745.61</v>
      </c>
      <c r="U68" s="781">
        <v>64983.8</v>
      </c>
      <c r="V68" s="310">
        <f t="shared" ref="V68" si="36">SUM(S68:U68)</f>
        <v>226561.90999999997</v>
      </c>
      <c r="W68" s="781">
        <v>64676.05</v>
      </c>
      <c r="X68" s="309">
        <v>122587.61</v>
      </c>
      <c r="Y68" s="309"/>
      <c r="Z68" s="310">
        <f t="shared" si="23"/>
        <v>187263.66</v>
      </c>
      <c r="AA68" s="309"/>
      <c r="AB68" s="309"/>
      <c r="AC68" s="309"/>
      <c r="AD68" s="310">
        <f t="shared" si="24"/>
        <v>0</v>
      </c>
      <c r="AE68" s="309"/>
      <c r="AF68" s="309"/>
      <c r="AG68" s="309"/>
      <c r="AH68" s="310">
        <f t="shared" si="17"/>
        <v>0</v>
      </c>
      <c r="AI68" s="311">
        <f t="shared" si="15"/>
        <v>413825.56999999995</v>
      </c>
      <c r="AJ68" s="360"/>
      <c r="AK68" s="1041"/>
      <c r="AL68" s="1049"/>
      <c r="AM68" s="1047"/>
      <c r="AN68" s="92" t="str">
        <f>C67</f>
        <v xml:space="preserve">07 - Consumo de gás </v>
      </c>
      <c r="AO68" s="62" t="s">
        <v>291</v>
      </c>
      <c r="AP68" s="543" cm="1">
        <f t="array" aca="1" ref="AP68" ca="1">IF(OR(AN68="",AN68=0),"",IF(SUMPRODUCT(($C$55:$C$161=AN68)*(S$54:$AG$54&lt;EOMONTH(TODAY(),-1)+1)*(ISNUMBER(S$56:$AG$162)),S$56:$AG$162)=0,"",SUMPRODUCT(($C$55:$C$161=AN68)*(S$54:$AG$54&lt;EOMONTH(TODAY(),-1)+1)*(ISNUMBER(S$56:$AG$162)),S$56:$AG$162)))</f>
        <v>413825.56999999995</v>
      </c>
    </row>
    <row r="69" spans="1:42" ht="29.1" customHeight="1" x14ac:dyDescent="0.3">
      <c r="A69" s="1038" t="s">
        <v>76</v>
      </c>
      <c r="B69" s="1038" t="s">
        <v>93</v>
      </c>
      <c r="C69" s="1095" t="s">
        <v>1376</v>
      </c>
      <c r="D69" s="1162" t="s">
        <v>1377</v>
      </c>
      <c r="E69" s="1363" t="s">
        <v>1378</v>
      </c>
      <c r="F69" s="1099" t="s">
        <v>1371</v>
      </c>
      <c r="G69" s="1101">
        <v>46082</v>
      </c>
      <c r="H69" s="1101">
        <v>46237</v>
      </c>
      <c r="I69" s="1511">
        <v>195000</v>
      </c>
      <c r="J69" s="1109"/>
      <c r="K69" s="1111" t="str">
        <f t="shared" ref="K69" si="37">IF(J69="", "", 12 - MONTH(J69) + 1)</f>
        <v/>
      </c>
      <c r="L69" s="1103"/>
      <c r="M69" s="1513" t="s">
        <v>388</v>
      </c>
      <c r="N69" s="1494"/>
      <c r="O69" s="1418" t="s">
        <v>80</v>
      </c>
      <c r="P69" s="1418">
        <v>1</v>
      </c>
      <c r="Q69" s="628" t="s">
        <v>106</v>
      </c>
      <c r="R69" s="629">
        <f ca="1">IF(OR(G69="", H69=""), "", IF(TODAY()&lt;G69, 0, IF(TODAY()&gt;H69, 1, (TODAY()-G69+1)/(H69-G69+1))))</f>
        <v>0.73717948717948723</v>
      </c>
      <c r="S69" s="630">
        <f>IFERROR(IF(AND(S$54&gt;=EOMONTH($J69,-1)+1,S$54&lt;=EOMONTH(EOMONTH($J69,-1)+1,$K69-1)),IF(NOT(ISBLANK($N69)),$N69/$K69,$I69/$K69),0),0)</f>
        <v>0</v>
      </c>
      <c r="T69" s="630">
        <f>IFERROR(IF(AND(T$54&gt;=EOMONTH($J69,-1)+1,T$54&lt;=EOMONTH(EOMONTH($J69,-1)+1,$K69-1)),IF(NOT(ISBLANK($N69)),$N69/$K69,$I69/$K69),0),0)</f>
        <v>0</v>
      </c>
      <c r="U69" s="835">
        <f>IFERROR(IF(AND(U$54&gt;=EOMONTH($J69,-1)+1,U$54&lt;=EOMONTH(EOMONTH($J69,-1)+1,$K69-1)),IF(NOT(ISBLANK($N69)),$N69/$K69,$I69/$K69),0),0)</f>
        <v>0</v>
      </c>
      <c r="V69" s="818">
        <f t="shared" ref="V69" si="38">SUM(S69:U69)</f>
        <v>0</v>
      </c>
      <c r="W69" s="630">
        <f>IFERROR(IF(AND(W$54&gt;=EOMONTH($J69,-1)+1,W$54&lt;=EOMONTH(EOMONTH($J69,-1)+1,$K69-1)),IF(NOT(ISBLANK($N69)),$N69/$K69,$I69/$K69),0),0)</f>
        <v>0</v>
      </c>
      <c r="X69" s="630">
        <f>IFERROR(IF(AND(X$54&gt;=EOMONTH($J69,-1)+1,X$54&lt;=EOMONTH(EOMONTH($J69,-1)+1,$K69-1)),IF(NOT(ISBLANK($N69)),$N69/$K69,$I69/$K69),0),0)</f>
        <v>0</v>
      </c>
      <c r="Y69" s="630">
        <f>IFERROR(IF(AND(Y$54&gt;=EOMONTH($J69,-1)+1,Y$54&lt;=EOMONTH(EOMONTH($J69,-1)+1,$K69-1)),IF(NOT(ISBLANK($N69)),$N69/$K69,$I69/$K69),0),0)</f>
        <v>0</v>
      </c>
      <c r="Z69" s="818">
        <f t="shared" si="23"/>
        <v>0</v>
      </c>
      <c r="AA69" s="630">
        <f>IFERROR(IF(AND(AA$54&gt;=EOMONTH($J69,-1)+1,AA$54&lt;=EOMONTH(EOMONTH($J69,-1)+1,$K69-1)),IF(NOT(ISBLANK($N69)),$N69/$K69,$I69/$K69),0),0)</f>
        <v>0</v>
      </c>
      <c r="AB69" s="630">
        <f>IFERROR(IF(AND(AB$54&gt;=EOMONTH($J69,-1)+1,AB$54&lt;=EOMONTH(EOMONTH($J69,-1)+1,$K69-1)),IF(NOT(ISBLANK($N69)),$N69/$K69,$I69/$K69),0),0)</f>
        <v>0</v>
      </c>
      <c r="AC69" s="630">
        <f>IFERROR(IF(AND(AC$54&gt;=EOMONTH($J69,-1)+1,AC$54&lt;=EOMONTH(EOMONTH($J69,-1)+1,$K69-1)),IF(NOT(ISBLANK($N69)),$N69/$K69,$I69/$K69),0),0)</f>
        <v>0</v>
      </c>
      <c r="AD69" s="818">
        <f t="shared" si="24"/>
        <v>0</v>
      </c>
      <c r="AE69" s="630">
        <f>IFERROR(IF(AND(AE$54&gt;=EOMONTH($J69,-1)+1,AE$54&lt;=EOMONTH(EOMONTH($J69,-1)+1,$K69-1)),IF(NOT(ISBLANK($N69)),$N69/$K69,$I69/$K69),0),0)</f>
        <v>0</v>
      </c>
      <c r="AF69" s="630">
        <f>IFERROR(IF(AND(AF$54&gt;=EOMONTH($J69,-1)+1,AF$54&lt;=EOMONTH(EOMONTH($J69,-1)+1,$K69-1)),IF(NOT(ISBLANK($N69)),$N69/$K69,$I69/$K69),0),0)</f>
        <v>0</v>
      </c>
      <c r="AG69" s="630">
        <f>IFERROR(IF(AND(AG$54&gt;=EOMONTH($J69,-1)+1,AG$54&lt;=EOMONTH(EOMONTH($J69,-1)+1,$K69-1)),IF(NOT(ISBLANK($N69)),$N69/$K69,$I69/$K69),0),0)</f>
        <v>0</v>
      </c>
      <c r="AH69" s="818">
        <f t="shared" si="17"/>
        <v>0</v>
      </c>
      <c r="AI69" s="820">
        <f t="shared" si="15"/>
        <v>0</v>
      </c>
      <c r="AJ69" s="125"/>
      <c r="AK69" s="1099"/>
      <c r="AL69" s="1525"/>
      <c r="AM69" s="1490">
        <f t="shared" ref="AM69" si="39">N69*AL69</f>
        <v>0</v>
      </c>
      <c r="AN69" s="125" t="str">
        <f>C69</f>
        <v>09 - Critério para descarte de consumíveis</v>
      </c>
      <c r="AO69" s="62" t="s">
        <v>289</v>
      </c>
      <c r="AP69" s="543" t="str" cm="1">
        <f t="array" aca="1" ref="AP69" ca="1">IF(OR(AN69="",AN69=0),"",IF(SUMPRODUCT(($C$55:$C$161=AN69)*(S$54:$AG$54&lt;EOMONTH(TODAY(),-1)+1)*(ISNUMBER(S$55:$AG$161)),S$55:$AG$161)=0,"",SUMPRODUCT(($C$55:$C$161=AN69)*(S$54:$AG$54&lt;EOMONTH(TODAY(),-1)+1)*(ISNUMBER(S$55:$AG$161)),S$55:$AG$161)))</f>
        <v/>
      </c>
    </row>
    <row r="70" spans="1:42" ht="29.1" customHeight="1" x14ac:dyDescent="0.3">
      <c r="A70" s="1039"/>
      <c r="B70" s="1039"/>
      <c r="C70" s="1096"/>
      <c r="D70" s="1098"/>
      <c r="E70" s="1364"/>
      <c r="F70" s="1100"/>
      <c r="G70" s="1102"/>
      <c r="H70" s="1102"/>
      <c r="I70" s="1512"/>
      <c r="J70" s="1110"/>
      <c r="K70" s="1112"/>
      <c r="L70" s="1104"/>
      <c r="M70" s="1514"/>
      <c r="N70" s="1445"/>
      <c r="O70" s="1419"/>
      <c r="P70" s="1419"/>
      <c r="Q70" s="628" t="s">
        <v>107</v>
      </c>
      <c r="R70" s="629">
        <v>0.7</v>
      </c>
      <c r="S70" s="630"/>
      <c r="T70" s="630"/>
      <c r="U70" s="630"/>
      <c r="V70" s="630">
        <f t="shared" ref="V70" si="40">SUM(S70:U70)</f>
        <v>0</v>
      </c>
      <c r="W70" s="630"/>
      <c r="X70" s="630"/>
      <c r="Y70" s="630"/>
      <c r="Z70" s="630">
        <f t="shared" si="23"/>
        <v>0</v>
      </c>
      <c r="AA70" s="630"/>
      <c r="AB70" s="630"/>
      <c r="AC70" s="630"/>
      <c r="AD70" s="630">
        <f t="shared" si="24"/>
        <v>0</v>
      </c>
      <c r="AE70" s="630"/>
      <c r="AF70" s="630"/>
      <c r="AG70" s="630"/>
      <c r="AH70" s="630">
        <f t="shared" si="17"/>
        <v>0</v>
      </c>
      <c r="AI70" s="821">
        <f t="shared" si="15"/>
        <v>0</v>
      </c>
      <c r="AJ70" s="361"/>
      <c r="AK70" s="1100"/>
      <c r="AL70" s="1526"/>
      <c r="AM70" s="1491"/>
      <c r="AN70" s="97" t="str">
        <f>C69</f>
        <v>09 - Critério para descarte de consumíveis</v>
      </c>
      <c r="AO70" s="62" t="s">
        <v>291</v>
      </c>
      <c r="AP70" s="543" t="str" cm="1">
        <f t="array" aca="1" ref="AP70" ca="1">IF(OR(AN70="",AN70=0),"",IF(SUMPRODUCT(($C$55:$C$161=AN70)*(S$54:$AG$54&lt;EOMONTH(TODAY(),-1)+1)*(ISNUMBER(S$56:$AG$162)),S$56:$AG$162)=0,"",SUMPRODUCT(($C$55:$C$161=AN70)*(S$54:$AG$54&lt;EOMONTH(TODAY(),-1)+1)*(ISNUMBER(S$56:$AG$162)),S$56:$AG$162)))</f>
        <v/>
      </c>
    </row>
    <row r="71" spans="1:42" ht="29.1" customHeight="1" x14ac:dyDescent="0.3">
      <c r="A71" s="1038" t="s">
        <v>310</v>
      </c>
      <c r="B71" s="1299" t="s">
        <v>91</v>
      </c>
      <c r="C71" s="1113" t="s">
        <v>1379</v>
      </c>
      <c r="D71" s="1097" t="s">
        <v>1380</v>
      </c>
      <c r="E71" s="1363" t="s">
        <v>1381</v>
      </c>
      <c r="F71" s="1099" t="s">
        <v>1375</v>
      </c>
      <c r="G71" s="1150">
        <v>46054</v>
      </c>
      <c r="H71" s="1150">
        <v>46178</v>
      </c>
      <c r="I71" s="1152">
        <v>200000.00399999999</v>
      </c>
      <c r="J71" s="1109">
        <v>46054</v>
      </c>
      <c r="K71" s="1213">
        <f t="shared" ref="K71" si="41">IF(J71="", "", 12 - MONTH(J71) + 1)</f>
        <v>11</v>
      </c>
      <c r="L71" s="1076"/>
      <c r="M71" s="1320" t="s">
        <v>287</v>
      </c>
      <c r="N71" s="1449">
        <v>210669</v>
      </c>
      <c r="O71" s="1042" t="s">
        <v>80</v>
      </c>
      <c r="P71" s="1042">
        <v>1</v>
      </c>
      <c r="Q71" s="93" t="s">
        <v>106</v>
      </c>
      <c r="R71" s="96">
        <f ca="1">IF(OR(G71="", H71=""), "", IF(TODAY()&lt;G71, 0, IF(TODAY()&gt;H71, 1, (TODAY()-G71+1)/(H71-G71+1))))</f>
        <v>1</v>
      </c>
      <c r="S71" s="532">
        <f>IFERROR(IF(AND(S$54&gt;=EOMONTH($J71,-1)+1,S$54&lt;=EOMONTH(EOMONTH($J71,-1)+1,$K71-1)),IF(NOT(ISBLANK($N71)),$N71/$K71,$I71/$K71),0),0)</f>
        <v>0</v>
      </c>
      <c r="T71" s="532">
        <f>IFERROR(IF(AND(T$54&gt;=EOMONTH($J71,-1)+1,T$54&lt;=EOMONTH(EOMONTH($J71,-1)+1,$K71-1)),IF(NOT(ISBLANK($N71)),$N71/$K71,$I71/$K71),0),0)</f>
        <v>19151.727272727272</v>
      </c>
      <c r="U71" s="641">
        <f>IFERROR(IF(AND(U$54&gt;=EOMONTH($J71,-1)+1,U$54&lt;=EOMONTH(EOMONTH($J71,-1)+1,$K71-1)),IF(NOT(ISBLANK($N71)),$N71/$K71,$I71/$K71),0),0)</f>
        <v>19151.727272727272</v>
      </c>
      <c r="V71" s="89">
        <f t="shared" ref="V71:V72" si="42">SUM(S71:U71)</f>
        <v>38303.454545454544</v>
      </c>
      <c r="W71" s="641">
        <f>IFERROR(IF(AND(W$54&gt;=EOMONTH($J71,-1)+1,W$54&lt;=EOMONTH(EOMONTH($J71,-1)+1,$K71-1)),IF(NOT(ISBLANK($N71)),$N71/$K71,$I71/$K71),0),0)</f>
        <v>19151.727272727272</v>
      </c>
      <c r="X71" s="532">
        <f>IFERROR(IF(AND(X$54&gt;=EOMONTH($J71,-1)+1,X$54&lt;=EOMONTH(EOMONTH($J71,-1)+1,$K71-1)),IF(NOT(ISBLANK($N71)),$N71/$K71,$I71/$K71),0),0)</f>
        <v>19151.727272727272</v>
      </c>
      <c r="Y71" s="532">
        <f>IFERROR(IF(AND(Y$54&gt;=EOMONTH($J71,-1)+1,Y$54&lt;=EOMONTH(EOMONTH($J71,-1)+1,$K71-1)),IF(NOT(ISBLANK($N71)),$N71/$K71,$I71/$K71),0),0)</f>
        <v>19151.727272727272</v>
      </c>
      <c r="Z71" s="89">
        <f t="shared" si="23"/>
        <v>57455.181818181816</v>
      </c>
      <c r="AA71" s="532">
        <f>IFERROR(IF(AND(AA$54&gt;=EOMONTH($J71,-1)+1,AA$54&lt;=EOMONTH(EOMONTH($J71,-1)+1,$K71-1)),IF(NOT(ISBLANK($N71)),$N71/$K71,$I71/$K71),0),0)</f>
        <v>19151.727272727272</v>
      </c>
      <c r="AB71" s="532">
        <f>IFERROR(IF(AND(AB$54&gt;=EOMONTH($J71,-1)+1,AB$54&lt;=EOMONTH(EOMONTH($J71,-1)+1,$K71-1)),IF(NOT(ISBLANK($N71)),$N71/$K71,$I71/$K71),0),0)</f>
        <v>19151.727272727272</v>
      </c>
      <c r="AC71" s="532">
        <f>IFERROR(IF(AND(AC$54&gt;=EOMONTH($J71,-1)+1,AC$54&lt;=EOMONTH(EOMONTH($J71,-1)+1,$K71-1)),IF(NOT(ISBLANK($N71)),$N71/$K71,$I71/$K71),0),0)</f>
        <v>19151.727272727272</v>
      </c>
      <c r="AD71" s="89">
        <f t="shared" si="24"/>
        <v>57455.181818181816</v>
      </c>
      <c r="AE71" s="532">
        <f>IFERROR(IF(AND(AE$54&gt;=EOMONTH($J71,-1)+1,AE$54&lt;=EOMONTH(EOMONTH($J71,-1)+1,$K71-1)),IF(NOT(ISBLANK($N71)),$N71/$K71,$I71/$K71),0),0)</f>
        <v>19151.727272727272</v>
      </c>
      <c r="AF71" s="532">
        <f>IFERROR(IF(AND(AF$54&gt;=EOMONTH($J71,-1)+1,AF$54&lt;=EOMONTH(EOMONTH($J71,-1)+1,$K71-1)),IF(NOT(ISBLANK($N71)),$N71/$K71,$I71/$K71),0),0)</f>
        <v>19151.727272727272</v>
      </c>
      <c r="AG71" s="532">
        <f>IFERROR(IF(AND(AG$54&gt;=EOMONTH($J71,-1)+1,AG$54&lt;=EOMONTH(EOMONTH($J71,-1)+1,$K71-1)),IF(NOT(ISBLANK($N71)),$N71/$K71,$I71/$K71),0),0)</f>
        <v>19151.727272727272</v>
      </c>
      <c r="AH71" s="89">
        <f t="shared" si="17"/>
        <v>57455.181818181816</v>
      </c>
      <c r="AI71" s="95">
        <f t="shared" si="15"/>
        <v>210669</v>
      </c>
      <c r="AJ71" s="97"/>
      <c r="AK71" s="1038"/>
      <c r="AL71" s="1042"/>
      <c r="AM71" s="1044">
        <f t="shared" ref="AM71" si="43">N71*AL71</f>
        <v>0</v>
      </c>
      <c r="AN71" s="97" t="str">
        <f>C71</f>
        <v xml:space="preserve">10 - Consumo de energia elétrica: vazamentos de ar </v>
      </c>
      <c r="AO71" s="62" t="s">
        <v>289</v>
      </c>
      <c r="AP71" s="543" cm="1">
        <f t="array" aca="1" ref="AP71" ca="1">IF(OR(AN71="",AN71=0),"",IF(SUMPRODUCT(($C$55:$C$161=AN71)*(S$54:$AG$54&lt;EOMONTH(TODAY(),-1)+1)*(ISNUMBER(S$55:$AG$161)),S$55:$AG$161)=0,"",SUMPRODUCT(($C$55:$C$161=AN71)*(S$54:$AG$54&lt;EOMONTH(TODAY(),-1)+1)*(ISNUMBER(S$55:$AG$161)),S$55:$AG$161)))</f>
        <v>76606.909090909088</v>
      </c>
    </row>
    <row r="72" spans="1:42" ht="29.1" customHeight="1" x14ac:dyDescent="0.3">
      <c r="A72" s="1039"/>
      <c r="B72" s="1300"/>
      <c r="C72" s="1114"/>
      <c r="D72" s="1098"/>
      <c r="E72" s="1364"/>
      <c r="F72" s="1100"/>
      <c r="G72" s="1151"/>
      <c r="H72" s="1151"/>
      <c r="I72" s="1151"/>
      <c r="J72" s="1110"/>
      <c r="K72" s="1214"/>
      <c r="L72" s="1077"/>
      <c r="M72" s="1321"/>
      <c r="N72" s="1450"/>
      <c r="O72" s="1043"/>
      <c r="P72" s="1043"/>
      <c r="Q72" s="93" t="s">
        <v>107</v>
      </c>
      <c r="R72" s="96">
        <v>0.8</v>
      </c>
      <c r="S72" s="568"/>
      <c r="T72" s="568"/>
      <c r="U72" s="570"/>
      <c r="V72" s="310">
        <f t="shared" si="42"/>
        <v>0</v>
      </c>
      <c r="W72" s="312"/>
      <c r="X72" s="312"/>
      <c r="Y72" s="312"/>
      <c r="Z72" s="310">
        <f t="shared" si="23"/>
        <v>0</v>
      </c>
      <c r="AA72" s="312" t="s">
        <v>111</v>
      </c>
      <c r="AB72" s="312"/>
      <c r="AC72" s="312"/>
      <c r="AD72" s="310">
        <f t="shared" si="24"/>
        <v>0</v>
      </c>
      <c r="AE72" s="312"/>
      <c r="AF72" s="312"/>
      <c r="AG72" s="312"/>
      <c r="AH72" s="310">
        <f t="shared" si="17"/>
        <v>0</v>
      </c>
      <c r="AI72" s="313">
        <f t="shared" si="15"/>
        <v>0</v>
      </c>
      <c r="AJ72" s="97"/>
      <c r="AK72" s="1039"/>
      <c r="AL72" s="1043"/>
      <c r="AM72" s="1045"/>
      <c r="AN72" s="97" t="str">
        <f>C71</f>
        <v xml:space="preserve">10 - Consumo de energia elétrica: vazamentos de ar </v>
      </c>
      <c r="AO72" s="62" t="s">
        <v>291</v>
      </c>
      <c r="AP72" s="543" t="str" cm="1">
        <f t="array" aca="1" ref="AP72" ca="1">IF(OR(AN72="",AN72=0),"",IF(SUMPRODUCT(($C$55:$C$161=AN72)*(S$54:$AG$54&lt;EOMONTH(TODAY(),-1)+1)*(ISNUMBER(S$56:$AG$162)),S$56:$AG$162)=0,"",SUMPRODUCT(($C$55:$C$161=AN72)*(S$54:$AG$54&lt;EOMONTH(TODAY(),-1)+1)*(ISNUMBER(S$56:$AG$162)),S$56:$AG$162)))</f>
        <v/>
      </c>
    </row>
    <row r="73" spans="1:42" ht="29.1" customHeight="1" x14ac:dyDescent="0.3">
      <c r="A73" s="1093" t="s">
        <v>310</v>
      </c>
      <c r="B73" s="1299" t="s">
        <v>91</v>
      </c>
      <c r="C73" s="1113" t="s">
        <v>1382</v>
      </c>
      <c r="D73" s="1140" t="s">
        <v>1383</v>
      </c>
      <c r="E73" s="1424" t="s">
        <v>1384</v>
      </c>
      <c r="F73" s="1142" t="s">
        <v>1375</v>
      </c>
      <c r="G73" s="1427">
        <v>46082</v>
      </c>
      <c r="H73" s="1427">
        <v>46188</v>
      </c>
      <c r="I73" s="1511">
        <v>200000.00200000001</v>
      </c>
      <c r="J73" s="1154"/>
      <c r="K73" s="1213" t="s">
        <v>1385</v>
      </c>
      <c r="L73" s="1076"/>
      <c r="M73" s="1502"/>
      <c r="N73" s="1494"/>
      <c r="O73" s="1042" t="s">
        <v>80</v>
      </c>
      <c r="P73" s="1042">
        <v>0.5</v>
      </c>
      <c r="Q73" s="93" t="s">
        <v>106</v>
      </c>
      <c r="R73" s="96">
        <f ca="1">IF(OR(G73="", H73=""), "", IF(TODAY()&lt;G73, 0, IF(TODAY()&gt;H73, 1, (TODAY()-G73+1)/(H73-G73+1))))</f>
        <v>1</v>
      </c>
      <c r="S73" s="532">
        <f>IFERROR(IF(AND(S$54&gt;=EOMONTH($J73,-1)+1,S$54&lt;=EOMONTH(EOMONTH($J73,-1)+1,$K73-1)),IF(NOT(ISBLANK($N73)),$N73/$K73,$I73/$K73),0),0)</f>
        <v>0</v>
      </c>
      <c r="T73" s="532">
        <f>IFERROR(IF(AND(T$54&gt;=EOMONTH($J73,-1)+1,T$54&lt;=EOMONTH(EOMONTH($J73,-1)+1,$K73-1)),IF(NOT(ISBLANK($N73)),$N73/$K73,$I73/$K73),0),0)</f>
        <v>0</v>
      </c>
      <c r="U73" s="641">
        <f>IFERROR(IF(AND(U$54&gt;=EOMONTH($J73,-1)+1,U$54&lt;=EOMONTH(EOMONTH($J73,-1)+1,$K73-1)),IF(NOT(ISBLANK($N73)),$N73/$K73,$I73/$K73),0),0)</f>
        <v>0</v>
      </c>
      <c r="V73" s="89">
        <f t="shared" ref="V73:V75" si="44">SUM(S73:U73)</f>
        <v>0</v>
      </c>
      <c r="W73" s="641">
        <f>IFERROR(IF(AND(W$54&gt;=EOMONTH($J73,-1)+1,W$54&lt;=EOMONTH(EOMONTH($J73,-1)+1,$K73-1)),IF(NOT(ISBLANK($N73)),$N73/$K73,$I73/$K73),0),0)</f>
        <v>0</v>
      </c>
      <c r="X73" s="532">
        <f>IFERROR(IF(AND(X$54&gt;=EOMONTH($J73,-1)+1,X$54&lt;=EOMONTH(EOMONTH($J73,-1)+1,$K73-1)),IF(NOT(ISBLANK($N73)),$N73/$K73,$I73/$K73),0),0)</f>
        <v>0</v>
      </c>
      <c r="Y73" s="532">
        <f>IFERROR(IF(AND(Y$54&gt;=EOMONTH($J73,-1)+1,Y$54&lt;=EOMONTH(EOMONTH($J73,-1)+1,$K73-1)),IF(NOT(ISBLANK($N73)),$N73/$K73,$I73/$K73),0),0)</f>
        <v>0</v>
      </c>
      <c r="Z73" s="89">
        <f t="shared" si="23"/>
        <v>0</v>
      </c>
      <c r="AA73" s="532">
        <f>IFERROR(IF(AND(AA$54&gt;=EOMONTH($J73,-1)+1,AA$54&lt;=EOMONTH(EOMONTH($J73,-1)+1,$K73-1)),IF(NOT(ISBLANK($N73)),$N73/$K73,$I73/$K73),0),0)</f>
        <v>0</v>
      </c>
      <c r="AB73" s="532">
        <f>IFERROR(IF(AND(AB$54&gt;=EOMONTH($J73,-1)+1,AB$54&lt;=EOMONTH(EOMONTH($J73,-1)+1,$K73-1)),IF(NOT(ISBLANK($N73)),$N73/$K73,$I73/$K73),0),0)</f>
        <v>0</v>
      </c>
      <c r="AC73" s="532">
        <f>IFERROR(IF(AND(AC$54&gt;=EOMONTH($J73,-1)+1,AC$54&lt;=EOMONTH(EOMONTH($J73,-1)+1,$K73-1)),IF(NOT(ISBLANK($N73)),$N73/$K73,$I73/$K73),0),0)</f>
        <v>0</v>
      </c>
      <c r="AD73" s="89">
        <f t="shared" si="24"/>
        <v>0</v>
      </c>
      <c r="AE73" s="532">
        <f>IFERROR(IF(AND(AE$54&gt;=EOMONTH($J73,-1)+1,AE$54&lt;=EOMONTH(EOMONTH($J73,-1)+1,$K73-1)),IF(NOT(ISBLANK($N73)),$N73/$K73,$I73/$K73),0),0)</f>
        <v>0</v>
      </c>
      <c r="AF73" s="532">
        <f>IFERROR(IF(AND(AF$54&gt;=EOMONTH($J73,-1)+1,AF$54&lt;=EOMONTH(EOMONTH($J73,-1)+1,$K73-1)),IF(NOT(ISBLANK($N73)),$N73/$K73,$I73/$K73),0),0)</f>
        <v>0</v>
      </c>
      <c r="AG73" s="532">
        <f>IFERROR(IF(AND(AG$54&gt;=EOMONTH($J73,-1)+1,AG$54&lt;=EOMONTH(EOMONTH($J73,-1)+1,$K73-1)),IF(NOT(ISBLANK($N73)),$N73/$K73,$I73/$K73),0),0)</f>
        <v>0</v>
      </c>
      <c r="AH73" s="89">
        <f t="shared" si="17"/>
        <v>0</v>
      </c>
      <c r="AI73" s="95">
        <f t="shared" si="15"/>
        <v>0</v>
      </c>
      <c r="AJ73" s="97"/>
      <c r="AK73" s="1038"/>
      <c r="AL73" s="1042"/>
      <c r="AM73" s="1044">
        <f t="shared" ref="AM73" si="45">N73*AL73</f>
        <v>0</v>
      </c>
      <c r="AN73" s="97" t="str">
        <f>C73</f>
        <v>12 - Sistema hidráulico 3500T</v>
      </c>
      <c r="AO73" s="62" t="s">
        <v>289</v>
      </c>
      <c r="AP73" s="543" t="str" cm="1">
        <f t="array" aca="1" ref="AP73" ca="1">IF(OR(AN73="",AN73=0),"",IF(SUMPRODUCT(($C$55:$C$161=AN73)*(S$54:$AG$54&lt;EOMONTH(TODAY(),-1)+1)*(ISNUMBER(S$55:$AG$161)),S$55:$AG$161)=0,"",SUMPRODUCT(($C$55:$C$161=AN73)*(S$54:$AG$54&lt;EOMONTH(TODAY(),-1)+1)*(ISNUMBER(S$55:$AG$161)),S$55:$AG$161)))</f>
        <v/>
      </c>
    </row>
    <row r="74" spans="1:42" ht="48" customHeight="1" x14ac:dyDescent="0.3">
      <c r="A74" s="1094"/>
      <c r="B74" s="1300"/>
      <c r="C74" s="1114"/>
      <c r="D74" s="1141"/>
      <c r="E74" s="1425"/>
      <c r="F74" s="1143"/>
      <c r="G74" s="1077"/>
      <c r="H74" s="1077"/>
      <c r="I74" s="1512"/>
      <c r="J74" s="1155"/>
      <c r="K74" s="1214"/>
      <c r="L74" s="1077"/>
      <c r="M74" s="1503"/>
      <c r="N74" s="1445"/>
      <c r="O74" s="1043"/>
      <c r="P74" s="1043"/>
      <c r="Q74" s="93" t="s">
        <v>107</v>
      </c>
      <c r="R74" s="96">
        <v>0.85</v>
      </c>
      <c r="S74" s="312"/>
      <c r="T74" s="312"/>
      <c r="U74" s="570"/>
      <c r="V74" s="310">
        <f t="shared" si="44"/>
        <v>0</v>
      </c>
      <c r="W74" s="312"/>
      <c r="X74" s="312"/>
      <c r="Y74" s="312"/>
      <c r="Z74" s="310">
        <f t="shared" si="23"/>
        <v>0</v>
      </c>
      <c r="AA74" s="312"/>
      <c r="AB74" s="312"/>
      <c r="AC74" s="312"/>
      <c r="AD74" s="310">
        <f t="shared" si="24"/>
        <v>0</v>
      </c>
      <c r="AE74" s="312"/>
      <c r="AF74" s="312"/>
      <c r="AG74" s="312"/>
      <c r="AH74" s="310">
        <f t="shared" si="17"/>
        <v>0</v>
      </c>
      <c r="AI74" s="313">
        <f t="shared" si="15"/>
        <v>0</v>
      </c>
      <c r="AJ74" s="97"/>
      <c r="AK74" s="1039"/>
      <c r="AL74" s="1043"/>
      <c r="AM74" s="1045"/>
      <c r="AN74" s="97" t="str">
        <f>C73</f>
        <v>12 - Sistema hidráulico 3500T</v>
      </c>
      <c r="AO74" s="62" t="s">
        <v>291</v>
      </c>
      <c r="AP74" s="543" t="str" cm="1">
        <f t="array" aca="1" ref="AP74" ca="1">IF(OR(AN74="",AN74=0),"",IF(SUMPRODUCT(($C$55:$C$161=AN74)*(S$54:$AG$54&lt;EOMONTH(TODAY(),-1)+1)*(ISNUMBER(S$56:$AG$162)),S$56:$AG$162)=0,"",SUMPRODUCT(($C$55:$C$161=AN74)*(S$54:$AG$54&lt;EOMONTH(TODAY(),-1)+1)*(ISNUMBER(S$56:$AG$162)),S$56:$AG$162)))</f>
        <v/>
      </c>
    </row>
    <row r="75" spans="1:42" ht="29.1" customHeight="1" x14ac:dyDescent="0.3">
      <c r="A75" s="1093" t="s">
        <v>76</v>
      </c>
      <c r="B75" s="1038" t="s">
        <v>91</v>
      </c>
      <c r="C75" s="1095" t="s">
        <v>1386</v>
      </c>
      <c r="D75" s="1140" t="s">
        <v>1387</v>
      </c>
      <c r="E75" s="1424" t="s">
        <v>1388</v>
      </c>
      <c r="F75" s="1142" t="s">
        <v>1334</v>
      </c>
      <c r="G75" s="1144">
        <v>46054</v>
      </c>
      <c r="H75" s="1150">
        <v>46178</v>
      </c>
      <c r="I75" s="1511">
        <v>165000</v>
      </c>
      <c r="J75" s="1154"/>
      <c r="K75" s="1213" t="str">
        <f t="shared" ref="K75" si="46">IF(J75="", "", 12 - MONTH(J75) + 1)</f>
        <v/>
      </c>
      <c r="L75" s="1076"/>
      <c r="M75" s="1513" t="s">
        <v>388</v>
      </c>
      <c r="N75" s="1494"/>
      <c r="O75" s="1057" t="s">
        <v>80</v>
      </c>
      <c r="P75" s="1057">
        <v>1</v>
      </c>
      <c r="Q75" s="87" t="s">
        <v>106</v>
      </c>
      <c r="R75" s="91">
        <f ca="1">IF(OR(G75="", H75=""), "", IF(TODAY()&lt;G75, 0, IF(TODAY()&gt;H75, 1, (TODAY()-G75+1)/(H75-G75+1))))</f>
        <v>1</v>
      </c>
      <c r="S75" s="309">
        <f>IFERROR(IF(AND(S$54&gt;=EOMONTH($J75,-1)+1,S$54&lt;=EOMONTH(EOMONTH($J75,-1)+1,$K75-1)),IF(NOT(ISBLANK($N75)),$N75/$K75,$I75/$K75),0),0)</f>
        <v>0</v>
      </c>
      <c r="T75" s="569">
        <f>IFERROR(IF(AND(T$54&gt;=EOMONTH($J75,-1)+1,T$54&lt;=EOMONTH(EOMONTH($J75,-1)+1,$K75-1)),IF(NOT(ISBLANK($N75)),$N75/$K75,$I75/$K75),0),0)</f>
        <v>0</v>
      </c>
      <c r="U75" s="569">
        <f>IFERROR(IF(AND(U$54&gt;=EOMONTH($J75,-1)+1,U$54&lt;=EOMONTH(EOMONTH($J75,-1)+1,$K75-1)),IF(NOT(ISBLANK($N75)),$N75/$K75,$I75/$K75),0),0)</f>
        <v>0</v>
      </c>
      <c r="V75" s="89">
        <f t="shared" si="44"/>
        <v>0</v>
      </c>
      <c r="W75" s="569">
        <f>IFERROR(IF(AND(W$54&gt;=EOMONTH($J75,-1)+1,W$54&lt;=EOMONTH(EOMONTH($J75,-1)+1,$K75-1)),IF(NOT(ISBLANK($N75)),$N75/$K75,$I75/$K75),0),0)</f>
        <v>0</v>
      </c>
      <c r="X75" s="309">
        <f>IFERROR(IF(AND(X$54&gt;=EOMONTH($J75,-1)+1,X$54&lt;=EOMONTH(EOMONTH($J75,-1)+1,$K75-1)),IF(NOT(ISBLANK($N75)),$N75/$K75,$I75/$K75),0),0)</f>
        <v>0</v>
      </c>
      <c r="Y75" s="309">
        <f>IFERROR(IF(AND(Y$54&gt;=EOMONTH($J75,-1)+1,Y$54&lt;=EOMONTH(EOMONTH($J75,-1)+1,$K75-1)),IF(NOT(ISBLANK($N75)),$N75/$K75,$I75/$K75),0),0)</f>
        <v>0</v>
      </c>
      <c r="Z75" s="89">
        <f t="shared" si="23"/>
        <v>0</v>
      </c>
      <c r="AA75" s="309">
        <f>IFERROR(IF(AND(AA$54&gt;=EOMONTH($J75,-1)+1,AA$54&lt;=EOMONTH(EOMONTH($J75,-1)+1,$K75-1)),IF(NOT(ISBLANK($N75)),$N75/$K75,$I75/$K75),0),0)</f>
        <v>0</v>
      </c>
      <c r="AB75" s="309">
        <f>IFERROR(IF(AND(AB$54&gt;=EOMONTH($J75,-1)+1,AB$54&lt;=EOMONTH(EOMONTH($J75,-1)+1,$K75-1)),IF(NOT(ISBLANK($N75)),$N75/$K75,$I75/$K75),0),0)</f>
        <v>0</v>
      </c>
      <c r="AC75" s="309">
        <f>IFERROR(IF(AND(AC$54&gt;=EOMONTH($J75,-1)+1,AC$54&lt;=EOMONTH(EOMONTH($J75,-1)+1,$K75-1)),IF(NOT(ISBLANK($N75)),$N75/$K75,$I75/$K75),0),0)</f>
        <v>0</v>
      </c>
      <c r="AD75" s="89">
        <f t="shared" si="24"/>
        <v>0</v>
      </c>
      <c r="AE75" s="309">
        <f>IFERROR(IF(AND(AE$54&gt;=EOMONTH($J75,-1)+1,AE$54&lt;=EOMONTH(EOMONTH($J75,-1)+1,$K75-1)),IF(NOT(ISBLANK($N75)),$N75/$K75,$I75/$K75),0),0)</f>
        <v>0</v>
      </c>
      <c r="AF75" s="309">
        <f>IFERROR(IF(AND(AF$54&gt;=EOMONTH($J75,-1)+1,AF$54&lt;=EOMONTH(EOMONTH($J75,-1)+1,$K75-1)),IF(NOT(ISBLANK($N75)),$N75/$K75,$I75/$K75),0),0)</f>
        <v>0</v>
      </c>
      <c r="AG75" s="309">
        <f>IFERROR(IF(AND(AG$54&gt;=EOMONTH($J75,-1)+1,AG$54&lt;=EOMONTH(EOMONTH($J75,-1)+1,$K75-1)),IF(NOT(ISBLANK($N75)),$N75/$K75,$I75/$K75),0),0)</f>
        <v>0</v>
      </c>
      <c r="AH75" s="89">
        <f>SUM(AE75:AG75)</f>
        <v>0</v>
      </c>
      <c r="AI75" s="90">
        <f t="shared" si="15"/>
        <v>0</v>
      </c>
      <c r="AJ75" s="98"/>
      <c r="AK75" s="1040"/>
      <c r="AL75" s="1048"/>
      <c r="AM75" s="1046">
        <f t="shared" ref="AM75" si="47">N75*AL75</f>
        <v>0</v>
      </c>
      <c r="AN75" s="98" t="str">
        <f>C75</f>
        <v xml:space="preserve">13 - Transferência Hasenclaver para o plasma </v>
      </c>
      <c r="AO75" s="62" t="s">
        <v>289</v>
      </c>
      <c r="AP75" s="543" t="str" cm="1">
        <f t="array" aca="1" ref="AP75" ca="1">IF(OR(AN75="",AN75=0),"",IF(SUMPRODUCT(($C$55:$C$161=AN75)*(S$54:$AG$54&lt;EOMONTH(TODAY(),-1)+1)*(ISNUMBER(S$55:$AG$161)),S$55:$AG$161)=0,"",SUMPRODUCT(($C$55:$C$161=AN75)*(S$54:$AG$54&lt;EOMONTH(TODAY(),-1)+1)*(ISNUMBER(S$55:$AG$161)),S$55:$AG$161)))</f>
        <v/>
      </c>
    </row>
    <row r="76" spans="1:42" ht="51" customHeight="1" x14ac:dyDescent="0.3">
      <c r="A76" s="1094"/>
      <c r="B76" s="1039"/>
      <c r="C76" s="1096"/>
      <c r="D76" s="1141"/>
      <c r="E76" s="1425"/>
      <c r="F76" s="1143"/>
      <c r="G76" s="1145"/>
      <c r="H76" s="1151"/>
      <c r="I76" s="1512"/>
      <c r="J76" s="1155"/>
      <c r="K76" s="1214"/>
      <c r="L76" s="1077"/>
      <c r="M76" s="1514"/>
      <c r="N76" s="1445"/>
      <c r="O76" s="1058"/>
      <c r="P76" s="1058"/>
      <c r="Q76" s="87" t="s">
        <v>107</v>
      </c>
      <c r="R76" s="91">
        <v>1</v>
      </c>
      <c r="S76" s="309"/>
      <c r="T76" s="570"/>
      <c r="U76" s="570"/>
      <c r="V76" s="310">
        <f t="shared" ref="V76" si="48">SUM(S76:U76)</f>
        <v>0</v>
      </c>
      <c r="W76" s="309"/>
      <c r="X76" s="309"/>
      <c r="Y76" s="309"/>
      <c r="Z76" s="310">
        <f t="shared" si="23"/>
        <v>0</v>
      </c>
      <c r="AA76" s="309"/>
      <c r="AB76" s="309"/>
      <c r="AC76" s="309"/>
      <c r="AD76" s="310">
        <f t="shared" si="24"/>
        <v>0</v>
      </c>
      <c r="AE76" s="309"/>
      <c r="AF76" s="309"/>
      <c r="AG76" s="309"/>
      <c r="AH76" s="310">
        <f t="shared" si="17"/>
        <v>0</v>
      </c>
      <c r="AI76" s="311">
        <f t="shared" si="15"/>
        <v>0</v>
      </c>
      <c r="AJ76" s="360"/>
      <c r="AK76" s="1041"/>
      <c r="AL76" s="1049"/>
      <c r="AM76" s="1047"/>
      <c r="AN76" s="92" t="str">
        <f>C75</f>
        <v xml:space="preserve">13 - Transferência Hasenclaver para o plasma </v>
      </c>
      <c r="AO76" s="62" t="s">
        <v>291</v>
      </c>
      <c r="AP76" s="543" t="str" cm="1">
        <f t="array" aca="1" ref="AP76" ca="1">IF(OR(AN76="",AN76=0),"",IF(SUMPRODUCT(($C$55:$C$161=AN76)*(S$54:$AG$54&lt;EOMONTH(TODAY(),-1)+1)*(ISNUMBER(S$56:$AG$162)),S$56:$AG$162)=0,"",SUMPRODUCT(($C$55:$C$161=AN76)*(S$54:$AG$54&lt;EOMONTH(TODAY(),-1)+1)*(ISNUMBER(S$56:$AG$162)),S$56:$AG$162)))</f>
        <v/>
      </c>
    </row>
    <row r="77" spans="1:42" ht="29.1" customHeight="1" x14ac:dyDescent="0.3">
      <c r="A77" s="1038" t="s">
        <v>310</v>
      </c>
      <c r="B77" s="1299" t="s">
        <v>93</v>
      </c>
      <c r="C77" s="1113" t="s">
        <v>1389</v>
      </c>
      <c r="D77" s="1097" t="s">
        <v>1390</v>
      </c>
      <c r="E77" s="1363" t="s">
        <v>1391</v>
      </c>
      <c r="F77" s="1099" t="s">
        <v>1392</v>
      </c>
      <c r="G77" s="1150">
        <v>46023</v>
      </c>
      <c r="H77" s="1150">
        <v>46082</v>
      </c>
      <c r="I77" s="1076">
        <v>150000.00090000001</v>
      </c>
      <c r="J77" s="1109">
        <v>46023</v>
      </c>
      <c r="K77" s="1213">
        <f t="shared" ref="K77" si="49">IF(J77="", "", 12 - MONTH(J77) + 1)</f>
        <v>12</v>
      </c>
      <c r="L77" s="1076"/>
      <c r="M77" s="1320" t="s">
        <v>287</v>
      </c>
      <c r="N77" s="1449">
        <v>123686</v>
      </c>
      <c r="O77" s="1042" t="s">
        <v>80</v>
      </c>
      <c r="P77" s="1042">
        <v>1</v>
      </c>
      <c r="Q77" s="93" t="s">
        <v>106</v>
      </c>
      <c r="R77" s="96">
        <f ca="1">IF(OR(G77="", H77=""), "", IF(TODAY()&lt;G77, 0, IF(TODAY()&gt;H77, 1, (TODAY()-G77+1)/(H77-G77+1))))</f>
        <v>1</v>
      </c>
      <c r="S77" s="532">
        <f>IFERROR(IF(AND(S$54&gt;=EOMONTH($J77,-1)+1,S$54&lt;=EOMONTH(EOMONTH($J77,-1)+1,$K77-1)),IF(NOT(ISBLANK($N77)),$N77/$K77,$I77/$K77),0),0)</f>
        <v>10307.166666666666</v>
      </c>
      <c r="T77" s="532">
        <f>IFERROR(IF(AND(T$54&gt;=EOMONTH($J77,-1)+1,T$54&lt;=EOMONTH(EOMONTH($J77,-1)+1,$K77-1)),IF(NOT(ISBLANK($N77)),$N77/$K77,$I77/$K77),0),0)</f>
        <v>10307.166666666666</v>
      </c>
      <c r="U77" s="710">
        <f>IFERROR(IF(AND(U$54&gt;=EOMONTH($J77,-1)+1,U$54&lt;=EOMONTH(EOMONTH($J77,-1)+1,$K77-1)),IF(NOT(ISBLANK($N77)),$N77/$K77,$I77/$K77),0),0)</f>
        <v>10307.166666666666</v>
      </c>
      <c r="V77" s="89">
        <f t="shared" ref="V77:V79" si="50">SUM(S77:U77)</f>
        <v>30921.5</v>
      </c>
      <c r="W77" s="710">
        <f>IFERROR(IF(AND(W$54&gt;=EOMONTH($J77,-1)+1,W$54&lt;=EOMONTH(EOMONTH($J77,-1)+1,$K77-1)),IF(NOT(ISBLANK($N77)),$N77/$K77,$I77/$K77),0),0)</f>
        <v>10307.166666666666</v>
      </c>
      <c r="X77" s="532">
        <f>IFERROR(IF(AND(X$54&gt;=EOMONTH($J77,-1)+1,X$54&lt;=EOMONTH(EOMONTH($J77,-1)+1,$K77-1)),IF(NOT(ISBLANK($N77)),$N77/$K77,$I77/$K77),0),0)</f>
        <v>10307.166666666666</v>
      </c>
      <c r="Y77" s="532">
        <f>IFERROR(IF(AND(Y$54&gt;=EOMONTH($J77,-1)+1,Y$54&lt;=EOMONTH(EOMONTH($J77,-1)+1,$K77-1)),IF(NOT(ISBLANK($N77)),$N77/$K77,$I77/$K77),0),0)</f>
        <v>10307.166666666666</v>
      </c>
      <c r="Z77" s="89">
        <f t="shared" si="23"/>
        <v>30921.5</v>
      </c>
      <c r="AA77" s="532">
        <f>IFERROR(IF(AND(AA$54&gt;=EOMONTH($J77,-1)+1,AA$54&lt;=EOMONTH(EOMONTH($J77,-1)+1,$K77-1)),IF(NOT(ISBLANK($N77)),$N77/$K77,$I77/$K77),0),0)</f>
        <v>10307.166666666666</v>
      </c>
      <c r="AB77" s="532">
        <f>IFERROR(IF(AND(AB$54&gt;=EOMONTH($J77,-1)+1,AB$54&lt;=EOMONTH(EOMONTH($J77,-1)+1,$K77-1)),IF(NOT(ISBLANK($N77)),$N77/$K77,$I77/$K77),0),0)</f>
        <v>10307.166666666666</v>
      </c>
      <c r="AC77" s="532">
        <f>IFERROR(IF(AND(AC$54&gt;=EOMONTH($J77,-1)+1,AC$54&lt;=EOMONTH(EOMONTH($J77,-1)+1,$K77-1)),IF(NOT(ISBLANK($N77)),$N77/$K77,$I77/$K77),0),0)</f>
        <v>10307.166666666666</v>
      </c>
      <c r="AD77" s="89">
        <f t="shared" si="24"/>
        <v>30921.5</v>
      </c>
      <c r="AE77" s="532">
        <f>IFERROR(IF(AND(AE$54&gt;=EOMONTH($J77,-1)+1,AE$54&lt;=EOMONTH(EOMONTH($J77,-1)+1,$K77-1)),IF(NOT(ISBLANK($N77)),$N77/$K77,$I77/$K77),0),0)</f>
        <v>10307.166666666666</v>
      </c>
      <c r="AF77" s="532">
        <f>IFERROR(IF(AND(AF$54&gt;=EOMONTH($J77,-1)+1,AF$54&lt;=EOMONTH(EOMONTH($J77,-1)+1,$K77-1)),IF(NOT(ISBLANK($N77)),$N77/$K77,$I77/$K77),0),0)</f>
        <v>10307.166666666666</v>
      </c>
      <c r="AG77" s="532">
        <f>IFERROR(IF(AND(AG$54&gt;=EOMONTH($J77,-1)+1,AG$54&lt;=EOMONTH(EOMONTH($J77,-1)+1,$K77-1)),IF(NOT(ISBLANK($N77)),$N77/$K77,$I77/$K77),0),0)</f>
        <v>10307.166666666666</v>
      </c>
      <c r="AH77" s="89">
        <f t="shared" si="17"/>
        <v>30921.5</v>
      </c>
      <c r="AI77" s="95">
        <f t="shared" si="15"/>
        <v>123686</v>
      </c>
      <c r="AJ77" s="97"/>
      <c r="AK77" s="1038"/>
      <c r="AL77" s="1042"/>
      <c r="AM77" s="1044">
        <f t="shared" ref="AM77" si="51">N77*AL77</f>
        <v>0</v>
      </c>
      <c r="AN77" s="97" t="str">
        <f>C77</f>
        <v>14 - Consumo de EPI's</v>
      </c>
      <c r="AO77" s="62" t="s">
        <v>289</v>
      </c>
      <c r="AP77" s="543" cm="1">
        <f t="array" aca="1" ref="AP77" ca="1">IF(OR(AN77="",AN77=0),"",IF(SUMPRODUCT(($C$55:$C$161=AN77)*(S$54:$AG$54&lt;EOMONTH(TODAY(),-1)+1)*(ISNUMBER(S$55:$AG$161)),S$55:$AG$161)=0,"",SUMPRODUCT(($C$55:$C$161=AN77)*(S$54:$AG$54&lt;EOMONTH(TODAY(),-1)+1)*(ISNUMBER(S$55:$AG$161)),S$55:$AG$161)))</f>
        <v>51535.833333333328</v>
      </c>
    </row>
    <row r="78" spans="1:42" ht="29.1" customHeight="1" x14ac:dyDescent="0.3">
      <c r="A78" s="1039"/>
      <c r="B78" s="1300"/>
      <c r="C78" s="1114"/>
      <c r="D78" s="1098"/>
      <c r="E78" s="1364"/>
      <c r="F78" s="1100"/>
      <c r="G78" s="1151"/>
      <c r="H78" s="1151"/>
      <c r="I78" s="1077"/>
      <c r="J78" s="1110"/>
      <c r="K78" s="1214"/>
      <c r="L78" s="1077"/>
      <c r="M78" s="1321"/>
      <c r="N78" s="1450"/>
      <c r="O78" s="1043"/>
      <c r="P78" s="1043"/>
      <c r="Q78" s="93" t="s">
        <v>107</v>
      </c>
      <c r="R78" s="96">
        <v>1</v>
      </c>
      <c r="S78" s="312">
        <v>13182.28</v>
      </c>
      <c r="T78" s="312">
        <v>602.53</v>
      </c>
      <c r="U78" s="312">
        <v>10263.93</v>
      </c>
      <c r="V78" s="310">
        <f>SUM(S78:U78)</f>
        <v>24048.74</v>
      </c>
      <c r="W78" s="568">
        <v>-23776.26</v>
      </c>
      <c r="X78" s="312">
        <v>36607.660000000003</v>
      </c>
      <c r="Y78" s="312"/>
      <c r="Z78" s="310">
        <f t="shared" si="23"/>
        <v>12831.400000000005</v>
      </c>
      <c r="AA78" s="312"/>
      <c r="AB78" s="312"/>
      <c r="AC78" s="312"/>
      <c r="AD78" s="310">
        <f t="shared" si="24"/>
        <v>0</v>
      </c>
      <c r="AE78" s="312"/>
      <c r="AF78" s="312"/>
      <c r="AG78" s="312"/>
      <c r="AH78" s="310">
        <f t="shared" si="17"/>
        <v>0</v>
      </c>
      <c r="AI78" s="313">
        <f t="shared" si="15"/>
        <v>36880.140000000007</v>
      </c>
      <c r="AJ78" s="97"/>
      <c r="AK78" s="1039"/>
      <c r="AL78" s="1043"/>
      <c r="AM78" s="1045"/>
      <c r="AN78" s="97" t="str">
        <f>C77</f>
        <v>14 - Consumo de EPI's</v>
      </c>
      <c r="AO78" s="62" t="s">
        <v>291</v>
      </c>
      <c r="AP78" s="543" cm="1">
        <f t="array" aca="1" ref="AP78" ca="1">IF(OR(AN78="",AN78=0),"",IF(SUMPRODUCT(($C$55:$C$161=AN78)*(S$54:$AG$54&lt;EOMONTH(TODAY(),-1)+1)*(ISNUMBER(S$56:$AG$162)),S$56:$AG$162)=0,"",SUMPRODUCT(($C$55:$C$161=AN78)*(S$54:$AG$54&lt;EOMONTH(TODAY(),-1)+1)*(ISNUMBER(S$56:$AG$162)),S$56:$AG$162)))</f>
        <v>36880.140000000007</v>
      </c>
    </row>
    <row r="79" spans="1:42" ht="29.1" customHeight="1" x14ac:dyDescent="0.3">
      <c r="A79" s="1093" t="s">
        <v>76</v>
      </c>
      <c r="B79" s="1038" t="s">
        <v>93</v>
      </c>
      <c r="C79" s="1095" t="s">
        <v>1393</v>
      </c>
      <c r="D79" s="1140" t="s">
        <v>1394</v>
      </c>
      <c r="E79" s="1424" t="s">
        <v>1395</v>
      </c>
      <c r="F79" s="1142" t="s">
        <v>1334</v>
      </c>
      <c r="G79" s="1144"/>
      <c r="H79" s="1144">
        <v>46172</v>
      </c>
      <c r="I79" s="1521">
        <v>90000</v>
      </c>
      <c r="J79" s="1519"/>
      <c r="K79" s="1213" t="str">
        <f t="shared" ref="K79" si="52">IF(J79="", "", 12 - MONTH(J79) + 1)</f>
        <v/>
      </c>
      <c r="L79" s="1076"/>
      <c r="M79" s="1505"/>
      <c r="N79" s="1506"/>
      <c r="O79" s="1057" t="s">
        <v>83</v>
      </c>
      <c r="P79" s="1057">
        <v>0.5</v>
      </c>
      <c r="Q79" s="87" t="s">
        <v>106</v>
      </c>
      <c r="R79" s="91" t="str">
        <f ca="1">IF(OR(G79="", H79=""), "", IF(TODAY()&lt;G79, 0, IF(TODAY()&gt;H79, 1, (TODAY()-G79+1)/(H79-G79+1))))</f>
        <v/>
      </c>
      <c r="S79" s="309">
        <f>IFERROR(IF(AND(S$54&gt;=EOMONTH($J79,-1)+1,S$54&lt;=EOMONTH(EOMONTH($J79,-1)+1,$K79-1)),IF(NOT(ISBLANK($N79)),$N79/$K79,$I79/$K79),0),0)</f>
        <v>0</v>
      </c>
      <c r="T79" s="309">
        <f>IFERROR(IF(AND(T$54&gt;=EOMONTH($J79,-1)+1,T$54&lt;=EOMONTH(EOMONTH($J79,-1)+1,$K79-1)),IF(NOT(ISBLANK($N79)),$N79/$K79,$I79/$K79),0),0)</f>
        <v>0</v>
      </c>
      <c r="U79" s="309">
        <f>IFERROR(IF(AND(U$54&gt;=EOMONTH($J79,-1)+1,U$54&lt;=EOMONTH(EOMONTH($J79,-1)+1,$K79-1)),IF(NOT(ISBLANK($N79)),$N79/$K79,$I79/$K79),0),0)</f>
        <v>0</v>
      </c>
      <c r="V79" s="89">
        <f t="shared" si="50"/>
        <v>0</v>
      </c>
      <c r="W79" s="309">
        <f>IFERROR(IF(AND(W$54&gt;=EOMONTH($J79,-1)+1,W$54&lt;=EOMONTH(EOMONTH($J79,-1)+1,$K79-1)),IF(NOT(ISBLANK($N79)),$N79/$K79,$I79/$K79),0),0)</f>
        <v>0</v>
      </c>
      <c r="X79" s="309">
        <f>IFERROR(IF(AND(X$54&gt;=EOMONTH($J79,-1)+1,X$54&lt;=EOMONTH(EOMONTH($J79,-1)+1,$K79-1)),IF(NOT(ISBLANK($N79)),$N79/$K79,$I79/$K79),0),0)</f>
        <v>0</v>
      </c>
      <c r="Y79" s="309">
        <f>IFERROR(IF(AND(Y$54&gt;=EOMONTH($J79,-1)+1,Y$54&lt;=EOMONTH(EOMONTH($J79,-1)+1,$K79-1)),IF(NOT(ISBLANK($N79)),$N79/$K79,$I79/$K79),0),0)</f>
        <v>0</v>
      </c>
      <c r="Z79" s="89">
        <f t="shared" si="23"/>
        <v>0</v>
      </c>
      <c r="AA79" s="309">
        <f>IFERROR(IF(AND(AA$54&gt;=EOMONTH($J79,-1)+1,AA$54&lt;=EOMONTH(EOMONTH($J79,-1)+1,$K79-1)),IF(NOT(ISBLANK($N79)),$N79/$K79,$I79/$K79),0),0)</f>
        <v>0</v>
      </c>
      <c r="AB79" s="309">
        <f>IFERROR(IF(AND(AB$54&gt;=EOMONTH($J79,-1)+1,AB$54&lt;=EOMONTH(EOMONTH($J79,-1)+1,$K79-1)),IF(NOT(ISBLANK($N79)),$N79/$K79,$I79/$K79),0),0)</f>
        <v>0</v>
      </c>
      <c r="AC79" s="309">
        <f>IFERROR(IF(AND(AC$54&gt;=EOMONTH($J79,-1)+1,AC$54&lt;=EOMONTH(EOMONTH($J79,-1)+1,$K79-1)),IF(NOT(ISBLANK($N79)),$N79/$K79,$I79/$K79),0),0)</f>
        <v>0</v>
      </c>
      <c r="AD79" s="89">
        <f t="shared" si="24"/>
        <v>0</v>
      </c>
      <c r="AE79" s="309">
        <f>IFERROR(IF(AND(AE$54&gt;=EOMONTH($J79,-1)+1,AE$54&lt;=EOMONTH(EOMONTH($J79,-1)+1,$K79-1)),IF(NOT(ISBLANK($N79)),$N79/$K79,$I79/$K79),0),0)</f>
        <v>0</v>
      </c>
      <c r="AF79" s="309">
        <f>IFERROR(IF(AND(AF$54&gt;=EOMONTH($J79,-1)+1,AF$54&lt;=EOMONTH(EOMONTH($J79,-1)+1,$K79-1)),IF(NOT(ISBLANK($N79)),$N79/$K79,$I79/$K79),0),0)</f>
        <v>0</v>
      </c>
      <c r="AG79" s="309">
        <f>IFERROR(IF(AND(AG$54&gt;=EOMONTH($J79,-1)+1,AG$54&lt;=EOMONTH(EOMONTH($J79,-1)+1,$K79-1)),IF(NOT(ISBLANK($N79)),$N79/$K79,$I79/$K79),0),0)</f>
        <v>0</v>
      </c>
      <c r="AH79" s="89">
        <f t="shared" si="17"/>
        <v>0</v>
      </c>
      <c r="AI79" s="90">
        <f t="shared" si="15"/>
        <v>0</v>
      </c>
      <c r="AJ79" s="98"/>
      <c r="AK79" s="1040"/>
      <c r="AL79" s="1048"/>
      <c r="AM79" s="1046">
        <f t="shared" ref="AM79" si="53">N79*AL79</f>
        <v>0</v>
      </c>
      <c r="AN79" s="98" t="str">
        <f>C79</f>
        <v>15 - Enclausuramento do jato granalha</v>
      </c>
      <c r="AO79" s="62" t="s">
        <v>289</v>
      </c>
      <c r="AP79" s="543" t="str" cm="1">
        <f t="array" aca="1" ref="AP79" ca="1">IF(OR(AN79="",AN79=0),"",IF(SUMPRODUCT(($C$55:$C$161=AN79)*(S$54:$AG$54&lt;EOMONTH(TODAY(),-1)+1)*(ISNUMBER(S$55:$AG$161)),S$55:$AG$161)=0,"",SUMPRODUCT(($C$55:$C$161=AN79)*(S$54:$AG$54&lt;EOMONTH(TODAY(),-1)+1)*(ISNUMBER(S$55:$AG$161)),S$55:$AG$161)))</f>
        <v/>
      </c>
    </row>
    <row r="80" spans="1:42" ht="50.25" customHeight="1" x14ac:dyDescent="0.3">
      <c r="A80" s="1094"/>
      <c r="B80" s="1039"/>
      <c r="C80" s="1096"/>
      <c r="D80" s="1141"/>
      <c r="E80" s="1425"/>
      <c r="F80" s="1143"/>
      <c r="G80" s="1145"/>
      <c r="H80" s="1145"/>
      <c r="I80" s="1522"/>
      <c r="J80" s="1520"/>
      <c r="K80" s="1214"/>
      <c r="L80" s="1077"/>
      <c r="M80" s="1106"/>
      <c r="N80" s="1108"/>
      <c r="O80" s="1058"/>
      <c r="P80" s="1058"/>
      <c r="Q80" s="87" t="s">
        <v>107</v>
      </c>
      <c r="R80" s="91">
        <v>0</v>
      </c>
      <c r="S80" s="309"/>
      <c r="T80" s="309"/>
      <c r="U80" s="309"/>
      <c r="V80" s="310">
        <f t="shared" ref="V80" si="54">SUM(S80:U80)</f>
        <v>0</v>
      </c>
      <c r="W80" s="309"/>
      <c r="X80" s="309"/>
      <c r="Y80" s="309"/>
      <c r="Z80" s="310">
        <f t="shared" si="23"/>
        <v>0</v>
      </c>
      <c r="AA80" s="309"/>
      <c r="AB80" s="309"/>
      <c r="AC80" s="309"/>
      <c r="AD80" s="310">
        <f t="shared" si="24"/>
        <v>0</v>
      </c>
      <c r="AE80" s="309"/>
      <c r="AF80" s="309"/>
      <c r="AG80" s="309"/>
      <c r="AH80" s="310">
        <f t="shared" si="17"/>
        <v>0</v>
      </c>
      <c r="AI80" s="311">
        <f t="shared" si="15"/>
        <v>0</v>
      </c>
      <c r="AJ80" s="360"/>
      <c r="AK80" s="1041"/>
      <c r="AL80" s="1049"/>
      <c r="AM80" s="1047"/>
      <c r="AN80" s="92" t="str">
        <f>C79</f>
        <v>15 - Enclausuramento do jato granalha</v>
      </c>
      <c r="AO80" s="62" t="s">
        <v>291</v>
      </c>
      <c r="AP80" s="543" t="str" cm="1">
        <f t="array" aca="1" ref="AP80" ca="1">IF(OR(AN80="",AN80=0),"",IF(SUMPRODUCT(($C$55:$C$161=AN80)*(S$54:$AG$54&lt;EOMONTH(TODAY(),-1)+1)*(ISNUMBER(S$56:$AG$162)),S$56:$AG$162)=0,"",SUMPRODUCT(($C$55:$C$161=AN80)*(S$54:$AG$54&lt;EOMONTH(TODAY(),-1)+1)*(ISNUMBER(S$56:$AG$162)),S$56:$AG$162)))</f>
        <v/>
      </c>
    </row>
    <row r="81" spans="1:42" ht="29.1" customHeight="1" x14ac:dyDescent="0.3">
      <c r="A81" s="1038" t="s">
        <v>85</v>
      </c>
      <c r="B81" s="1299" t="s">
        <v>90</v>
      </c>
      <c r="C81" s="1113" t="s">
        <v>1396</v>
      </c>
      <c r="D81" s="1097" t="s">
        <v>1397</v>
      </c>
      <c r="E81" s="1363" t="s">
        <v>1398</v>
      </c>
      <c r="F81" s="1099" t="s">
        <v>1334</v>
      </c>
      <c r="G81" s="1150">
        <v>46204</v>
      </c>
      <c r="H81" s="1150">
        <v>46357</v>
      </c>
      <c r="I81" s="1507">
        <v>700000</v>
      </c>
      <c r="J81" s="1523">
        <v>46204</v>
      </c>
      <c r="K81" s="1213">
        <f>IF(J81="", "", 12 - MONTH(J81) + 1)</f>
        <v>6</v>
      </c>
      <c r="L81" s="1076"/>
      <c r="M81" s="1502"/>
      <c r="N81" s="1494"/>
      <c r="O81" s="1042" t="s">
        <v>80</v>
      </c>
      <c r="P81" s="1042">
        <v>0.5</v>
      </c>
      <c r="Q81" s="93" t="s">
        <v>106</v>
      </c>
      <c r="R81" s="96">
        <f ca="1">IF(OR(G81="", H81=""), "", IF(TODAY()&lt;G81, 0, IF(TODAY()&gt;H81, 1, (TODAY()-G81+1)/(H81-G81+1))))</f>
        <v>0</v>
      </c>
      <c r="S81" s="532">
        <f>IFERROR(IF(AND(S$54&gt;=EOMONTH($J81,-1)+1,S$54&lt;=EOMONTH(EOMONTH($J81,-1)+1,$K81-1)),IF(NOT(ISBLANK($N81)),$N81/$K81,$I81/$K81),0),0)</f>
        <v>0</v>
      </c>
      <c r="T81" s="532">
        <f>IFERROR(IF(AND(T$54&gt;=EOMONTH($J81,-1)+1,T$54&lt;=EOMONTH(EOMONTH($J81,-1)+1,$K81-1)),IF(NOT(ISBLANK($N81)),$N81/$K81,$I81/$K81),0),0)</f>
        <v>0</v>
      </c>
      <c r="U81" s="532">
        <f>IFERROR(IF(AND(U$54&gt;=EOMONTH($J81,-1)+1,U$54&lt;=EOMONTH(EOMONTH($J81,-1)+1,$K81-1)),IF(NOT(ISBLANK($N81)),$N81/$K81,$I81/$K81),0),0)</f>
        <v>0</v>
      </c>
      <c r="V81" s="89">
        <f t="shared" ref="V81:V83" si="55">SUM(S81:U81)</f>
        <v>0</v>
      </c>
      <c r="W81" s="532">
        <f>IFERROR(IF(AND(W$54&gt;=EOMONTH($J81,-1)+1,W$54&lt;=EOMONTH(EOMONTH($J81,-1)+1,$K81-1)),IF(NOT(ISBLANK($N81)),$N81/$K81,$I81/$K81),0),0)</f>
        <v>0</v>
      </c>
      <c r="X81" s="532">
        <f>IFERROR(IF(AND(X$54&gt;=EOMONTH($J81,-1)+1,X$54&lt;=EOMONTH(EOMONTH($J81,-1)+1,$K81-1)),IF(NOT(ISBLANK($N81)),$N81/$K81,$I81/$K81),0),0)</f>
        <v>0</v>
      </c>
      <c r="Y81" s="532">
        <f>IFERROR(IF(AND(Y$54&gt;=EOMONTH($J81,-1)+1,Y$54&lt;=EOMONTH(EOMONTH($J81,-1)+1,$K81-1)),IF(NOT(ISBLANK($N81)),$N81/$K81,$I81/$K81),0),0)</f>
        <v>0</v>
      </c>
      <c r="Z81" s="89">
        <f t="shared" si="23"/>
        <v>0</v>
      </c>
      <c r="AA81" s="532">
        <f>IFERROR(IF(AND(AA$54&gt;=EOMONTH($J81,-1)+1,AA$54&lt;=EOMONTH(EOMONTH($J81,-1)+1,$K81-1)),IF(NOT(ISBLANK($N81)),$N81/$K81,$I81/$K81),0),0)</f>
        <v>116666.66666666667</v>
      </c>
      <c r="AB81" s="532">
        <f>IFERROR(IF(AND(AB$54&gt;=EOMONTH($J81,-1)+1,AB$54&lt;=EOMONTH(EOMONTH($J81,-1)+1,$K81-1)),IF(NOT(ISBLANK($N81)),$N81/$K81,$I81/$K81),0),0)</f>
        <v>116666.66666666667</v>
      </c>
      <c r="AC81" s="532">
        <f>IFERROR(IF(AND(AC$54&gt;=EOMONTH($J81,-1)+1,AC$54&lt;=EOMONTH(EOMONTH($J81,-1)+1,$K81-1)),IF(NOT(ISBLANK($N81)),$N81/$K81,$I81/$K81),0),0)</f>
        <v>116666.66666666667</v>
      </c>
      <c r="AD81" s="89">
        <f t="shared" si="24"/>
        <v>350000</v>
      </c>
      <c r="AE81" s="532">
        <f>IFERROR(IF(AND(AE$54&gt;=EOMONTH($J81,-1)+1,AE$54&lt;=EOMONTH(EOMONTH($J81,-1)+1,$K81-1)),IF(NOT(ISBLANK($N81)),$N81/$K81,$I81/$K81),0),0)</f>
        <v>116666.66666666667</v>
      </c>
      <c r="AF81" s="532">
        <f>IFERROR(IF(AND(AF$54&gt;=EOMONTH($J81,-1)+1,AF$54&lt;=EOMONTH(EOMONTH($J81,-1)+1,$K81-1)),IF(NOT(ISBLANK($N81)),$N81/$K81,$I81/$K81),0),0)</f>
        <v>116666.66666666667</v>
      </c>
      <c r="AG81" s="532">
        <f>IFERROR(IF(AND(AG$54&gt;=EOMONTH($J81,-1)+1,AG$54&lt;=EOMONTH(EOMONTH($J81,-1)+1,$K81-1)),IF(NOT(ISBLANK($N81)),$N81/$K81,$I81/$K81),0),0)</f>
        <v>116666.66666666667</v>
      </c>
      <c r="AH81" s="89">
        <f t="shared" si="17"/>
        <v>350000</v>
      </c>
      <c r="AI81" s="95">
        <f t="shared" si="15"/>
        <v>700000</v>
      </c>
      <c r="AJ81" s="97"/>
      <c r="AK81" s="1038"/>
      <c r="AL81" s="1042"/>
      <c r="AM81" s="1044">
        <f t="shared" ref="AM81" si="56">N81*AL81</f>
        <v>0</v>
      </c>
      <c r="AN81" s="97" t="str">
        <f>C81</f>
        <v>16 - Tolerância das MP's</v>
      </c>
      <c r="AO81" s="62" t="s">
        <v>289</v>
      </c>
      <c r="AP81" s="543" t="str" cm="1">
        <f t="array" aca="1" ref="AP81" ca="1">IF(OR(AN81="",AN81=0),"",IF(SUMPRODUCT(($C$55:$C$161=AN81)*(S$54:$AG$54&lt;EOMONTH(TODAY(),-1)+1)*(ISNUMBER(S$55:$AG$161)),S$55:$AG$161)=0,"",SUMPRODUCT(($C$55:$C$161=AN81)*(S$54:$AG$54&lt;EOMONTH(TODAY(),-1)+1)*(ISNUMBER(S$55:$AG$161)),S$55:$AG$161)))</f>
        <v/>
      </c>
    </row>
    <row r="82" spans="1:42" ht="46.5" customHeight="1" x14ac:dyDescent="0.3">
      <c r="A82" s="1039"/>
      <c r="B82" s="1300"/>
      <c r="C82" s="1114"/>
      <c r="D82" s="1501"/>
      <c r="E82" s="1364"/>
      <c r="F82" s="1100"/>
      <c r="G82" s="1151"/>
      <c r="H82" s="1151"/>
      <c r="I82" s="1508"/>
      <c r="J82" s="1524"/>
      <c r="K82" s="1214"/>
      <c r="L82" s="1077"/>
      <c r="M82" s="1503"/>
      <c r="N82" s="1445"/>
      <c r="O82" s="1043"/>
      <c r="P82" s="1043"/>
      <c r="Q82" s="93" t="s">
        <v>107</v>
      </c>
      <c r="R82" s="96">
        <v>1</v>
      </c>
      <c r="S82" s="312"/>
      <c r="T82" s="312"/>
      <c r="U82" s="312"/>
      <c r="V82" s="310">
        <f t="shared" si="55"/>
        <v>0</v>
      </c>
      <c r="W82" s="312"/>
      <c r="X82" s="312"/>
      <c r="Y82" s="312"/>
      <c r="Z82" s="310">
        <f t="shared" si="23"/>
        <v>0</v>
      </c>
      <c r="AA82" s="312"/>
      <c r="AB82" s="312"/>
      <c r="AC82" s="312"/>
      <c r="AD82" s="310">
        <f t="shared" si="24"/>
        <v>0</v>
      </c>
      <c r="AE82" s="312"/>
      <c r="AF82" s="312"/>
      <c r="AG82" s="312"/>
      <c r="AH82" s="310">
        <f t="shared" si="17"/>
        <v>0</v>
      </c>
      <c r="AI82" s="313">
        <f t="shared" si="15"/>
        <v>0</v>
      </c>
      <c r="AJ82" s="97"/>
      <c r="AK82" s="1039"/>
      <c r="AL82" s="1043"/>
      <c r="AM82" s="1045"/>
      <c r="AN82" s="97" t="str">
        <f>C81</f>
        <v>16 - Tolerância das MP's</v>
      </c>
      <c r="AO82" s="62" t="s">
        <v>291</v>
      </c>
      <c r="AP82" s="543" t="str" cm="1">
        <f t="array" aca="1" ref="AP82" ca="1">IF(OR(AN82="",AN82=0),"",IF(SUMPRODUCT(($C$55:$C$161=AN82)*(S$54:$AG$54&lt;EOMONTH(TODAY(),-1)+1)*(ISNUMBER(S$56:$AG$162)),S$56:$AG$162)=0,"",SUMPRODUCT(($C$55:$C$161=AN82)*(S$54:$AG$54&lt;EOMONTH(TODAY(),-1)+1)*(ISNUMBER(S$56:$AG$162)),S$56:$AG$162)))</f>
        <v/>
      </c>
    </row>
    <row r="83" spans="1:42" ht="29.1" customHeight="1" x14ac:dyDescent="0.3">
      <c r="A83" s="1036" t="s">
        <v>310</v>
      </c>
      <c r="B83" s="1038" t="s">
        <v>91</v>
      </c>
      <c r="C83" s="1095" t="s">
        <v>1399</v>
      </c>
      <c r="D83" s="1115" t="s">
        <v>1400</v>
      </c>
      <c r="E83" s="1303" t="s">
        <v>1401</v>
      </c>
      <c r="F83" s="1040" t="s">
        <v>1343</v>
      </c>
      <c r="G83" s="1117">
        <v>46023</v>
      </c>
      <c r="H83" s="1117">
        <v>46082</v>
      </c>
      <c r="I83" s="1439">
        <v>300000.00099999999</v>
      </c>
      <c r="J83" s="1158">
        <v>46023</v>
      </c>
      <c r="K83" s="1121">
        <f t="shared" ref="K83" si="57">IF(J83="", "", 12 - MONTH(J83) + 1)</f>
        <v>12</v>
      </c>
      <c r="L83" s="1074"/>
      <c r="M83" s="1119" t="s">
        <v>287</v>
      </c>
      <c r="N83" s="1053">
        <v>307015</v>
      </c>
      <c r="O83" s="1057" t="s">
        <v>80</v>
      </c>
      <c r="P83" s="1057">
        <v>1</v>
      </c>
      <c r="Q83" s="87" t="s">
        <v>106</v>
      </c>
      <c r="R83" s="91">
        <f ca="1">IF(OR(G83="", H83=""), "", IF(TODAY()&lt;G83, 0, IF(TODAY()&gt;H83, 1, (TODAY()-G83+1)/(H83-G83+1))))</f>
        <v>1</v>
      </c>
      <c r="S83" s="309">
        <f>IFERROR(IF(AND(S$54&gt;=EOMONTH($J83,-1)+1,S$54&lt;=EOMONTH(EOMONTH($J83,-1)+1,$K83-1)),IF(NOT(ISBLANK($N83)),$N83/$K83,$I83/$K83),0),0)</f>
        <v>25584.583333333332</v>
      </c>
      <c r="T83" s="309">
        <f>IFERROR(IF(AND(T$54&gt;=EOMONTH($J83,-1)+1,T$54&lt;=EOMONTH(EOMONTH($J83,-1)+1,$K83-1)),IF(NOT(ISBLANK($N83)),$N83/$K83,$I83/$K83),0),0)</f>
        <v>25584.583333333332</v>
      </c>
      <c r="U83" s="569">
        <f>IFERROR(IF(AND(U$54&gt;=EOMONTH($J83,-1)+1,U$54&lt;=EOMONTH(EOMONTH($J83,-1)+1,$K83-1)),IF(NOT(ISBLANK($N83)),$N83/$K83,$I83/$K83),0),0)</f>
        <v>25584.583333333332</v>
      </c>
      <c r="V83" s="89">
        <f t="shared" si="55"/>
        <v>76753.75</v>
      </c>
      <c r="W83" s="569">
        <f>IFERROR(IF(AND(W$54&gt;=EOMONTH($J83,-1)+1,W$54&lt;=EOMONTH(EOMONTH($J83,-1)+1,$K83-1)),IF(NOT(ISBLANK($N83)),$N83/$K83,$I83/$K83),0),0)</f>
        <v>25584.583333333332</v>
      </c>
      <c r="X83" s="309">
        <f>IFERROR(IF(AND(X$54&gt;=EOMONTH($J83,-1)+1,X$54&lt;=EOMONTH(EOMONTH($J83,-1)+1,$K83-1)),IF(NOT(ISBLANK($N83)),$N83/$K83,$I83/$K83),0),0)</f>
        <v>25584.583333333332</v>
      </c>
      <c r="Y83" s="309">
        <f>IFERROR(IF(AND(Y$54&gt;=EOMONTH($J83,-1)+1,Y$54&lt;=EOMONTH(EOMONTH($J83,-1)+1,$K83-1)),IF(NOT(ISBLANK($N83)),$N83/$K83,$I83/$K83),0),0)</f>
        <v>25584.583333333332</v>
      </c>
      <c r="Z83" s="89">
        <f t="shared" si="23"/>
        <v>76753.75</v>
      </c>
      <c r="AA83" s="309">
        <f>IFERROR(IF(AND(AA$54&gt;=EOMONTH($J83,-1)+1,AA$54&lt;=EOMONTH(EOMONTH($J83,-1)+1,$K83-1)),IF(NOT(ISBLANK($N83)),$N83/$K83,$I83/$K83),0),0)</f>
        <v>25584.583333333332</v>
      </c>
      <c r="AB83" s="309">
        <f>IFERROR(IF(AND(AB$54&gt;=EOMONTH($J83,-1)+1,AB$54&lt;=EOMONTH(EOMONTH($J83,-1)+1,$K83-1)),IF(NOT(ISBLANK($N83)),$N83/$K83,$I83/$K83),0),0)</f>
        <v>25584.583333333332</v>
      </c>
      <c r="AC83" s="309">
        <f>IFERROR(IF(AND(AC$54&gt;=EOMONTH($J83,-1)+1,AC$54&lt;=EOMONTH(EOMONTH($J83,-1)+1,$K83-1)),IF(NOT(ISBLANK($N83)),$N83/$K83,$I83/$K83),0),0)</f>
        <v>25584.583333333332</v>
      </c>
      <c r="AD83" s="89">
        <f t="shared" si="24"/>
        <v>76753.75</v>
      </c>
      <c r="AE83" s="309">
        <f>IFERROR(IF(AND(AE$54&gt;=EOMONTH($J83,-1)+1,AE$54&lt;=EOMONTH(EOMONTH($J83,-1)+1,$K83-1)),IF(NOT(ISBLANK($N83)),$N83/$K83,$I83/$K83),0),0)</f>
        <v>25584.583333333332</v>
      </c>
      <c r="AF83" s="309">
        <f>IFERROR(IF(AND(AF$54&gt;=EOMONTH($J83,-1)+1,AF$54&lt;=EOMONTH(EOMONTH($J83,-1)+1,$K83-1)),IF(NOT(ISBLANK($N83)),$N83/$K83,$I83/$K83),0),0)</f>
        <v>25584.583333333332</v>
      </c>
      <c r="AG83" s="309">
        <f>IFERROR(IF(AND(AG$54&gt;=EOMONTH($J83,-1)+1,AG$54&lt;=EOMONTH(EOMONTH($J83,-1)+1,$K83-1)),IF(NOT(ISBLANK($N83)),$N83/$K83,$I83/$K83),0),0)</f>
        <v>25584.583333333332</v>
      </c>
      <c r="AH83" s="89">
        <f t="shared" si="17"/>
        <v>76753.75</v>
      </c>
      <c r="AI83" s="90">
        <f t="shared" si="15"/>
        <v>307015</v>
      </c>
      <c r="AJ83" s="98"/>
      <c r="AK83" s="1040"/>
      <c r="AL83" s="1048"/>
      <c r="AM83" s="1046">
        <f t="shared" ref="AM83" si="58">N83*AL83</f>
        <v>0</v>
      </c>
      <c r="AN83" s="98" t="str">
        <f>C83</f>
        <v xml:space="preserve">Consumo de água </v>
      </c>
      <c r="AO83" s="62" t="s">
        <v>289</v>
      </c>
      <c r="AP83" s="543" cm="1">
        <f t="array" aca="1" ref="AP83" ca="1">IF(OR(AN83="",AN83=0),"",IF(SUMPRODUCT(($C$55:$C$161=AN83)*(S$54:$AG$54&lt;EOMONTH(TODAY(),-1)+1)*(ISNUMBER(S$55:$AG$161)),S$55:$AG$161)=0,"",SUMPRODUCT(($C$55:$C$161=AN83)*(S$54:$AG$54&lt;EOMONTH(TODAY(),-1)+1)*(ISNUMBER(S$55:$AG$161)),S$55:$AG$161)))</f>
        <v>127922.91666666666</v>
      </c>
    </row>
    <row r="84" spans="1:42" ht="29.1" customHeight="1" x14ac:dyDescent="0.3">
      <c r="A84" s="1037"/>
      <c r="B84" s="1039"/>
      <c r="C84" s="1096"/>
      <c r="D84" s="1116"/>
      <c r="E84" s="1304"/>
      <c r="F84" s="1041"/>
      <c r="G84" s="1118"/>
      <c r="H84" s="1118"/>
      <c r="I84" s="1440"/>
      <c r="J84" s="1159"/>
      <c r="K84" s="1122"/>
      <c r="L84" s="1075"/>
      <c r="M84" s="1451"/>
      <c r="N84" s="1417"/>
      <c r="O84" s="1058"/>
      <c r="P84" s="1058"/>
      <c r="Q84" s="87" t="s">
        <v>107</v>
      </c>
      <c r="R84" s="91">
        <v>1</v>
      </c>
      <c r="S84" s="569">
        <v>-58232</v>
      </c>
      <c r="T84" s="309">
        <v>103330</v>
      </c>
      <c r="U84" s="570"/>
      <c r="V84" s="310">
        <f t="shared" ref="V84" si="59">SUM(S84:U84)</f>
        <v>45098</v>
      </c>
      <c r="W84" s="309"/>
      <c r="X84" s="309"/>
      <c r="Y84" s="309"/>
      <c r="Z84" s="310">
        <f t="shared" si="23"/>
        <v>0</v>
      </c>
      <c r="AA84" s="309"/>
      <c r="AB84" s="309"/>
      <c r="AC84" s="309"/>
      <c r="AD84" s="310">
        <f t="shared" si="24"/>
        <v>0</v>
      </c>
      <c r="AE84" s="309"/>
      <c r="AF84" s="309"/>
      <c r="AG84" s="309"/>
      <c r="AH84" s="310">
        <f t="shared" si="17"/>
        <v>0</v>
      </c>
      <c r="AI84" s="311">
        <f t="shared" si="15"/>
        <v>45098</v>
      </c>
      <c r="AJ84" s="360"/>
      <c r="AK84" s="1041"/>
      <c r="AL84" s="1049"/>
      <c r="AM84" s="1047"/>
      <c r="AN84" s="92" t="str">
        <f>C83</f>
        <v xml:space="preserve">Consumo de água </v>
      </c>
      <c r="AO84" s="62" t="s">
        <v>291</v>
      </c>
      <c r="AP84" s="543" cm="1">
        <f t="array" aca="1" ref="AP84" ca="1">IF(OR(AN84="",AN84=0),"",IF(SUMPRODUCT(($C$55:$C$161=AN84)*(S$54:$AG$54&lt;EOMONTH(TODAY(),-1)+1)*(ISNUMBER(S$56:$AG$162)),S$56:$AG$162)=0,"",SUMPRODUCT(($C$55:$C$161=AN84)*(S$54:$AG$54&lt;EOMONTH(TODAY(),-1)+1)*(ISNUMBER(S$56:$AG$162)),S$56:$AG$162)))</f>
        <v>45098</v>
      </c>
    </row>
    <row r="85" spans="1:42" ht="29.1" customHeight="1" x14ac:dyDescent="0.3">
      <c r="A85" s="1038"/>
      <c r="B85" s="1299"/>
      <c r="C85" s="1113"/>
      <c r="D85" s="1097"/>
      <c r="E85" s="1363"/>
      <c r="F85" s="1099"/>
      <c r="G85" s="1150"/>
      <c r="H85" s="1150"/>
      <c r="I85" s="1152"/>
      <c r="J85" s="1109"/>
      <c r="K85" s="1213"/>
      <c r="L85" s="1076"/>
      <c r="M85" s="1072"/>
      <c r="N85" s="1055"/>
      <c r="O85" s="1042" t="s">
        <v>83</v>
      </c>
      <c r="P85" s="1042">
        <v>0.9</v>
      </c>
      <c r="Q85" s="93" t="s">
        <v>106</v>
      </c>
      <c r="R85" s="96" t="str">
        <f ca="1">IF(OR(G85="", H85=""), "", IF(TODAY()&lt;G85, 0, IF(TODAY()&gt;H85, 1, (TODAY()-G85+1)/(H85-G85+1))))</f>
        <v/>
      </c>
      <c r="S85" s="532">
        <f>IFERROR(IF(AND(S$54&gt;=EOMONTH($J85,-1)+1,S$54&lt;=EOMONTH(EOMONTH($J85,-1)+1,$K85-1)),IF(NOT(ISBLANK($N85)),$N85/$K85,$I85/$K85),0),0)</f>
        <v>0</v>
      </c>
      <c r="T85" s="532">
        <f>IFERROR(IF(AND(T$54&gt;=EOMONTH($J85,-1)+1,T$54&lt;=EOMONTH(EOMONTH($J85,-1)+1,$K85-1)),IF(NOT(ISBLANK($N85)),$N85/$K85,$I85/$K85),0),0)</f>
        <v>0</v>
      </c>
      <c r="U85" s="532">
        <f>IFERROR(IF(AND(U$54&gt;=EOMONTH($J85,-1)+1,U$54&lt;=EOMONTH(EOMONTH($J85,-1)+1,$K85-1)),IF(NOT(ISBLANK($N85)),$N85/$K85,$I85/$K85),0),0)</f>
        <v>0</v>
      </c>
      <c r="V85" s="89">
        <f t="shared" ref="V85:V87" si="60">SUM(S85:U85)</f>
        <v>0</v>
      </c>
      <c r="W85" s="532">
        <f>IFERROR(IF(AND(W$54&gt;=EOMONTH($J85,-1)+1,W$54&lt;=EOMONTH(EOMONTH($J85,-1)+1,$K85-1)),IF(NOT(ISBLANK($N85)),$N85/$K85,$I85/$K85),0),0)</f>
        <v>0</v>
      </c>
      <c r="X85" s="532">
        <f>IFERROR(IF(AND(X$54&gt;=EOMONTH($J85,-1)+1,X$54&lt;=EOMONTH(EOMONTH($J85,-1)+1,$K85-1)),IF(NOT(ISBLANK($N85)),$N85/$K85,$I85/$K85),0),0)</f>
        <v>0</v>
      </c>
      <c r="Y85" s="532">
        <f>IFERROR(IF(AND(Y$54&gt;=EOMONTH($J85,-1)+1,Y$54&lt;=EOMONTH(EOMONTH($J85,-1)+1,$K85-1)),IF(NOT(ISBLANK($N85)),$N85/$K85,$I85/$K85),0),0)</f>
        <v>0</v>
      </c>
      <c r="Z85" s="89">
        <f t="shared" si="23"/>
        <v>0</v>
      </c>
      <c r="AA85" s="532">
        <f>IFERROR(IF(AND(AA$54&gt;=EOMONTH($J85,-1)+1,AA$54&lt;=EOMONTH(EOMONTH($J85,-1)+1,$K85-1)),IF(NOT(ISBLANK($N85)),$N85/$K85,$I85/$K85),0),0)</f>
        <v>0</v>
      </c>
      <c r="AB85" s="532">
        <f>IFERROR(IF(AND(AB$54&gt;=EOMONTH($J85,-1)+1,AB$54&lt;=EOMONTH(EOMONTH($J85,-1)+1,$K85-1)),IF(NOT(ISBLANK($N85)),$N85/$K85,$I85/$K85),0),0)</f>
        <v>0</v>
      </c>
      <c r="AC85" s="532">
        <f>IFERROR(IF(AND(AC$54&gt;=EOMONTH($J85,-1)+1,AC$54&lt;=EOMONTH(EOMONTH($J85,-1)+1,$K85-1)),IF(NOT(ISBLANK($N85)),$N85/$K85,$I85/$K85),0),0)</f>
        <v>0</v>
      </c>
      <c r="AD85" s="89">
        <f t="shared" si="24"/>
        <v>0</v>
      </c>
      <c r="AE85" s="532">
        <f>IFERROR(IF(AND(AE$54&gt;=EOMONTH($J85,-1)+1,AE$54&lt;=EOMONTH(EOMONTH($J85,-1)+1,$K85-1)),IF(NOT(ISBLANK($N85)),$N85/$K85,$I85/$K85),0),0)</f>
        <v>0</v>
      </c>
      <c r="AF85" s="532">
        <f>IFERROR(IF(AND(AF$54&gt;=EOMONTH($J85,-1)+1,AF$54&lt;=EOMONTH(EOMONTH($J85,-1)+1,$K85-1)),IF(NOT(ISBLANK($N85)),$N85/$K85,$I85/$K85),0),0)</f>
        <v>0</v>
      </c>
      <c r="AG85" s="532">
        <f>IFERROR(IF(AND(AG$54&gt;=EOMONTH($J85,-1)+1,AG$54&lt;=EOMONTH(EOMONTH($J85,-1)+1,$K85-1)),IF(NOT(ISBLANK($N85)),$N85/$K85,$I85/$K85),0),0)</f>
        <v>0</v>
      </c>
      <c r="AH85" s="89">
        <f t="shared" si="17"/>
        <v>0</v>
      </c>
      <c r="AI85" s="95">
        <f t="shared" si="15"/>
        <v>0</v>
      </c>
      <c r="AJ85" s="97"/>
      <c r="AK85" s="1038"/>
      <c r="AL85" s="1042"/>
      <c r="AM85" s="1044">
        <f t="shared" ref="AM85" si="61">N85*AL85</f>
        <v>0</v>
      </c>
      <c r="AN85" s="97">
        <f>C85</f>
        <v>0</v>
      </c>
      <c r="AO85" s="62" t="s">
        <v>289</v>
      </c>
      <c r="AP85" s="543" t="str" cm="1">
        <f t="array" aca="1" ref="AP85" ca="1">IF(OR(AN85="",AN85=0),"",IF(SUMPRODUCT(($C$55:$C$161=AN85)*(S$54:$AG$54&lt;EOMONTH(TODAY(),-1)+1)*(ISNUMBER(S$55:$AG$161)),S$55:$AG$161)=0,"",SUMPRODUCT(($C$55:$C$161=AN85)*(S$54:$AG$54&lt;EOMONTH(TODAY(),-1)+1)*(ISNUMBER(S$55:$AG$161)),S$55:$AG$161)))</f>
        <v/>
      </c>
    </row>
    <row r="86" spans="1:42" ht="29.1" customHeight="1" x14ac:dyDescent="0.3">
      <c r="A86" s="1039"/>
      <c r="B86" s="1300"/>
      <c r="C86" s="1114"/>
      <c r="D86" s="1098"/>
      <c r="E86" s="1364"/>
      <c r="F86" s="1100"/>
      <c r="G86" s="1151"/>
      <c r="H86" s="1151"/>
      <c r="I86" s="1151"/>
      <c r="J86" s="1110"/>
      <c r="K86" s="1214"/>
      <c r="L86" s="1077"/>
      <c r="M86" s="1073"/>
      <c r="N86" s="1056"/>
      <c r="O86" s="1043"/>
      <c r="P86" s="1043"/>
      <c r="Q86" s="93" t="s">
        <v>107</v>
      </c>
      <c r="R86" s="96">
        <v>0</v>
      </c>
      <c r="S86" s="312"/>
      <c r="T86" s="312"/>
      <c r="U86" s="312"/>
      <c r="V86" s="310">
        <f t="shared" si="60"/>
        <v>0</v>
      </c>
      <c r="W86" s="312"/>
      <c r="X86" s="312"/>
      <c r="Y86" s="312"/>
      <c r="Z86" s="310">
        <f t="shared" si="23"/>
        <v>0</v>
      </c>
      <c r="AA86" s="312"/>
      <c r="AB86" s="312"/>
      <c r="AC86" s="312"/>
      <c r="AD86" s="310">
        <f t="shared" si="24"/>
        <v>0</v>
      </c>
      <c r="AE86" s="312"/>
      <c r="AF86" s="312"/>
      <c r="AG86" s="312"/>
      <c r="AH86" s="310">
        <f>SUM(AE86:AF86)</f>
        <v>0</v>
      </c>
      <c r="AI86" s="313">
        <f t="shared" si="15"/>
        <v>0</v>
      </c>
      <c r="AJ86" s="97"/>
      <c r="AK86" s="1039"/>
      <c r="AL86" s="1043"/>
      <c r="AM86" s="1045"/>
      <c r="AN86" s="97">
        <f>C85</f>
        <v>0</v>
      </c>
      <c r="AO86" s="62" t="s">
        <v>291</v>
      </c>
      <c r="AP86" s="543" t="str" cm="1">
        <f t="array" aca="1" ref="AP86" ca="1">IF(OR(AN86="",AN86=0),"",IF(SUMPRODUCT(($C$55:$C$161=AN86)*(S$54:$AG$54&lt;EOMONTH(TODAY(),-1)+1)*(ISNUMBER(S$56:$AG$162)),S$56:$AG$162)=0,"",SUMPRODUCT(($C$55:$C$161=AN86)*(S$54:$AG$54&lt;EOMONTH(TODAY(),-1)+1)*(ISNUMBER(S$56:$AG$162)),S$56:$AG$162)))</f>
        <v/>
      </c>
    </row>
    <row r="87" spans="1:42" ht="29.1" customHeight="1" x14ac:dyDescent="0.3">
      <c r="A87" s="1036" t="s">
        <v>310</v>
      </c>
      <c r="B87" s="1038" t="s">
        <v>93</v>
      </c>
      <c r="C87" s="1095" t="s">
        <v>1402</v>
      </c>
      <c r="D87" s="1115" t="s">
        <v>1403</v>
      </c>
      <c r="E87" s="1303" t="s">
        <v>1404</v>
      </c>
      <c r="F87" s="1040" t="s">
        <v>1405</v>
      </c>
      <c r="G87" s="1117">
        <v>46132</v>
      </c>
      <c r="H87" s="1117">
        <v>46160</v>
      </c>
      <c r="I87" s="1074">
        <v>55000</v>
      </c>
      <c r="J87" s="1158"/>
      <c r="K87" s="1121" t="str">
        <f t="shared" ref="K87" si="62">IF(J87="", "", 12 - MONTH(J87) + 1)</f>
        <v/>
      </c>
      <c r="L87" s="1074"/>
      <c r="M87" s="1500"/>
      <c r="N87" s="1307"/>
      <c r="O87" s="1057" t="s">
        <v>80</v>
      </c>
      <c r="P87" s="1057">
        <v>1</v>
      </c>
      <c r="Q87" s="87" t="s">
        <v>106</v>
      </c>
      <c r="R87" s="91">
        <f ca="1">IF(OR(G87="", H87=""), "", IF(TODAY()&lt;G87, 0, IF(TODAY()&gt;H87, 1, (TODAY()-G87+1)/(H87-G87+1))))</f>
        <v>1</v>
      </c>
      <c r="S87" s="309">
        <f>IFERROR(IF(AND(S$54&gt;=EOMONTH($J87,-1)+1,S$54&lt;=EOMONTH(EOMONTH($J87,-1)+1,$K87-1)),IF(NOT(ISBLANK($N87)),$N87/$K87,$I87/$K87),0),0)</f>
        <v>0</v>
      </c>
      <c r="T87" s="309">
        <f>IFERROR(IF(AND(T$54&gt;=EOMONTH($J87,-1)+1,T$54&lt;=EOMONTH(EOMONTH($J87,-1)+1,$K87-1)),IF(NOT(ISBLANK($N87)),$N87/$K87,$I87/$K87),0),0)</f>
        <v>0</v>
      </c>
      <c r="U87" s="309">
        <f>IFERROR(IF(AND(U$54&gt;=EOMONTH($J87,-1)+1,U$54&lt;=EOMONTH(EOMONTH($J87,-1)+1,$K87-1)),IF(NOT(ISBLANK($N87)),$N87/$K87,$I87/$K87),0),0)</f>
        <v>0</v>
      </c>
      <c r="V87" s="89">
        <f t="shared" si="60"/>
        <v>0</v>
      </c>
      <c r="W87" s="309">
        <f>IFERROR(IF(AND(W$54&gt;=EOMONTH($J87,-1)+1,W$54&lt;=EOMONTH(EOMONTH($J87,-1)+1,$K87-1)),IF(NOT(ISBLANK($N87)),$N87/$K87,$I87/$K87),0),0)</f>
        <v>0</v>
      </c>
      <c r="X87" s="309">
        <f>IFERROR(IF(AND(X$54&gt;=EOMONTH($J87,-1)+1,X$54&lt;=EOMONTH(EOMONTH($J87,-1)+1,$K87-1)),IF(NOT(ISBLANK($N87)),$N87/$K87,$I87/$K87),0),0)</f>
        <v>0</v>
      </c>
      <c r="Y87" s="309">
        <f>IFERROR(IF(AND(Y$54&gt;=EOMONTH($J87,-1)+1,Y$54&lt;=EOMONTH(EOMONTH($J87,-1)+1,$K87-1)),IF(NOT(ISBLANK($N87)),$N87/$K87,$I87/$K87),0),0)</f>
        <v>0</v>
      </c>
      <c r="Z87" s="89">
        <f t="shared" si="23"/>
        <v>0</v>
      </c>
      <c r="AA87" s="309">
        <f>IFERROR(IF(AND(AA$54&gt;=EOMONTH($J87,-1)+1,AA$54&lt;=EOMONTH(EOMONTH($J87,-1)+1,$K87-1)),IF(NOT(ISBLANK($N87)),$N87/$K87,$I87/$K87),0),0)</f>
        <v>0</v>
      </c>
      <c r="AB87" s="309">
        <f>IFERROR(IF(AND(AB$54&gt;=EOMONTH($J87,-1)+1,AB$54&lt;=EOMONTH(EOMONTH($J87,-1)+1,$K87-1)),IF(NOT(ISBLANK($N87)),$N87/$K87,$I87/$K87),0),0)</f>
        <v>0</v>
      </c>
      <c r="AC87" s="309">
        <f>IFERROR(IF(AND(AC$54&gt;=EOMONTH($J87,-1)+1,AC$54&lt;=EOMONTH(EOMONTH($J87,-1)+1,$K87-1)),IF(NOT(ISBLANK($N87)),$N87/$K87,$I87/$K87),0),0)</f>
        <v>0</v>
      </c>
      <c r="AD87" s="89">
        <f t="shared" si="24"/>
        <v>0</v>
      </c>
      <c r="AE87" s="309">
        <f>IFERROR(IF(AND(AE$54&gt;=EOMONTH($J87,-1)+1,AE$54&lt;=EOMONTH(EOMONTH($J87,-1)+1,$K87-1)),IF(NOT(ISBLANK($N87)),$N87/$K87,$I87/$K87),0),0)</f>
        <v>0</v>
      </c>
      <c r="AF87" s="309">
        <f>IFERROR(IF(AND(AF$54&gt;=EOMONTH($J87,-1)+1,AF$54&lt;=EOMONTH(EOMONTH($J87,-1)+1,$K87-1)),IF(NOT(ISBLANK($N87)),$N87/$K87,$I87/$K87),0),0)</f>
        <v>0</v>
      </c>
      <c r="AG87" s="309">
        <f>IFERROR(IF(AND(AG$54&gt;=EOMONTH($J87,-1)+1,AG$54&lt;=EOMONTH(EOMONTH($J87,-1)+1,$K87-1)),IF(NOT(ISBLANK($N87)),$N87/$K87,$I87/$K87),0),0)</f>
        <v>0</v>
      </c>
      <c r="AH87" s="89">
        <f t="shared" si="17"/>
        <v>0</v>
      </c>
      <c r="AI87" s="90">
        <f t="shared" si="15"/>
        <v>0</v>
      </c>
      <c r="AJ87" s="98"/>
      <c r="AK87" s="1040"/>
      <c r="AL87" s="1048"/>
      <c r="AM87" s="1046">
        <f t="shared" ref="AM87" si="63">N87*AL87</f>
        <v>0</v>
      </c>
      <c r="AN87" s="98" t="str">
        <f>C87</f>
        <v>19 - Insumos logística</v>
      </c>
      <c r="AO87" s="62" t="s">
        <v>289</v>
      </c>
      <c r="AP87" s="543" t="str" cm="1">
        <f t="array" aca="1" ref="AP87" ca="1">IF(OR(AN87="",AN87=0),"",IF(SUMPRODUCT(($C$55:$C$161=AN87)*(S$54:$AG$54&lt;EOMONTH(TODAY(),-1)+1)*(ISNUMBER(S$55:$AG$161)),S$55:$AG$161)=0,"",SUMPRODUCT(($C$55:$C$161=AN87)*(S$54:$AG$54&lt;EOMONTH(TODAY(),-1)+1)*(ISNUMBER(S$55:$AG$161)),S$55:$AG$161)))</f>
        <v/>
      </c>
    </row>
    <row r="88" spans="1:42" ht="45.75" customHeight="1" x14ac:dyDescent="0.3">
      <c r="A88" s="1037"/>
      <c r="B88" s="1039"/>
      <c r="C88" s="1096"/>
      <c r="D88" s="1116"/>
      <c r="E88" s="1304"/>
      <c r="F88" s="1041"/>
      <c r="G88" s="1118"/>
      <c r="H88" s="1118"/>
      <c r="I88" s="1075"/>
      <c r="J88" s="1159"/>
      <c r="K88" s="1122"/>
      <c r="L88" s="1075"/>
      <c r="M88" s="1120"/>
      <c r="N88" s="1054"/>
      <c r="O88" s="1058"/>
      <c r="P88" s="1058"/>
      <c r="Q88" s="87" t="s">
        <v>107</v>
      </c>
      <c r="R88" s="91">
        <v>0</v>
      </c>
      <c r="S88" s="309"/>
      <c r="T88" s="309"/>
      <c r="U88" s="309"/>
      <c r="V88" s="310">
        <f t="shared" ref="V88" si="64">SUM(S88:U88)</f>
        <v>0</v>
      </c>
      <c r="W88" s="309"/>
      <c r="X88" s="309"/>
      <c r="Y88" s="309"/>
      <c r="Z88" s="310">
        <f t="shared" si="23"/>
        <v>0</v>
      </c>
      <c r="AA88" s="309"/>
      <c r="AB88" s="309"/>
      <c r="AC88" s="309"/>
      <c r="AD88" s="310">
        <f t="shared" si="24"/>
        <v>0</v>
      </c>
      <c r="AE88" s="309"/>
      <c r="AF88" s="309"/>
      <c r="AG88" s="309"/>
      <c r="AH88" s="310">
        <f t="shared" si="17"/>
        <v>0</v>
      </c>
      <c r="AI88" s="311">
        <f t="shared" si="15"/>
        <v>0</v>
      </c>
      <c r="AJ88" s="360"/>
      <c r="AK88" s="1041"/>
      <c r="AL88" s="1049"/>
      <c r="AM88" s="1047"/>
      <c r="AN88" s="92" t="str">
        <f>C87</f>
        <v>19 - Insumos logística</v>
      </c>
      <c r="AO88" s="62" t="s">
        <v>291</v>
      </c>
      <c r="AP88" s="543" t="str" cm="1">
        <f t="array" aca="1" ref="AP88" ca="1">IF(OR(AN88="",AN88=0),"",IF(SUMPRODUCT(($C$55:$C$161=AN88)*(S$54:$AG$54&lt;EOMONTH(TODAY(),-1)+1)*(ISNUMBER(S$56:$AG$162)),S$56:$AG$162)=0,"",SUMPRODUCT(($C$55:$C$161=AN88)*(S$54:$AG$54&lt;EOMONTH(TODAY(),-1)+1)*(ISNUMBER(S$56:$AG$162)),S$56:$AG$162)))</f>
        <v/>
      </c>
    </row>
    <row r="89" spans="1:42" ht="29.1" customHeight="1" x14ac:dyDescent="0.3">
      <c r="A89" s="1038" t="s">
        <v>310</v>
      </c>
      <c r="B89" s="1299" t="s">
        <v>91</v>
      </c>
      <c r="C89" s="1113" t="s">
        <v>1406</v>
      </c>
      <c r="D89" s="1097" t="s">
        <v>1407</v>
      </c>
      <c r="E89" s="1363" t="s">
        <v>1408</v>
      </c>
      <c r="F89" s="1099" t="s">
        <v>1371</v>
      </c>
      <c r="G89" s="1150">
        <v>46054</v>
      </c>
      <c r="H89" s="1150">
        <v>46082</v>
      </c>
      <c r="I89" s="1504">
        <v>60000.008000000002</v>
      </c>
      <c r="J89" s="1109">
        <v>46204</v>
      </c>
      <c r="K89" s="1213">
        <f t="shared" ref="K89" si="65">IF(J89="", "", 12 - MONTH(J89) + 1)</f>
        <v>6</v>
      </c>
      <c r="L89" s="1076"/>
      <c r="M89" s="1320" t="s">
        <v>287</v>
      </c>
      <c r="N89" s="1509">
        <v>33025.72</v>
      </c>
      <c r="O89" s="1042" t="s">
        <v>80</v>
      </c>
      <c r="P89" s="1042">
        <v>1</v>
      </c>
      <c r="Q89" s="93" t="s">
        <v>106</v>
      </c>
      <c r="R89" s="96">
        <f ca="1">IF(OR(G89="", H89=""), "", IF(TODAY()&lt;G89, 0, IF(TODAY()&gt;H89, 1, (TODAY()-G89+1)/(H89-G89+1))))</f>
        <v>1</v>
      </c>
      <c r="S89" s="532">
        <f>IFERROR(IF(AND(S$54&gt;=EOMONTH($J89,-1)+1,S$54&lt;=EOMONTH(EOMONTH($J89,-1)+1,$K89-1)),IF(NOT(ISBLANK($N89)),$N89/$K89,$I89/$K89),0),0)</f>
        <v>0</v>
      </c>
      <c r="T89" s="532">
        <f>IFERROR(IF(AND(T$54&gt;=EOMONTH($J89,-1)+1,T$54&lt;=EOMONTH(EOMONTH($J89,-1)+1,$K89-1)),IF(NOT(ISBLANK($N89)),$N89/$K89,$I89/$K89),0),0)</f>
        <v>0</v>
      </c>
      <c r="U89" s="641">
        <f>IFERROR(IF(AND(U$54&gt;=EOMONTH($J89,-1)+1,U$54&lt;=EOMONTH(EOMONTH($J89,-1)+1,$K89-1)),IF(NOT(ISBLANK($N89)),$N89/$K89,$I89/$K89),0),0)</f>
        <v>0</v>
      </c>
      <c r="V89" s="89">
        <f t="shared" ref="V89:V91" si="66">SUM(S89:U89)</f>
        <v>0</v>
      </c>
      <c r="W89" s="641">
        <f>IFERROR(IF(AND(W$54&gt;=EOMONTH($J89,-1)+1,W$54&lt;=EOMONTH(EOMONTH($J89,-1)+1,$K89-1)),IF(NOT(ISBLANK($N89)),$N89/$K89,$I89/$K89),0),0)</f>
        <v>0</v>
      </c>
      <c r="X89" s="532">
        <f>IFERROR(IF(AND(X$54&gt;=EOMONTH($J89,-1)+1,X$54&lt;=EOMONTH(EOMONTH($J89,-1)+1,$K89-1)),IF(NOT(ISBLANK($N89)),$N89/$K89,$I89/$K89),0),0)</f>
        <v>0</v>
      </c>
      <c r="Y89" s="532">
        <f>IFERROR(IF(AND(Y$54&gt;=EOMONTH($J89,-1)+1,Y$54&lt;=EOMONTH(EOMONTH($J89,-1)+1,$K89-1)),IF(NOT(ISBLANK($N89)),$N89/$K89,$I89/$K89),0),0)</f>
        <v>0</v>
      </c>
      <c r="Z89" s="89">
        <f t="shared" si="23"/>
        <v>0</v>
      </c>
      <c r="AA89" s="532">
        <f>IFERROR(IF(AND(AA$54&gt;=EOMONTH($J89,-1)+1,AA$54&lt;=EOMONTH(EOMONTH($J89,-1)+1,$K89-1)),IF(NOT(ISBLANK($N89)),$N89/$K89,$I89/$K89),0),0)</f>
        <v>5504.2866666666669</v>
      </c>
      <c r="AB89" s="532">
        <f>IFERROR(IF(AND(AB$54&gt;=EOMONTH($J89,-1)+1,AB$54&lt;=EOMONTH(EOMONTH($J89,-1)+1,$K89-1)),IF(NOT(ISBLANK($N89)),$N89/$K89,$I89/$K89),0),0)</f>
        <v>5504.2866666666669</v>
      </c>
      <c r="AC89" s="532">
        <f>IFERROR(IF(AND(AC$54&gt;=EOMONTH($J89,-1)+1,AC$54&lt;=EOMONTH(EOMONTH($J89,-1)+1,$K89-1)),IF(NOT(ISBLANK($N89)),$N89/$K89,$I89/$K89),0),0)</f>
        <v>5504.2866666666669</v>
      </c>
      <c r="AD89" s="89">
        <f t="shared" si="24"/>
        <v>16512.86</v>
      </c>
      <c r="AE89" s="532">
        <f>IFERROR(IF(AND(AE$54&gt;=EOMONTH($J89,-1)+1,AE$54&lt;=EOMONTH(EOMONTH($J89,-1)+1,$K89-1)),IF(NOT(ISBLANK($N89)),$N89/$K89,$I89/$K89),0),0)</f>
        <v>5504.2866666666669</v>
      </c>
      <c r="AF89" s="532">
        <f>IFERROR(IF(AND(AF$54&gt;=EOMONTH($J89,-1)+1,AF$54&lt;=EOMONTH(EOMONTH($J89,-1)+1,$K89-1)),IF(NOT(ISBLANK($N89)),$N89/$K89,$I89/$K89),0),0)</f>
        <v>5504.2866666666669</v>
      </c>
      <c r="AG89" s="532">
        <f>IFERROR(IF(AND(AG$54&gt;=EOMONTH($J89,-1)+1,AG$54&lt;=EOMONTH(EOMONTH($J89,-1)+1,$K89-1)),IF(NOT(ISBLANK($N89)),$N89/$K89,$I89/$K89),0),0)</f>
        <v>5504.2866666666669</v>
      </c>
      <c r="AH89" s="89">
        <f t="shared" si="17"/>
        <v>16512.86</v>
      </c>
      <c r="AI89" s="95">
        <f t="shared" si="15"/>
        <v>33025.72</v>
      </c>
      <c r="AJ89" s="97"/>
      <c r="AK89" s="1038"/>
      <c r="AL89" s="1042"/>
      <c r="AM89" s="1044">
        <f t="shared" ref="AM89" si="67">N89*AL89</f>
        <v>0</v>
      </c>
      <c r="AN89" s="97" t="str">
        <f>C89</f>
        <v>20 - Limpador de grelha</v>
      </c>
      <c r="AO89" s="62" t="s">
        <v>289</v>
      </c>
      <c r="AP89" s="543" t="str" cm="1">
        <f t="array" aca="1" ref="AP89" ca="1">IF(OR(AN89="",AN89=0),"",IF(SUMPRODUCT(($C$55:$C$161=AN89)*(S$54:$AG$54&lt;EOMONTH(TODAY(),-1)+1)*(ISNUMBER(S$55:$AG$161)),S$55:$AG$161)=0,"",SUMPRODUCT(($C$55:$C$161=AN89)*(S$54:$AG$54&lt;EOMONTH(TODAY(),-1)+1)*(ISNUMBER(S$55:$AG$161)),S$55:$AG$161)))</f>
        <v/>
      </c>
    </row>
    <row r="90" spans="1:42" ht="56.25" customHeight="1" x14ac:dyDescent="0.3">
      <c r="A90" s="1039"/>
      <c r="B90" s="1300"/>
      <c r="C90" s="1114"/>
      <c r="D90" s="1098"/>
      <c r="E90" s="1364"/>
      <c r="F90" s="1100"/>
      <c r="G90" s="1151"/>
      <c r="H90" s="1151"/>
      <c r="I90" s="1358"/>
      <c r="J90" s="1110"/>
      <c r="K90" s="1214"/>
      <c r="L90" s="1077"/>
      <c r="M90" s="1321"/>
      <c r="N90" s="1510"/>
      <c r="O90" s="1043"/>
      <c r="P90" s="1043"/>
      <c r="Q90" s="93" t="s">
        <v>107</v>
      </c>
      <c r="R90" s="96">
        <v>1</v>
      </c>
      <c r="S90" s="312"/>
      <c r="T90" s="312"/>
      <c r="U90" s="486"/>
      <c r="V90" s="310">
        <f t="shared" si="66"/>
        <v>0</v>
      </c>
      <c r="W90" s="312"/>
      <c r="X90" s="312"/>
      <c r="Y90" s="312"/>
      <c r="Z90" s="310">
        <f t="shared" si="23"/>
        <v>0</v>
      </c>
      <c r="AA90" s="312"/>
      <c r="AB90" s="312"/>
      <c r="AC90" s="312"/>
      <c r="AD90" s="310">
        <f t="shared" si="24"/>
        <v>0</v>
      </c>
      <c r="AE90" s="312"/>
      <c r="AF90" s="312"/>
      <c r="AG90" s="312"/>
      <c r="AH90" s="310">
        <f t="shared" si="17"/>
        <v>0</v>
      </c>
      <c r="AI90" s="313">
        <f t="shared" si="15"/>
        <v>0</v>
      </c>
      <c r="AJ90" s="97"/>
      <c r="AK90" s="1039"/>
      <c r="AL90" s="1043"/>
      <c r="AM90" s="1045"/>
      <c r="AN90" s="97" t="str">
        <f>C89</f>
        <v>20 - Limpador de grelha</v>
      </c>
      <c r="AO90" s="62" t="s">
        <v>291</v>
      </c>
      <c r="AP90" s="543" t="str" cm="1">
        <f t="array" aca="1" ref="AP90" ca="1">IF(OR(AN90="",AN90=0),"",IF(SUMPRODUCT(($C$55:$C$161=AN90)*(S$54:$AG$54&lt;EOMONTH(TODAY(),-1)+1)*(ISNUMBER(S$56:$AG$162)),S$56:$AG$162)=0,"",SUMPRODUCT(($C$55:$C$161=AN90)*(S$54:$AG$54&lt;EOMONTH(TODAY(),-1)+1)*(ISNUMBER(S$56:$AG$162)),S$56:$AG$162)))</f>
        <v/>
      </c>
    </row>
    <row r="91" spans="1:42" ht="29.1" customHeight="1" x14ac:dyDescent="0.3">
      <c r="A91" s="1036"/>
      <c r="B91" s="1038"/>
      <c r="C91" s="1095"/>
      <c r="D91" s="1115"/>
      <c r="E91" s="1303"/>
      <c r="F91" s="1040"/>
      <c r="G91" s="1117"/>
      <c r="H91" s="1117"/>
      <c r="I91" s="1074"/>
      <c r="J91" s="1074"/>
      <c r="K91" s="1074"/>
      <c r="L91" s="1074"/>
      <c r="M91" s="1500"/>
      <c r="N91" s="1307"/>
      <c r="O91" s="1057" t="s">
        <v>83</v>
      </c>
      <c r="P91" s="1057">
        <v>0.5</v>
      </c>
      <c r="Q91" s="87" t="s">
        <v>106</v>
      </c>
      <c r="R91" s="91" t="str">
        <f ca="1">IF(OR(G91="", H91=""), "", IF(TODAY()&lt;G91, 0, IF(TODAY()&gt;H91, 1, (TODAY()-G91+1)/(H91-G91+1))))</f>
        <v/>
      </c>
      <c r="S91" s="309">
        <f>IFERROR(IF(AND(S$54&gt;=EOMONTH($J91,-1)+1,S$54&lt;=EOMONTH(EOMONTH($J91,-1)+1,$K91-1)),IF(NOT(ISBLANK($N91)),$N91/$K91,$I91/$K91),0),0)</f>
        <v>0</v>
      </c>
      <c r="T91" s="309">
        <f>IFERROR(IF(AND(T$54&gt;=EOMONTH($J91,-1)+1,T$54&lt;=EOMONTH(EOMONTH($J91,-1)+1,$K91-1)),IF(NOT(ISBLANK($N91)),$N91/$K91,$I91/$K91),0),0)</f>
        <v>0</v>
      </c>
      <c r="U91" s="309">
        <f>IFERROR(IF(AND(U$54&gt;=EOMONTH($J91,-1)+1,U$54&lt;=EOMONTH(EOMONTH($J91,-1)+1,$K91-1)),IF(NOT(ISBLANK($N91)),$N91/$K91,$I91/$K91),0),0)</f>
        <v>0</v>
      </c>
      <c r="V91" s="89">
        <f t="shared" si="66"/>
        <v>0</v>
      </c>
      <c r="W91" s="309">
        <f>IFERROR(IF(AND(W$54&gt;=EOMONTH($J91,-1)+1,W$54&lt;=EOMONTH(EOMONTH($J91,-1)+1,$K91-1)),IF(NOT(ISBLANK($N91)),$N91/$K91,$I91/$K91),0),0)</f>
        <v>0</v>
      </c>
      <c r="X91" s="309">
        <f>IFERROR(IF(AND(X$54&gt;=EOMONTH($J91,-1)+1,X$54&lt;=EOMONTH(EOMONTH($J91,-1)+1,$K91-1)),IF(NOT(ISBLANK($N91)),$N91/$K91,$I91/$K91),0),0)</f>
        <v>0</v>
      </c>
      <c r="Y91" s="309">
        <f>IFERROR(IF(AND(Y$54&gt;=EOMONTH($J91,-1)+1,Y$54&lt;=EOMONTH(EOMONTH($J91,-1)+1,$K91-1)),IF(NOT(ISBLANK($N91)),$N91/$K91,$I91/$K91),0),0)</f>
        <v>0</v>
      </c>
      <c r="Z91" s="89">
        <f t="shared" si="23"/>
        <v>0</v>
      </c>
      <c r="AA91" s="309">
        <f>IFERROR(IF(AND(AA$54&gt;=EOMONTH($J91,-1)+1,AA$54&lt;=EOMONTH(EOMONTH($J91,-1)+1,$K91-1)),IF(NOT(ISBLANK($N91)),$N91/$K91,$I91/$K91),0),0)</f>
        <v>0</v>
      </c>
      <c r="AB91" s="309">
        <f>IFERROR(IF(AND(AB$54&gt;=EOMONTH($J91,-1)+1,AB$54&lt;=EOMONTH(EOMONTH($J91,-1)+1,$K91-1)),IF(NOT(ISBLANK($N91)),$N91/$K91,$I91/$K91),0),0)</f>
        <v>0</v>
      </c>
      <c r="AC91" s="309">
        <f>IFERROR(IF(AND(AC$54&gt;=EOMONTH($J91,-1)+1,AC$54&lt;=EOMONTH(EOMONTH($J91,-1)+1,$K91-1)),IF(NOT(ISBLANK($N91)),$N91/$K91,$I91/$K91),0),0)</f>
        <v>0</v>
      </c>
      <c r="AD91" s="89">
        <f t="shared" si="24"/>
        <v>0</v>
      </c>
      <c r="AE91" s="309">
        <f>IFERROR(IF(AND(AE$54&gt;=EOMONTH($J91,-1)+1,AE$54&lt;=EOMONTH(EOMONTH($J91,-1)+1,$K91-1)),IF(NOT(ISBLANK($N91)),$N91/$K91,$I91/$K91),0),0)</f>
        <v>0</v>
      </c>
      <c r="AF91" s="309">
        <f>IFERROR(IF(AND(AF$54&gt;=EOMONTH($J91,-1)+1,AF$54&lt;=EOMONTH(EOMONTH($J91,-1)+1,$K91-1)),IF(NOT(ISBLANK($N91)),$N91/$K91,$I91/$K91),0),0)</f>
        <v>0</v>
      </c>
      <c r="AG91" s="309">
        <f>IFERROR(IF(AND(AG$54&gt;=EOMONTH($J91,-1)+1,AG$54&lt;=EOMONTH(EOMONTH($J91,-1)+1,$K91-1)),IF(NOT(ISBLANK($N91)),$N91/$K91,$I91/$K91),0),0)</f>
        <v>0</v>
      </c>
      <c r="AH91" s="89">
        <f t="shared" si="17"/>
        <v>0</v>
      </c>
      <c r="AI91" s="90">
        <f t="shared" si="15"/>
        <v>0</v>
      </c>
      <c r="AJ91" s="98" t="s">
        <v>1409</v>
      </c>
      <c r="AK91" s="1040"/>
      <c r="AL91" s="1048"/>
      <c r="AM91" s="1046">
        <f t="shared" ref="AM91" si="68">N91*AL91</f>
        <v>0</v>
      </c>
      <c r="AN91" s="98">
        <f>C91</f>
        <v>0</v>
      </c>
      <c r="AO91" s="62" t="s">
        <v>289</v>
      </c>
      <c r="AP91" s="543" t="str" cm="1">
        <f t="array" aca="1" ref="AP91" ca="1">IF(OR(AN91="",AN91=0),"",IF(SUMPRODUCT(($C$55:$C$161=AN91)*(S$54:$AG$54&lt;EOMONTH(TODAY(),-1)+1)*(ISNUMBER(S$55:$AG$161)),S$55:$AG$161)=0,"",SUMPRODUCT(($C$55:$C$161=AN91)*(S$54:$AG$54&lt;EOMONTH(TODAY(),-1)+1)*(ISNUMBER(S$55:$AG$161)),S$55:$AG$161)))</f>
        <v/>
      </c>
    </row>
    <row r="92" spans="1:42" ht="29.1" customHeight="1" x14ac:dyDescent="0.3">
      <c r="A92" s="1037"/>
      <c r="B92" s="1039"/>
      <c r="C92" s="1096"/>
      <c r="D92" s="1116"/>
      <c r="E92" s="1304"/>
      <c r="F92" s="1041"/>
      <c r="G92" s="1118"/>
      <c r="H92" s="1118"/>
      <c r="I92" s="1075"/>
      <c r="J92" s="1075"/>
      <c r="K92" s="1075"/>
      <c r="L92" s="1075"/>
      <c r="M92" s="1120"/>
      <c r="N92" s="1054"/>
      <c r="O92" s="1058"/>
      <c r="P92" s="1058"/>
      <c r="Q92" s="87" t="s">
        <v>107</v>
      </c>
      <c r="R92" s="91">
        <v>1</v>
      </c>
      <c r="S92" s="309"/>
      <c r="T92" s="309"/>
      <c r="U92" s="309"/>
      <c r="V92" s="310">
        <f t="shared" ref="V92" si="69">SUM(S92:U92)</f>
        <v>0</v>
      </c>
      <c r="W92" s="309"/>
      <c r="X92" s="309"/>
      <c r="Y92" s="309"/>
      <c r="Z92" s="310">
        <f t="shared" si="23"/>
        <v>0</v>
      </c>
      <c r="AA92" s="309"/>
      <c r="AB92" s="309"/>
      <c r="AC92" s="309"/>
      <c r="AD92" s="310">
        <f t="shared" si="24"/>
        <v>0</v>
      </c>
      <c r="AE92" s="309"/>
      <c r="AF92" s="309"/>
      <c r="AG92" s="309"/>
      <c r="AH92" s="310">
        <f t="shared" si="17"/>
        <v>0</v>
      </c>
      <c r="AI92" s="311">
        <f t="shared" si="15"/>
        <v>0</v>
      </c>
      <c r="AJ92" s="360"/>
      <c r="AK92" s="1041"/>
      <c r="AL92" s="1049"/>
      <c r="AM92" s="1047"/>
      <c r="AN92" s="92">
        <f>C91</f>
        <v>0</v>
      </c>
      <c r="AO92" s="62" t="s">
        <v>291</v>
      </c>
      <c r="AP92" s="543" t="str" cm="1">
        <f t="array" aca="1" ref="AP92" ca="1">IF(OR(AN92="",AN92=0),"",IF(SUMPRODUCT(($C$55:$C$161=AN92)*(S$54:$AG$54&lt;EOMONTH(TODAY(),-1)+1)*(ISNUMBER(S$56:$AG$162)),S$56:$AG$162)=0,"",SUMPRODUCT(($C$55:$C$161=AN92)*(S$54:$AG$54&lt;EOMONTH(TODAY(),-1)+1)*(ISNUMBER(S$56:$AG$162)),S$56:$AG$162)))</f>
        <v/>
      </c>
    </row>
    <row r="93" spans="1:42" ht="29.1" customHeight="1" x14ac:dyDescent="0.3">
      <c r="A93" s="1038" t="s">
        <v>76</v>
      </c>
      <c r="B93" s="1299" t="s">
        <v>94</v>
      </c>
      <c r="C93" s="1113" t="s">
        <v>1410</v>
      </c>
      <c r="D93" s="1097"/>
      <c r="E93" s="1363" t="s">
        <v>1411</v>
      </c>
      <c r="F93" s="1099" t="s">
        <v>1412</v>
      </c>
      <c r="G93" s="1150">
        <v>46082</v>
      </c>
      <c r="H93" s="1150">
        <v>46082</v>
      </c>
      <c r="I93" s="1517">
        <v>12000</v>
      </c>
      <c r="J93" s="1109"/>
      <c r="K93" s="1213" t="str">
        <f>IF(J93="", "", 12 - MONTH(J93) + 1)</f>
        <v/>
      </c>
      <c r="L93" s="1076"/>
      <c r="M93" s="1502"/>
      <c r="N93" s="1494"/>
      <c r="O93" s="1042" t="s">
        <v>77</v>
      </c>
      <c r="P93" s="1042">
        <v>1</v>
      </c>
      <c r="Q93" s="93" t="s">
        <v>106</v>
      </c>
      <c r="R93" s="96">
        <f ca="1">IF(OR(G93="", H93=""), "", IF(TODAY()&lt;G93, 0, IF(TODAY()&gt;H93, 1, (TODAY()-G93+1)/(H93-G93+1))))</f>
        <v>1</v>
      </c>
      <c r="S93" s="532">
        <f>IFERROR(IF(AND(S$54&gt;=EOMONTH($J93,-1)+1,S$54&lt;=EOMONTH(EOMONTH($J93,-1)+1,$K93-1)),IF(NOT(ISBLANK($N93)),$N93/$K93,$I93/$K93),0),0)</f>
        <v>0</v>
      </c>
      <c r="T93" s="532">
        <f>IFERROR(IF(AND(T$54&gt;=EOMONTH($J93,-1)+1,T$54&lt;=EOMONTH(EOMONTH($J93,-1)+1,$K93-1)),IF(NOT(ISBLANK($N93)),$N93/$K93,$I93/$K93),0),0)</f>
        <v>0</v>
      </c>
      <c r="U93" s="641">
        <f>IFERROR(IF(AND(U$54&gt;=EOMONTH($J93,-1)+1,U$54&lt;=EOMONTH(EOMONTH($J93,-1)+1,$K93-1)),IF(NOT(ISBLANK($N93)),$N93/$K93,$I93/$K93),0),0)</f>
        <v>0</v>
      </c>
      <c r="V93" s="89">
        <f t="shared" ref="V93:V95" si="70">SUM(S93:U93)</f>
        <v>0</v>
      </c>
      <c r="W93" s="641">
        <f>IFERROR(IF(AND(W$54&gt;=EOMONTH($J93,-1)+1,W$54&lt;=EOMONTH(EOMONTH($J93,-1)+1,$K93-1)),IF(NOT(ISBLANK($N93)),$N93/$K93,$I93/$K93),0),0)</f>
        <v>0</v>
      </c>
      <c r="X93" s="532">
        <f>IFERROR(IF(AND(X$54&gt;=EOMONTH($J93,-1)+1,X$54&lt;=EOMONTH(EOMONTH($J93,-1)+1,$K93-1)),IF(NOT(ISBLANK($N93)),$N93/$K93,$I93/$K93),0),0)</f>
        <v>0</v>
      </c>
      <c r="Y93" s="532">
        <f>IFERROR(IF(AND(Y$54&gt;=EOMONTH($J93,-1)+1,Y$54&lt;=EOMONTH(EOMONTH($J93,-1)+1,$K93-1)),IF(NOT(ISBLANK($N93)),$N93/$K93,$I93/$K93),0),0)</f>
        <v>0</v>
      </c>
      <c r="Z93" s="89">
        <f t="shared" si="23"/>
        <v>0</v>
      </c>
      <c r="AA93" s="532">
        <f>IFERROR(IF(AND(AA$54&gt;=EOMONTH($J93,-1)+1,AA$54&lt;=EOMONTH(EOMONTH($J93,-1)+1,$K93-1)),IF(NOT(ISBLANK($N93)),$N93/$K93,$I93/$K93),0),0)</f>
        <v>0</v>
      </c>
      <c r="AB93" s="532">
        <f>IFERROR(IF(AND(AB$54&gt;=EOMONTH($J93,-1)+1,AB$54&lt;=EOMONTH(EOMONTH($J93,-1)+1,$K93-1)),IF(NOT(ISBLANK($N93)),$N93/$K93,$I93/$K93),0),0)</f>
        <v>0</v>
      </c>
      <c r="AC93" s="532">
        <f>IFERROR(IF(AND(AC$54&gt;=EOMONTH($J93,-1)+1,AC$54&lt;=EOMONTH(EOMONTH($J93,-1)+1,$K93-1)),IF(NOT(ISBLANK($N93)),$N93/$K93,$I93/$K93),0),0)</f>
        <v>0</v>
      </c>
      <c r="AD93" s="89">
        <f t="shared" si="24"/>
        <v>0</v>
      </c>
      <c r="AE93" s="532">
        <f>IFERROR(IF(AND(AE$54&gt;=EOMONTH($J93,-1)+1,AE$54&lt;=EOMONTH(EOMONTH($J93,-1)+1,$K93-1)),IF(NOT(ISBLANK($N93)),$N93/$K93,$I93/$K93),0),0)</f>
        <v>0</v>
      </c>
      <c r="AF93" s="532">
        <f>IFERROR(IF(AND(AF$54&gt;=EOMONTH($J93,-1)+1,AF$54&lt;=EOMONTH(EOMONTH($J93,-1)+1,$K93-1)),IF(NOT(ISBLANK($N93)),$N93/$K93,$I93/$K93),0),0)</f>
        <v>0</v>
      </c>
      <c r="AG93" s="532">
        <f>IFERROR(IF(AND(AG$54&gt;=EOMONTH($J93,-1)+1,AG$54&lt;=EOMONTH(EOMONTH($J93,-1)+1,$K93-1)),IF(NOT(ISBLANK($N93)),$N93/$K93,$I93/$K93),0),0)</f>
        <v>0</v>
      </c>
      <c r="AH93" s="89">
        <f t="shared" si="17"/>
        <v>0</v>
      </c>
      <c r="AI93" s="95">
        <f t="shared" si="15"/>
        <v>0</v>
      </c>
      <c r="AJ93" s="97"/>
      <c r="AK93" s="1038"/>
      <c r="AL93" s="1042"/>
      <c r="AM93" s="1044">
        <f t="shared" ref="AM93" si="71">N93*AL93</f>
        <v>0</v>
      </c>
      <c r="AN93" s="97" t="str">
        <f>C93</f>
        <v xml:space="preserve">22 - Tablet - Dobradeira </v>
      </c>
      <c r="AO93" s="62" t="s">
        <v>289</v>
      </c>
      <c r="AP93" s="543" t="str" cm="1">
        <f t="array" aca="1" ref="AP93" ca="1">IF(OR(AN93="",AN93=0),"",IF(SUMPRODUCT(($C$55:$C$161=AN93)*(S$54:$AG$54&lt;EOMONTH(TODAY(),-1)+1)*(ISNUMBER(S$55:$AG$161)),S$55:$AG$161)=0,"",SUMPRODUCT(($C$55:$C$161=AN93)*(S$54:$AG$54&lt;EOMONTH(TODAY(),-1)+1)*(ISNUMBER(S$55:$AG$161)),S$55:$AG$161)))</f>
        <v/>
      </c>
    </row>
    <row r="94" spans="1:42" ht="29.1" customHeight="1" x14ac:dyDescent="0.3">
      <c r="A94" s="1039"/>
      <c r="B94" s="1300"/>
      <c r="C94" s="1114"/>
      <c r="D94" s="1098"/>
      <c r="E94" s="1364"/>
      <c r="F94" s="1100"/>
      <c r="G94" s="1151"/>
      <c r="H94" s="1151"/>
      <c r="I94" s="1518"/>
      <c r="J94" s="1110"/>
      <c r="K94" s="1214"/>
      <c r="L94" s="1077"/>
      <c r="M94" s="1503"/>
      <c r="N94" s="1445"/>
      <c r="O94" s="1043"/>
      <c r="P94" s="1043"/>
      <c r="Q94" s="93" t="s">
        <v>107</v>
      </c>
      <c r="R94" s="96">
        <v>1</v>
      </c>
      <c r="S94" s="312"/>
      <c r="T94" s="312"/>
      <c r="U94" s="570"/>
      <c r="V94" s="310">
        <f t="shared" si="70"/>
        <v>0</v>
      </c>
      <c r="W94" s="312"/>
      <c r="X94" s="312"/>
      <c r="Y94" s="312"/>
      <c r="Z94" s="310">
        <f t="shared" si="23"/>
        <v>0</v>
      </c>
      <c r="AA94" s="312"/>
      <c r="AB94" s="312"/>
      <c r="AC94" s="312"/>
      <c r="AD94" s="310">
        <f t="shared" si="24"/>
        <v>0</v>
      </c>
      <c r="AE94" s="312"/>
      <c r="AF94" s="312"/>
      <c r="AG94" s="312"/>
      <c r="AH94" s="310">
        <f t="shared" si="17"/>
        <v>0</v>
      </c>
      <c r="AI94" s="313">
        <f t="shared" si="15"/>
        <v>0</v>
      </c>
      <c r="AJ94" s="97"/>
      <c r="AK94" s="1039"/>
      <c r="AL94" s="1043"/>
      <c r="AM94" s="1045"/>
      <c r="AN94" s="97" t="str">
        <f>C93</f>
        <v xml:space="preserve">22 - Tablet - Dobradeira </v>
      </c>
      <c r="AO94" s="62" t="s">
        <v>291</v>
      </c>
      <c r="AP94" s="543" t="str" cm="1">
        <f t="array" aca="1" ref="AP94" ca="1">IF(OR(AN94="",AN94=0),"",IF(SUMPRODUCT(($C$55:$C$161=AN94)*(S$54:$AG$54&lt;EOMONTH(TODAY(),-1)+1)*(ISNUMBER(S$56:$AG$162)),S$56:$AG$162)=0,"",SUMPRODUCT(($C$55:$C$161=AN94)*(S$54:$AG$54&lt;EOMONTH(TODAY(),-1)+1)*(ISNUMBER(S$56:$AG$162)),S$56:$AG$162)))</f>
        <v/>
      </c>
    </row>
    <row r="95" spans="1:42" ht="29.1" customHeight="1" x14ac:dyDescent="0.3">
      <c r="A95" s="1036" t="s">
        <v>310</v>
      </c>
      <c r="B95" s="1038" t="s">
        <v>93</v>
      </c>
      <c r="C95" s="1095" t="s">
        <v>1413</v>
      </c>
      <c r="D95" s="1115"/>
      <c r="E95" s="1303"/>
      <c r="F95" s="1040"/>
      <c r="G95" s="1117">
        <v>46146</v>
      </c>
      <c r="H95" s="1117">
        <v>46146</v>
      </c>
      <c r="I95" s="1074">
        <f>(5800*12)</f>
        <v>69600</v>
      </c>
      <c r="J95" s="1158"/>
      <c r="K95" s="1121" t="str">
        <f t="shared" ref="K95" si="72">IF(J95="", "", 12 - MONTH(J95) + 1)</f>
        <v/>
      </c>
      <c r="L95" s="1074"/>
      <c r="M95" s="1500"/>
      <c r="N95" s="1307"/>
      <c r="O95" s="1042" t="s">
        <v>77</v>
      </c>
      <c r="P95" s="1057">
        <v>1</v>
      </c>
      <c r="Q95" s="87" t="s">
        <v>106</v>
      </c>
      <c r="R95" s="91">
        <f ca="1">IF(OR(G95="", H95=""), "", IF(TODAY()&lt;G95, 0, IF(TODAY()&gt;H95, 1, (TODAY()-G95+1)/(H95-G95+1))))</f>
        <v>1</v>
      </c>
      <c r="S95" s="309">
        <f>IFERROR(IF(AND(S$54&gt;=EOMONTH($J95,-1)+1,S$54&lt;=EOMONTH(EOMONTH($J95,-1)+1,$K95-1)),IF(NOT(ISBLANK($N95)),$N95/$K95,$I95/$K95),0),0)</f>
        <v>0</v>
      </c>
      <c r="T95" s="309">
        <f>IFERROR(IF(AND(T$54&gt;=EOMONTH($J95,-1)+1,T$54&lt;=EOMONTH(EOMONTH($J95,-1)+1,$K95-1)),IF(NOT(ISBLANK($N95)),$N95/$K95,$I95/$K95),0),0)</f>
        <v>0</v>
      </c>
      <c r="U95" s="309">
        <f>IFERROR(IF(AND(U$54&gt;=EOMONTH($J95,-1)+1,U$54&lt;=EOMONTH(EOMONTH($J95,-1)+1,$K95-1)),IF(NOT(ISBLANK($N95)),$N95/$K95,$I95/$K95),0),0)</f>
        <v>0</v>
      </c>
      <c r="V95" s="89">
        <f t="shared" si="70"/>
        <v>0</v>
      </c>
      <c r="W95" s="309">
        <f>IFERROR(IF(AND(W$54&gt;=EOMONTH($J95,-1)+1,W$54&lt;=EOMONTH(EOMONTH($J95,-1)+1,$K95-1)),IF(NOT(ISBLANK($N95)),$N95/$K95,$I95/$K95),0),0)</f>
        <v>0</v>
      </c>
      <c r="X95" s="309">
        <f>IFERROR(IF(AND(X$54&gt;=EOMONTH($J95,-1)+1,X$54&lt;=EOMONTH(EOMONTH($J95,-1)+1,$K95-1)),IF(NOT(ISBLANK($N95)),$N95/$K95,$I95/$K95),0),0)</f>
        <v>0</v>
      </c>
      <c r="Y95" s="309">
        <f>IFERROR(IF(AND(Y$54&gt;=EOMONTH($J95,-1)+1,Y$54&lt;=EOMONTH(EOMONTH($J95,-1)+1,$K95-1)),IF(NOT(ISBLANK($N95)),$N95/$K95,$I95/$K95),0),0)</f>
        <v>0</v>
      </c>
      <c r="Z95" s="89">
        <f t="shared" si="23"/>
        <v>0</v>
      </c>
      <c r="AA95" s="309">
        <f>IFERROR(IF(AND(AA$54&gt;=EOMONTH($J95,-1)+1,AA$54&lt;=EOMONTH(EOMONTH($J95,-1)+1,$K95-1)),IF(NOT(ISBLANK($N95)),$N95/$K95,$I95/$K95),0),0)</f>
        <v>0</v>
      </c>
      <c r="AB95" s="309">
        <f>IFERROR(IF(AND(AB$54&gt;=EOMONTH($J95,-1)+1,AB$54&lt;=EOMONTH(EOMONTH($J95,-1)+1,$K95-1)),IF(NOT(ISBLANK($N95)),$N95/$K95,$I95/$K95),0),0)</f>
        <v>0</v>
      </c>
      <c r="AC95" s="309">
        <f>IFERROR(IF(AND(AC$54&gt;=EOMONTH($J95,-1)+1,AC$54&lt;=EOMONTH(EOMONTH($J95,-1)+1,$K95-1)),IF(NOT(ISBLANK($N95)),$N95/$K95,$I95/$K95),0),0)</f>
        <v>0</v>
      </c>
      <c r="AD95" s="89">
        <f t="shared" si="24"/>
        <v>0</v>
      </c>
      <c r="AE95" s="309">
        <f>IFERROR(IF(AND(AE$54&gt;=EOMONTH($J95,-1)+1,AE$54&lt;=EOMONTH(EOMONTH($J95,-1)+1,$K95-1)),IF(NOT(ISBLANK($N95)),$N95/$K95,$I95/$K95),0),0)</f>
        <v>0</v>
      </c>
      <c r="AF95" s="309">
        <f>IFERROR(IF(AND(AF$54&gt;=EOMONTH($J95,-1)+1,AF$54&lt;=EOMONTH(EOMONTH($J95,-1)+1,$K95-1)),IF(NOT(ISBLANK($N95)),$N95/$K95,$I95/$K95),0),0)</f>
        <v>0</v>
      </c>
      <c r="AG95" s="309">
        <f>IFERROR(IF(AND(AG$54&gt;=EOMONTH($J95,-1)+1,AG$54&lt;=EOMONTH(EOMONTH($J95,-1)+1,$K95-1)),IF(NOT(ISBLANK($N95)),$N95/$K95,$I95/$K95),0),0)</f>
        <v>0</v>
      </c>
      <c r="AH95" s="89">
        <f t="shared" si="17"/>
        <v>0</v>
      </c>
      <c r="AI95" s="90">
        <f t="shared" si="15"/>
        <v>0</v>
      </c>
      <c r="AJ95" s="98"/>
      <c r="AK95" s="1040"/>
      <c r="AL95" s="1048"/>
      <c r="AM95" s="1046">
        <f t="shared" ref="AM95" si="73">N95*AL95</f>
        <v>0</v>
      </c>
      <c r="AN95" s="98" t="str">
        <f>C95</f>
        <v xml:space="preserve">23 - Devolução das máquinas de solda alugadas </v>
      </c>
      <c r="AO95" s="62" t="s">
        <v>289</v>
      </c>
      <c r="AP95" s="543" t="str" cm="1">
        <f t="array" aca="1" ref="AP95" ca="1">IF(OR(AN95="",AN95=0),"",IF(SUMPRODUCT(($C$55:$C$161=AN95)*(S$54:$AG$54&lt;EOMONTH(TODAY(),-1)+1)*(ISNUMBER(S$55:$AG$161)),S$55:$AG$161)=0,"",SUMPRODUCT(($C$55:$C$161=AN95)*(S$54:$AG$54&lt;EOMONTH(TODAY(),-1)+1)*(ISNUMBER(S$55:$AG$161)),S$55:$AG$161)))</f>
        <v/>
      </c>
    </row>
    <row r="96" spans="1:42" ht="29.1" customHeight="1" x14ac:dyDescent="0.3">
      <c r="A96" s="1037"/>
      <c r="B96" s="1039"/>
      <c r="C96" s="1096"/>
      <c r="D96" s="1116"/>
      <c r="E96" s="1304"/>
      <c r="F96" s="1041"/>
      <c r="G96" s="1118"/>
      <c r="H96" s="1118"/>
      <c r="I96" s="1075"/>
      <c r="J96" s="1159"/>
      <c r="K96" s="1122"/>
      <c r="L96" s="1075"/>
      <c r="M96" s="1120"/>
      <c r="N96" s="1054"/>
      <c r="O96" s="1043"/>
      <c r="P96" s="1058"/>
      <c r="Q96" s="87" t="s">
        <v>107</v>
      </c>
      <c r="R96" s="91">
        <v>1</v>
      </c>
      <c r="S96" s="309"/>
      <c r="T96" s="309"/>
      <c r="U96" s="309"/>
      <c r="V96" s="310">
        <f t="shared" ref="V96" si="74">SUM(S96:U96)</f>
        <v>0</v>
      </c>
      <c r="W96" s="309"/>
      <c r="X96" s="309"/>
      <c r="Y96" s="309"/>
      <c r="Z96" s="310">
        <f t="shared" si="23"/>
        <v>0</v>
      </c>
      <c r="AA96" s="309"/>
      <c r="AB96" s="309"/>
      <c r="AC96" s="309"/>
      <c r="AD96" s="310">
        <f t="shared" si="24"/>
        <v>0</v>
      </c>
      <c r="AE96" s="309"/>
      <c r="AF96" s="309"/>
      <c r="AG96" s="309"/>
      <c r="AH96" s="310">
        <f t="shared" si="17"/>
        <v>0</v>
      </c>
      <c r="AI96" s="311">
        <f t="shared" si="15"/>
        <v>0</v>
      </c>
      <c r="AJ96" s="360"/>
      <c r="AK96" s="1041"/>
      <c r="AL96" s="1049"/>
      <c r="AM96" s="1047"/>
      <c r="AN96" s="92" t="str">
        <f>C95</f>
        <v xml:space="preserve">23 - Devolução das máquinas de solda alugadas </v>
      </c>
      <c r="AO96" s="62" t="s">
        <v>291</v>
      </c>
      <c r="AP96" s="543" t="str" cm="1">
        <f t="array" aca="1" ref="AP96" ca="1">IF(OR(AN96="",AN96=0),"",IF(SUMPRODUCT(($C$55:$C$161=AN96)*(S$54:$AG$54&lt;EOMONTH(TODAY(),-1)+1)*(ISNUMBER(S$56:$AG$162)),S$56:$AG$162)=0,"",SUMPRODUCT(($C$55:$C$161=AN96)*(S$54:$AG$54&lt;EOMONTH(TODAY(),-1)+1)*(ISNUMBER(S$56:$AG$162)),S$56:$AG$162)))</f>
        <v/>
      </c>
    </row>
    <row r="97" spans="1:42" ht="29.1" customHeight="1" x14ac:dyDescent="0.3">
      <c r="A97" s="1036" t="s">
        <v>310</v>
      </c>
      <c r="B97" s="1299" t="s">
        <v>91</v>
      </c>
      <c r="C97" s="1113" t="s">
        <v>1414</v>
      </c>
      <c r="D97" s="1115"/>
      <c r="E97" s="1303"/>
      <c r="F97" s="1040"/>
      <c r="G97" s="1117"/>
      <c r="H97" s="1117"/>
      <c r="I97" s="1074">
        <f>(19200*12)-190000</f>
        <v>40400</v>
      </c>
      <c r="J97" s="1158"/>
      <c r="K97" s="1121" t="str">
        <f t="shared" ref="K97" si="75">IF(J97="", "", 12 - MONTH(J97) + 1)</f>
        <v/>
      </c>
      <c r="L97" s="1074"/>
      <c r="M97" s="1500"/>
      <c r="N97" s="1307"/>
      <c r="O97" s="1057" t="s">
        <v>83</v>
      </c>
      <c r="P97" s="1057"/>
      <c r="Q97" s="87" t="s">
        <v>106</v>
      </c>
      <c r="R97" s="91" t="str">
        <f ca="1">IF(OR(G97="", H97=""), "", IF(TODAY()&lt;G97, 0, IF(TODAY()&gt;H97, 1, (TODAY()-G97+1)/(H97-G97+1))))</f>
        <v/>
      </c>
      <c r="S97" s="309">
        <f>IFERROR(IF(AND(S$54&gt;=EOMONTH($J97,-1)+1,S$54&lt;=EOMONTH(EOMONTH($J97,-1)+1,$K97-1)),IF(NOT(ISBLANK($N97)),$N97/$K97,$I97/$K97),0),0)</f>
        <v>0</v>
      </c>
      <c r="T97" s="309">
        <f>IFERROR(IF(AND(T$54&gt;=EOMONTH($J97,-1)+1,T$54&lt;=EOMONTH(EOMONTH($J97,-1)+1,$K97-1)),IF(NOT(ISBLANK($N97)),$N97/$K97,$I97/$K97),0),0)</f>
        <v>0</v>
      </c>
      <c r="U97" s="309">
        <f>IFERROR(IF(AND(U$54&gt;=EOMONTH($J97,-1)+1,U$54&lt;=EOMONTH(EOMONTH($J97,-1)+1,$K97-1)),IF(NOT(ISBLANK($N97)),$N97/$K97,$I97/$K97),0),0)</f>
        <v>0</v>
      </c>
      <c r="V97" s="89">
        <f t="shared" ref="V97:V111" si="76">SUM(S97:U97)</f>
        <v>0</v>
      </c>
      <c r="W97" s="309">
        <f>IFERROR(IF(AND(W$54&gt;=EOMONTH($J97,-1)+1,W$54&lt;=EOMONTH(EOMONTH($J97,-1)+1,$K97-1)),IF(NOT(ISBLANK($N97)),$N97/$K97,$I97/$K97),0),0)</f>
        <v>0</v>
      </c>
      <c r="X97" s="309">
        <f>IFERROR(IF(AND(X$54&gt;=EOMONTH($J97,-1)+1,X$54&lt;=EOMONTH(EOMONTH($J97,-1)+1,$K97-1)),IF(NOT(ISBLANK($N97)),$N97/$K97,$I97/$K97),0),0)</f>
        <v>0</v>
      </c>
      <c r="Y97" s="309">
        <f>IFERROR(IF(AND(Y$54&gt;=EOMONTH($J97,-1)+1,Y$54&lt;=EOMONTH(EOMONTH($J97,-1)+1,$K97-1)),IF(NOT(ISBLANK($N97)),$N97/$K97,$I97/$K97),0),0)</f>
        <v>0</v>
      </c>
      <c r="Z97" s="89">
        <f t="shared" si="23"/>
        <v>0</v>
      </c>
      <c r="AA97" s="309">
        <f>IFERROR(IF(AND(AA$54&gt;=EOMONTH($J97,-1)+1,AA$54&lt;=EOMONTH(EOMONTH($J97,-1)+1,$K97-1)),IF(NOT(ISBLANK($N97)),$N97/$K97,$I97/$K97),0),0)</f>
        <v>0</v>
      </c>
      <c r="AB97" s="309">
        <f>IFERROR(IF(AND(AB$54&gt;=EOMONTH($J97,-1)+1,AB$54&lt;=EOMONTH(EOMONTH($J97,-1)+1,$K97-1)),IF(NOT(ISBLANK($N97)),$N97/$K97,$I97/$K97),0),0)</f>
        <v>0</v>
      </c>
      <c r="AC97" s="309">
        <f>IFERROR(IF(AND(AC$54&gt;=EOMONTH($J97,-1)+1,AC$54&lt;=EOMONTH(EOMONTH($J97,-1)+1,$K97-1)),IF(NOT(ISBLANK($N97)),$N97/$K97,$I97/$K97),0),0)</f>
        <v>0</v>
      </c>
      <c r="AD97" s="89">
        <f t="shared" si="24"/>
        <v>0</v>
      </c>
      <c r="AE97" s="309">
        <f>IFERROR(IF(AND(AE$54&gt;=EOMONTH($J97,-1)+1,AE$54&lt;=EOMONTH(EOMONTH($J97,-1)+1,$K97-1)),IF(NOT(ISBLANK($N97)),$N97/$K97,$I97/$K97),0),0)</f>
        <v>0</v>
      </c>
      <c r="AF97" s="309">
        <f>IFERROR(IF(AND(AF$54&gt;=EOMONTH($J97,-1)+1,AF$54&lt;=EOMONTH(EOMONTH($J97,-1)+1,$K97-1)),IF(NOT(ISBLANK($N97)),$N97/$K97,$I97/$K97),0),0)</f>
        <v>0</v>
      </c>
      <c r="AG97" s="309">
        <f>IFERROR(IF(AND(AG$54&gt;=EOMONTH($J97,-1)+1,AG$54&lt;=EOMONTH(EOMONTH($J97,-1)+1,$K97-1)),IF(NOT(ISBLANK($N97)),$N97/$K97,$I97/$K97),0),0)</f>
        <v>0</v>
      </c>
      <c r="AH97" s="89">
        <f t="shared" si="17"/>
        <v>0</v>
      </c>
      <c r="AI97" s="90">
        <f t="shared" si="15"/>
        <v>0</v>
      </c>
      <c r="AJ97" s="98"/>
      <c r="AK97" s="1040"/>
      <c r="AL97" s="1048"/>
      <c r="AM97" s="1046">
        <f t="shared" ref="AM97" si="77">N97*AL97</f>
        <v>0</v>
      </c>
      <c r="AN97" s="98" t="str">
        <f>C97</f>
        <v xml:space="preserve">24 - Aquisição do equipamento de ultrassom </v>
      </c>
      <c r="AO97" s="62" t="s">
        <v>289</v>
      </c>
      <c r="AP97" s="543" t="str" cm="1">
        <f t="array" aca="1" ref="AP97" ca="1">IF(OR(AN97="",AN97=0),"",IF(SUMPRODUCT(($C$55:$C$161=AN97)*(S$54:$AG$54&lt;EOMONTH(TODAY(),-1)+1)*(ISNUMBER(S$55:$AG$161)),S$55:$AG$161)=0,"",SUMPRODUCT(($C$55:$C$161=AN97)*(S$54:$AG$54&lt;EOMONTH(TODAY(),-1)+1)*(ISNUMBER(S$55:$AG$161)),S$55:$AG$161)))</f>
        <v/>
      </c>
    </row>
    <row r="98" spans="1:42" ht="45.75" customHeight="1" x14ac:dyDescent="0.3">
      <c r="A98" s="1037"/>
      <c r="B98" s="1300"/>
      <c r="C98" s="1114"/>
      <c r="D98" s="1116"/>
      <c r="E98" s="1304"/>
      <c r="F98" s="1041"/>
      <c r="G98" s="1118"/>
      <c r="H98" s="1118"/>
      <c r="I98" s="1075"/>
      <c r="J98" s="1159"/>
      <c r="K98" s="1122"/>
      <c r="L98" s="1075"/>
      <c r="M98" s="1120"/>
      <c r="N98" s="1054"/>
      <c r="O98" s="1058"/>
      <c r="P98" s="1058"/>
      <c r="Q98" s="87" t="s">
        <v>107</v>
      </c>
      <c r="R98" s="91"/>
      <c r="S98" s="309"/>
      <c r="T98" s="309"/>
      <c r="U98" s="309"/>
      <c r="V98" s="310">
        <f t="shared" si="76"/>
        <v>0</v>
      </c>
      <c r="W98" s="309"/>
      <c r="X98" s="309"/>
      <c r="Y98" s="309"/>
      <c r="Z98" s="310">
        <f t="shared" si="23"/>
        <v>0</v>
      </c>
      <c r="AA98" s="309"/>
      <c r="AB98" s="309"/>
      <c r="AC98" s="309"/>
      <c r="AD98" s="310">
        <f t="shared" si="24"/>
        <v>0</v>
      </c>
      <c r="AE98" s="309"/>
      <c r="AF98" s="309"/>
      <c r="AG98" s="309"/>
      <c r="AH98" s="310">
        <f t="shared" si="17"/>
        <v>0</v>
      </c>
      <c r="AI98" s="311">
        <f t="shared" si="15"/>
        <v>0</v>
      </c>
      <c r="AJ98" s="360"/>
      <c r="AK98" s="1041"/>
      <c r="AL98" s="1049"/>
      <c r="AM98" s="1047"/>
      <c r="AN98" s="92" t="str">
        <f>C97</f>
        <v xml:space="preserve">24 - Aquisição do equipamento de ultrassom </v>
      </c>
      <c r="AO98" s="62" t="s">
        <v>291</v>
      </c>
      <c r="AP98" s="543" t="str" cm="1">
        <f t="array" aca="1" ref="AP98" ca="1">IF(OR(AN98="",AN98=0),"",IF(SUMPRODUCT(($C$55:$C$161=AN98)*(S$54:$AG$54&lt;EOMONTH(TODAY(),-1)+1)*(ISNUMBER(S$56:$AG$162)),S$56:$AG$162)=0,"",SUMPRODUCT(($C$55:$C$161=AN98)*(S$54:$AG$54&lt;EOMONTH(TODAY(),-1)+1)*(ISNUMBER(S$56:$AG$162)),S$56:$AG$162)))</f>
        <v/>
      </c>
    </row>
    <row r="99" spans="1:42" ht="29.1" customHeight="1" x14ac:dyDescent="0.3">
      <c r="A99" s="1036" t="s">
        <v>310</v>
      </c>
      <c r="B99" s="1038" t="s">
        <v>94</v>
      </c>
      <c r="C99" s="1095" t="s">
        <v>1415</v>
      </c>
      <c r="D99" s="1097"/>
      <c r="E99" s="1363"/>
      <c r="F99" s="1099"/>
      <c r="G99" s="1150"/>
      <c r="H99" s="1150"/>
      <c r="I99" s="1109"/>
      <c r="J99" s="1109"/>
      <c r="K99" s="1213"/>
      <c r="L99" s="1076"/>
      <c r="M99" s="1072"/>
      <c r="N99" s="1055"/>
      <c r="O99" s="1042"/>
      <c r="P99" s="1042"/>
      <c r="Q99" s="93"/>
      <c r="R99" s="96"/>
      <c r="S99" s="532"/>
      <c r="T99" s="532"/>
      <c r="U99" s="641"/>
      <c r="V99" s="89"/>
      <c r="W99" s="532"/>
      <c r="X99" s="532"/>
      <c r="Y99" s="532"/>
      <c r="Z99" s="89"/>
      <c r="AA99" s="532"/>
      <c r="AB99" s="532"/>
      <c r="AC99" s="532"/>
      <c r="AD99" s="89"/>
      <c r="AE99" s="532"/>
      <c r="AF99" s="532"/>
      <c r="AG99" s="532"/>
      <c r="AH99" s="89"/>
      <c r="AI99" s="95"/>
      <c r="AJ99" s="97"/>
      <c r="AK99" s="1038"/>
      <c r="AL99" s="1042"/>
      <c r="AM99" s="1044"/>
      <c r="AN99" s="98" t="str">
        <f t="shared" ref="AN99" si="78">C99</f>
        <v xml:space="preserve">25 - Redução de scrap </v>
      </c>
      <c r="AO99" s="62" t="s">
        <v>289</v>
      </c>
      <c r="AP99" s="543" t="str" cm="1">
        <f t="array" aca="1" ref="AP99" ca="1">IF(OR(AN99="",AN99=0),"",IF(SUMPRODUCT(($C$55:$C$161=AN99)*(S$54:$AG$54&lt;EOMONTH(TODAY(),-1)+1)*(ISNUMBER(S$55:$AG$161)),S$55:$AG$161)=0,"",SUMPRODUCT(($C$55:$C$161=AN99)*(S$54:$AG$54&lt;EOMONTH(TODAY(),-1)+1)*(ISNUMBER(S$55:$AG$161)),S$55:$AG$161)))</f>
        <v/>
      </c>
    </row>
    <row r="100" spans="1:42" ht="56.25" customHeight="1" x14ac:dyDescent="0.3">
      <c r="A100" s="1037"/>
      <c r="B100" s="1039"/>
      <c r="C100" s="1096"/>
      <c r="D100" s="1098"/>
      <c r="E100" s="1364"/>
      <c r="F100" s="1100"/>
      <c r="G100" s="1151"/>
      <c r="H100" s="1151"/>
      <c r="I100" s="1110"/>
      <c r="J100" s="1110"/>
      <c r="K100" s="1214"/>
      <c r="L100" s="1077"/>
      <c r="M100" s="1073"/>
      <c r="N100" s="1056"/>
      <c r="O100" s="1043"/>
      <c r="P100" s="1043"/>
      <c r="Q100" s="93"/>
      <c r="R100" s="96"/>
      <c r="S100" s="312"/>
      <c r="T100" s="312"/>
      <c r="U100" s="570"/>
      <c r="V100" s="310"/>
      <c r="W100" s="312"/>
      <c r="X100" s="312"/>
      <c r="Y100" s="312"/>
      <c r="Z100" s="310"/>
      <c r="AA100" s="312"/>
      <c r="AB100" s="312"/>
      <c r="AC100" s="312"/>
      <c r="AD100" s="310"/>
      <c r="AE100" s="312"/>
      <c r="AF100" s="312"/>
      <c r="AG100" s="312"/>
      <c r="AH100" s="310"/>
      <c r="AI100" s="313"/>
      <c r="AJ100" s="97"/>
      <c r="AK100" s="1039"/>
      <c r="AL100" s="1043"/>
      <c r="AM100" s="1045"/>
      <c r="AN100" s="92" t="str">
        <f t="shared" ref="AN100" si="79">C99</f>
        <v xml:space="preserve">25 - Redução de scrap </v>
      </c>
      <c r="AO100" s="62" t="s">
        <v>291</v>
      </c>
      <c r="AP100" s="543" t="str" cm="1">
        <f t="array" aca="1" ref="AP100" ca="1">IF(OR(AN100="",AN100=0),"",IF(SUMPRODUCT(($C$55:$C$161=AN100)*(S$54:$AG$54&lt;EOMONTH(TODAY(),-1)+1)*(ISNUMBER(S$56:$AG$162)),S$56:$AG$162)=0,"",SUMPRODUCT(($C$55:$C$161=AN100)*(S$54:$AG$54&lt;EOMONTH(TODAY(),-1)+1)*(ISNUMBER(S$56:$AG$162)),S$56:$AG$162)))</f>
        <v/>
      </c>
    </row>
    <row r="101" spans="1:42" ht="29.1" customHeight="1" x14ac:dyDescent="0.3">
      <c r="A101" s="1036" t="s">
        <v>310</v>
      </c>
      <c r="B101" s="1038" t="s">
        <v>94</v>
      </c>
      <c r="C101" s="1113"/>
      <c r="D101" s="1115"/>
      <c r="E101" s="1303"/>
      <c r="F101" s="1040"/>
      <c r="G101" s="1117"/>
      <c r="H101" s="1117"/>
      <c r="I101" s="1074"/>
      <c r="J101" s="1158"/>
      <c r="K101" s="1121"/>
      <c r="L101" s="1074"/>
      <c r="M101" s="1500"/>
      <c r="N101" s="1307"/>
      <c r="O101" s="1057"/>
      <c r="P101" s="1057"/>
      <c r="Q101" s="87"/>
      <c r="R101" s="91"/>
      <c r="S101" s="309"/>
      <c r="T101" s="309"/>
      <c r="U101" s="309"/>
      <c r="V101" s="89"/>
      <c r="W101" s="309"/>
      <c r="X101" s="309"/>
      <c r="Y101" s="309"/>
      <c r="Z101" s="89"/>
      <c r="AA101" s="309"/>
      <c r="AB101" s="309"/>
      <c r="AC101" s="309"/>
      <c r="AD101" s="89"/>
      <c r="AE101" s="309"/>
      <c r="AF101" s="309"/>
      <c r="AG101" s="309"/>
      <c r="AH101" s="89"/>
      <c r="AI101" s="90"/>
      <c r="AJ101" s="98"/>
      <c r="AK101" s="1040"/>
      <c r="AL101" s="1048"/>
      <c r="AM101" s="1046"/>
      <c r="AN101" s="98">
        <f t="shared" ref="AN101" si="80">C101</f>
        <v>0</v>
      </c>
      <c r="AO101" s="62" t="s">
        <v>289</v>
      </c>
      <c r="AP101" s="543" t="str" cm="1">
        <f t="array" aca="1" ref="AP101" ca="1">IF(OR(AN101="",AN101=0),"",IF(SUMPRODUCT(($C$55:$C$161=AN101)*(S$54:$AG$54&lt;EOMONTH(TODAY(),-1)+1)*(ISNUMBER(S$55:$AG$161)),S$55:$AG$161)=0,"",SUMPRODUCT(($C$55:$C$161=AN101)*(S$54:$AG$54&lt;EOMONTH(TODAY(),-1)+1)*(ISNUMBER(S$55:$AG$161)),S$55:$AG$161)))</f>
        <v/>
      </c>
    </row>
    <row r="102" spans="1:42" ht="45.75" customHeight="1" x14ac:dyDescent="0.3">
      <c r="A102" s="1037"/>
      <c r="B102" s="1039"/>
      <c r="C102" s="1114"/>
      <c r="D102" s="1116"/>
      <c r="E102" s="1304"/>
      <c r="F102" s="1041"/>
      <c r="G102" s="1118"/>
      <c r="H102" s="1118"/>
      <c r="I102" s="1075"/>
      <c r="J102" s="1159"/>
      <c r="K102" s="1122"/>
      <c r="L102" s="1075"/>
      <c r="M102" s="1120"/>
      <c r="N102" s="1054"/>
      <c r="O102" s="1058"/>
      <c r="P102" s="1058"/>
      <c r="Q102" s="87"/>
      <c r="R102" s="91"/>
      <c r="S102" s="309"/>
      <c r="T102" s="309"/>
      <c r="U102" s="309"/>
      <c r="V102" s="310"/>
      <c r="W102" s="309"/>
      <c r="X102" s="309"/>
      <c r="Y102" s="309"/>
      <c r="Z102" s="310"/>
      <c r="AA102" s="309"/>
      <c r="AB102" s="309"/>
      <c r="AC102" s="309"/>
      <c r="AD102" s="310"/>
      <c r="AE102" s="309"/>
      <c r="AF102" s="309"/>
      <c r="AG102" s="309"/>
      <c r="AH102" s="310"/>
      <c r="AI102" s="311"/>
      <c r="AJ102" s="360"/>
      <c r="AK102" s="1041"/>
      <c r="AL102" s="1049"/>
      <c r="AM102" s="1047"/>
      <c r="AN102" s="92">
        <f t="shared" ref="AN102" si="81">C101</f>
        <v>0</v>
      </c>
      <c r="AO102" s="62" t="s">
        <v>291</v>
      </c>
      <c r="AP102" s="543" t="str" cm="1">
        <f t="array" aca="1" ref="AP102" ca="1">IF(OR(AN102="",AN102=0),"",IF(SUMPRODUCT(($C$55:$C$161=AN102)*(S$54:$AG$54&lt;EOMONTH(TODAY(),-1)+1)*(ISNUMBER(S$56:$AG$162)),S$56:$AG$162)=0,"",SUMPRODUCT(($C$55:$C$161=AN102)*(S$54:$AG$54&lt;EOMONTH(TODAY(),-1)+1)*(ISNUMBER(S$56:$AG$162)),S$56:$AG$162)))</f>
        <v/>
      </c>
    </row>
    <row r="103" spans="1:42" ht="29.1" customHeight="1" x14ac:dyDescent="0.3">
      <c r="A103" s="1038"/>
      <c r="B103" s="1038"/>
      <c r="C103" s="1095"/>
      <c r="D103" s="1097"/>
      <c r="E103" s="1363"/>
      <c r="F103" s="1099"/>
      <c r="G103" s="1150"/>
      <c r="H103" s="1150"/>
      <c r="I103" s="1109"/>
      <c r="J103" s="1109"/>
      <c r="K103" s="1213"/>
      <c r="L103" s="1076"/>
      <c r="M103" s="1072"/>
      <c r="N103" s="1055"/>
      <c r="O103" s="1042"/>
      <c r="P103" s="1042"/>
      <c r="Q103" s="93"/>
      <c r="R103" s="96"/>
      <c r="S103" s="532"/>
      <c r="T103" s="532"/>
      <c r="U103" s="641"/>
      <c r="V103" s="89"/>
      <c r="W103" s="532"/>
      <c r="X103" s="532"/>
      <c r="Y103" s="532"/>
      <c r="Z103" s="89"/>
      <c r="AA103" s="532"/>
      <c r="AB103" s="532"/>
      <c r="AC103" s="532"/>
      <c r="AD103" s="89"/>
      <c r="AE103" s="532"/>
      <c r="AF103" s="532"/>
      <c r="AG103" s="532"/>
      <c r="AH103" s="89"/>
      <c r="AI103" s="95"/>
      <c r="AJ103" s="97"/>
      <c r="AK103" s="1038"/>
      <c r="AL103" s="1042"/>
      <c r="AM103" s="1044"/>
      <c r="AN103" s="98">
        <f t="shared" ref="AN103" si="82">C103</f>
        <v>0</v>
      </c>
      <c r="AO103" s="62" t="s">
        <v>289</v>
      </c>
      <c r="AP103" s="543" t="str" cm="1">
        <f t="array" aca="1" ref="AP103" ca="1">IF(OR(AN103="",AN103=0),"",IF(SUMPRODUCT(($C$55:$C$161=AN103)*(S$54:$AG$54&lt;EOMONTH(TODAY(),-1)+1)*(ISNUMBER(S$55:$AG$161)),S$55:$AG$161)=0,"",SUMPRODUCT(($C$55:$C$161=AN103)*(S$54:$AG$54&lt;EOMONTH(TODAY(),-1)+1)*(ISNUMBER(S$55:$AG$161)),S$55:$AG$161)))</f>
        <v/>
      </c>
    </row>
    <row r="104" spans="1:42" ht="56.25" customHeight="1" x14ac:dyDescent="0.3">
      <c r="A104" s="1039"/>
      <c r="B104" s="1039"/>
      <c r="C104" s="1096"/>
      <c r="D104" s="1098"/>
      <c r="E104" s="1364"/>
      <c r="F104" s="1100"/>
      <c r="G104" s="1151"/>
      <c r="H104" s="1151"/>
      <c r="I104" s="1110"/>
      <c r="J104" s="1110"/>
      <c r="K104" s="1214"/>
      <c r="L104" s="1077"/>
      <c r="M104" s="1073"/>
      <c r="N104" s="1056"/>
      <c r="O104" s="1043"/>
      <c r="P104" s="1043"/>
      <c r="Q104" s="93"/>
      <c r="R104" s="96"/>
      <c r="S104" s="312"/>
      <c r="T104" s="312"/>
      <c r="U104" s="570"/>
      <c r="V104" s="310"/>
      <c r="W104" s="312"/>
      <c r="X104" s="312"/>
      <c r="Y104" s="312"/>
      <c r="Z104" s="310"/>
      <c r="AA104" s="312"/>
      <c r="AB104" s="312"/>
      <c r="AC104" s="312"/>
      <c r="AD104" s="310"/>
      <c r="AE104" s="312"/>
      <c r="AF104" s="312"/>
      <c r="AG104" s="312"/>
      <c r="AH104" s="310"/>
      <c r="AI104" s="313"/>
      <c r="AJ104" s="97"/>
      <c r="AK104" s="1039"/>
      <c r="AL104" s="1043"/>
      <c r="AM104" s="1045"/>
      <c r="AN104" s="92">
        <f t="shared" ref="AN104" si="83">C103</f>
        <v>0</v>
      </c>
      <c r="AO104" s="62" t="s">
        <v>291</v>
      </c>
      <c r="AP104" s="543" t="str" cm="1">
        <f t="array" aca="1" ref="AP104" ca="1">IF(OR(AN104="",AN104=0),"",IF(SUMPRODUCT(($C$55:$C$161=AN104)*(S$54:$AG$54&lt;EOMONTH(TODAY(),-1)+1)*(ISNUMBER(S$56:$AG$162)),S$56:$AG$162)=0,"",SUMPRODUCT(($C$55:$C$161=AN104)*(S$54:$AG$54&lt;EOMONTH(TODAY(),-1)+1)*(ISNUMBER(S$56:$AG$162)),S$56:$AG$162)))</f>
        <v/>
      </c>
    </row>
    <row r="105" spans="1:42" ht="29.1" customHeight="1" x14ac:dyDescent="0.3">
      <c r="A105" s="1036"/>
      <c r="B105" s="1299"/>
      <c r="C105" s="1113"/>
      <c r="D105" s="1115"/>
      <c r="E105" s="1303"/>
      <c r="F105" s="1040"/>
      <c r="G105" s="1117"/>
      <c r="H105" s="1117"/>
      <c r="I105" s="1074"/>
      <c r="J105" s="1158"/>
      <c r="K105" s="1121"/>
      <c r="L105" s="1074"/>
      <c r="M105" s="1500"/>
      <c r="N105" s="1307"/>
      <c r="O105" s="1057"/>
      <c r="P105" s="1057"/>
      <c r="Q105" s="87"/>
      <c r="R105" s="91"/>
      <c r="S105" s="309"/>
      <c r="T105" s="309"/>
      <c r="U105" s="309"/>
      <c r="V105" s="89"/>
      <c r="W105" s="309"/>
      <c r="X105" s="309"/>
      <c r="Y105" s="309"/>
      <c r="Z105" s="89"/>
      <c r="AA105" s="309"/>
      <c r="AB105" s="309"/>
      <c r="AC105" s="309"/>
      <c r="AD105" s="89"/>
      <c r="AE105" s="309"/>
      <c r="AF105" s="309"/>
      <c r="AG105" s="309"/>
      <c r="AH105" s="89"/>
      <c r="AI105" s="90"/>
      <c r="AJ105" s="98"/>
      <c r="AK105" s="1040"/>
      <c r="AL105" s="1048"/>
      <c r="AM105" s="1046"/>
      <c r="AN105" s="98">
        <f t="shared" ref="AN105" si="84">C105</f>
        <v>0</v>
      </c>
      <c r="AO105" s="62" t="s">
        <v>289</v>
      </c>
      <c r="AP105" s="543" t="str" cm="1">
        <f t="array" aca="1" ref="AP105" ca="1">IF(OR(AN105="",AN105=0),"",IF(SUMPRODUCT(($C$55:$C$161=AN105)*(S$54:$AG$54&lt;EOMONTH(TODAY(),-1)+1)*(ISNUMBER(S$55:$AG$161)),S$55:$AG$161)=0,"",SUMPRODUCT(($C$55:$C$161=AN105)*(S$54:$AG$54&lt;EOMONTH(TODAY(),-1)+1)*(ISNUMBER(S$55:$AG$161)),S$55:$AG$161)))</f>
        <v/>
      </c>
    </row>
    <row r="106" spans="1:42" ht="45.75" customHeight="1" x14ac:dyDescent="0.3">
      <c r="A106" s="1037"/>
      <c r="B106" s="1300"/>
      <c r="C106" s="1114"/>
      <c r="D106" s="1116"/>
      <c r="E106" s="1304"/>
      <c r="F106" s="1041"/>
      <c r="G106" s="1118"/>
      <c r="H106" s="1118"/>
      <c r="I106" s="1075"/>
      <c r="J106" s="1159"/>
      <c r="K106" s="1122"/>
      <c r="L106" s="1075"/>
      <c r="M106" s="1120"/>
      <c r="N106" s="1054"/>
      <c r="O106" s="1058"/>
      <c r="P106" s="1058"/>
      <c r="Q106" s="87"/>
      <c r="R106" s="91"/>
      <c r="S106" s="309"/>
      <c r="T106" s="309"/>
      <c r="U106" s="309"/>
      <c r="V106" s="310"/>
      <c r="W106" s="309"/>
      <c r="X106" s="309"/>
      <c r="Y106" s="309"/>
      <c r="Z106" s="310"/>
      <c r="AA106" s="309"/>
      <c r="AB106" s="309"/>
      <c r="AC106" s="309"/>
      <c r="AD106" s="310"/>
      <c r="AE106" s="309"/>
      <c r="AF106" s="309"/>
      <c r="AG106" s="309"/>
      <c r="AH106" s="310"/>
      <c r="AI106" s="311"/>
      <c r="AJ106" s="360"/>
      <c r="AK106" s="1041"/>
      <c r="AL106" s="1049"/>
      <c r="AM106" s="1047"/>
      <c r="AN106" s="92">
        <f t="shared" ref="AN106" si="85">C105</f>
        <v>0</v>
      </c>
      <c r="AO106" s="62" t="s">
        <v>291</v>
      </c>
      <c r="AP106" s="543" t="str" cm="1">
        <f t="array" aca="1" ref="AP106" ca="1">IF(OR(AN106="",AN106=0),"",IF(SUMPRODUCT(($C$55:$C$161=AN106)*(S$54:$AG$54&lt;EOMONTH(TODAY(),-1)+1)*(ISNUMBER(S$56:$AG$162)),S$56:$AG$162)=0,"",SUMPRODUCT(($C$55:$C$161=AN106)*(S$54:$AG$54&lt;EOMONTH(TODAY(),-1)+1)*(ISNUMBER(S$56:$AG$162)),S$56:$AG$162)))</f>
        <v/>
      </c>
    </row>
    <row r="107" spans="1:42" ht="29.1" customHeight="1" x14ac:dyDescent="0.3">
      <c r="A107" s="1038"/>
      <c r="B107" s="1038"/>
      <c r="C107" s="1095"/>
      <c r="D107" s="1097"/>
      <c r="E107" s="1363"/>
      <c r="F107" s="1099"/>
      <c r="G107" s="1150"/>
      <c r="H107" s="1150"/>
      <c r="I107" s="1109"/>
      <c r="J107" s="1109"/>
      <c r="K107" s="1213"/>
      <c r="L107" s="1076"/>
      <c r="M107" s="1072"/>
      <c r="N107" s="1055"/>
      <c r="O107" s="1042"/>
      <c r="P107" s="1042"/>
      <c r="Q107" s="93"/>
      <c r="R107" s="96"/>
      <c r="S107" s="532"/>
      <c r="T107" s="532"/>
      <c r="U107" s="641"/>
      <c r="V107" s="89"/>
      <c r="W107" s="532"/>
      <c r="X107" s="532"/>
      <c r="Y107" s="532"/>
      <c r="Z107" s="89"/>
      <c r="AA107" s="532"/>
      <c r="AB107" s="532"/>
      <c r="AC107" s="532"/>
      <c r="AD107" s="89"/>
      <c r="AE107" s="532"/>
      <c r="AF107" s="532"/>
      <c r="AG107" s="532"/>
      <c r="AH107" s="89"/>
      <c r="AI107" s="95"/>
      <c r="AJ107" s="97"/>
      <c r="AK107" s="1038"/>
      <c r="AL107" s="1042"/>
      <c r="AM107" s="1044"/>
      <c r="AN107" s="98">
        <f t="shared" ref="AN107" si="86">C107</f>
        <v>0</v>
      </c>
      <c r="AO107" s="62" t="s">
        <v>289</v>
      </c>
      <c r="AP107" s="543" t="str" cm="1">
        <f t="array" aca="1" ref="AP107" ca="1">IF(OR(AN107="",AN107=0),"",IF(SUMPRODUCT(($C$55:$C$161=AN107)*(S$54:$AG$54&lt;EOMONTH(TODAY(),-1)+1)*(ISNUMBER(S$55:$AG$161)),S$55:$AG$161)=0,"",SUMPRODUCT(($C$55:$C$161=AN107)*(S$54:$AG$54&lt;EOMONTH(TODAY(),-1)+1)*(ISNUMBER(S$55:$AG$161)),S$55:$AG$161)))</f>
        <v/>
      </c>
    </row>
    <row r="108" spans="1:42" ht="56.25" customHeight="1" x14ac:dyDescent="0.3">
      <c r="A108" s="1039"/>
      <c r="B108" s="1039"/>
      <c r="C108" s="1096"/>
      <c r="D108" s="1098"/>
      <c r="E108" s="1364"/>
      <c r="F108" s="1100"/>
      <c r="G108" s="1151"/>
      <c r="H108" s="1151"/>
      <c r="I108" s="1110"/>
      <c r="J108" s="1110"/>
      <c r="K108" s="1214"/>
      <c r="L108" s="1077"/>
      <c r="M108" s="1073"/>
      <c r="N108" s="1056"/>
      <c r="O108" s="1043"/>
      <c r="P108" s="1043"/>
      <c r="Q108" s="93"/>
      <c r="R108" s="96"/>
      <c r="S108" s="312"/>
      <c r="T108" s="312"/>
      <c r="U108" s="570"/>
      <c r="V108" s="310"/>
      <c r="W108" s="312"/>
      <c r="X108" s="312"/>
      <c r="Y108" s="312"/>
      <c r="Z108" s="310"/>
      <c r="AA108" s="312"/>
      <c r="AB108" s="312"/>
      <c r="AC108" s="312"/>
      <c r="AD108" s="310"/>
      <c r="AE108" s="312"/>
      <c r="AF108" s="312"/>
      <c r="AG108" s="312"/>
      <c r="AH108" s="310"/>
      <c r="AI108" s="313"/>
      <c r="AJ108" s="97"/>
      <c r="AK108" s="1039"/>
      <c r="AL108" s="1043"/>
      <c r="AM108" s="1045"/>
      <c r="AN108" s="92">
        <f t="shared" ref="AN108" si="87">C107</f>
        <v>0</v>
      </c>
      <c r="AO108" s="62" t="s">
        <v>291</v>
      </c>
      <c r="AP108" s="543" t="str" cm="1">
        <f t="array" aca="1" ref="AP108" ca="1">IF(OR(AN108="",AN108=0),"",IF(SUMPRODUCT(($C$55:$C$161=AN108)*(S$54:$AG$54&lt;EOMONTH(TODAY(),-1)+1)*(ISNUMBER(S$56:$AG$162)),S$56:$AG$162)=0,"",SUMPRODUCT(($C$55:$C$161=AN108)*(S$54:$AG$54&lt;EOMONTH(TODAY(),-1)+1)*(ISNUMBER(S$56:$AG$162)),S$56:$AG$162)))</f>
        <v/>
      </c>
    </row>
    <row r="109" spans="1:42" ht="29.1" customHeight="1" x14ac:dyDescent="0.3">
      <c r="A109" s="1036"/>
      <c r="B109" s="1299"/>
      <c r="C109" s="1113"/>
      <c r="D109" s="1115"/>
      <c r="E109" s="1303"/>
      <c r="F109" s="1040"/>
      <c r="G109" s="1117"/>
      <c r="H109" s="1117"/>
      <c r="I109" s="1074"/>
      <c r="J109" s="1158"/>
      <c r="K109" s="1121"/>
      <c r="L109" s="1074"/>
      <c r="M109" s="1500"/>
      <c r="N109" s="1307"/>
      <c r="O109" s="1057"/>
      <c r="P109" s="1057"/>
      <c r="Q109" s="87"/>
      <c r="R109" s="91"/>
      <c r="S109" s="309"/>
      <c r="T109" s="309"/>
      <c r="U109" s="309"/>
      <c r="V109" s="89"/>
      <c r="W109" s="309"/>
      <c r="X109" s="309"/>
      <c r="Y109" s="309"/>
      <c r="Z109" s="89"/>
      <c r="AA109" s="309"/>
      <c r="AB109" s="309"/>
      <c r="AC109" s="309"/>
      <c r="AD109" s="89"/>
      <c r="AE109" s="309"/>
      <c r="AF109" s="309"/>
      <c r="AG109" s="309"/>
      <c r="AH109" s="89"/>
      <c r="AI109" s="90"/>
      <c r="AJ109" s="98"/>
      <c r="AK109" s="1040"/>
      <c r="AL109" s="1048"/>
      <c r="AM109" s="1046"/>
      <c r="AN109" s="98">
        <f t="shared" ref="AN109" si="88">C109</f>
        <v>0</v>
      </c>
      <c r="AO109" s="62" t="s">
        <v>289</v>
      </c>
      <c r="AP109" s="543" t="str" cm="1">
        <f t="array" aca="1" ref="AP109" ca="1">IF(OR(AN109="",AN109=0),"",IF(SUMPRODUCT(($C$55:$C$161=AN109)*(S$54:$AG$54&lt;EOMONTH(TODAY(),-1)+1)*(ISNUMBER(S$55:$AG$161)),S$55:$AG$161)=0,"",SUMPRODUCT(($C$55:$C$161=AN109)*(S$54:$AG$54&lt;EOMONTH(TODAY(),-1)+1)*(ISNUMBER(S$55:$AG$161)),S$55:$AG$161)))</f>
        <v/>
      </c>
    </row>
    <row r="110" spans="1:42" ht="45.75" customHeight="1" x14ac:dyDescent="0.3">
      <c r="A110" s="1037"/>
      <c r="B110" s="1300"/>
      <c r="C110" s="1114"/>
      <c r="D110" s="1116"/>
      <c r="E110" s="1304"/>
      <c r="F110" s="1041"/>
      <c r="G110" s="1118"/>
      <c r="H110" s="1118"/>
      <c r="I110" s="1075"/>
      <c r="J110" s="1159"/>
      <c r="K110" s="1122"/>
      <c r="L110" s="1075"/>
      <c r="M110" s="1120"/>
      <c r="N110" s="1054"/>
      <c r="O110" s="1058"/>
      <c r="P110" s="1058"/>
      <c r="Q110" s="87"/>
      <c r="R110" s="91"/>
      <c r="S110" s="309"/>
      <c r="T110" s="309"/>
      <c r="U110" s="309"/>
      <c r="V110" s="310"/>
      <c r="W110" s="309"/>
      <c r="X110" s="309"/>
      <c r="Y110" s="309"/>
      <c r="Z110" s="310"/>
      <c r="AA110" s="309"/>
      <c r="AB110" s="309"/>
      <c r="AC110" s="309"/>
      <c r="AD110" s="310"/>
      <c r="AE110" s="309"/>
      <c r="AF110" s="309"/>
      <c r="AG110" s="309"/>
      <c r="AH110" s="310"/>
      <c r="AI110" s="311"/>
      <c r="AJ110" s="360"/>
      <c r="AK110" s="1041"/>
      <c r="AL110" s="1049"/>
      <c r="AM110" s="1047"/>
      <c r="AN110" s="92">
        <f t="shared" ref="AN110" si="89">C109</f>
        <v>0</v>
      </c>
      <c r="AO110" s="62" t="s">
        <v>291</v>
      </c>
      <c r="AP110" s="543" t="str" cm="1">
        <f t="array" aca="1" ref="AP110" ca="1">IF(OR(AN110="",AN110=0),"",IF(SUMPRODUCT(($C$55:$C$161=AN110)*(S$54:$AG$54&lt;EOMONTH(TODAY(),-1)+1)*(ISNUMBER(S$56:$AG$162)),S$56:$AG$162)=0,"",SUMPRODUCT(($C$55:$C$161=AN110)*(S$54:$AG$54&lt;EOMONTH(TODAY(),-1)+1)*(ISNUMBER(S$56:$AG$162)),S$56:$AG$162)))</f>
        <v/>
      </c>
    </row>
    <row r="111" spans="1:42" ht="29.1" customHeight="1" x14ac:dyDescent="0.3">
      <c r="A111" s="1038"/>
      <c r="B111" s="1038"/>
      <c r="C111" s="1095"/>
      <c r="D111" s="1097"/>
      <c r="E111" s="1363"/>
      <c r="F111" s="1099"/>
      <c r="G111" s="1150"/>
      <c r="H111" s="1150"/>
      <c r="I111" s="1109"/>
      <c r="J111" s="1109"/>
      <c r="K111" s="1213" t="str">
        <f t="shared" ref="K111" si="90">IF(J111="", "", 12 - MONTH(J111) + 1)</f>
        <v/>
      </c>
      <c r="L111" s="1076"/>
      <c r="M111" s="1072"/>
      <c r="N111" s="1055"/>
      <c r="O111" s="1042"/>
      <c r="P111" s="1042"/>
      <c r="Q111" s="93" t="s">
        <v>106</v>
      </c>
      <c r="R111" s="96" t="str">
        <f ca="1">IF(OR(G111="", H111=""), "", IF(TODAY()&lt;G111, 0, IF(TODAY()&gt;H111, 1, (TODAY()-G111+1)/(H111-G111+1))))</f>
        <v/>
      </c>
      <c r="S111" s="532">
        <f>IFERROR(IF(AND(S$54&gt;=EOMONTH($J111,-1)+1,S$54&lt;=EOMONTH(EOMONTH($J111,-1)+1,$K111-1)),IF(NOT(ISBLANK($N111)),$N111/$K111,$I111/$K111),0),0)</f>
        <v>0</v>
      </c>
      <c r="T111" s="532">
        <f>IFERROR(IF(AND(T$54&gt;=EOMONTH($J111,-1)+1,T$54&lt;=EOMONTH(EOMONTH($J111,-1)+1,$K111-1)),IF(NOT(ISBLANK($N111)),$N111/$K111,$I111/$K111),0),0)</f>
        <v>0</v>
      </c>
      <c r="U111" s="641">
        <f>IFERROR(IF(AND(U$54&gt;=EOMONTH($J111,-1)+1,U$54&lt;=EOMONTH(EOMONTH($J111,-1)+1,$K111-1)),IF(NOT(ISBLANK($N111)),$N111/$K111,$I111/$K111),0),0)</f>
        <v>0</v>
      </c>
      <c r="V111" s="89">
        <f t="shared" si="76"/>
        <v>0</v>
      </c>
      <c r="W111" s="532">
        <f>IFERROR(IF(AND(W$54&gt;=EOMONTH($J111,-1)+1,W$54&lt;=EOMONTH(EOMONTH($J111,-1)+1,$K111-1)),IF(NOT(ISBLANK($N111)),$N111/$K111,$I111/$K111),0),0)</f>
        <v>0</v>
      </c>
      <c r="X111" s="532">
        <f>IFERROR(IF(AND(X$54&gt;=EOMONTH($J111,-1)+1,X$54&lt;=EOMONTH(EOMONTH($J111,-1)+1,$K111-1)),IF(NOT(ISBLANK($N111)),$N111/$K111,$I111/$K111),0),0)</f>
        <v>0</v>
      </c>
      <c r="Y111" s="532">
        <f>IFERROR(IF(AND(Y$54&gt;=EOMONTH($J111,-1)+1,Y$54&lt;=EOMONTH(EOMONTH($J111,-1)+1,$K111-1)),IF(NOT(ISBLANK($N111)),$N111/$K111,$I111/$K111),0),0)</f>
        <v>0</v>
      </c>
      <c r="Z111" s="89">
        <f t="shared" si="23"/>
        <v>0</v>
      </c>
      <c r="AA111" s="532">
        <f>IFERROR(IF(AND(AA$54&gt;=EOMONTH($J111,-1)+1,AA$54&lt;=EOMONTH(EOMONTH($J111,-1)+1,$K111-1)),IF(NOT(ISBLANK($N111)),$N111/$K111,$I111/$K111),0),0)</f>
        <v>0</v>
      </c>
      <c r="AB111" s="532">
        <f>IFERROR(IF(AND(AB$54&gt;=EOMONTH($J111,-1)+1,AB$54&lt;=EOMONTH(EOMONTH($J111,-1)+1,$K111-1)),IF(NOT(ISBLANK($N111)),$N111/$K111,$I111/$K111),0),0)</f>
        <v>0</v>
      </c>
      <c r="AC111" s="532">
        <f>IFERROR(IF(AND(AC$54&gt;=EOMONTH($J111,-1)+1,AC$54&lt;=EOMONTH(EOMONTH($J111,-1)+1,$K111-1)),IF(NOT(ISBLANK($N111)),$N111/$K111,$I111/$K111),0),0)</f>
        <v>0</v>
      </c>
      <c r="AD111" s="89">
        <f t="shared" si="24"/>
        <v>0</v>
      </c>
      <c r="AE111" s="532">
        <f>IFERROR(IF(AND(AE$54&gt;=EOMONTH($J111,-1)+1,AE$54&lt;=EOMONTH(EOMONTH($J111,-1)+1,$K111-1)),IF(NOT(ISBLANK($N111)),$N111/$K111,$I111/$K111),0),0)</f>
        <v>0</v>
      </c>
      <c r="AF111" s="532">
        <f>IFERROR(IF(AND(AF$54&gt;=EOMONTH($J111,-1)+1,AF$54&lt;=EOMONTH(EOMONTH($J111,-1)+1,$K111-1)),IF(NOT(ISBLANK($N111)),$N111/$K111,$I111/$K111),0),0)</f>
        <v>0</v>
      </c>
      <c r="AG111" s="532">
        <f>IFERROR(IF(AND(AG$54&gt;=EOMONTH($J111,-1)+1,AG$54&lt;=EOMONTH(EOMONTH($J111,-1)+1,$K111-1)),IF(NOT(ISBLANK($N111)),$N111/$K111,$I111/$K111),0),0)</f>
        <v>0</v>
      </c>
      <c r="AH111" s="89">
        <f t="shared" si="17"/>
        <v>0</v>
      </c>
      <c r="AI111" s="95">
        <f t="shared" si="15"/>
        <v>0</v>
      </c>
      <c r="AJ111" s="97"/>
      <c r="AK111" s="1038"/>
      <c r="AL111" s="1042"/>
      <c r="AM111" s="1044">
        <f t="shared" ref="AM111" si="91">N111*AL111</f>
        <v>0</v>
      </c>
      <c r="AN111" s="98">
        <f t="shared" ref="AN111" si="92">C111</f>
        <v>0</v>
      </c>
      <c r="AO111" s="62" t="s">
        <v>289</v>
      </c>
      <c r="AP111" s="543" t="str" cm="1">
        <f t="array" aca="1" ref="AP111" ca="1">IF(OR(AN111="",AN111=0),"",IF(SUMPRODUCT(($C$55:$C$161=AN111)*(S$54:$AG$54&lt;EOMONTH(TODAY(),-1)+1)*(ISNUMBER(S$55:$AG$161)),S$55:$AG$161)=0,"",SUMPRODUCT(($C$55:$C$161=AN111)*(S$54:$AG$54&lt;EOMONTH(TODAY(),-1)+1)*(ISNUMBER(S$55:$AG$161)),S$55:$AG$161)))</f>
        <v/>
      </c>
    </row>
    <row r="112" spans="1:42" ht="56.25" customHeight="1" x14ac:dyDescent="0.3">
      <c r="A112" s="1039"/>
      <c r="B112" s="1039"/>
      <c r="C112" s="1096"/>
      <c r="D112" s="1098"/>
      <c r="E112" s="1364"/>
      <c r="F112" s="1100"/>
      <c r="G112" s="1151"/>
      <c r="H112" s="1151"/>
      <c r="I112" s="1110"/>
      <c r="J112" s="1110"/>
      <c r="K112" s="1214"/>
      <c r="L112" s="1077"/>
      <c r="M112" s="1073"/>
      <c r="N112" s="1056"/>
      <c r="O112" s="1043"/>
      <c r="P112" s="1043"/>
      <c r="Q112" s="93" t="s">
        <v>107</v>
      </c>
      <c r="R112" s="96"/>
      <c r="S112" s="312"/>
      <c r="T112" s="312"/>
      <c r="U112" s="570"/>
      <c r="V112" s="310">
        <f t="shared" ref="V112" si="93">SUM(S112:U112)</f>
        <v>0</v>
      </c>
      <c r="W112" s="312"/>
      <c r="X112" s="312"/>
      <c r="Y112" s="312"/>
      <c r="Z112" s="310">
        <f t="shared" si="23"/>
        <v>0</v>
      </c>
      <c r="AA112" s="312"/>
      <c r="AB112" s="312"/>
      <c r="AC112" s="312"/>
      <c r="AD112" s="310">
        <f t="shared" si="24"/>
        <v>0</v>
      </c>
      <c r="AE112" s="312"/>
      <c r="AF112" s="312"/>
      <c r="AG112" s="312"/>
      <c r="AH112" s="310">
        <f t="shared" si="17"/>
        <v>0</v>
      </c>
      <c r="AI112" s="313">
        <f t="shared" si="15"/>
        <v>0</v>
      </c>
      <c r="AJ112" s="97"/>
      <c r="AK112" s="1039"/>
      <c r="AL112" s="1043"/>
      <c r="AM112" s="1045"/>
      <c r="AN112" s="92">
        <f t="shared" ref="AN112" si="94">C111</f>
        <v>0</v>
      </c>
      <c r="AO112" s="62" t="s">
        <v>291</v>
      </c>
      <c r="AP112" s="543" t="str" cm="1">
        <f t="array" aca="1" ref="AP112" ca="1">IF(OR(AN112="",AN112=0),"",IF(SUMPRODUCT(($C$55:$C$161=AN112)*(S$54:$AG$54&lt;EOMONTH(TODAY(),-1)+1)*(ISNUMBER(S$56:$AG$162)),S$56:$AG$162)=0,"",SUMPRODUCT(($C$55:$C$161=AN112)*(S$54:$AG$54&lt;EOMONTH(TODAY(),-1)+1)*(ISNUMBER(S$56:$AG$162)),S$56:$AG$162)))</f>
        <v/>
      </c>
    </row>
    <row r="113" spans="1:42" ht="29.1" customHeight="1" x14ac:dyDescent="0.3">
      <c r="A113" s="1036"/>
      <c r="B113" s="1299"/>
      <c r="C113" s="1113"/>
      <c r="D113" s="1115"/>
      <c r="E113" s="1303"/>
      <c r="F113" s="1040"/>
      <c r="G113" s="1117"/>
      <c r="H113" s="1117"/>
      <c r="I113" s="1074"/>
      <c r="J113" s="1158"/>
      <c r="K113" s="1121" t="str">
        <f t="shared" ref="K113" si="95">IF(J113="", "", 12 - MONTH(J113) + 1)</f>
        <v/>
      </c>
      <c r="L113" s="1074"/>
      <c r="M113" s="1500"/>
      <c r="N113" s="1307"/>
      <c r="O113" s="1057"/>
      <c r="P113" s="1057"/>
      <c r="Q113" s="87" t="s">
        <v>106</v>
      </c>
      <c r="R113" s="91" t="str">
        <f ca="1">IF(OR(G113="", H113=""), "", IF(TODAY()&lt;G113, 0, IF(TODAY()&gt;H113, 1, (TODAY()-G113+1)/(H113-G113+1))))</f>
        <v/>
      </c>
      <c r="S113" s="309">
        <f>IFERROR(IF(AND(S$54&gt;=EOMONTH($J113,-1)+1,S$54&lt;=EOMONTH(EOMONTH($J113,-1)+1,$K113-1)),IF(NOT(ISBLANK($N113)),$N113/$K113,$I113/$K113),0),0)</f>
        <v>0</v>
      </c>
      <c r="T113" s="309">
        <f>IFERROR(IF(AND(T$54&gt;=EOMONTH($J113,-1)+1,T$54&lt;=EOMONTH(EOMONTH($J113,-1)+1,$K113-1)),IF(NOT(ISBLANK($N113)),$N113/$K113,$I113/$K113),0),0)</f>
        <v>0</v>
      </c>
      <c r="U113" s="309">
        <f>IFERROR(IF(AND(U$54&gt;=EOMONTH($J113,-1)+1,U$54&lt;=EOMONTH(EOMONTH($J113,-1)+1,$K113-1)),IF(NOT(ISBLANK($N113)),$N113/$K113,$I113/$K113),0),0)</f>
        <v>0</v>
      </c>
      <c r="V113" s="89">
        <f t="shared" ref="V113:V114" si="96">SUM(S113:U113)</f>
        <v>0</v>
      </c>
      <c r="W113" s="309">
        <f>IFERROR(IF(AND(W$54&gt;=EOMONTH($J113,-1)+1,W$54&lt;=EOMONTH(EOMONTH($J113,-1)+1,$K113-1)),IF(NOT(ISBLANK($N113)),$N113/$K113,$I113/$K113),0),0)</f>
        <v>0</v>
      </c>
      <c r="X113" s="309">
        <f>IFERROR(IF(AND(X$54&gt;=EOMONTH($J113,-1)+1,X$54&lt;=EOMONTH(EOMONTH($J113,-1)+1,$K113-1)),IF(NOT(ISBLANK($N113)),$N113/$K113,$I113/$K113),0),0)</f>
        <v>0</v>
      </c>
      <c r="Y113" s="309">
        <f>IFERROR(IF(AND(Y$54&gt;=EOMONTH($J113,-1)+1,Y$54&lt;=EOMONTH(EOMONTH($J113,-1)+1,$K113-1)),IF(NOT(ISBLANK($N113)),$N113/$K113,$I113/$K113),0),0)</f>
        <v>0</v>
      </c>
      <c r="Z113" s="89">
        <f t="shared" si="23"/>
        <v>0</v>
      </c>
      <c r="AA113" s="309">
        <f>IFERROR(IF(AND(AA$54&gt;=EOMONTH($J113,-1)+1,AA$54&lt;=EOMONTH(EOMONTH($J113,-1)+1,$K113-1)),IF(NOT(ISBLANK($N113)),$N113/$K113,$I113/$K113),0),0)</f>
        <v>0</v>
      </c>
      <c r="AB113" s="309">
        <f>IFERROR(IF(AND(AB$54&gt;=EOMONTH($J113,-1)+1,AB$54&lt;=EOMONTH(EOMONTH($J113,-1)+1,$K113-1)),IF(NOT(ISBLANK($N113)),$N113/$K113,$I113/$K113),0),0)</f>
        <v>0</v>
      </c>
      <c r="AC113" s="309">
        <f>IFERROR(IF(AND(AC$54&gt;=EOMONTH($J113,-1)+1,AC$54&lt;=EOMONTH(EOMONTH($J113,-1)+1,$K113-1)),IF(NOT(ISBLANK($N113)),$N113/$K113,$I113/$K113),0),0)</f>
        <v>0</v>
      </c>
      <c r="AD113" s="89">
        <f t="shared" si="24"/>
        <v>0</v>
      </c>
      <c r="AE113" s="309">
        <f>IFERROR(IF(AND(AE$54&gt;=EOMONTH($J113,-1)+1,AE$54&lt;=EOMONTH(EOMONTH($J113,-1)+1,$K113-1)),IF(NOT(ISBLANK($N113)),$N113/$K113,$I113/$K113),0),0)</f>
        <v>0</v>
      </c>
      <c r="AF113" s="309">
        <f>IFERROR(IF(AND(AF$54&gt;=EOMONTH($J113,-1)+1,AF$54&lt;=EOMONTH(EOMONTH($J113,-1)+1,$K113-1)),IF(NOT(ISBLANK($N113)),$N113/$K113,$I113/$K113),0),0)</f>
        <v>0</v>
      </c>
      <c r="AG113" s="309">
        <f>IFERROR(IF(AND(AG$54&gt;=EOMONTH($J113,-1)+1,AG$54&lt;=EOMONTH(EOMONTH($J113,-1)+1,$K113-1)),IF(NOT(ISBLANK($N113)),$N113/$K113,$I113/$K113),0),0)</f>
        <v>0</v>
      </c>
      <c r="AH113" s="89">
        <f t="shared" si="17"/>
        <v>0</v>
      </c>
      <c r="AI113" s="90">
        <f t="shared" si="15"/>
        <v>0</v>
      </c>
      <c r="AJ113" s="98"/>
      <c r="AK113" s="1040"/>
      <c r="AL113" s="1048"/>
      <c r="AM113" s="1046">
        <f t="shared" ref="AM113" si="97">N113*AL113</f>
        <v>0</v>
      </c>
      <c r="AN113" s="98">
        <f t="shared" ref="AN113" si="98">C113</f>
        <v>0</v>
      </c>
      <c r="AO113" s="62" t="s">
        <v>289</v>
      </c>
      <c r="AP113" s="543" t="str" cm="1">
        <f t="array" aca="1" ref="AP113" ca="1">IF(OR(AN113="",AN113=0),"",IF(SUMPRODUCT(($C$55:$C$161=AN113)*(S$54:$AG$54&lt;EOMONTH(TODAY(),-1)+1)*(ISNUMBER(S$55:$AG$161)),S$55:$AG$161)=0,"",SUMPRODUCT(($C$55:$C$161=AN113)*(S$54:$AG$54&lt;EOMONTH(TODAY(),-1)+1)*(ISNUMBER(S$55:$AG$161)),S$55:$AG$161)))</f>
        <v/>
      </c>
    </row>
    <row r="114" spans="1:42" ht="45.75" customHeight="1" x14ac:dyDescent="0.3">
      <c r="A114" s="1037"/>
      <c r="B114" s="1300"/>
      <c r="C114" s="1114"/>
      <c r="D114" s="1116"/>
      <c r="E114" s="1304"/>
      <c r="F114" s="1041"/>
      <c r="G114" s="1118"/>
      <c r="H114" s="1118"/>
      <c r="I114" s="1075"/>
      <c r="J114" s="1159"/>
      <c r="K114" s="1122"/>
      <c r="L114" s="1075"/>
      <c r="M114" s="1120"/>
      <c r="N114" s="1054"/>
      <c r="O114" s="1058"/>
      <c r="P114" s="1058"/>
      <c r="Q114" s="87" t="s">
        <v>107</v>
      </c>
      <c r="R114" s="91"/>
      <c r="S114" s="309"/>
      <c r="T114" s="309"/>
      <c r="U114" s="309"/>
      <c r="V114" s="310">
        <f t="shared" si="96"/>
        <v>0</v>
      </c>
      <c r="W114" s="309"/>
      <c r="X114" s="309"/>
      <c r="Y114" s="309"/>
      <c r="Z114" s="310">
        <f t="shared" si="23"/>
        <v>0</v>
      </c>
      <c r="AA114" s="309"/>
      <c r="AB114" s="309"/>
      <c r="AC114" s="309"/>
      <c r="AD114" s="310">
        <f t="shared" si="24"/>
        <v>0</v>
      </c>
      <c r="AE114" s="309"/>
      <c r="AF114" s="309"/>
      <c r="AG114" s="309"/>
      <c r="AH114" s="310">
        <f t="shared" si="17"/>
        <v>0</v>
      </c>
      <c r="AI114" s="311">
        <f t="shared" si="15"/>
        <v>0</v>
      </c>
      <c r="AJ114" s="360"/>
      <c r="AK114" s="1041"/>
      <c r="AL114" s="1049"/>
      <c r="AM114" s="1047"/>
      <c r="AN114" s="92">
        <f t="shared" ref="AN114" si="99">C113</f>
        <v>0</v>
      </c>
      <c r="AO114" s="62" t="s">
        <v>291</v>
      </c>
      <c r="AP114" s="543" t="str" cm="1">
        <f t="array" aca="1" ref="AP114" ca="1">IF(OR(AN114="",AN114=0),"",IF(SUMPRODUCT(($C$55:$C$161=AN114)*(S$54:$AG$54&lt;EOMONTH(TODAY(),-1)+1)*(ISNUMBER(S$56:$AG$162)),S$56:$AG$162)=0,"",SUMPRODUCT(($C$55:$C$161=AN114)*(S$54:$AG$54&lt;EOMONTH(TODAY(),-1)+1)*(ISNUMBER(S$56:$AG$162)),S$56:$AG$162)))</f>
        <v/>
      </c>
    </row>
    <row r="115" spans="1:42" x14ac:dyDescent="0.3">
      <c r="A115" s="47"/>
      <c r="B115" s="47"/>
      <c r="C115" s="47"/>
      <c r="D115" s="47"/>
      <c r="E115" s="47"/>
      <c r="F115" s="47"/>
      <c r="G115" s="59"/>
      <c r="H115" s="47"/>
      <c r="I115" s="47"/>
      <c r="J115" s="47"/>
      <c r="K115" s="47"/>
      <c r="L115" s="47"/>
      <c r="M115" s="47"/>
      <c r="N115" s="47"/>
      <c r="O115" s="47"/>
      <c r="P115" s="59"/>
      <c r="Q115" s="47"/>
      <c r="R115" s="47"/>
      <c r="S115" s="47"/>
      <c r="T115" s="47"/>
      <c r="U115" s="47"/>
      <c r="V115" s="47"/>
      <c r="W115" s="47"/>
      <c r="X115" s="47"/>
      <c r="Y115" s="47"/>
      <c r="Z115" s="47"/>
      <c r="AA115" s="47"/>
      <c r="AB115" s="47"/>
      <c r="AC115" s="47"/>
      <c r="AD115" s="47"/>
      <c r="AE115" s="47"/>
      <c r="AF115" s="47"/>
      <c r="AG115" s="47"/>
      <c r="AH115" s="47"/>
      <c r="AL115" s="47"/>
      <c r="AN115" s="62" t="s">
        <v>289</v>
      </c>
      <c r="AO115" s="543" t="str" cm="1">
        <f t="array" aca="1" ref="AO115" ca="1">IF(OR(AM115="",AM115=0),"",IF(SUMPRODUCT(($B$55:$B$161=AM115)*(S$54:$AG$54&lt;EOMONTH(TODAY(),-1)+1)*(ISNUMBER(R$55:$AF$161)),R$55:$AF$161)=0,"",SUMPRODUCT(($B$55:$B$161=AM115)*(S$54:$AG$54&lt;EOMONTH(TODAY(),-1)+1)*(ISNUMBER(R$55:$AF$161)),R$55:$AF$161)))</f>
        <v/>
      </c>
    </row>
    <row r="116" spans="1:42" ht="15.6" x14ac:dyDescent="0.3">
      <c r="A116" s="100" t="s">
        <v>547</v>
      </c>
      <c r="B116" s="100"/>
      <c r="C116" s="100"/>
      <c r="D116" s="99" t="s">
        <v>548</v>
      </c>
      <c r="E116" s="99" t="s">
        <v>73</v>
      </c>
      <c r="F116" s="99" t="s">
        <v>74</v>
      </c>
      <c r="G116" s="47"/>
      <c r="H116" s="1415" t="s">
        <v>1038</v>
      </c>
      <c r="I116" s="1415"/>
      <c r="J116" s="1415"/>
      <c r="K116" s="1415"/>
      <c r="L116" s="1415"/>
      <c r="M116" s="1414"/>
      <c r="N116" s="1414"/>
      <c r="O116" s="1415"/>
      <c r="P116" s="1415"/>
      <c r="Q116" s="104"/>
      <c r="R116" s="151"/>
      <c r="S116" s="85">
        <v>46023</v>
      </c>
      <c r="T116" s="151">
        <v>46054</v>
      </c>
      <c r="U116" s="151">
        <v>46082</v>
      </c>
      <c r="V116" s="151">
        <v>46113</v>
      </c>
      <c r="W116" s="151">
        <v>46143</v>
      </c>
      <c r="X116" s="151">
        <v>46174</v>
      </c>
      <c r="Y116" s="151">
        <v>46204</v>
      </c>
      <c r="Z116" s="151">
        <v>46235</v>
      </c>
      <c r="AA116" s="151">
        <v>46266</v>
      </c>
      <c r="AB116" s="151">
        <v>46296</v>
      </c>
      <c r="AC116" s="151">
        <v>46327</v>
      </c>
      <c r="AD116" s="151">
        <v>46357</v>
      </c>
      <c r="AE116" s="151" t="s">
        <v>550</v>
      </c>
      <c r="AF116" s="47"/>
      <c r="AG116" s="47"/>
      <c r="AH116" s="47"/>
      <c r="AL116" s="47"/>
      <c r="AO116" s="543" t="str" cm="1">
        <f t="array" aca="1" ref="AO116" ca="1">IF(OR(AM116="",AM116=0),"",IF(SUMPRODUCT(($B$55:$B$161=AM116)*($S$54:AG$54&lt;=TODAY())*(ISNUMBER($R$56:AF$162)),$R$56:AF$162)=0,"",SUMPRODUCT(($B$55:$B$161=AM116)*($S$54:AG$54&lt;=TODAY())*(ISNUMBER($R$56:AF$162)),$R$56:AF$162)))</f>
        <v/>
      </c>
    </row>
    <row r="117" spans="1:42" ht="15.6" x14ac:dyDescent="0.3">
      <c r="A117" s="112" t="s">
        <v>78</v>
      </c>
      <c r="B117" s="112" t="s">
        <v>551</v>
      </c>
      <c r="C117" s="333"/>
      <c r="D117" s="721">
        <v>1</v>
      </c>
      <c r="E117" s="752" t="str">
        <f>_xlfn.XLOOKUP(B117,$B$353:$B$399,$E$353:$E$399)</f>
        <v>OK</v>
      </c>
      <c r="F117" s="752"/>
      <c r="G117" s="637"/>
      <c r="H117" s="472" t="s">
        <v>552</v>
      </c>
      <c r="I117" s="102" t="s">
        <v>553</v>
      </c>
      <c r="J117" s="102" t="s">
        <v>554</v>
      </c>
      <c r="K117" s="102" t="s">
        <v>555</v>
      </c>
      <c r="L117" s="104" t="s">
        <v>167</v>
      </c>
      <c r="M117" s="590" t="s">
        <v>556</v>
      </c>
      <c r="N117" s="590"/>
      <c r="O117" s="590"/>
      <c r="P117" s="104" t="s">
        <v>557</v>
      </c>
      <c r="Q117" s="899" t="s">
        <v>558</v>
      </c>
      <c r="R117" s="504" t="s">
        <v>106</v>
      </c>
      <c r="S117" s="152">
        <f>SUMIF($Q$55:$Q$114,$R$117,S55:S114)</f>
        <v>162381.75666666665</v>
      </c>
      <c r="T117" s="152">
        <f>SUMIF($Q$55:$Q$114,$R$117,T55:T114)</f>
        <v>181533.48393939392</v>
      </c>
      <c r="U117" s="152">
        <f>SUMIF($Q$55:$Q$114,$R$117,U55:U114)</f>
        <v>181533.48393939392</v>
      </c>
      <c r="V117" s="152">
        <f>SUMIF($Q$55:$Q$114,$R$117,W55:W114)</f>
        <v>182289.03949494948</v>
      </c>
      <c r="W117" s="152">
        <f>SUMIF($Q$55:$Q$114,$R$117,X55:X114)</f>
        <v>182289.03949494948</v>
      </c>
      <c r="X117" s="152">
        <f>SUMIF($Q$55:$Q$114,$R$117,Y55:Y114)</f>
        <v>182289.03949494948</v>
      </c>
      <c r="Y117" s="152">
        <f>SUMIF($Q$55:$Q$114,$R$117,AA55:AA114)</f>
        <v>304459.99282828282</v>
      </c>
      <c r="Z117" s="152">
        <f>SUMIF($Q$55:$Q$114,$R$117,AB55:AB114)</f>
        <v>442459.99282828288</v>
      </c>
      <c r="AA117" s="152">
        <f>SUMIF($Q$55:$Q$114,$R$117,AC55:AC114)</f>
        <v>442459.99282828288</v>
      </c>
      <c r="AB117" s="152">
        <f>SUMIF($Q$55:$Q$114,$R$117,AE55:AE114)</f>
        <v>442459.99282828288</v>
      </c>
      <c r="AC117" s="152">
        <f>SUMIF($Q$55:$Q$114,$R$117,AF55:AF114)</f>
        <v>442459.99282828288</v>
      </c>
      <c r="AD117" s="152">
        <f>SUMIF($Q$55:$Q$114,$R$117,AG55:AG114)</f>
        <v>442459.99282828288</v>
      </c>
      <c r="AE117" s="152">
        <f>SUM(S117:AD117)</f>
        <v>3589075.8000000007</v>
      </c>
      <c r="AF117" s="47"/>
      <c r="AG117" s="47"/>
      <c r="AH117" s="47"/>
      <c r="AL117" s="47"/>
      <c r="AO117" s="543" t="str" cm="1">
        <f t="array" aca="1" ref="AO117" ca="1">IF(OR(AM117="",AM117=0),"",IF(SUMPRODUCT(($B$55:$B$161=AM117)*(S$54:$AG$54&lt;EOMONTH(TODAY(),-1)+1)*(ISNUMBER(R$55:$AF$161)),R$55:$AF$161)=0,"",SUMPRODUCT(($B$55:$B$161=AM117)*(S$54:$AG$54&lt;EOMONTH(TODAY(),-1)+1)*(ISNUMBER(R$55:$AF$161)),R$55:$AF$161)))</f>
        <v/>
      </c>
    </row>
    <row r="118" spans="1:42" x14ac:dyDescent="0.3">
      <c r="A118" s="753" t="s">
        <v>78</v>
      </c>
      <c r="B118" s="753" t="s">
        <v>559</v>
      </c>
      <c r="C118" s="751"/>
      <c r="D118" s="754">
        <v>1</v>
      </c>
      <c r="E118" s="755" t="str">
        <f t="shared" ref="E118:E144" si="100">_xlfn.XLOOKUP(B118,$B$353:$B$399,$E$353:$E$399)</f>
        <v>OK</v>
      </c>
      <c r="F118" s="755"/>
      <c r="G118" s="638"/>
      <c r="H118" s="293" t="s">
        <v>1416</v>
      </c>
      <c r="I118" s="106" t="s">
        <v>287</v>
      </c>
      <c r="J118" s="106" t="s">
        <v>388</v>
      </c>
      <c r="K118" s="106" t="s">
        <v>388</v>
      </c>
      <c r="L118" s="107">
        <f t="shared" ref="L118:L133" si="101">(COUNTIF(I118:K118,"OK"))*33.333333/100</f>
        <v>0.33333333000000004</v>
      </c>
      <c r="M118" s="900" t="s">
        <v>1417</v>
      </c>
      <c r="N118" s="901"/>
      <c r="O118" s="901"/>
      <c r="P118" s="107"/>
      <c r="Q118" s="107"/>
      <c r="R118" s="505" t="s">
        <v>107</v>
      </c>
      <c r="S118" s="154">
        <f>SUMIF($Q$55:$Q$114,$R$118,S55:S114)</f>
        <v>122331.07</v>
      </c>
      <c r="T118" s="154">
        <f>SUMIF($Q$55:$Q$114,$R$118,T55:T114)</f>
        <v>349293.66000000003</v>
      </c>
      <c r="U118" s="154">
        <f>SUMIF($Q$55:$Q$114,$R$118,U55:U114)</f>
        <v>266462.88999999996</v>
      </c>
      <c r="V118" s="154">
        <f>SUMIF($Q$55:$Q$114,$R$118,W55:W114)</f>
        <v>153037.47</v>
      </c>
      <c r="W118" s="154">
        <f>SUMIF($Q$55:$Q$114,$R$118,X55:X114)</f>
        <v>302975.02</v>
      </c>
      <c r="X118" s="154">
        <f>SUMIF($Q$55:$Q$114,$R$118,Y55:Y114)</f>
        <v>0</v>
      </c>
      <c r="Y118" s="154">
        <f>SUMIF($Q$55:$Q$114,$R$118,AA55:AA114)</f>
        <v>0</v>
      </c>
      <c r="Z118" s="154">
        <f>SUMIF($Q$55:$Q$114,$R$118,AB55:AB114)</f>
        <v>0</v>
      </c>
      <c r="AA118" s="154">
        <f>SUMIF($Q$55:$Q$114,$R$118,AC55:AC114)</f>
        <v>0</v>
      </c>
      <c r="AB118" s="154">
        <f>SUMIF($Q$55:$Q$114,$R$118,AE55:AE114)</f>
        <v>0</v>
      </c>
      <c r="AC118" s="154">
        <f>SUMIF($Q$55:$Q$114,$R$118,AF55:AF114)</f>
        <v>0</v>
      </c>
      <c r="AD118" s="154">
        <f>SUMIF($Q$55:$Q$114,$R$118,AG55:AG114)</f>
        <v>0</v>
      </c>
      <c r="AE118" s="154">
        <f>SUM(S118:AD118)</f>
        <v>1194100.1099999999</v>
      </c>
      <c r="AF118" s="47"/>
      <c r="AG118" s="47"/>
      <c r="AH118" s="47"/>
      <c r="AL118" s="47"/>
      <c r="AO118" s="543" t="str" cm="1">
        <f t="array" aca="1" ref="AO118" ca="1">IF(OR(AM118="",AM118=0),"",IF(SUMPRODUCT(($B$55:$B$161=AM118)*($S$54:AG$54&lt;=TODAY())*(ISNUMBER($R$56:AF$162)),$R$56:AF$162)=0,"",SUMPRODUCT(($B$55:$B$161=AM118)*($S$54:AG$54&lt;=TODAY())*(ISNUMBER($R$56:AF$162)),$R$56:AF$162)))</f>
        <v/>
      </c>
    </row>
    <row r="119" spans="1:42" x14ac:dyDescent="0.3">
      <c r="A119" s="112" t="s">
        <v>81</v>
      </c>
      <c r="B119" s="112" t="s">
        <v>563</v>
      </c>
      <c r="C119" s="333"/>
      <c r="D119" s="721">
        <v>1</v>
      </c>
      <c r="E119" s="752" t="str">
        <f t="shared" si="100"/>
        <v>OK</v>
      </c>
      <c r="F119" s="752"/>
      <c r="G119" s="638"/>
      <c r="H119" s="205" t="s">
        <v>1418</v>
      </c>
      <c r="I119" s="106" t="s">
        <v>287</v>
      </c>
      <c r="J119" s="109" t="s">
        <v>388</v>
      </c>
      <c r="K119" s="109" t="s">
        <v>388</v>
      </c>
      <c r="L119" s="110">
        <f t="shared" si="101"/>
        <v>0.33333333000000004</v>
      </c>
      <c r="M119" s="902" t="s">
        <v>1419</v>
      </c>
      <c r="N119" s="903"/>
      <c r="O119" s="903"/>
      <c r="P119" s="110"/>
      <c r="Q119" s="110"/>
      <c r="R119" s="506" t="s">
        <v>566</v>
      </c>
      <c r="S119" s="160" cm="1">
        <f t="array" ref="S119">SUMPRODUCT(
($G$55:$G$114&lt;&gt;"")*
($G$55:$G$114&lt;=S$116)*
(($H$55:$H$114="")+($H$55:$H$114&gt;=S$116))
)</f>
        <v>7</v>
      </c>
      <c r="T119" s="160" cm="1">
        <f t="array" ref="T119">SUMPRODUCT(
($G$55:$G$114&lt;&gt;"")*
($G$55:$G$114&lt;=T$116)*
(($H$55:$H$114="")+($H$55:$H$114&gt;=T$116))
)</f>
        <v>12</v>
      </c>
      <c r="U119" s="160" cm="1">
        <f t="array" ref="U119">SUMPRODUCT(
($G$55:$G$114&lt;&gt;"")*
($G$55:$G$114&lt;=U$116)*
(($H$55:$H$114="")+($H$55:$H$114&gt;=U$116))
)</f>
        <v>14</v>
      </c>
      <c r="V119" s="160" cm="1">
        <f t="array" ref="V119">SUMPRODUCT(
($G$55:$G$114&lt;&gt;"")*
($G$55:$G$114&lt;=V$116)*
(($H$55:$H$114="")+($H$55:$H$114&gt;=V$116))
)</f>
        <v>10</v>
      </c>
      <c r="W119" s="160" cm="1">
        <f t="array" ref="W119">SUMPRODUCT(
($G$55:$G$114&lt;&gt;"")*
($G$55:$G$114&lt;=W$116)*
(($H$55:$H$114="")+($H$55:$H$114&gt;=W$116))
)</f>
        <v>10</v>
      </c>
      <c r="X119" s="160" cm="1">
        <f t="array" ref="X119">SUMPRODUCT(
($G$55:$G$114&lt;&gt;"")*
($G$55:$G$114&lt;=X$116)*
(($H$55:$H$114="")+($H$55:$H$114&gt;=X$116))
)</f>
        <v>7</v>
      </c>
      <c r="Y119" s="160" cm="1">
        <f t="array" ref="Y119">SUMPRODUCT(
($G$55:$G$114&lt;&gt;"")*
($G$55:$G$114&lt;=Y$116)*
(($H$55:$H$114="")+($H$55:$H$114&gt;=Y$116))
)</f>
        <v>5</v>
      </c>
      <c r="Z119" s="160" cm="1">
        <f t="array" ref="Z119">SUMPRODUCT(
($G$55:$G$114&lt;&gt;"")*
($G$55:$G$114&lt;=Z$116)*
(($H$55:$H$114="")+($H$55:$H$114&gt;=Z$116))
)</f>
        <v>5</v>
      </c>
      <c r="AA119" s="160" cm="1">
        <f t="array" ref="AA119">SUMPRODUCT(
($G$55:$G$114&lt;&gt;"")*
($G$55:$G$114&lt;=AA$116)*
(($H$55:$H$114="")+($H$55:$H$114&gt;=AA$116))
)</f>
        <v>3</v>
      </c>
      <c r="AB119" s="160" cm="1">
        <f t="array" ref="AB119">SUMPRODUCT(
($G$55:$G$114&lt;&gt;"")*
($G$55:$G$114&lt;=AB$116)*
(($H$55:$H$114="")+($H$55:$H$114&gt;=AB$116))
)</f>
        <v>3</v>
      </c>
      <c r="AC119" s="160" cm="1">
        <f t="array" ref="AC119">SUMPRODUCT(
($G$55:$G$114&lt;&gt;"")*
($G$55:$G$114&lt;=AC$116)*
(($H$55:$H$114="")+($H$55:$H$114&gt;=AC$116))
)</f>
        <v>3</v>
      </c>
      <c r="AD119" s="160" cm="1">
        <f t="array" ref="AD119">SUMPRODUCT(
($G$55:$G$114&lt;&gt;"")*
($G$55:$G$114&lt;=AD$116)*
(($H$55:$H$114="")+($H$55:$H$114&gt;=AD$116))
)</f>
        <v>3</v>
      </c>
      <c r="AE119" s="160"/>
      <c r="AF119" s="47"/>
      <c r="AG119" s="47"/>
      <c r="AH119" s="47"/>
      <c r="AL119" s="47"/>
      <c r="AO119" s="543" t="str" cm="1">
        <f t="array" aca="1" ref="AO119" ca="1">IF(OR(AM119="",AM119=0),"",IF(SUMPRODUCT(($B$55:$B$161=AM119)*(S$54:$AG$54&lt;EOMONTH(TODAY(),-1)+1)*(ISNUMBER(R$55:$AF$161)),R$55:$AF$161)=0,"",SUMPRODUCT(($B$55:$B$161=AM119)*(S$54:$AG$54&lt;EOMONTH(TODAY(),-1)+1)*(ISNUMBER(R$55:$AF$161)),R$55:$AF$161)))</f>
        <v/>
      </c>
    </row>
    <row r="120" spans="1:42" x14ac:dyDescent="0.3">
      <c r="A120" s="753" t="s">
        <v>81</v>
      </c>
      <c r="B120" s="753" t="s">
        <v>567</v>
      </c>
      <c r="C120" s="751"/>
      <c r="D120" s="754">
        <v>1</v>
      </c>
      <c r="E120" s="755" t="str">
        <f t="shared" ref="E120:E128" si="102">_xlfn.XLOOKUP(B120,$B$353:$B$399,$E$353:$E$399)</f>
        <v>OK</v>
      </c>
      <c r="F120" s="755"/>
      <c r="G120" s="637"/>
      <c r="H120" s="293" t="s">
        <v>1420</v>
      </c>
      <c r="I120" s="106" t="s">
        <v>287</v>
      </c>
      <c r="J120" s="106" t="s">
        <v>388</v>
      </c>
      <c r="K120" s="106" t="s">
        <v>388</v>
      </c>
      <c r="L120" s="107">
        <f t="shared" si="101"/>
        <v>0.33333333000000004</v>
      </c>
      <c r="M120" s="900" t="s">
        <v>1421</v>
      </c>
      <c r="N120" s="901"/>
      <c r="O120" s="901"/>
      <c r="P120" s="107" t="s">
        <v>25</v>
      </c>
      <c r="Q120" s="107"/>
      <c r="R120" s="505" t="s">
        <v>570</v>
      </c>
      <c r="S120" s="154">
        <f>S117</f>
        <v>162381.75666666665</v>
      </c>
      <c r="T120" s="154">
        <f>S120+T117</f>
        <v>343915.2406060606</v>
      </c>
      <c r="U120" s="154">
        <f t="shared" ref="U120:AD121" si="103">T120+U117</f>
        <v>525448.72454545449</v>
      </c>
      <c r="V120" s="154">
        <f t="shared" si="103"/>
        <v>707737.764040404</v>
      </c>
      <c r="W120" s="154">
        <f t="shared" si="103"/>
        <v>890026.80353535351</v>
      </c>
      <c r="X120" s="154">
        <f t="shared" si="103"/>
        <v>1072315.843030303</v>
      </c>
      <c r="Y120" s="154">
        <f t="shared" si="103"/>
        <v>1376775.8358585858</v>
      </c>
      <c r="Z120" s="154">
        <f t="shared" si="103"/>
        <v>1819235.8286868688</v>
      </c>
      <c r="AA120" s="154">
        <f t="shared" si="103"/>
        <v>2261695.8215151518</v>
      </c>
      <c r="AB120" s="154">
        <f t="shared" si="103"/>
        <v>2704155.8143434348</v>
      </c>
      <c r="AC120" s="154">
        <f t="shared" si="103"/>
        <v>3146615.8071717178</v>
      </c>
      <c r="AD120" s="154">
        <f t="shared" si="103"/>
        <v>3589075.8000000007</v>
      </c>
      <c r="AE120" s="154"/>
      <c r="AF120" s="47"/>
      <c r="AG120" s="47"/>
      <c r="AH120" s="47"/>
      <c r="AL120" s="47"/>
      <c r="AO120" s="543" t="str" cm="1">
        <f t="array" aca="1" ref="AO120" ca="1">IF(OR(AM120="",AM120=0),"",IF(SUMPRODUCT(($B$55:$B$161=AM120)*($S$54:AG$54&lt;=TODAY())*(ISNUMBER($R$56:AF$162)),$R$56:AF$162)=0,"",SUMPRODUCT(($B$55:$B$161=AM120)*($S$54:AG$54&lt;=TODAY())*(ISNUMBER($R$56:AF$162)),$R$56:AF$162)))</f>
        <v/>
      </c>
    </row>
    <row r="121" spans="1:42" ht="14.85" customHeight="1" x14ac:dyDescent="0.3">
      <c r="A121" s="112" t="s">
        <v>81</v>
      </c>
      <c r="B121" s="112" t="s">
        <v>571</v>
      </c>
      <c r="C121" s="333"/>
      <c r="D121" s="721">
        <v>1</v>
      </c>
      <c r="E121" s="752" t="str">
        <f t="shared" si="102"/>
        <v>OK</v>
      </c>
      <c r="F121" s="752"/>
      <c r="G121" s="638"/>
      <c r="H121" s="205" t="s">
        <v>1422</v>
      </c>
      <c r="I121" s="109" t="s">
        <v>287</v>
      </c>
      <c r="J121" s="109" t="s">
        <v>388</v>
      </c>
      <c r="K121" s="109" t="s">
        <v>388</v>
      </c>
      <c r="L121" s="110">
        <f t="shared" si="101"/>
        <v>0.33333333000000004</v>
      </c>
      <c r="M121" s="902" t="s">
        <v>1423</v>
      </c>
      <c r="N121" s="903"/>
      <c r="O121" s="903"/>
      <c r="P121" s="110" t="s">
        <v>25</v>
      </c>
      <c r="Q121" s="110"/>
      <c r="R121" s="506" t="s">
        <v>574</v>
      </c>
      <c r="S121" s="507">
        <f>S118</f>
        <v>122331.07</v>
      </c>
      <c r="T121" s="507">
        <f>S121+T118</f>
        <v>471624.73000000004</v>
      </c>
      <c r="U121" s="507">
        <f t="shared" si="103"/>
        <v>738087.62</v>
      </c>
      <c r="V121" s="507">
        <f t="shared" si="103"/>
        <v>891125.09</v>
      </c>
      <c r="W121" s="507">
        <f t="shared" si="103"/>
        <v>1194100.1099999999</v>
      </c>
      <c r="X121" s="507">
        <f t="shared" si="103"/>
        <v>1194100.1099999999</v>
      </c>
      <c r="Y121" s="507">
        <f t="shared" si="103"/>
        <v>1194100.1099999999</v>
      </c>
      <c r="Z121" s="507">
        <f t="shared" si="103"/>
        <v>1194100.1099999999</v>
      </c>
      <c r="AA121" s="507">
        <f t="shared" si="103"/>
        <v>1194100.1099999999</v>
      </c>
      <c r="AB121" s="507">
        <f t="shared" si="103"/>
        <v>1194100.1099999999</v>
      </c>
      <c r="AC121" s="507">
        <f t="shared" si="103"/>
        <v>1194100.1099999999</v>
      </c>
      <c r="AD121" s="507">
        <f t="shared" si="103"/>
        <v>1194100.1099999999</v>
      </c>
      <c r="AE121" s="507"/>
      <c r="AF121" s="47"/>
      <c r="AG121" s="47"/>
      <c r="AH121" s="47"/>
      <c r="AL121" s="47"/>
      <c r="AO121" s="543" t="str" cm="1">
        <f t="array" aca="1" ref="AO121" ca="1">IF(OR(AM121="",AM121=0),"",IF(SUMPRODUCT(($B$55:$B$161=AM121)*(S$54:$AG$54&lt;EOMONTH(TODAY(),-1)+1)*(ISNUMBER(R$55:$AF$161)),R$55:$AF$161)=0,"",SUMPRODUCT(($B$55:$B$161=AM121)*(S$54:$AG$54&lt;EOMONTH(TODAY(),-1)+1)*(ISNUMBER(R$55:$AF$161)),R$55:$AF$161)))</f>
        <v/>
      </c>
    </row>
    <row r="122" spans="1:42" ht="14.85" customHeight="1" x14ac:dyDescent="0.3">
      <c r="A122" s="753" t="s">
        <v>81</v>
      </c>
      <c r="B122" s="753" t="s">
        <v>575</v>
      </c>
      <c r="C122" s="751"/>
      <c r="D122" s="754">
        <v>1</v>
      </c>
      <c r="E122" s="755" t="str">
        <f t="shared" si="102"/>
        <v>NOK</v>
      </c>
      <c r="F122" s="755"/>
      <c r="G122" s="638"/>
      <c r="H122" s="293" t="s">
        <v>1424</v>
      </c>
      <c r="I122" s="106" t="s">
        <v>287</v>
      </c>
      <c r="J122" s="106" t="s">
        <v>388</v>
      </c>
      <c r="K122" s="106" t="s">
        <v>388</v>
      </c>
      <c r="L122" s="107">
        <f t="shared" si="101"/>
        <v>0.33333333000000004</v>
      </c>
      <c r="M122" s="900" t="s">
        <v>1425</v>
      </c>
      <c r="N122" s="901"/>
      <c r="O122" s="901"/>
      <c r="P122" s="107" t="s">
        <v>25</v>
      </c>
      <c r="Q122" s="107"/>
      <c r="R122" s="505" t="s">
        <v>578</v>
      </c>
      <c r="S122" s="154">
        <f>IF(AND(ISNUMBER(S118),S118&lt;&gt;0), S121, R122 + (($A$5 - MAX($S$169:$AD$169)) / COUNTIF($S$166:$AD$166,0)))</f>
        <v>122331.07</v>
      </c>
      <c r="T122" s="154">
        <f t="shared" ref="T122:AD122" si="104">IF(AND(ISNUMBER(T118),T118&lt;&gt;0), T121, S122 + (($A$5 - MAX($S$121:$AD$121)) / COUNTIF($S$118:$AD$118,0)))</f>
        <v>471624.73000000004</v>
      </c>
      <c r="U122" s="154">
        <f t="shared" si="104"/>
        <v>738087.62</v>
      </c>
      <c r="V122" s="154">
        <f t="shared" si="104"/>
        <v>891125.09</v>
      </c>
      <c r="W122" s="154">
        <f t="shared" si="104"/>
        <v>1194100.1099999999</v>
      </c>
      <c r="X122" s="154">
        <f t="shared" si="104"/>
        <v>2933085.8085714285</v>
      </c>
      <c r="Y122" s="154">
        <f t="shared" si="104"/>
        <v>4672071.5071428567</v>
      </c>
      <c r="Z122" s="154">
        <f t="shared" si="104"/>
        <v>6411057.2057142854</v>
      </c>
      <c r="AA122" s="154">
        <f t="shared" si="104"/>
        <v>8150042.904285714</v>
      </c>
      <c r="AB122" s="154">
        <f t="shared" si="104"/>
        <v>9889028.6028571427</v>
      </c>
      <c r="AC122" s="154">
        <f t="shared" si="104"/>
        <v>11628014.301428571</v>
      </c>
      <c r="AD122" s="154">
        <f t="shared" si="104"/>
        <v>13367000</v>
      </c>
      <c r="AE122" s="47"/>
      <c r="AF122" s="47"/>
      <c r="AG122" s="47"/>
      <c r="AH122" s="47"/>
      <c r="AL122" s="47"/>
      <c r="AO122" s="543" t="str" cm="1">
        <f t="array" aca="1" ref="AO122" ca="1">IF(OR(AM122="",AM122=0),"",IF(SUMPRODUCT(($B$55:$B$161=AM122)*($S$54:AG$54&lt;=TODAY())*(ISNUMBER($R$56:AF$162)),$R$56:AF$162)=0,"",SUMPRODUCT(($B$55:$B$161=AM122)*($S$54:AG$54&lt;=TODAY())*(ISNUMBER($R$56:AF$162)),$R$56:AF$162)))</f>
        <v/>
      </c>
    </row>
    <row r="123" spans="1:42" x14ac:dyDescent="0.3">
      <c r="A123" s="112" t="s">
        <v>81</v>
      </c>
      <c r="B123" s="112" t="s">
        <v>579</v>
      </c>
      <c r="C123" s="333"/>
      <c r="D123" s="721">
        <v>1</v>
      </c>
      <c r="E123" s="752" t="str">
        <f t="shared" si="102"/>
        <v>NOK</v>
      </c>
      <c r="F123" s="752"/>
      <c r="G123" s="638"/>
      <c r="H123" s="205" t="s">
        <v>1426</v>
      </c>
      <c r="I123" s="109" t="s">
        <v>287</v>
      </c>
      <c r="J123" s="109" t="s">
        <v>388</v>
      </c>
      <c r="K123" s="109" t="s">
        <v>388</v>
      </c>
      <c r="L123" s="110">
        <f t="shared" si="101"/>
        <v>0.33333333000000004</v>
      </c>
      <c r="M123" s="902" t="s">
        <v>1427</v>
      </c>
      <c r="N123" s="903"/>
      <c r="O123" s="903"/>
      <c r="P123" s="110" t="s">
        <v>25</v>
      </c>
      <c r="Q123" s="110"/>
      <c r="R123" s="47"/>
      <c r="S123" s="47"/>
      <c r="T123" s="47"/>
      <c r="U123" s="47"/>
      <c r="V123" s="47"/>
      <c r="W123" s="47"/>
      <c r="X123" s="47"/>
      <c r="Y123" s="47"/>
      <c r="Z123" s="47"/>
      <c r="AA123" s="47"/>
      <c r="AB123" s="47"/>
      <c r="AC123" s="47"/>
      <c r="AD123" s="47"/>
      <c r="AE123" s="47"/>
      <c r="AF123" s="47"/>
      <c r="AG123" s="47"/>
      <c r="AH123" s="47"/>
      <c r="AL123" s="47"/>
      <c r="AO123" s="543" t="str" cm="1">
        <f t="array" aca="1" ref="AO123" ca="1">IF(OR(AM123="",AM123=0),"",IF(SUMPRODUCT(($B$55:$B$161=AM123)*(S$54:$AG$54&lt;EOMONTH(TODAY(),-1)+1)*(ISNUMBER(R$55:$AF$161)),R$55:$AF$161)=0,"",SUMPRODUCT(($B$55:$B$161=AM123)*(S$54:$AG$54&lt;EOMONTH(TODAY(),-1)+1)*(ISNUMBER(R$55:$AF$161)),R$55:$AF$161)))</f>
        <v/>
      </c>
    </row>
    <row r="124" spans="1:42" x14ac:dyDescent="0.3">
      <c r="A124" s="753" t="s">
        <v>81</v>
      </c>
      <c r="B124" s="753" t="s">
        <v>583</v>
      </c>
      <c r="C124" s="751"/>
      <c r="D124" s="754">
        <v>1</v>
      </c>
      <c r="E124" s="755" t="str">
        <f t="shared" si="102"/>
        <v>OK</v>
      </c>
      <c r="F124" s="755"/>
      <c r="G124" s="638"/>
      <c r="H124" s="293" t="s">
        <v>1428</v>
      </c>
      <c r="I124" s="109" t="s">
        <v>287</v>
      </c>
      <c r="J124" s="106" t="s">
        <v>388</v>
      </c>
      <c r="K124" s="106" t="s">
        <v>388</v>
      </c>
      <c r="L124" s="107">
        <f t="shared" si="101"/>
        <v>0.33333333000000004</v>
      </c>
      <c r="M124" s="900" t="s">
        <v>1429</v>
      </c>
      <c r="N124" s="901"/>
      <c r="O124" s="901"/>
      <c r="P124" s="107"/>
      <c r="Q124" s="107"/>
      <c r="R124" s="47"/>
      <c r="S124" s="47"/>
      <c r="T124" s="47"/>
      <c r="U124" s="47"/>
      <c r="V124" s="47"/>
      <c r="W124" s="47"/>
      <c r="X124" s="47"/>
      <c r="Y124" s="47"/>
      <c r="Z124" s="47"/>
      <c r="AA124" s="47"/>
      <c r="AB124" s="47"/>
      <c r="AC124" s="47"/>
      <c r="AD124" s="47"/>
      <c r="AE124" s="47"/>
      <c r="AF124" s="47"/>
      <c r="AG124" s="47"/>
      <c r="AH124" s="47"/>
      <c r="AL124" s="47"/>
      <c r="AO124" s="543" t="str" cm="1">
        <f t="array" aca="1" ref="AO124" ca="1">IF(OR(AM124="",AM124=0),"",IF(SUMPRODUCT(($B$55:$B$161=AM124)*($S$54:AG$54&lt;=TODAY())*(ISNUMBER($R$56:AF$162)),$R$56:AF$162)=0,"",SUMPRODUCT(($B$55:$B$161=AM124)*($S$54:AG$54&lt;=TODAY())*(ISNUMBER($R$56:AF$162)),$R$56:AF$162)))</f>
        <v/>
      </c>
    </row>
    <row r="125" spans="1:42" x14ac:dyDescent="0.3">
      <c r="A125" s="112" t="s">
        <v>81</v>
      </c>
      <c r="B125" s="112" t="s">
        <v>587</v>
      </c>
      <c r="C125" s="333"/>
      <c r="D125" s="721">
        <v>1</v>
      </c>
      <c r="E125" s="752" t="str">
        <f t="shared" si="102"/>
        <v>OK</v>
      </c>
      <c r="F125" s="752"/>
      <c r="G125" s="638"/>
      <c r="H125" s="205" t="s">
        <v>1430</v>
      </c>
      <c r="I125" s="109" t="s">
        <v>287</v>
      </c>
      <c r="J125" s="109" t="s">
        <v>388</v>
      </c>
      <c r="K125" s="109" t="s">
        <v>388</v>
      </c>
      <c r="L125" s="110">
        <f t="shared" si="101"/>
        <v>0.33333333000000004</v>
      </c>
      <c r="M125" s="902" t="s">
        <v>1431</v>
      </c>
      <c r="N125" s="903"/>
      <c r="O125" s="903"/>
      <c r="P125" s="110"/>
      <c r="Q125" s="110"/>
      <c r="R125" s="47"/>
      <c r="S125" s="47"/>
      <c r="T125" s="47"/>
      <c r="U125" s="47"/>
      <c r="V125" s="47"/>
      <c r="W125" s="47"/>
      <c r="X125" s="47"/>
      <c r="Y125" s="47"/>
      <c r="Z125" s="47"/>
      <c r="AA125" s="47"/>
      <c r="AB125" s="47"/>
      <c r="AC125" s="47"/>
      <c r="AD125" s="47"/>
      <c r="AE125" s="47"/>
      <c r="AF125" s="47"/>
      <c r="AG125" s="47"/>
      <c r="AH125" s="47"/>
      <c r="AL125" s="47"/>
      <c r="AO125" s="543" t="str" cm="1">
        <f t="array" aca="1" ref="AO125" ca="1">IF(OR(AM125="",AM125=0),"",IF(SUMPRODUCT(($B$55:$B$161=AM125)*(S$54:$AG$54&lt;EOMONTH(TODAY(),-1)+1)*(ISNUMBER(R$55:$AF$161)),R$55:$AF$161)=0,"",SUMPRODUCT(($B$55:$B$161=AM125)*(S$54:$AG$54&lt;EOMONTH(TODAY(),-1)+1)*(ISNUMBER(R$55:$AF$161)),R$55:$AF$161)))</f>
        <v/>
      </c>
    </row>
    <row r="126" spans="1:42" ht="14.85" customHeight="1" x14ac:dyDescent="0.3">
      <c r="A126" s="753" t="s">
        <v>81</v>
      </c>
      <c r="B126" s="753" t="s">
        <v>590</v>
      </c>
      <c r="C126" s="751"/>
      <c r="D126" s="754">
        <v>1</v>
      </c>
      <c r="E126" s="755" t="str">
        <f t="shared" si="102"/>
        <v>OK</v>
      </c>
      <c r="F126" s="755"/>
      <c r="G126" s="638"/>
      <c r="H126" s="293" t="s">
        <v>1432</v>
      </c>
      <c r="I126" s="106" t="s">
        <v>287</v>
      </c>
      <c r="J126" s="106" t="s">
        <v>388</v>
      </c>
      <c r="K126" s="106" t="s">
        <v>388</v>
      </c>
      <c r="L126" s="107">
        <f t="shared" si="101"/>
        <v>0.33333333000000004</v>
      </c>
      <c r="M126" s="900" t="s">
        <v>1433</v>
      </c>
      <c r="N126" s="901"/>
      <c r="O126" s="901"/>
      <c r="P126" s="107" t="s">
        <v>22</v>
      </c>
      <c r="Q126" s="107"/>
      <c r="R126" s="47"/>
      <c r="S126" s="47"/>
      <c r="T126" s="47"/>
      <c r="U126" s="47"/>
      <c r="V126" s="47"/>
      <c r="W126" s="47"/>
      <c r="X126" s="47"/>
      <c r="Y126" s="47"/>
      <c r="Z126" s="47"/>
      <c r="AA126" s="47"/>
      <c r="AB126" s="47"/>
      <c r="AC126" s="47"/>
      <c r="AD126" s="47"/>
      <c r="AE126" s="47"/>
      <c r="AF126" s="47"/>
      <c r="AG126" s="47"/>
      <c r="AH126" s="47"/>
      <c r="AL126" s="47"/>
      <c r="AO126" s="543" t="str" cm="1">
        <f t="array" aca="1" ref="AO126" ca="1">IF(OR(AM126="",AM126=0),"",IF(SUMPRODUCT(($B$55:$B$161=AM126)*($S$54:AG$54&lt;=TODAY())*(ISNUMBER($R$56:AF$162)),$R$56:AF$162)=0,"",SUMPRODUCT(($B$55:$B$161=AM126)*($S$54:AG$54&lt;=TODAY())*(ISNUMBER($R$56:AF$162)),$R$56:AF$162)))</f>
        <v/>
      </c>
    </row>
    <row r="127" spans="1:42" ht="14.85" customHeight="1" x14ac:dyDescent="0.3">
      <c r="A127" s="112" t="s">
        <v>81</v>
      </c>
      <c r="B127" s="112" t="s">
        <v>593</v>
      </c>
      <c r="C127" s="333"/>
      <c r="D127" s="721">
        <v>1</v>
      </c>
      <c r="E127" s="752" t="str">
        <f t="shared" si="102"/>
        <v>OK</v>
      </c>
      <c r="F127" s="752"/>
      <c r="G127" s="633"/>
      <c r="H127" s="205" t="s">
        <v>1434</v>
      </c>
      <c r="I127" s="109" t="s">
        <v>287</v>
      </c>
      <c r="J127" s="109" t="s">
        <v>388</v>
      </c>
      <c r="K127" s="109" t="s">
        <v>388</v>
      </c>
      <c r="L127" s="110">
        <f t="shared" si="101"/>
        <v>0.33333333000000004</v>
      </c>
      <c r="M127" s="902" t="s">
        <v>1435</v>
      </c>
      <c r="N127" s="903"/>
      <c r="O127" s="903"/>
      <c r="P127" s="110" t="s">
        <v>22</v>
      </c>
      <c r="Q127" s="110"/>
      <c r="R127" s="47"/>
      <c r="S127" s="47"/>
      <c r="T127" s="47"/>
      <c r="U127" s="47"/>
      <c r="V127" s="47"/>
      <c r="W127" s="47"/>
      <c r="X127" s="47"/>
      <c r="Y127" s="47"/>
      <c r="Z127" s="47"/>
      <c r="AA127" s="47"/>
      <c r="AB127" s="47"/>
      <c r="AC127" s="47"/>
      <c r="AD127" s="47"/>
      <c r="AE127" s="47"/>
      <c r="AF127" s="47"/>
      <c r="AG127" s="47"/>
      <c r="AH127" s="47"/>
      <c r="AL127" s="47"/>
      <c r="AO127" s="543" t="str" cm="1">
        <f t="array" aca="1" ref="AO127" ca="1">IF(OR(AM127="",AM127=0),"",IF(SUMPRODUCT(($B$55:$B$161=AM127)*(S$54:$AG$54&lt;EOMONTH(TODAY(),-1)+1)*(ISNUMBER(R$55:$AF$161)),R$55:$AF$161)=0,"",SUMPRODUCT(($B$55:$B$161=AM127)*(S$54:$AG$54&lt;EOMONTH(TODAY(),-1)+1)*(ISNUMBER(R$55:$AF$161)),R$55:$AF$161)))</f>
        <v/>
      </c>
    </row>
    <row r="128" spans="1:42" x14ac:dyDescent="0.3">
      <c r="A128" s="753" t="s">
        <v>81</v>
      </c>
      <c r="B128" s="753" t="s">
        <v>596</v>
      </c>
      <c r="C128" s="751"/>
      <c r="D128" s="754">
        <v>1</v>
      </c>
      <c r="E128" s="755" t="str">
        <f t="shared" si="102"/>
        <v>OK</v>
      </c>
      <c r="F128" s="755"/>
      <c r="G128" s="634"/>
      <c r="H128" s="959" t="s">
        <v>1436</v>
      </c>
      <c r="I128" s="106" t="s">
        <v>388</v>
      </c>
      <c r="J128" s="106" t="s">
        <v>388</v>
      </c>
      <c r="K128" s="106" t="s">
        <v>388</v>
      </c>
      <c r="L128" s="107">
        <f t="shared" si="101"/>
        <v>0</v>
      </c>
      <c r="M128" s="900" t="s">
        <v>1437</v>
      </c>
      <c r="N128" s="901"/>
      <c r="O128" s="901"/>
      <c r="P128" s="107" t="s">
        <v>1438</v>
      </c>
      <c r="Q128" s="107"/>
      <c r="R128" s="47"/>
      <c r="S128" s="47"/>
      <c r="T128" s="47"/>
      <c r="U128" s="47"/>
      <c r="V128" s="47"/>
      <c r="W128" s="47"/>
      <c r="X128" s="47"/>
      <c r="Y128" s="47"/>
      <c r="Z128" s="47"/>
      <c r="AA128" s="47"/>
      <c r="AB128" s="47"/>
      <c r="AC128" s="47"/>
      <c r="AD128" s="47"/>
      <c r="AE128" s="47"/>
      <c r="AF128" s="47"/>
      <c r="AG128" s="47"/>
      <c r="AH128" s="47"/>
      <c r="AL128" s="47"/>
      <c r="AO128" s="543" t="str" cm="1">
        <f t="array" aca="1" ref="AO128" ca="1">IF(OR(AM128="",AM128=0),"",IF(SUMPRODUCT(($B$55:$B$161=AM128)*($S$54:AG$54&lt;=TODAY())*(ISNUMBER($R$56:AF$162)),$R$56:AF$162)=0,"",SUMPRODUCT(($B$55:$B$161=AM128)*($S$54:AG$54&lt;=TODAY())*(ISNUMBER($R$56:AF$162)),$R$56:AF$162)))</f>
        <v/>
      </c>
    </row>
    <row r="129" spans="1:41" x14ac:dyDescent="0.3">
      <c r="A129" s="112" t="s">
        <v>86</v>
      </c>
      <c r="B129" s="112" t="s">
        <v>599</v>
      </c>
      <c r="C129" s="333"/>
      <c r="D129" s="721">
        <v>1</v>
      </c>
      <c r="E129" s="752" t="str">
        <f t="shared" si="100"/>
        <v>OK</v>
      </c>
      <c r="F129" s="752"/>
      <c r="G129" s="634"/>
      <c r="H129" s="960" t="s">
        <v>1439</v>
      </c>
      <c r="I129" s="109" t="s">
        <v>388</v>
      </c>
      <c r="J129" s="109" t="s">
        <v>388</v>
      </c>
      <c r="K129" s="109" t="s">
        <v>388</v>
      </c>
      <c r="L129" s="110">
        <f t="shared" si="101"/>
        <v>0</v>
      </c>
      <c r="M129" s="902" t="s">
        <v>1440</v>
      </c>
      <c r="N129" s="903"/>
      <c r="O129" s="903"/>
      <c r="P129" s="110" t="s">
        <v>1438</v>
      </c>
      <c r="Q129" s="110"/>
      <c r="R129" s="47"/>
      <c r="S129" s="47"/>
      <c r="T129" s="47"/>
      <c r="U129" s="47"/>
      <c r="V129" s="47"/>
      <c r="W129" s="47"/>
      <c r="X129" s="47"/>
      <c r="Y129" s="47"/>
      <c r="Z129" s="47"/>
      <c r="AA129" s="47"/>
      <c r="AB129" s="47"/>
      <c r="AC129" s="47"/>
      <c r="AD129" s="47"/>
      <c r="AE129" s="47"/>
      <c r="AF129" s="47"/>
      <c r="AG129" s="47"/>
      <c r="AH129" s="47"/>
      <c r="AL129" s="47"/>
      <c r="AO129" s="543" t="str" cm="1">
        <f t="array" aca="1" ref="AO129" ca="1">IF(OR(AM129="",AM129=0),"",IF(SUMPRODUCT(($B$55:$B$161=AM129)*(S$54:$AG$54&lt;EOMONTH(TODAY(),-1)+1)*(ISNUMBER(R$55:$AF$161)),R$55:$AF$161)=0,"",SUMPRODUCT(($B$55:$B$161=AM129)*(S$54:$AG$54&lt;EOMONTH(TODAY(),-1)+1)*(ISNUMBER(R$55:$AF$161)),R$55:$AF$161)))</f>
        <v/>
      </c>
    </row>
    <row r="130" spans="1:41" x14ac:dyDescent="0.3">
      <c r="A130" s="753" t="s">
        <v>78</v>
      </c>
      <c r="B130" s="753" t="s">
        <v>602</v>
      </c>
      <c r="C130" s="751"/>
      <c r="D130" s="754">
        <v>2</v>
      </c>
      <c r="E130" s="755" t="str">
        <f t="shared" si="100"/>
        <v>OK</v>
      </c>
      <c r="F130" s="755"/>
      <c r="G130" s="638"/>
      <c r="H130" s="961" t="s">
        <v>1441</v>
      </c>
      <c r="I130" s="106" t="s">
        <v>388</v>
      </c>
      <c r="J130" s="106" t="s">
        <v>388</v>
      </c>
      <c r="K130" s="106" t="s">
        <v>388</v>
      </c>
      <c r="L130" s="107">
        <f t="shared" si="101"/>
        <v>0</v>
      </c>
      <c r="M130" s="900" t="s">
        <v>1442</v>
      </c>
      <c r="N130" s="901"/>
      <c r="O130" s="901"/>
      <c r="P130" s="107" t="s">
        <v>1438</v>
      </c>
      <c r="Q130" s="107"/>
      <c r="R130" s="47"/>
      <c r="S130" s="47"/>
      <c r="T130" s="47"/>
      <c r="U130" s="47"/>
      <c r="V130" s="47"/>
      <c r="W130" s="47"/>
      <c r="X130" s="47"/>
      <c r="Y130" s="47"/>
      <c r="Z130" s="47"/>
      <c r="AA130" s="47"/>
      <c r="AB130" s="47"/>
      <c r="AC130" s="47"/>
      <c r="AD130" s="47"/>
      <c r="AE130" s="47"/>
      <c r="AF130" s="47"/>
      <c r="AG130" s="47"/>
      <c r="AH130" s="47"/>
      <c r="AL130" s="47"/>
      <c r="AO130" s="543" t="str" cm="1">
        <f t="array" aca="1" ref="AO130" ca="1">IF(OR(AM130="",AM130=0),"",IF(SUMPRODUCT(($B$55:$B$161=AM130)*($S$54:AG$54&lt;=TODAY())*(ISNUMBER($R$56:AF$162)),$R$56:AF$162)=0,"",SUMPRODUCT(($B$55:$B$161=AM130)*($S$54:AG$54&lt;=TODAY())*(ISNUMBER($R$56:AF$162)),$R$56:AF$162)))</f>
        <v/>
      </c>
    </row>
    <row r="131" spans="1:41" x14ac:dyDescent="0.3">
      <c r="A131" s="112" t="s">
        <v>81</v>
      </c>
      <c r="B131" s="112" t="s">
        <v>605</v>
      </c>
      <c r="C131" s="333"/>
      <c r="D131" s="721">
        <v>2</v>
      </c>
      <c r="E131" s="752" t="s">
        <v>488</v>
      </c>
      <c r="F131" s="752"/>
      <c r="G131" s="637"/>
      <c r="H131" s="960" t="s">
        <v>1443</v>
      </c>
      <c r="I131" s="109" t="s">
        <v>388</v>
      </c>
      <c r="J131" s="109" t="s">
        <v>388</v>
      </c>
      <c r="K131" s="109" t="s">
        <v>388</v>
      </c>
      <c r="L131" s="110">
        <f t="shared" si="101"/>
        <v>0</v>
      </c>
      <c r="M131" s="902" t="s">
        <v>1444</v>
      </c>
      <c r="N131" s="903"/>
      <c r="O131" s="903"/>
      <c r="P131" s="110" t="s">
        <v>1438</v>
      </c>
      <c r="Q131" s="110"/>
      <c r="R131" s="47"/>
      <c r="S131" s="47"/>
      <c r="T131" s="47"/>
      <c r="U131" s="47"/>
      <c r="V131" s="47"/>
      <c r="W131" s="47"/>
      <c r="X131" s="47"/>
      <c r="Y131" s="47"/>
      <c r="Z131" s="47"/>
      <c r="AA131" s="47"/>
      <c r="AB131" s="47"/>
      <c r="AC131" s="47"/>
      <c r="AD131" s="47"/>
      <c r="AE131" s="47"/>
      <c r="AF131" s="47"/>
      <c r="AG131" s="47"/>
      <c r="AH131" s="47"/>
      <c r="AL131" s="47"/>
      <c r="AO131" s="543" t="str" cm="1">
        <f t="array" aca="1" ref="AO131" ca="1">IF(OR(AM131="",AM131=0),"",IF(SUMPRODUCT(($B$55:$B$161=AM131)*(S$54:$AG$54&lt;EOMONTH(TODAY(),-1)+1)*(ISNUMBER(R$55:$AF$161)),R$55:$AF$161)=0,"",SUMPRODUCT(($B$55:$B$161=AM131)*(S$54:$AG$54&lt;EOMONTH(TODAY(),-1)+1)*(ISNUMBER(R$55:$AF$161)),R$55:$AF$161)))</f>
        <v/>
      </c>
    </row>
    <row r="132" spans="1:41" x14ac:dyDescent="0.3">
      <c r="A132" s="753" t="s">
        <v>81</v>
      </c>
      <c r="B132" s="753" t="s">
        <v>608</v>
      </c>
      <c r="C132" s="751"/>
      <c r="D132" s="754">
        <v>2</v>
      </c>
      <c r="E132" s="755" t="s">
        <v>287</v>
      </c>
      <c r="F132" s="755"/>
      <c r="G132" s="637"/>
      <c r="H132" s="961" t="s">
        <v>1445</v>
      </c>
      <c r="I132" s="106" t="s">
        <v>388</v>
      </c>
      <c r="J132" s="106" t="s">
        <v>388</v>
      </c>
      <c r="K132" s="106" t="s">
        <v>388</v>
      </c>
      <c r="L132" s="107">
        <f t="shared" si="101"/>
        <v>0</v>
      </c>
      <c r="M132" s="900" t="s">
        <v>1446</v>
      </c>
      <c r="N132" s="901"/>
      <c r="O132" s="901"/>
      <c r="P132" s="107" t="s">
        <v>1438</v>
      </c>
      <c r="Q132" s="107"/>
      <c r="R132" s="47"/>
      <c r="S132" s="47"/>
      <c r="T132" s="47"/>
      <c r="U132" s="47"/>
      <c r="V132" s="47"/>
      <c r="W132" s="47"/>
      <c r="X132" s="47"/>
      <c r="Y132" s="47"/>
      <c r="Z132" s="47"/>
      <c r="AA132" s="47"/>
      <c r="AB132" s="47"/>
      <c r="AC132" s="47"/>
      <c r="AD132" s="47"/>
      <c r="AE132" s="47"/>
      <c r="AF132" s="47"/>
      <c r="AG132" s="47"/>
      <c r="AH132" s="47"/>
      <c r="AL132" s="47"/>
      <c r="AO132" s="543" t="str" cm="1">
        <f t="array" aca="1" ref="AO132" ca="1">IF(OR(AM132="",AM132=0),"",IF(SUMPRODUCT(($B$55:$B$161=AM132)*($S$54:AG$54&lt;=TODAY())*(ISNUMBER($R$56:AF$162)),$R$56:AF$162)=0,"",SUMPRODUCT(($B$55:$B$161=AM132)*($S$54:AG$54&lt;=TODAY())*(ISNUMBER($R$56:AF$162)),$R$56:AF$162)))</f>
        <v/>
      </c>
    </row>
    <row r="133" spans="1:41" x14ac:dyDescent="0.3">
      <c r="A133" s="112" t="s">
        <v>84</v>
      </c>
      <c r="B133" s="112" t="s">
        <v>611</v>
      </c>
      <c r="C133" s="333"/>
      <c r="D133" s="721">
        <v>2</v>
      </c>
      <c r="E133" s="752" t="str">
        <f t="shared" si="100"/>
        <v>OK</v>
      </c>
      <c r="F133" s="752"/>
      <c r="G133" s="638"/>
      <c r="H133" s="960" t="s">
        <v>1447</v>
      </c>
      <c r="I133" s="109" t="s">
        <v>388</v>
      </c>
      <c r="J133" s="109" t="s">
        <v>388</v>
      </c>
      <c r="K133" s="109" t="s">
        <v>388</v>
      </c>
      <c r="L133" s="110">
        <f t="shared" si="101"/>
        <v>0</v>
      </c>
      <c r="M133" s="902" t="s">
        <v>1448</v>
      </c>
      <c r="N133" s="903"/>
      <c r="O133" s="903"/>
      <c r="P133" s="110" t="s">
        <v>1438</v>
      </c>
      <c r="Q133" s="110"/>
      <c r="R133" s="47"/>
      <c r="S133" s="47"/>
      <c r="T133" s="47"/>
      <c r="U133" s="47"/>
      <c r="V133" s="47"/>
      <c r="W133" s="47"/>
      <c r="X133" s="47"/>
      <c r="Y133" s="47"/>
      <c r="Z133" s="47"/>
      <c r="AA133" s="47"/>
      <c r="AB133" s="47"/>
      <c r="AC133" s="47"/>
      <c r="AD133" s="47"/>
      <c r="AE133" s="47"/>
      <c r="AF133" s="47"/>
      <c r="AG133" s="47"/>
      <c r="AH133" s="47"/>
      <c r="AL133" s="47"/>
      <c r="AO133" s="543" t="str" cm="1">
        <f t="array" aca="1" ref="AO133" ca="1">IF(OR(AM133="",AM133=0),"",IF(SUMPRODUCT(($B$55:$B$161=AM133)*(S$54:$AG$54&lt;EOMONTH(TODAY(),-1)+1)*(ISNUMBER(R$55:$AF$161)),R$55:$AF$161)=0,"",SUMPRODUCT(($B$55:$B$161=AM133)*(S$54:$AG$54&lt;EOMONTH(TODAY(),-1)+1)*(ISNUMBER(R$55:$AF$161)),R$55:$AF$161)))</f>
        <v/>
      </c>
    </row>
    <row r="134" spans="1:41" x14ac:dyDescent="0.3">
      <c r="A134" s="753" t="s">
        <v>84</v>
      </c>
      <c r="B134" s="753" t="s">
        <v>614</v>
      </c>
      <c r="C134" s="751"/>
      <c r="D134" s="754">
        <v>2</v>
      </c>
      <c r="E134" s="755" t="str">
        <f t="shared" si="100"/>
        <v>OK</v>
      </c>
      <c r="F134" s="755"/>
      <c r="G134" s="639"/>
      <c r="H134" s="293"/>
      <c r="I134" s="106"/>
      <c r="J134" s="106"/>
      <c r="K134" s="106"/>
      <c r="L134" s="107"/>
      <c r="M134" s="900" t="s">
        <v>111</v>
      </c>
      <c r="N134" s="901"/>
      <c r="O134" s="901"/>
      <c r="P134" s="107"/>
      <c r="Q134" s="107"/>
      <c r="R134" s="47"/>
      <c r="S134" s="47"/>
      <c r="T134" s="47"/>
      <c r="U134" s="47"/>
      <c r="V134" s="47"/>
      <c r="W134" s="47"/>
      <c r="X134" s="47"/>
      <c r="Y134" s="47"/>
      <c r="Z134" s="47"/>
      <c r="AA134" s="47"/>
      <c r="AB134" s="47"/>
      <c r="AC134" s="47"/>
      <c r="AD134" s="47"/>
      <c r="AE134" s="47"/>
      <c r="AF134" s="47"/>
      <c r="AG134" s="47"/>
      <c r="AH134" s="47"/>
      <c r="AL134" s="47"/>
      <c r="AO134" s="543" t="str" cm="1">
        <f t="array" aca="1" ref="AO134" ca="1">IF(OR(AM134="",AM134=0),"",IF(SUMPRODUCT(($B$55:$B$161=AM134)*($S$54:AG$54&lt;=TODAY())*(ISNUMBER($R$56:AF$162)),$R$56:AF$162)=0,"",SUMPRODUCT(($B$55:$B$161=AM134)*($S$54:AG$54&lt;=TODAY())*(ISNUMBER($R$56:AF$162)),$R$56:AF$162)))</f>
        <v/>
      </c>
    </row>
    <row r="135" spans="1:41" x14ac:dyDescent="0.3">
      <c r="A135" s="112" t="s">
        <v>84</v>
      </c>
      <c r="B135" s="112" t="s">
        <v>617</v>
      </c>
      <c r="C135" s="333"/>
      <c r="D135" s="721">
        <v>2</v>
      </c>
      <c r="E135" s="752" t="str">
        <f t="shared" si="100"/>
        <v>NOK</v>
      </c>
      <c r="F135" s="752"/>
      <c r="G135" s="638"/>
      <c r="H135" s="205"/>
      <c r="I135" s="109"/>
      <c r="J135" s="109"/>
      <c r="K135" s="109"/>
      <c r="L135" s="110"/>
      <c r="M135" s="902" t="s">
        <v>111</v>
      </c>
      <c r="N135" s="903"/>
      <c r="O135" s="903"/>
      <c r="P135" s="110"/>
      <c r="Q135" s="110"/>
      <c r="R135" s="47"/>
      <c r="S135" s="47"/>
      <c r="T135" s="47"/>
      <c r="U135" s="47"/>
      <c r="V135" s="47"/>
      <c r="W135" s="47"/>
      <c r="X135" s="47"/>
      <c r="Y135" s="47"/>
      <c r="Z135" s="47"/>
      <c r="AA135" s="47"/>
      <c r="AB135" s="47"/>
      <c r="AC135" s="47"/>
      <c r="AD135" s="47"/>
      <c r="AE135" s="47"/>
      <c r="AF135" s="47"/>
      <c r="AG135" s="47"/>
      <c r="AH135" s="47"/>
      <c r="AL135" s="47"/>
      <c r="AO135" s="543" t="str" cm="1">
        <f t="array" aca="1" ref="AO135" ca="1">IF(OR(AM135="",AM135=0),"",IF(SUMPRODUCT(($B$55:$B$161=AM135)*(S$54:$AG$54&lt;EOMONTH(TODAY(),-1)+1)*(ISNUMBER(R$55:$AF$161)),R$55:$AF$161)=0,"",SUMPRODUCT(($B$55:$B$161=AM135)*(S$54:$AG$54&lt;EOMONTH(TODAY(),-1)+1)*(ISNUMBER(R$55:$AF$161)),R$55:$AF$161)))</f>
        <v/>
      </c>
    </row>
    <row r="136" spans="1:41" x14ac:dyDescent="0.3">
      <c r="A136" s="753" t="s">
        <v>84</v>
      </c>
      <c r="B136" s="753" t="s">
        <v>621</v>
      </c>
      <c r="C136" s="751"/>
      <c r="D136" s="754">
        <v>2</v>
      </c>
      <c r="E136" s="755" t="str">
        <f t="shared" si="100"/>
        <v>OK</v>
      </c>
      <c r="F136" s="755"/>
      <c r="G136" s="638"/>
      <c r="H136" s="293"/>
      <c r="I136" s="106"/>
      <c r="J136" s="106"/>
      <c r="K136" s="106"/>
      <c r="L136" s="107"/>
      <c r="M136" s="900" t="s">
        <v>111</v>
      </c>
      <c r="N136" s="901"/>
      <c r="O136" s="901"/>
      <c r="P136" s="107"/>
      <c r="Q136" s="107"/>
      <c r="R136" s="47"/>
      <c r="S136" s="47"/>
      <c r="T136" s="47"/>
      <c r="U136" s="47"/>
      <c r="V136" s="47"/>
      <c r="W136" s="47"/>
      <c r="X136" s="47"/>
      <c r="Y136" s="47"/>
      <c r="Z136" s="47"/>
      <c r="AA136" s="47"/>
      <c r="AB136" s="47"/>
      <c r="AC136" s="47"/>
      <c r="AD136" s="47"/>
      <c r="AE136" s="47"/>
      <c r="AF136" s="47"/>
      <c r="AG136" s="47"/>
      <c r="AH136" s="47"/>
      <c r="AL136" s="47"/>
      <c r="AO136" s="543" t="str" cm="1">
        <f t="array" aca="1" ref="AO136" ca="1">IF(OR(AM136="",AM136=0),"",IF(SUMPRODUCT(($B$55:$B$161=AM136)*($S$54:AG$54&lt;=TODAY())*(ISNUMBER($R$56:AF$162)),$R$56:AF$162)=0,"",SUMPRODUCT(($B$55:$B$161=AM136)*($S$54:AG$54&lt;=TODAY())*(ISNUMBER($R$56:AF$162)),$R$56:AF$162)))</f>
        <v/>
      </c>
    </row>
    <row r="137" spans="1:41" x14ac:dyDescent="0.3">
      <c r="A137" s="112" t="s">
        <v>84</v>
      </c>
      <c r="B137" s="112" t="s">
        <v>624</v>
      </c>
      <c r="C137" s="333"/>
      <c r="D137" s="721">
        <v>2</v>
      </c>
      <c r="E137" s="752" t="s">
        <v>488</v>
      </c>
      <c r="F137" s="752"/>
      <c r="G137" s="638"/>
      <c r="H137" s="205"/>
      <c r="I137" s="109"/>
      <c r="J137" s="109"/>
      <c r="K137" s="109"/>
      <c r="L137" s="110"/>
      <c r="M137" s="902" t="s">
        <v>111</v>
      </c>
      <c r="N137" s="903"/>
      <c r="O137" s="903"/>
      <c r="P137" s="110"/>
      <c r="Q137" s="110"/>
      <c r="R137" s="47"/>
      <c r="S137" s="47"/>
      <c r="T137" s="47"/>
      <c r="U137" s="47"/>
      <c r="V137" s="47"/>
      <c r="W137" s="47"/>
      <c r="X137" s="47"/>
      <c r="Y137" s="47"/>
      <c r="Z137" s="47"/>
      <c r="AA137" s="47"/>
      <c r="AB137" s="47"/>
      <c r="AC137" s="47"/>
      <c r="AD137" s="47"/>
      <c r="AE137" s="47"/>
      <c r="AF137" s="47"/>
      <c r="AG137" s="47"/>
      <c r="AH137" s="47"/>
      <c r="AL137" s="47"/>
      <c r="AO137" s="543" t="str" cm="1">
        <f t="array" aca="1" ref="AO137" ca="1">IF(OR(AM137="",AM137=0),"",IF(SUMPRODUCT(($B$55:$B$161=AM137)*(S$54:$AG$54&lt;EOMONTH(TODAY(),-1)+1)*(ISNUMBER(R$55:$AF$161)),R$55:$AF$161)=0,"",SUMPRODUCT(($B$55:$B$161=AM137)*(S$54:$AG$54&lt;EOMONTH(TODAY(),-1)+1)*(ISNUMBER(R$55:$AF$161)),R$55:$AF$161)))</f>
        <v/>
      </c>
    </row>
    <row r="138" spans="1:41" x14ac:dyDescent="0.3">
      <c r="A138" s="753" t="s">
        <v>84</v>
      </c>
      <c r="B138" s="753" t="s">
        <v>627</v>
      </c>
      <c r="C138" s="751"/>
      <c r="D138" s="754">
        <v>2</v>
      </c>
      <c r="E138" s="755" t="str">
        <f t="shared" si="100"/>
        <v>OK</v>
      </c>
      <c r="F138" s="755"/>
      <c r="G138" s="638"/>
      <c r="H138" s="293"/>
      <c r="I138" s="106"/>
      <c r="J138" s="106"/>
      <c r="K138" s="106"/>
      <c r="L138" s="107"/>
      <c r="M138" s="900" t="s">
        <v>111</v>
      </c>
      <c r="N138" s="901"/>
      <c r="O138" s="901"/>
      <c r="P138" s="107"/>
      <c r="Q138" s="107"/>
      <c r="R138" s="47"/>
      <c r="S138" s="47"/>
      <c r="T138" s="47"/>
      <c r="U138" s="47"/>
      <c r="V138" s="47"/>
      <c r="W138" s="47"/>
      <c r="X138" s="47"/>
      <c r="Y138" s="47"/>
      <c r="Z138" s="47"/>
      <c r="AA138" s="47"/>
      <c r="AB138" s="47"/>
      <c r="AC138" s="47"/>
      <c r="AD138" s="47"/>
      <c r="AE138" s="47"/>
      <c r="AF138" s="47"/>
      <c r="AG138" s="47"/>
      <c r="AH138" s="47"/>
      <c r="AL138" s="47"/>
      <c r="AO138" s="543" t="str" cm="1">
        <f t="array" aca="1" ref="AO138" ca="1">IF(OR(AM138="",AM138=0),"",IF(SUMPRODUCT(($B$55:$B$161=AM138)*($S$54:AG$54&lt;=TODAY())*(ISNUMBER($R$56:AF$162)),$R$56:AF$162)=0,"",SUMPRODUCT(($B$55:$B$161=AM138)*($S$54:AG$54&lt;=TODAY())*(ISNUMBER($R$56:AF$162)),$R$56:AF$162)))</f>
        <v/>
      </c>
    </row>
    <row r="139" spans="1:41" x14ac:dyDescent="0.3">
      <c r="A139" s="112" t="s">
        <v>84</v>
      </c>
      <c r="B139" s="112" t="s">
        <v>630</v>
      </c>
      <c r="C139" s="333"/>
      <c r="D139" s="721">
        <v>2</v>
      </c>
      <c r="E139" s="752" t="s">
        <v>287</v>
      </c>
      <c r="F139" s="752"/>
      <c r="G139" s="638"/>
      <c r="H139" s="205"/>
      <c r="I139" s="109"/>
      <c r="J139" s="109"/>
      <c r="K139" s="109"/>
      <c r="L139" s="110"/>
      <c r="M139" s="902" t="s">
        <v>111</v>
      </c>
      <c r="N139" s="903"/>
      <c r="O139" s="903"/>
      <c r="P139" s="110"/>
      <c r="Q139" s="110"/>
      <c r="R139" s="47"/>
      <c r="S139" s="47"/>
      <c r="T139" s="47"/>
      <c r="U139" s="47"/>
      <c r="V139" s="47"/>
      <c r="W139" s="47"/>
      <c r="X139" s="47"/>
      <c r="Y139" s="47"/>
      <c r="Z139" s="47"/>
      <c r="AA139" s="47"/>
      <c r="AB139" s="47"/>
      <c r="AC139" s="47"/>
      <c r="AD139" s="47"/>
      <c r="AE139" s="47"/>
      <c r="AF139" s="47"/>
      <c r="AG139" s="47"/>
      <c r="AH139" s="47"/>
      <c r="AL139" s="47"/>
      <c r="AO139" s="543" t="str" cm="1">
        <f t="array" aca="1" ref="AO139" ca="1">IF(OR(AM139="",AM139=0),"",IF(SUMPRODUCT(($B$55:$B$161=AM139)*(S$54:$AG$54&lt;EOMONTH(TODAY(),-1)+1)*(ISNUMBER(R$55:$AF$161)),R$55:$AF$161)=0,"",SUMPRODUCT(($B$55:$B$161=AM139)*(S$54:$AG$54&lt;EOMONTH(TODAY(),-1)+1)*(ISNUMBER(R$55:$AF$161)),R$55:$AF$161)))</f>
        <v/>
      </c>
    </row>
    <row r="140" spans="1:41" ht="14.85" customHeight="1" x14ac:dyDescent="0.3">
      <c r="A140" s="753" t="s">
        <v>84</v>
      </c>
      <c r="B140" s="753" t="s">
        <v>634</v>
      </c>
      <c r="C140" s="751"/>
      <c r="D140" s="754">
        <v>2</v>
      </c>
      <c r="E140" s="755" t="str">
        <f t="shared" si="100"/>
        <v>OK</v>
      </c>
      <c r="F140" s="755"/>
      <c r="G140" s="638"/>
      <c r="H140" s="473"/>
      <c r="I140" s="104">
        <f>COUNTIF(I118:I139,"OK")/(COUNTIF(I118:I139,"OK")+COUNTIF(I118:I139,"Não OK"))</f>
        <v>0.625</v>
      </c>
      <c r="J140" s="472">
        <f>COUNTIF(J118:J139,"OK")/(COUNTIF(J118:J139,"OK")+COUNTIF(J118:J139,"Não OK"))</f>
        <v>0</v>
      </c>
      <c r="K140" s="472">
        <f>COUNTIF(K118:K139,"OK")/(COUNTIF(K118:K139,"OK")+COUNTIF(K118:K139,"Não OK"))</f>
        <v>0</v>
      </c>
      <c r="L140" s="104">
        <f>AVERAGE(L118:L139)</f>
        <v>0.20833333125</v>
      </c>
      <c r="M140" s="590"/>
      <c r="N140" s="590"/>
      <c r="O140" s="904"/>
      <c r="P140" s="104"/>
      <c r="Q140" s="104"/>
      <c r="R140" s="47"/>
      <c r="S140" s="47"/>
      <c r="T140" s="47"/>
      <c r="U140" s="47"/>
      <c r="V140" s="47"/>
      <c r="W140" s="47"/>
      <c r="X140" s="47"/>
      <c r="Y140" s="47"/>
      <c r="Z140" s="47"/>
      <c r="AA140" s="47"/>
      <c r="AB140" s="47"/>
      <c r="AC140" s="47"/>
      <c r="AD140" s="47"/>
      <c r="AE140" s="47"/>
      <c r="AF140" s="47"/>
      <c r="AG140" s="47"/>
      <c r="AH140" s="47"/>
      <c r="AL140" s="47"/>
      <c r="AO140" s="543" t="str" cm="1">
        <f t="array" aca="1" ref="AO140" ca="1">IF(OR(AM140="",AM140=0),"",IF(SUMPRODUCT(($B$55:$B$161=AM140)*($S$54:AG$54&lt;=TODAY())*(ISNUMBER($R$56:AF$162)),$R$56:AF$162)=0,"",SUMPRODUCT(($B$55:$B$161=AM140)*($S$54:AG$54&lt;=TODAY())*(ISNUMBER($R$56:AF$162)),$R$56:AF$162)))</f>
        <v/>
      </c>
    </row>
    <row r="141" spans="1:41" ht="14.85" customHeight="1" x14ac:dyDescent="0.3">
      <c r="A141" s="112" t="s">
        <v>84</v>
      </c>
      <c r="B141" s="112" t="s">
        <v>636</v>
      </c>
      <c r="C141" s="333"/>
      <c r="D141" s="721">
        <v>2</v>
      </c>
      <c r="E141" s="752" t="str">
        <f t="shared" si="100"/>
        <v>OK</v>
      </c>
      <c r="F141" s="752"/>
      <c r="G141" s="637"/>
      <c r="H141" s="59"/>
      <c r="I141" s="59"/>
      <c r="J141" s="59"/>
      <c r="K141" s="59"/>
      <c r="L141" s="59"/>
      <c r="M141" s="59"/>
      <c r="N141" s="59"/>
      <c r="O141" s="59"/>
      <c r="P141" s="59"/>
      <c r="Q141" s="47"/>
      <c r="R141" s="47"/>
      <c r="S141" s="47"/>
      <c r="T141" s="47"/>
      <c r="U141" s="47"/>
      <c r="V141" s="47"/>
      <c r="W141" s="47"/>
      <c r="X141" s="47"/>
      <c r="Y141" s="47"/>
      <c r="Z141" s="47"/>
      <c r="AA141" s="47"/>
      <c r="AB141" s="47"/>
      <c r="AC141" s="47"/>
      <c r="AD141" s="47"/>
      <c r="AE141" s="47"/>
      <c r="AF141" s="47"/>
      <c r="AG141" s="47"/>
      <c r="AH141" s="47"/>
      <c r="AL141" s="47"/>
      <c r="AO141" s="543" t="str" cm="1">
        <f t="array" aca="1" ref="AO141" ca="1">IF(OR(AM141="",AM141=0),"",IF(SUMPRODUCT(($B$55:$B$161=AM141)*(S$54:$AG$54&lt;EOMONTH(TODAY(),-1)+1)*(ISNUMBER(R$55:$AF$161)),R$55:$AF$161)=0,"",SUMPRODUCT(($B$55:$B$161=AM141)*(S$54:$AG$54&lt;EOMONTH(TODAY(),-1)+1)*(ISNUMBER(R$55:$AF$161)),R$55:$AF$161)))</f>
        <v/>
      </c>
    </row>
    <row r="142" spans="1:41" ht="15.6" x14ac:dyDescent="0.3">
      <c r="A142" s="753" t="s">
        <v>84</v>
      </c>
      <c r="B142" s="753" t="s">
        <v>639</v>
      </c>
      <c r="C142" s="751"/>
      <c r="D142" s="754">
        <v>2</v>
      </c>
      <c r="E142" s="755" t="str">
        <f t="shared" si="100"/>
        <v>OK</v>
      </c>
      <c r="F142" s="755"/>
      <c r="G142" s="638"/>
      <c r="H142" s="395" t="s">
        <v>671</v>
      </c>
      <c r="I142" s="395"/>
      <c r="J142" s="395"/>
      <c r="K142" s="395"/>
      <c r="L142" s="99"/>
      <c r="M142" s="99"/>
      <c r="N142" s="99"/>
      <c r="O142" s="47"/>
      <c r="P142" s="59"/>
      <c r="Q142" s="47"/>
      <c r="R142" s="47"/>
      <c r="S142" s="47"/>
      <c r="T142" s="47"/>
      <c r="U142" s="47"/>
      <c r="V142" s="47"/>
      <c r="W142" s="47"/>
      <c r="X142" s="47"/>
      <c r="Y142" s="47"/>
      <c r="Z142" s="47"/>
      <c r="AA142" s="47"/>
      <c r="AB142" s="47"/>
      <c r="AC142" s="47"/>
      <c r="AD142" s="47"/>
      <c r="AE142" s="47"/>
      <c r="AF142" s="47"/>
      <c r="AG142" s="47"/>
      <c r="AH142" s="47"/>
      <c r="AL142" s="47"/>
      <c r="AO142" s="543" t="str" cm="1">
        <f t="array" aca="1" ref="AO142" ca="1">IF(OR(AM142="",AM142=0),"",IF(SUMPRODUCT(($B$55:$B$161=AM142)*($S$54:AG$54&lt;=TODAY())*(ISNUMBER($R$56:AF$162)),$R$56:AF$162)=0,"",SUMPRODUCT(($B$55:$B$161=AM142)*($S$54:AG$54&lt;=TODAY())*(ISNUMBER($R$56:AF$162)),$R$56:AF$162)))</f>
        <v/>
      </c>
    </row>
    <row r="143" spans="1:41" x14ac:dyDescent="0.3">
      <c r="A143" s="112" t="s">
        <v>84</v>
      </c>
      <c r="B143" s="112" t="s">
        <v>642</v>
      </c>
      <c r="C143" s="333"/>
      <c r="D143" s="721">
        <v>2</v>
      </c>
      <c r="E143" s="752" t="s">
        <v>287</v>
      </c>
      <c r="F143" s="752"/>
      <c r="G143" s="638"/>
      <c r="H143" s="335" t="s">
        <v>72</v>
      </c>
      <c r="I143" s="335" t="s">
        <v>73</v>
      </c>
      <c r="J143" s="335" t="s">
        <v>75</v>
      </c>
      <c r="K143" s="335" t="s">
        <v>74</v>
      </c>
      <c r="L143" s="335" t="s">
        <v>73</v>
      </c>
      <c r="M143" s="335" t="s">
        <v>74</v>
      </c>
      <c r="N143" s="335" t="s">
        <v>75</v>
      </c>
      <c r="O143" s="47"/>
      <c r="P143" s="59"/>
      <c r="Q143" s="47"/>
      <c r="R143" s="47"/>
      <c r="S143" s="47"/>
      <c r="T143" s="47"/>
      <c r="U143" s="47"/>
      <c r="V143" s="47"/>
      <c r="W143" s="47"/>
      <c r="X143" s="47"/>
      <c r="Y143" s="47"/>
      <c r="Z143" s="47"/>
      <c r="AA143" s="47"/>
      <c r="AB143" s="47"/>
      <c r="AC143" s="47"/>
      <c r="AD143" s="47"/>
      <c r="AE143" s="47"/>
      <c r="AF143" s="47"/>
      <c r="AG143" s="47"/>
      <c r="AH143" s="47"/>
      <c r="AL143" s="47"/>
      <c r="AO143" s="543" t="str" cm="1">
        <f t="array" aca="1" ref="AO143" ca="1">IF(OR(AM143="",AM143=0),"",IF(SUMPRODUCT(($B$55:$B$161=AM143)*(S$54:$AG$54&lt;EOMONTH(TODAY(),-1)+1)*(ISNUMBER(R$55:$AF$161)),R$55:$AF$161)=0,"",SUMPRODUCT(($B$55:$B$161=AM143)*(S$54:$AG$54&lt;EOMONTH(TODAY(),-1)+1)*(ISNUMBER(R$55:$AF$161)),R$55:$AF$161)))</f>
        <v/>
      </c>
    </row>
    <row r="144" spans="1:41" ht="14.85" customHeight="1" x14ac:dyDescent="0.3">
      <c r="A144" s="753" t="s">
        <v>78</v>
      </c>
      <c r="B144" s="753" t="s">
        <v>645</v>
      </c>
      <c r="C144" s="751"/>
      <c r="D144" s="754">
        <v>3</v>
      </c>
      <c r="E144" s="755" t="str">
        <f t="shared" si="100"/>
        <v>OK</v>
      </c>
      <c r="F144" s="755"/>
      <c r="G144" s="638"/>
      <c r="H144" s="750" t="s">
        <v>78</v>
      </c>
      <c r="I144" s="320">
        <f>COUNTIFS($E$117:$E$144,"OK",$A$117:$A$144,H144)</f>
        <v>4</v>
      </c>
      <c r="J144" s="320">
        <f>COUNTIF($A$117:$A$144,H144)</f>
        <v>4</v>
      </c>
      <c r="K144" s="320">
        <f>COUNTIFS($A$117:$A$144,H144,$F$117:$F$144,"OK")</f>
        <v>0</v>
      </c>
      <c r="L144" s="322">
        <f>IF(I144=0,"0",I144/J144)</f>
        <v>1</v>
      </c>
      <c r="M144" s="322" t="str">
        <f>IF(K144=0,"0",K144/J144)</f>
        <v>0</v>
      </c>
      <c r="N144" s="342">
        <v>1</v>
      </c>
      <c r="O144" s="47"/>
      <c r="P144" s="59"/>
      <c r="Q144" s="47"/>
      <c r="R144" s="47"/>
      <c r="S144" s="47"/>
      <c r="T144" s="47"/>
      <c r="U144" s="47"/>
      <c r="V144" s="47"/>
      <c r="W144" s="47"/>
      <c r="X144" s="47"/>
      <c r="Y144" s="47"/>
      <c r="Z144" s="47"/>
      <c r="AA144" s="47"/>
      <c r="AB144" s="47"/>
      <c r="AC144" s="47"/>
      <c r="AD144" s="47"/>
      <c r="AE144" s="47"/>
      <c r="AF144" s="47"/>
      <c r="AG144" s="47"/>
      <c r="AH144" s="47"/>
      <c r="AL144" s="47"/>
      <c r="AO144" s="543" t="str" cm="1">
        <f t="array" aca="1" ref="AO144" ca="1">IF(OR(AM144="",AM144=0),"",IF(SUMPRODUCT(($B$55:$B$161=AM144)*($S$54:AG$54&lt;=TODAY())*(ISNUMBER($R$56:AF$162)),$R$56:AF$162)=0,"",SUMPRODUCT(($B$55:$B$161=AM144)*($S$54:AG$54&lt;=TODAY())*(ISNUMBER($R$56:AF$162)),$R$56:AF$162)))</f>
        <v/>
      </c>
    </row>
    <row r="145" spans="1:41" ht="21" x14ac:dyDescent="0.3">
      <c r="A145" s="100"/>
      <c r="B145" s="100"/>
      <c r="C145" s="100"/>
      <c r="D145" s="113"/>
      <c r="E145" s="113">
        <f>(COUNTIF(E117:E144,"OK")+COUNTIF(E117:E144,"N/A"))/28</f>
        <v>0.8214285714285714</v>
      </c>
      <c r="F145" s="113">
        <f>(COUNTIF(F117:F144,"OK"))/28</f>
        <v>0</v>
      </c>
      <c r="G145" s="638"/>
      <c r="H145" s="756" t="s">
        <v>81</v>
      </c>
      <c r="I145" s="768">
        <f>COUNTIFS($E$117:$E$144,"OK",$A$117:$A$144,H145)</f>
        <v>9</v>
      </c>
      <c r="J145" s="768">
        <f>COUNTIF($A$117:$A$144,H145)</f>
        <v>12</v>
      </c>
      <c r="K145" s="768">
        <f>COUNTIFS($A$117:$A$144,H145,$F$117:$F$144,"OK")</f>
        <v>0</v>
      </c>
      <c r="L145" s="769">
        <f>IF(I145=0,"0",I145/J145)</f>
        <v>0.75</v>
      </c>
      <c r="M145" s="769" t="str">
        <f>IF(K145=0,"0",K145/J145)</f>
        <v>0</v>
      </c>
      <c r="N145" s="770">
        <v>1</v>
      </c>
      <c r="O145" s="47"/>
      <c r="P145" s="59"/>
      <c r="Q145" s="47"/>
      <c r="R145" s="47"/>
      <c r="S145" s="47"/>
      <c r="T145" s="47"/>
      <c r="U145" s="47"/>
      <c r="V145" s="47"/>
      <c r="W145" s="47"/>
      <c r="X145" s="47"/>
      <c r="Y145" s="47"/>
      <c r="Z145" s="47"/>
      <c r="AA145" s="47"/>
      <c r="AB145" s="47"/>
      <c r="AC145" s="47"/>
      <c r="AD145" s="47"/>
      <c r="AE145" s="47"/>
      <c r="AF145" s="47"/>
      <c r="AG145" s="47"/>
      <c r="AH145" s="47"/>
      <c r="AL145" s="47"/>
      <c r="AO145" s="543" t="str" cm="1">
        <f t="array" aca="1" ref="AO145" ca="1">IF(OR(AM145="",AM145=0),"",IF(SUMPRODUCT(($B$55:$B$161=AM145)*(S$54:$AG$54&lt;EOMONTH(TODAY(),-1)+1)*(ISNUMBER(R$55:$AF$161)),R$55:$AF$161)=0,"",SUMPRODUCT(($B$55:$B$161=AM145)*(S$54:$AG$54&lt;EOMONTH(TODAY(),-1)+1)*(ISNUMBER(R$55:$AF$161)),R$55:$AF$161)))</f>
        <v/>
      </c>
    </row>
    <row r="146" spans="1:41" x14ac:dyDescent="0.3">
      <c r="A146" s="635"/>
      <c r="B146" s="635"/>
      <c r="C146" s="635"/>
      <c r="D146" s="635"/>
      <c r="E146" s="635"/>
      <c r="F146" s="635"/>
      <c r="G146" s="635"/>
      <c r="H146" s="352" t="s">
        <v>84</v>
      </c>
      <c r="I146" s="320">
        <f>COUNTIFS($E$117:$E$144,"OK",$A$117:$A$144,H146)</f>
        <v>9</v>
      </c>
      <c r="J146" s="320">
        <f>COUNTIF($A$117:$A$144,H146)</f>
        <v>11</v>
      </c>
      <c r="K146" s="320">
        <f>COUNTIFS($A$117:$A$144,H146,$F$117:$F$144,"OK")</f>
        <v>0</v>
      </c>
      <c r="L146" s="322">
        <f>IF(I146=0,"0",I146/J146)</f>
        <v>0.81818181818181823</v>
      </c>
      <c r="M146" s="322" t="str">
        <f>IF(K146=0,"0",K146/J146)</f>
        <v>0</v>
      </c>
      <c r="N146" s="342">
        <v>1</v>
      </c>
      <c r="O146" s="47"/>
      <c r="P146" s="59"/>
      <c r="Q146" s="47"/>
      <c r="R146" s="47"/>
      <c r="S146" s="47"/>
      <c r="T146" s="47"/>
      <c r="U146" s="47"/>
      <c r="V146" s="47"/>
      <c r="W146" s="47"/>
      <c r="X146" s="47"/>
      <c r="Y146" s="47"/>
      <c r="Z146" s="47"/>
      <c r="AA146" s="47"/>
      <c r="AB146" s="47"/>
      <c r="AC146" s="47"/>
      <c r="AD146" s="47"/>
      <c r="AE146" s="47"/>
      <c r="AF146" s="47"/>
      <c r="AG146" s="47"/>
      <c r="AH146" s="47"/>
      <c r="AL146" s="47"/>
      <c r="AO146" s="543" t="str" cm="1">
        <f t="array" aca="1" ref="AO146" ca="1">IF(OR(AM146="",AM146=0),"",IF(SUMPRODUCT(($B$55:$B$161=AM146)*($S$54:AG$54&lt;=TODAY())*(ISNUMBER($R$56:AF$162)),$R$56:AF$162)=0,"",SUMPRODUCT(($B$55:$B$161=AM146)*($S$54:AG$54&lt;=TODAY())*(ISNUMBER($R$56:AF$162)),$R$56:AF$162)))</f>
        <v/>
      </c>
    </row>
    <row r="147" spans="1:41" x14ac:dyDescent="0.3">
      <c r="A147" s="638"/>
      <c r="B147" s="638"/>
      <c r="C147" s="638"/>
      <c r="D147" s="638"/>
      <c r="E147" s="638"/>
      <c r="F147" s="638"/>
      <c r="G147" s="638"/>
      <c r="H147" s="756" t="s">
        <v>86</v>
      </c>
      <c r="I147" s="768">
        <f>COUNTIFS($E$117:$E$144,"OK",$A$117:$A$144,H147)</f>
        <v>1</v>
      </c>
      <c r="J147" s="768">
        <f>COUNTIF($A$117:$A$144,H147)</f>
        <v>1</v>
      </c>
      <c r="K147" s="768">
        <f>COUNTIFS($A$117:$A$144,H147,$F$117:$F$144,"OK")</f>
        <v>0</v>
      </c>
      <c r="L147" s="769">
        <f>IF(I147=0,"0",I147/J147)</f>
        <v>1</v>
      </c>
      <c r="M147" s="769" t="str">
        <f>IF(K147=0,"0",K147/J147)</f>
        <v>0</v>
      </c>
      <c r="N147" s="770">
        <v>1</v>
      </c>
      <c r="O147" s="47"/>
      <c r="P147" s="59"/>
      <c r="Q147" s="47"/>
      <c r="R147" s="47"/>
      <c r="S147" s="47"/>
      <c r="T147" s="47"/>
      <c r="U147" s="47"/>
      <c r="V147" s="47"/>
      <c r="W147" s="47"/>
      <c r="X147" s="47"/>
      <c r="Y147" s="47"/>
      <c r="Z147" s="47"/>
      <c r="AA147" s="47"/>
      <c r="AB147" s="47"/>
      <c r="AC147" s="47"/>
      <c r="AD147" s="47"/>
      <c r="AE147" s="47"/>
      <c r="AF147" s="47"/>
      <c r="AG147" s="47"/>
      <c r="AH147" s="47"/>
      <c r="AL147" s="47"/>
      <c r="AO147" s="543" t="str" cm="1">
        <f t="array" aca="1" ref="AO147" ca="1">IF(OR(AM147="",AM147=0),"",IF(SUMPRODUCT(($B$55:$B$161=AM147)*(S$54:$AG$54&lt;EOMONTH(TODAY(),-1)+1)*(ISNUMBER(R$55:$AF$161)),R$55:$AF$161)=0,"",SUMPRODUCT(($B$55:$B$161=AM147)*(S$54:$AG$54&lt;EOMONTH(TODAY(),-1)+1)*(ISNUMBER(R$55:$AF$161)),R$55:$AF$161)))</f>
        <v/>
      </c>
    </row>
    <row r="148" spans="1:41" x14ac:dyDescent="0.3">
      <c r="A148" s="635"/>
      <c r="B148" s="635"/>
      <c r="C148" s="635"/>
      <c r="D148" s="635"/>
      <c r="E148" s="635"/>
      <c r="F148" s="635"/>
      <c r="G148" s="635"/>
      <c r="H148" s="552"/>
      <c r="I148" s="396"/>
      <c r="J148" s="396"/>
      <c r="K148" s="396"/>
      <c r="L148" s="396"/>
      <c r="M148" s="396"/>
      <c r="N148" s="396"/>
      <c r="O148" s="396"/>
      <c r="P148" s="59"/>
      <c r="Q148" s="47"/>
      <c r="R148" s="47"/>
      <c r="S148" s="47"/>
      <c r="T148" s="47"/>
      <c r="U148" s="47"/>
      <c r="V148" s="47"/>
      <c r="W148" s="47"/>
      <c r="X148" s="47"/>
      <c r="Y148" s="47"/>
      <c r="Z148" s="47"/>
      <c r="AA148" s="47"/>
      <c r="AB148" s="47"/>
      <c r="AC148" s="47"/>
      <c r="AD148" s="47"/>
      <c r="AE148" s="47"/>
      <c r="AF148" s="47"/>
      <c r="AG148" s="47"/>
      <c r="AH148" s="47"/>
      <c r="AL148" s="47"/>
      <c r="AO148" s="543" t="str" cm="1">
        <f t="array" aca="1" ref="AO148" ca="1">IF(OR(AM148="",AM148=0),"",IF(SUMPRODUCT(($B$55:$B$161=AM148)*($S$54:AG$54&lt;=TODAY())*(ISNUMBER($R$56:AF$162)),$R$56:AF$162)=0,"",SUMPRODUCT(($B$55:$B$161=AM148)*($S$54:AG$54&lt;=TODAY())*(ISNUMBER($R$56:AF$162)),$R$56:AF$162)))</f>
        <v/>
      </c>
    </row>
    <row r="149" spans="1:41" x14ac:dyDescent="0.3">
      <c r="A149" s="638"/>
      <c r="B149" s="638"/>
      <c r="C149" s="638"/>
      <c r="D149" s="638"/>
      <c r="E149" s="638"/>
      <c r="F149" s="638"/>
      <c r="G149" s="638"/>
      <c r="H149" s="335" t="s">
        <v>662</v>
      </c>
      <c r="I149" s="335" t="s">
        <v>663</v>
      </c>
      <c r="J149" s="335" t="s">
        <v>664</v>
      </c>
      <c r="K149" s="335" t="s">
        <v>665</v>
      </c>
      <c r="L149" s="335" t="s">
        <v>666</v>
      </c>
      <c r="M149" s="335" t="s">
        <v>667</v>
      </c>
      <c r="N149" s="335" t="s">
        <v>668</v>
      </c>
      <c r="O149" s="335" t="s">
        <v>669</v>
      </c>
      <c r="P149" s="335" t="s">
        <v>670</v>
      </c>
      <c r="Q149" s="47"/>
      <c r="R149" s="47"/>
      <c r="S149" s="47"/>
      <c r="T149" s="47"/>
      <c r="U149" s="47"/>
      <c r="V149" s="47"/>
      <c r="W149" s="47"/>
      <c r="X149" s="47"/>
      <c r="Y149" s="47"/>
      <c r="Z149" s="47"/>
      <c r="AA149" s="47"/>
      <c r="AB149" s="47"/>
      <c r="AC149" s="47"/>
      <c r="AD149" s="47"/>
      <c r="AE149" s="47"/>
      <c r="AF149" s="47"/>
      <c r="AG149" s="47"/>
      <c r="AH149" s="47"/>
      <c r="AL149" s="47"/>
      <c r="AO149" s="543" t="str" cm="1">
        <f t="array" aca="1" ref="AO149" ca="1">IF(OR(AM149="",AM149=0),"",IF(SUMPRODUCT(($B$55:$B$161=AM149)*(S$54:$AG$54&lt;EOMONTH(TODAY(),-1)+1)*(ISNUMBER(R$55:$AF$161)),R$55:$AF$161)=0,"",SUMPRODUCT(($B$55:$B$161=AM149)*(S$54:$AG$54&lt;EOMONTH(TODAY(),-1)+1)*(ISNUMBER(R$55:$AF$161)),R$55:$AF$161)))</f>
        <v/>
      </c>
    </row>
    <row r="150" spans="1:41" x14ac:dyDescent="0.3">
      <c r="A150" s="635"/>
      <c r="B150" s="635"/>
      <c r="C150" s="635"/>
      <c r="D150" s="635"/>
      <c r="E150" s="635"/>
      <c r="F150" s="635"/>
      <c r="G150" s="635"/>
      <c r="H150" s="320">
        <v>1</v>
      </c>
      <c r="I150" s="320">
        <f>COUNTIF($D$117:$D$144,H150)</f>
        <v>13</v>
      </c>
      <c r="J150" s="320">
        <f>COUNTIFS($D$117:$D$144,H150,E117:E144,"OK")</f>
        <v>11</v>
      </c>
      <c r="K150" s="323">
        <f>COUNTIFS($D$117:$D$144,H150,E117:E144,"NOK")</f>
        <v>2</v>
      </c>
      <c r="L150" s="322">
        <f>COUNTIFS(E117:E144,"OK",D117:D144,H150)/I150</f>
        <v>0.84615384615384615</v>
      </c>
      <c r="M150" s="320">
        <f>COUNTIFS($F$117:$F$144,"OK",$D$117:$D$144,H150)</f>
        <v>0</v>
      </c>
      <c r="N150" s="320">
        <f>COUNTIFS($F$117:$F$144,"NOK",$D$117:$D$144,H150)</f>
        <v>0</v>
      </c>
      <c r="O150" s="322">
        <f>J150/I150</f>
        <v>0.84615384615384615</v>
      </c>
      <c r="P150" s="660">
        <v>46142</v>
      </c>
      <c r="Q150" s="47"/>
      <c r="R150" s="47"/>
      <c r="S150" s="47"/>
      <c r="T150" s="47"/>
      <c r="U150" s="47"/>
      <c r="V150" s="47"/>
      <c r="W150" s="47"/>
      <c r="X150" s="47"/>
      <c r="Y150" s="47"/>
      <c r="Z150" s="47"/>
      <c r="AA150" s="47"/>
      <c r="AB150" s="47"/>
      <c r="AC150" s="47"/>
      <c r="AD150" s="47"/>
      <c r="AE150" s="47"/>
      <c r="AF150" s="47"/>
      <c r="AG150" s="47"/>
      <c r="AH150" s="47"/>
      <c r="AL150" s="47"/>
      <c r="AO150" s="543" t="str" cm="1">
        <f t="array" aca="1" ref="AO150" ca="1">IF(OR(AM150="",AM150=0),"",IF(SUMPRODUCT(($B$55:$B$161=AM150)*($S$54:AG$54&lt;=TODAY())*(ISNUMBER($R$56:AF$162)),$R$56:AF$162)=0,"",SUMPRODUCT(($B$55:$B$161=AM150)*($S$54:AG$54&lt;=TODAY())*(ISNUMBER($R$56:AF$162)),$R$56:AF$162)))</f>
        <v/>
      </c>
    </row>
    <row r="151" spans="1:41" x14ac:dyDescent="0.3">
      <c r="A151" s="637"/>
      <c r="B151" s="637"/>
      <c r="C151" s="637"/>
      <c r="D151" s="637"/>
      <c r="E151" s="637"/>
      <c r="F151" s="637"/>
      <c r="G151" s="637"/>
      <c r="H151" s="768">
        <v>2</v>
      </c>
      <c r="I151" s="768">
        <f>COUNTIF($D$117:$D$144,H151)</f>
        <v>14</v>
      </c>
      <c r="J151" s="768">
        <f>COUNTIFS($D$117:$D$144,H151,E117:E144,"OK")</f>
        <v>11</v>
      </c>
      <c r="K151" s="768">
        <f>COUNTIFS($D$117:$D$144,H151,E117:E144,"NOK")</f>
        <v>3</v>
      </c>
      <c r="L151" s="769">
        <f>COUNTIFS(E117:E144,"OK",D117:D144,H151)/I151</f>
        <v>0.7857142857142857</v>
      </c>
      <c r="M151" s="768">
        <f>COUNTIFS($F$117:$F$144,"OK",$D$117:$D$144,H151)</f>
        <v>0</v>
      </c>
      <c r="N151" s="768">
        <f>COUNTIFS($F$117:$F$144,"NOK",$D$117:$D$144,H151)</f>
        <v>0</v>
      </c>
      <c r="O151" s="769">
        <f>J151/I151</f>
        <v>0.7857142857142857</v>
      </c>
      <c r="P151" s="772">
        <v>46157</v>
      </c>
      <c r="Q151" s="47"/>
      <c r="R151" s="47"/>
      <c r="S151" s="47"/>
      <c r="T151" s="47"/>
      <c r="U151" s="47"/>
      <c r="V151" s="47"/>
      <c r="W151" s="47"/>
      <c r="X151" s="47"/>
      <c r="Y151" s="47"/>
      <c r="Z151" s="47"/>
      <c r="AA151" s="47"/>
      <c r="AB151" s="47"/>
      <c r="AC151" s="47"/>
      <c r="AD151" s="47"/>
      <c r="AE151" s="47"/>
      <c r="AF151" s="47"/>
      <c r="AG151" s="47"/>
      <c r="AH151" s="47"/>
      <c r="AL151" s="47"/>
      <c r="AO151" s="543" t="str" cm="1">
        <f t="array" aca="1" ref="AO151" ca="1">IF(OR(AM151="",AM151=0),"",IF(SUMPRODUCT(($B$55:$B$161=AM151)*(S$54:$AG$54&lt;EOMONTH(TODAY(),-1)+1)*(ISNUMBER(R$55:$AF$161)),R$55:$AF$161)=0,"",SUMPRODUCT(($B$55:$B$161=AM151)*(S$54:$AG$54&lt;EOMONTH(TODAY(),-1)+1)*(ISNUMBER(R$55:$AF$161)),R$55:$AF$161)))</f>
        <v/>
      </c>
    </row>
    <row r="152" spans="1:41" x14ac:dyDescent="0.3">
      <c r="A152" s="638"/>
      <c r="B152" s="638"/>
      <c r="C152" s="638"/>
      <c r="D152" s="638"/>
      <c r="E152" s="638"/>
      <c r="F152" s="638"/>
      <c r="G152" s="638"/>
      <c r="H152" s="320">
        <v>3</v>
      </c>
      <c r="I152" s="320">
        <f>COUNTIF($D$117:$D$144,H152)</f>
        <v>1</v>
      </c>
      <c r="J152" s="320">
        <f>COUNTIFS($D$117:$D$144,H152,E117:E144,"OK")</f>
        <v>1</v>
      </c>
      <c r="K152" s="323">
        <f>COUNTIFS($D$117:$D$144,H152,E117:E144,"NOK")</f>
        <v>0</v>
      </c>
      <c r="L152" s="322">
        <f>COUNTIFS(E117:E144,"OK",D117:D144,H152)/I152</f>
        <v>1</v>
      </c>
      <c r="M152" s="320">
        <f>COUNTIFS($F$117:$F$144,"OK",$D$117:$D$144,H152)</f>
        <v>0</v>
      </c>
      <c r="N152" s="320">
        <f>COUNTIFS($F$117:$F$144,"NOK",$D$117:$D$144,H152)</f>
        <v>0</v>
      </c>
      <c r="O152" s="322">
        <f>J152/I152</f>
        <v>1</v>
      </c>
      <c r="P152" s="660">
        <v>46167</v>
      </c>
      <c r="Q152" s="47"/>
      <c r="R152" s="47"/>
      <c r="S152" s="47"/>
      <c r="T152" s="47"/>
      <c r="U152" s="47"/>
      <c r="V152" s="47"/>
      <c r="W152" s="47"/>
      <c r="X152" s="47"/>
      <c r="Y152" s="47"/>
      <c r="Z152" s="47"/>
      <c r="AA152" s="47"/>
      <c r="AB152" s="47"/>
      <c r="AC152" s="47"/>
      <c r="AD152" s="47"/>
      <c r="AE152" s="47"/>
      <c r="AF152" s="47"/>
      <c r="AG152" s="47"/>
      <c r="AH152" s="47"/>
      <c r="AL152" s="47"/>
      <c r="AO152" s="543" t="str" cm="1">
        <f t="array" aca="1" ref="AO152" ca="1">IF(OR(AM152="",AM152=0),"",IF(SUMPRODUCT(($B$55:$B$161=AM152)*($S$54:AG$54&lt;=TODAY())*(ISNUMBER($R$56:AF$162)),$R$56:AF$162)=0,"",SUMPRODUCT(($B$55:$B$161=AM152)*($S$54:AG$54&lt;=TODAY())*(ISNUMBER($R$56:AF$162)),$R$56:AF$162)))</f>
        <v/>
      </c>
    </row>
    <row r="153" spans="1:41" x14ac:dyDescent="0.3">
      <c r="A153" s="638"/>
      <c r="B153" s="638"/>
      <c r="C153" s="638"/>
      <c r="D153" s="638"/>
      <c r="E153" s="638"/>
      <c r="F153" s="638"/>
      <c r="G153" s="638"/>
      <c r="H153" s="335" t="s">
        <v>133</v>
      </c>
      <c r="I153" s="335">
        <f>SUM(I150:I152)</f>
        <v>28</v>
      </c>
      <c r="J153" s="335"/>
      <c r="K153" s="335"/>
      <c r="L153" s="335"/>
      <c r="M153" s="335"/>
      <c r="N153" s="335"/>
      <c r="O153" s="335"/>
      <c r="P153" s="335"/>
      <c r="Q153" s="47"/>
      <c r="R153" s="47"/>
      <c r="S153" s="47"/>
      <c r="T153" s="47"/>
      <c r="U153" s="47"/>
      <c r="V153" s="47"/>
      <c r="W153" s="47"/>
      <c r="X153" s="47"/>
      <c r="Y153" s="47"/>
      <c r="Z153" s="47"/>
      <c r="AA153" s="47"/>
      <c r="AB153" s="47"/>
      <c r="AC153" s="47"/>
      <c r="AD153" s="47"/>
      <c r="AE153" s="47"/>
      <c r="AF153" s="47"/>
      <c r="AG153" s="47"/>
      <c r="AH153" s="47"/>
      <c r="AL153" s="47"/>
      <c r="AO153" s="543" t="str" cm="1">
        <f t="array" aca="1" ref="AO153" ca="1">IF(OR(AM153="",AM153=0),"",IF(SUMPRODUCT(($B$55:$B$161=AM153)*(S$54:$AG$54&lt;EOMONTH(TODAY(),-1)+1)*(ISNUMBER(R$55:$AF$161)),R$55:$AF$161)=0,"",SUMPRODUCT(($B$55:$B$161=AM153)*(S$54:$AG$54&lt;EOMONTH(TODAY(),-1)+1)*(ISNUMBER(R$55:$AF$161)),R$55:$AF$161)))</f>
        <v/>
      </c>
    </row>
    <row r="154" spans="1:41" x14ac:dyDescent="0.3">
      <c r="A154" s="638"/>
      <c r="B154" s="638"/>
      <c r="C154" s="638"/>
      <c r="D154" s="638"/>
      <c r="E154" s="638"/>
      <c r="F154" s="638"/>
      <c r="G154" s="638"/>
      <c r="H154" s="656" t="s">
        <v>1449</v>
      </c>
      <c r="P154" s="59"/>
      <c r="Q154" s="47"/>
      <c r="R154" s="47"/>
      <c r="S154" s="47"/>
      <c r="T154" s="47"/>
      <c r="U154" s="47"/>
      <c r="V154" s="47"/>
      <c r="W154" s="47"/>
      <c r="X154" s="47"/>
      <c r="Y154" s="47"/>
      <c r="Z154" s="47"/>
      <c r="AA154" s="47"/>
      <c r="AB154" s="47"/>
      <c r="AC154" s="47"/>
      <c r="AD154" s="47"/>
      <c r="AE154" s="47"/>
      <c r="AF154" s="47"/>
      <c r="AG154" s="47"/>
      <c r="AH154" s="47"/>
      <c r="AL154" s="47"/>
      <c r="AO154" s="543" t="str" cm="1">
        <f t="array" aca="1" ref="AO154" ca="1">IF(OR(AM154="",AM154=0),"",IF(SUMPRODUCT(($B$55:$B$161=AM154)*($S$54:AG$54&lt;=TODAY())*(ISNUMBER($R$56:AF$162)),$R$56:AF$162)=0,"",SUMPRODUCT(($B$55:$B$161=AM154)*($S$54:AG$54&lt;=TODAY())*(ISNUMBER($R$56:AF$162)),$R$56:AF$162)))</f>
        <v/>
      </c>
    </row>
    <row r="155" spans="1:41" x14ac:dyDescent="0.3">
      <c r="A155" s="638"/>
      <c r="B155" s="638"/>
      <c r="C155" s="638"/>
      <c r="D155" s="638"/>
      <c r="E155" s="638"/>
      <c r="F155" s="638"/>
      <c r="G155" s="638"/>
      <c r="H155" s="59"/>
      <c r="I155" s="47"/>
      <c r="J155" s="47"/>
      <c r="K155" s="47"/>
      <c r="L155" s="47"/>
      <c r="M155" s="47"/>
      <c r="N155" s="47"/>
      <c r="O155" s="47"/>
      <c r="P155" s="59"/>
      <c r="Q155" s="47"/>
      <c r="R155" s="47"/>
      <c r="S155" s="47"/>
      <c r="T155" s="47"/>
      <c r="U155" s="47"/>
      <c r="V155" s="47"/>
      <c r="W155" s="47"/>
      <c r="X155" s="47"/>
      <c r="Y155" s="47"/>
      <c r="Z155" s="47"/>
      <c r="AA155" s="47"/>
      <c r="AB155" s="47"/>
      <c r="AC155" s="47"/>
      <c r="AD155" s="47"/>
      <c r="AE155" s="47"/>
      <c r="AF155" s="47"/>
      <c r="AG155" s="47"/>
      <c r="AH155" s="47"/>
      <c r="AL155" s="47"/>
      <c r="AO155" s="543" t="str" cm="1">
        <f t="array" aca="1" ref="AO155" ca="1">IF(OR(AM155="",AM155=0),"",IF(SUMPRODUCT(($B$55:$B$161=AM155)*(S$54:$AG$54&lt;EOMONTH(TODAY(),-1)+1)*(ISNUMBER(R$55:$AF$161)),R$55:$AF$161)=0,"",SUMPRODUCT(($B$55:$B$161=AM155)*(S$54:$AG$54&lt;EOMONTH(TODAY(),-1)+1)*(ISNUMBER(R$55:$AF$161)),R$55:$AF$161)))</f>
        <v/>
      </c>
    </row>
    <row r="156" spans="1:41" x14ac:dyDescent="0.3">
      <c r="A156" s="638"/>
      <c r="B156" s="638"/>
      <c r="C156" s="638"/>
      <c r="D156" s="638"/>
      <c r="E156" s="638"/>
      <c r="F156" s="638"/>
      <c r="G156" s="638"/>
      <c r="H156" s="59"/>
      <c r="I156" s="47"/>
      <c r="J156" s="47"/>
      <c r="K156" s="47"/>
      <c r="L156" s="47"/>
      <c r="M156" s="47"/>
      <c r="N156" s="47"/>
      <c r="O156" s="47"/>
      <c r="P156" s="59"/>
      <c r="Q156" s="47"/>
      <c r="R156" s="47"/>
      <c r="S156" s="47"/>
      <c r="T156" s="47"/>
      <c r="U156" s="47"/>
      <c r="V156" s="47"/>
      <c r="W156" s="47"/>
      <c r="X156" s="47"/>
      <c r="Y156" s="47"/>
      <c r="Z156" s="47"/>
      <c r="AA156" s="47"/>
      <c r="AB156" s="47"/>
      <c r="AC156" s="47"/>
      <c r="AD156" s="47"/>
      <c r="AE156" s="47"/>
      <c r="AF156" s="47"/>
      <c r="AG156" s="47"/>
      <c r="AH156" s="47"/>
      <c r="AL156" s="47"/>
      <c r="AO156" s="543" t="str" cm="1">
        <f t="array" aca="1" ref="AO156" ca="1">IF(OR(AM156="",AM156=0),"",IF(SUMPRODUCT(($B$55:$B$161=AM156)*($S$54:AG$54&lt;=TODAY())*(ISNUMBER($R$56:AF$162)),$R$56:AF$162)=0,"",SUMPRODUCT(($B$55:$B$161=AM156)*($S$54:AG$54&lt;=TODAY())*(ISNUMBER($R$56:AF$162)),$R$56:AF$162)))</f>
        <v/>
      </c>
    </row>
    <row r="157" spans="1:41" x14ac:dyDescent="0.3">
      <c r="A157" s="638"/>
      <c r="B157" s="638"/>
      <c r="C157" s="638"/>
      <c r="D157" s="638"/>
      <c r="E157" s="638"/>
      <c r="F157" s="638"/>
      <c r="G157" s="638"/>
      <c r="H157" s="59"/>
      <c r="I157" s="47"/>
      <c r="J157" s="47"/>
      <c r="K157" s="47"/>
      <c r="L157" s="47"/>
      <c r="M157" s="47"/>
      <c r="N157" s="47"/>
      <c r="O157" s="47"/>
      <c r="P157" s="59"/>
      <c r="Q157" s="47"/>
      <c r="R157" s="47"/>
      <c r="S157" s="47"/>
      <c r="T157" s="47"/>
      <c r="U157" s="47"/>
      <c r="V157" s="47"/>
      <c r="W157" s="47"/>
      <c r="X157" s="47"/>
      <c r="Y157" s="47"/>
      <c r="Z157" s="47"/>
      <c r="AA157" s="47"/>
      <c r="AB157" s="47"/>
      <c r="AC157" s="47"/>
      <c r="AD157" s="47"/>
      <c r="AE157" s="47"/>
      <c r="AF157" s="47"/>
      <c r="AG157" s="47"/>
      <c r="AH157" s="47"/>
      <c r="AL157" s="47"/>
      <c r="AO157" s="543" t="str" cm="1">
        <f t="array" aca="1" ref="AO157" ca="1">IF(OR(AM157="",AM157=0),"",IF(SUMPRODUCT(($B$55:$B$161=AM157)*(S$54:$AG$54&lt;EOMONTH(TODAY(),-1)+1)*(ISNUMBER(R$55:$AF$161)),R$55:$AF$161)=0,"",SUMPRODUCT(($B$55:$B$161=AM157)*(S$54:$AG$54&lt;EOMONTH(TODAY(),-1)+1)*(ISNUMBER(R$55:$AF$161)),R$55:$AF$161)))</f>
        <v/>
      </c>
    </row>
    <row r="158" spans="1:41" x14ac:dyDescent="0.3">
      <c r="A158" s="635"/>
      <c r="B158" s="635"/>
      <c r="C158" s="635"/>
      <c r="D158" s="635"/>
      <c r="E158" s="635"/>
      <c r="F158" s="635"/>
      <c r="G158" s="635"/>
      <c r="H158" s="59"/>
      <c r="I158" s="47"/>
      <c r="J158" s="47"/>
      <c r="K158" s="47"/>
      <c r="L158" s="47"/>
      <c r="M158" s="47"/>
      <c r="N158" s="47"/>
      <c r="O158" s="47"/>
      <c r="P158" s="59"/>
      <c r="Q158" s="47"/>
      <c r="R158" s="47"/>
      <c r="S158" s="47"/>
      <c r="T158" s="47"/>
      <c r="U158" s="47"/>
      <c r="V158" s="47"/>
      <c r="W158" s="47"/>
      <c r="X158" s="47"/>
      <c r="Y158" s="47"/>
      <c r="Z158" s="47"/>
      <c r="AA158" s="47"/>
      <c r="AB158" s="47"/>
      <c r="AC158" s="47"/>
      <c r="AD158" s="47"/>
      <c r="AE158" s="47"/>
      <c r="AF158" s="47"/>
      <c r="AG158" s="47"/>
      <c r="AH158" s="47"/>
      <c r="AL158" s="47"/>
      <c r="AO158" s="543" t="str" cm="1">
        <f t="array" aca="1" ref="AO158" ca="1">IF(OR(AM158="",AM158=0),"",IF(SUMPRODUCT(($B$55:$B$161=AM158)*($S$54:AG$54&lt;=TODAY())*(ISNUMBER($R$56:AF$162)),$R$56:AF$162)=0,"",SUMPRODUCT(($B$55:$B$161=AM158)*($S$54:AG$54&lt;=TODAY())*(ISNUMBER($R$56:AF$162)),$R$56:AF$162)))</f>
        <v/>
      </c>
    </row>
    <row r="159" spans="1:41" x14ac:dyDescent="0.3">
      <c r="A159" s="635"/>
      <c r="B159" s="635"/>
      <c r="C159" s="635"/>
      <c r="D159" s="635"/>
      <c r="E159" s="635"/>
      <c r="F159" s="635"/>
      <c r="G159" s="635"/>
      <c r="H159" s="59"/>
      <c r="I159" s="47"/>
      <c r="J159" s="47"/>
      <c r="K159" s="47"/>
      <c r="L159" s="47"/>
      <c r="M159" s="47"/>
      <c r="N159" s="47"/>
      <c r="O159" s="47"/>
      <c r="P159" s="59"/>
      <c r="Q159" s="47"/>
      <c r="R159" s="47"/>
      <c r="S159" s="47"/>
      <c r="T159" s="47"/>
      <c r="U159" s="47"/>
      <c r="V159" s="47"/>
      <c r="W159" s="47"/>
      <c r="X159" s="47"/>
      <c r="Y159" s="47"/>
      <c r="Z159" s="47"/>
      <c r="AA159" s="47"/>
      <c r="AB159" s="47"/>
      <c r="AC159" s="47"/>
      <c r="AD159" s="47"/>
      <c r="AE159" s="47"/>
      <c r="AF159" s="47"/>
      <c r="AG159" s="47"/>
      <c r="AH159" s="47"/>
      <c r="AL159" s="47"/>
      <c r="AO159" s="543" t="str" cm="1">
        <f t="array" aca="1" ref="AO159" ca="1">IF(OR(AM159="",AM159=0),"",IF(SUMPRODUCT(($B$55:$B$161=AM159)*(S$54:$AG$54&lt;EOMONTH(TODAY(),-1)+1)*(ISNUMBER(R$55:$AF$161)),R$55:$AF$161)=0,"",SUMPRODUCT(($B$55:$B$161=AM159)*(S$54:$AG$54&lt;EOMONTH(TODAY(),-1)+1)*(ISNUMBER(R$55:$AF$161)),R$55:$AF$161)))</f>
        <v/>
      </c>
    </row>
    <row r="160" spans="1:41" x14ac:dyDescent="0.3">
      <c r="A160" s="635"/>
      <c r="B160" s="635"/>
      <c r="C160" s="635"/>
      <c r="D160" s="635"/>
      <c r="E160" s="635"/>
      <c r="F160" s="635"/>
      <c r="G160" s="635"/>
      <c r="H160" s="59"/>
      <c r="I160" s="47"/>
      <c r="J160" s="47"/>
      <c r="K160" s="47"/>
      <c r="L160" s="47"/>
      <c r="M160" s="47"/>
      <c r="N160" s="47"/>
      <c r="O160" s="47"/>
      <c r="P160" s="59"/>
      <c r="Q160" s="47"/>
      <c r="R160" s="47"/>
      <c r="S160" s="47"/>
      <c r="T160" s="47"/>
      <c r="U160" s="47"/>
      <c r="V160" s="47"/>
      <c r="W160" s="47"/>
      <c r="X160" s="47"/>
      <c r="Y160" s="47"/>
      <c r="Z160" s="47"/>
      <c r="AA160" s="47"/>
      <c r="AB160" s="47"/>
      <c r="AC160" s="47"/>
      <c r="AD160" s="47"/>
      <c r="AE160" s="47"/>
      <c r="AF160" s="47"/>
      <c r="AG160" s="47"/>
      <c r="AH160" s="47"/>
      <c r="AL160" s="47"/>
      <c r="AO160" s="543" t="str" cm="1">
        <f t="array" aca="1" ref="AO160" ca="1">IF(OR(AM160="",AM160=0),"",IF(SUMPRODUCT(($B$55:$B$161=AM160)*($S$54:AG$54&lt;=TODAY())*(ISNUMBER($R$56:AF$162)),$R$56:AF$162)=0,"",SUMPRODUCT(($B$55:$B$161=AM160)*($S$54:AG$54&lt;=TODAY())*(ISNUMBER($R$56:AF$162)),$R$56:AF$162)))</f>
        <v/>
      </c>
    </row>
    <row r="161" spans="1:41" x14ac:dyDescent="0.3">
      <c r="A161" s="635"/>
      <c r="B161" s="635"/>
      <c r="C161" s="635"/>
      <c r="D161" s="635"/>
      <c r="E161" s="635"/>
      <c r="F161" s="635"/>
      <c r="G161" s="635"/>
      <c r="H161" s="59"/>
      <c r="I161" s="47"/>
      <c r="J161" s="47"/>
      <c r="K161" s="47"/>
      <c r="L161" s="47"/>
      <c r="M161" s="47"/>
      <c r="N161" s="47"/>
      <c r="O161" s="47"/>
      <c r="P161" s="59"/>
      <c r="Q161" s="47"/>
      <c r="R161" s="47"/>
      <c r="S161" s="47"/>
      <c r="T161" s="47"/>
      <c r="U161" s="47"/>
      <c r="V161" s="47"/>
      <c r="W161" s="47"/>
      <c r="X161" s="47"/>
      <c r="Y161" s="47"/>
      <c r="Z161" s="47"/>
      <c r="AA161" s="47"/>
      <c r="AB161" s="47"/>
      <c r="AC161" s="47"/>
      <c r="AD161" s="47"/>
      <c r="AE161" s="47"/>
      <c r="AF161" s="47"/>
      <c r="AG161" s="47"/>
      <c r="AH161" s="47"/>
      <c r="AL161" s="47"/>
      <c r="AO161" s="543" t="str" cm="1">
        <f t="array" aca="1" ref="AO161" ca="1">IF(OR(AM161="",AM161=0),"",IF(SUMPRODUCT(($B$55:$B$161=AM161)*(S$54:$AG$54&lt;EOMONTH(TODAY(),-1)+1)*(ISNUMBER(R$55:$AF$161)),R$55:$AF$161)=0,"",SUMPRODUCT(($B$55:$B$161=AM161)*(S$54:$AG$54&lt;EOMONTH(TODAY(),-1)+1)*(ISNUMBER(R$55:$AF$161)),R$55:$AF$161)))</f>
        <v/>
      </c>
    </row>
    <row r="162" spans="1:41" x14ac:dyDescent="0.3">
      <c r="A162" s="638"/>
      <c r="B162" s="638"/>
      <c r="C162" s="638"/>
      <c r="D162" s="638"/>
      <c r="E162" s="638"/>
      <c r="F162" s="638"/>
      <c r="G162" s="638"/>
      <c r="H162" s="59"/>
      <c r="I162" s="47"/>
      <c r="J162" s="47"/>
      <c r="K162" s="47"/>
      <c r="L162" s="47"/>
      <c r="M162" s="47"/>
      <c r="N162" s="47"/>
      <c r="O162" s="47"/>
      <c r="P162" s="59"/>
      <c r="Q162" s="47"/>
      <c r="R162" s="47"/>
      <c r="S162" s="47"/>
      <c r="T162" s="47"/>
      <c r="U162" s="47"/>
      <c r="V162" s="47"/>
      <c r="W162" s="47"/>
      <c r="X162" s="47"/>
      <c r="Y162" s="47"/>
      <c r="Z162" s="47"/>
      <c r="AA162" s="47"/>
      <c r="AB162" s="47"/>
      <c r="AC162" s="47"/>
      <c r="AD162" s="47"/>
      <c r="AE162" s="47"/>
      <c r="AF162" s="47"/>
      <c r="AG162" s="47"/>
      <c r="AH162" s="47"/>
      <c r="AL162" s="47"/>
      <c r="AO162" s="543" t="str" cm="1">
        <f t="array" aca="1" ref="AO162" ca="1">IF(OR(AM162="",AM162=0),"",IF(SUMPRODUCT(($B$55:$B$161=AM162)*($S$54:AG$54&lt;=TODAY())*(ISNUMBER($R$56:AF$162)),$R$56:AF$162)=0,"",SUMPRODUCT(($B$55:$B$161=AM162)*($S$54:AG$54&lt;=TODAY())*(ISNUMBER($R$56:AF$162)),$R$56:AF$162)))</f>
        <v/>
      </c>
    </row>
    <row r="163" spans="1:41" x14ac:dyDescent="0.3">
      <c r="A163" s="635"/>
      <c r="B163" s="635"/>
      <c r="C163" s="635"/>
      <c r="D163" s="635"/>
      <c r="E163" s="635"/>
      <c r="F163" s="635"/>
      <c r="G163" s="635"/>
      <c r="H163" s="59"/>
      <c r="I163" s="47"/>
      <c r="J163" s="47"/>
      <c r="K163" s="47"/>
      <c r="L163" s="47"/>
      <c r="M163" s="47"/>
      <c r="N163" s="47"/>
      <c r="O163" s="47"/>
      <c r="P163" s="59"/>
      <c r="Q163" s="47"/>
      <c r="R163" s="47"/>
      <c r="S163" s="47"/>
      <c r="T163" s="47"/>
      <c r="U163" s="47"/>
      <c r="V163" s="47"/>
      <c r="W163" s="47"/>
      <c r="X163" s="47"/>
      <c r="Y163" s="47"/>
      <c r="Z163" s="47"/>
      <c r="AA163" s="47"/>
      <c r="AB163" s="47"/>
      <c r="AC163" s="47"/>
      <c r="AD163" s="47"/>
      <c r="AE163" s="47"/>
      <c r="AF163" s="47"/>
      <c r="AG163" s="47"/>
      <c r="AH163" s="47"/>
      <c r="AL163" s="47"/>
      <c r="AO163" s="543" t="str" cm="1">
        <f t="array" aca="1" ref="AO163" ca="1">IF(OR(AM163="",AM163=0),"",IF(SUMPRODUCT(($B$55:$B$161=AM163)*(S$54:$AG$54&lt;EOMONTH(TODAY(),-1)+1)*(ISNUMBER(R$55:$AF$161)),R$55:$AF$161)=0,"",SUMPRODUCT(($B$55:$B$161=AM163)*(S$54:$AG$54&lt;EOMONTH(TODAY(),-1)+1)*(ISNUMBER(R$55:$AF$161)),R$55:$AF$161)))</f>
        <v/>
      </c>
    </row>
    <row r="164" spans="1:41" ht="21" customHeight="1" x14ac:dyDescent="0.3">
      <c r="A164" s="47"/>
      <c r="B164" s="47"/>
      <c r="C164" s="47"/>
      <c r="D164" s="47"/>
      <c r="E164" s="47"/>
      <c r="F164" s="47"/>
      <c r="G164" s="47"/>
      <c r="H164" s="59"/>
      <c r="I164" s="47"/>
      <c r="J164" s="47"/>
      <c r="K164" s="47"/>
      <c r="L164" s="47"/>
      <c r="M164" s="47"/>
      <c r="N164" s="47"/>
      <c r="O164" s="47"/>
      <c r="P164" s="59"/>
      <c r="Q164" s="47"/>
      <c r="R164" s="47"/>
      <c r="S164" s="47"/>
      <c r="T164" s="47"/>
      <c r="U164" s="47"/>
      <c r="V164" s="47"/>
      <c r="W164" s="47"/>
      <c r="X164" s="47"/>
      <c r="Y164" s="47"/>
      <c r="Z164" s="47"/>
      <c r="AA164" s="47"/>
      <c r="AB164" s="47"/>
      <c r="AC164" s="47"/>
      <c r="AD164" s="47"/>
      <c r="AE164" s="47"/>
      <c r="AF164" s="47"/>
      <c r="AG164" s="47"/>
      <c r="AH164" s="47"/>
      <c r="AL164" s="47"/>
      <c r="AO164" s="543" t="str" cm="1">
        <f t="array" aca="1" ref="AO164" ca="1">IF(OR(AM164="",AM164=0),"",IF(SUMPRODUCT(($B$55:$B$161=AM164)*($S$54:AG$54&lt;=TODAY())*(ISNUMBER($R$56:AF$162)),$R$56:AF$162)=0,"",SUMPRODUCT(($B$55:$B$161=AM164)*($S$54:AG$54&lt;=TODAY())*(ISNUMBER($R$56:AF$162)),$R$56:AF$162)))</f>
        <v/>
      </c>
    </row>
    <row r="165" spans="1:41" x14ac:dyDescent="0.3">
      <c r="A165" s="47"/>
      <c r="B165" s="47"/>
      <c r="C165" s="47"/>
      <c r="D165" s="47"/>
      <c r="E165" s="47"/>
      <c r="F165" s="47"/>
      <c r="G165" s="59"/>
      <c r="H165" s="47"/>
      <c r="I165" s="47"/>
      <c r="J165" s="47"/>
      <c r="K165" s="47"/>
      <c r="L165" s="47"/>
      <c r="M165" s="47"/>
      <c r="N165" s="47"/>
      <c r="O165" s="47"/>
      <c r="P165" s="59"/>
      <c r="Q165" s="47"/>
      <c r="R165" s="47"/>
      <c r="S165" s="47"/>
      <c r="T165" s="47"/>
      <c r="U165" s="47"/>
      <c r="V165" s="47"/>
      <c r="W165" s="47"/>
      <c r="X165" s="47"/>
      <c r="Y165" s="47"/>
      <c r="Z165" s="47"/>
      <c r="AA165" s="47"/>
      <c r="AB165" s="47"/>
      <c r="AC165" s="47"/>
      <c r="AD165" s="47"/>
      <c r="AE165" s="47"/>
      <c r="AF165" s="47"/>
      <c r="AG165" s="47"/>
      <c r="AH165" s="47"/>
      <c r="AL165" s="47"/>
    </row>
    <row r="166" spans="1:41" ht="21" x14ac:dyDescent="0.3">
      <c r="A166" s="548" t="s">
        <v>672</v>
      </c>
      <c r="B166" s="548" t="s">
        <v>673</v>
      </c>
      <c r="C166" s="548" t="s">
        <v>674</v>
      </c>
      <c r="D166" s="548" t="s">
        <v>675</v>
      </c>
      <c r="E166" s="548" t="s">
        <v>676</v>
      </c>
      <c r="F166" s="565"/>
      <c r="G166" s="59"/>
      <c r="H166" s="47"/>
      <c r="I166" s="47"/>
      <c r="J166" s="47"/>
      <c r="K166" s="47"/>
      <c r="L166" s="47"/>
      <c r="M166" s="47"/>
      <c r="N166" s="47"/>
      <c r="O166" s="47"/>
      <c r="P166" s="59"/>
      <c r="Q166" s="47"/>
      <c r="R166" s="47"/>
      <c r="S166" s="47"/>
      <c r="T166" s="47"/>
      <c r="U166" s="47"/>
      <c r="V166" s="47"/>
      <c r="W166" s="47"/>
      <c r="X166" s="47"/>
      <c r="Y166" s="47"/>
      <c r="Z166" s="47"/>
      <c r="AA166" s="47"/>
      <c r="AB166" s="47"/>
      <c r="AC166" s="47"/>
      <c r="AD166" s="47"/>
      <c r="AE166" s="47"/>
      <c r="AF166" s="47"/>
      <c r="AG166" s="47"/>
      <c r="AH166" s="47"/>
      <c r="AL166" s="47"/>
    </row>
    <row r="167" spans="1:41" x14ac:dyDescent="0.3">
      <c r="A167" s="550" t="s">
        <v>709</v>
      </c>
      <c r="B167" s="550" t="s">
        <v>1450</v>
      </c>
      <c r="C167" s="550" t="s">
        <v>1451</v>
      </c>
      <c r="D167" s="550" t="s">
        <v>1452</v>
      </c>
      <c r="E167" s="547"/>
      <c r="F167" s="47"/>
      <c r="G167" s="59"/>
      <c r="H167" s="47"/>
      <c r="I167" s="47"/>
      <c r="J167" s="47"/>
      <c r="K167" s="47"/>
      <c r="L167" s="47"/>
      <c r="M167" s="47"/>
      <c r="N167" s="47"/>
      <c r="O167" s="47"/>
      <c r="P167" s="59"/>
      <c r="Q167" s="47"/>
      <c r="R167" s="47"/>
      <c r="S167" s="47"/>
      <c r="T167" s="47"/>
      <c r="U167" s="47"/>
      <c r="V167" s="47"/>
      <c r="W167" s="47"/>
      <c r="X167" s="47"/>
      <c r="Y167" s="47"/>
      <c r="Z167" s="47"/>
      <c r="AA167" s="47"/>
      <c r="AB167" s="47"/>
      <c r="AC167" s="47"/>
      <c r="AD167" s="47"/>
      <c r="AE167" s="47"/>
      <c r="AF167" s="47"/>
      <c r="AG167" s="47"/>
      <c r="AH167" s="47"/>
      <c r="AL167" s="47"/>
    </row>
    <row r="168" spans="1:41" x14ac:dyDescent="0.3">
      <c r="A168" s="551" t="s">
        <v>709</v>
      </c>
      <c r="B168" s="551" t="s">
        <v>1453</v>
      </c>
      <c r="C168" s="551" t="s">
        <v>1454</v>
      </c>
      <c r="D168" s="551" t="s">
        <v>1455</v>
      </c>
      <c r="E168" s="549"/>
      <c r="F168" s="47"/>
      <c r="G168" s="59"/>
      <c r="H168" s="47"/>
      <c r="I168" s="47"/>
      <c r="J168" s="47"/>
      <c r="K168" s="47"/>
      <c r="L168" s="47"/>
      <c r="M168" s="47"/>
      <c r="N168" s="47"/>
      <c r="O168" s="47"/>
      <c r="P168" s="59"/>
      <c r="Q168" s="47"/>
      <c r="R168" s="47"/>
      <c r="S168" s="47"/>
      <c r="T168" s="47"/>
      <c r="U168" s="47"/>
      <c r="V168" s="47"/>
      <c r="W168" s="47"/>
      <c r="X168" s="47"/>
      <c r="Y168" s="47"/>
      <c r="Z168" s="47"/>
      <c r="AA168" s="47"/>
      <c r="AB168" s="47"/>
      <c r="AC168" s="47"/>
      <c r="AD168" s="47"/>
      <c r="AE168" s="47"/>
      <c r="AF168" s="47"/>
      <c r="AG168" s="47"/>
      <c r="AH168" s="47"/>
      <c r="AL168" s="47"/>
    </row>
    <row r="169" spans="1:41" x14ac:dyDescent="0.3">
      <c r="A169" s="550" t="s">
        <v>709</v>
      </c>
      <c r="B169" s="550" t="s">
        <v>1456</v>
      </c>
      <c r="C169" s="550" t="s">
        <v>1457</v>
      </c>
      <c r="D169" s="550" t="s">
        <v>1455</v>
      </c>
      <c r="E169" s="547"/>
      <c r="F169" s="47"/>
      <c r="G169" s="59"/>
      <c r="H169" s="47"/>
      <c r="I169" s="47"/>
      <c r="J169" s="47"/>
      <c r="K169" s="47"/>
      <c r="L169" s="47"/>
      <c r="M169" s="47"/>
      <c r="N169" s="47"/>
      <c r="O169" s="47"/>
      <c r="P169" s="59"/>
      <c r="Q169" s="47"/>
      <c r="R169" s="47"/>
      <c r="S169" s="47"/>
      <c r="T169" s="47"/>
      <c r="U169" s="47"/>
      <c r="V169" s="47"/>
      <c r="W169" s="47"/>
      <c r="X169" s="47"/>
      <c r="Y169" s="47"/>
      <c r="Z169" s="47"/>
      <c r="AA169" s="47"/>
      <c r="AB169" s="47"/>
      <c r="AC169" s="47"/>
      <c r="AD169" s="47"/>
      <c r="AE169" s="47"/>
      <c r="AF169" s="47"/>
      <c r="AG169" s="47"/>
      <c r="AH169" s="47"/>
      <c r="AL169" s="47"/>
    </row>
    <row r="170" spans="1:41" x14ac:dyDescent="0.3">
      <c r="A170" s="551" t="s">
        <v>709</v>
      </c>
      <c r="B170" s="551" t="s">
        <v>1458</v>
      </c>
      <c r="C170" s="551" t="s">
        <v>1459</v>
      </c>
      <c r="D170" s="551" t="s">
        <v>1460</v>
      </c>
      <c r="E170" s="549"/>
      <c r="F170" s="47"/>
      <c r="G170" s="59"/>
      <c r="H170" s="47"/>
      <c r="I170" s="47"/>
      <c r="J170" s="47"/>
      <c r="K170" s="47"/>
      <c r="L170" s="47"/>
      <c r="M170" s="47"/>
      <c r="N170" s="47"/>
      <c r="O170" s="47"/>
      <c r="P170" s="59"/>
      <c r="Q170" s="47"/>
      <c r="R170" s="47"/>
      <c r="S170" s="47"/>
      <c r="T170" s="47"/>
      <c r="U170" s="47"/>
      <c r="V170" s="47"/>
      <c r="W170" s="47"/>
      <c r="X170" s="47"/>
      <c r="Y170" s="47"/>
      <c r="Z170" s="47"/>
      <c r="AA170" s="47"/>
      <c r="AB170" s="47"/>
      <c r="AC170" s="47"/>
      <c r="AD170" s="47"/>
      <c r="AE170" s="47"/>
      <c r="AF170" s="47"/>
      <c r="AG170" s="47"/>
      <c r="AH170" s="47"/>
      <c r="AL170" s="47"/>
    </row>
    <row r="171" spans="1:41" x14ac:dyDescent="0.3">
      <c r="A171" s="550" t="s">
        <v>709</v>
      </c>
      <c r="B171" s="550" t="s">
        <v>1420</v>
      </c>
      <c r="C171" s="550" t="s">
        <v>1421</v>
      </c>
      <c r="D171" s="550" t="s">
        <v>1455</v>
      </c>
      <c r="E171" s="547"/>
      <c r="F171" s="47"/>
      <c r="G171" s="59"/>
      <c r="H171" s="47"/>
      <c r="I171" s="47"/>
      <c r="J171" s="47"/>
      <c r="K171" s="47"/>
      <c r="L171" s="47"/>
      <c r="M171" s="47"/>
      <c r="N171" s="47"/>
      <c r="O171" s="47"/>
      <c r="P171" s="59"/>
      <c r="Q171" s="47"/>
      <c r="R171" s="47"/>
      <c r="S171" s="47"/>
      <c r="T171" s="47"/>
      <c r="U171" s="47"/>
      <c r="V171" s="47"/>
      <c r="W171" s="47"/>
      <c r="X171" s="47"/>
      <c r="Y171" s="47"/>
      <c r="Z171" s="47"/>
      <c r="AA171" s="47"/>
      <c r="AB171" s="47"/>
      <c r="AC171" s="47"/>
      <c r="AD171" s="47"/>
      <c r="AE171" s="47"/>
      <c r="AF171" s="47"/>
      <c r="AG171" s="47"/>
      <c r="AH171" s="47"/>
      <c r="AL171" s="47"/>
    </row>
    <row r="172" spans="1:41" x14ac:dyDescent="0.3">
      <c r="A172" s="551" t="s">
        <v>709</v>
      </c>
      <c r="B172" s="551" t="s">
        <v>1461</v>
      </c>
      <c r="C172" s="551" t="s">
        <v>1462</v>
      </c>
      <c r="D172" s="551" t="s">
        <v>1455</v>
      </c>
      <c r="E172" s="549"/>
      <c r="F172" s="47"/>
      <c r="G172" s="59"/>
      <c r="H172" s="47"/>
      <c r="I172" s="47"/>
      <c r="J172" s="47"/>
      <c r="K172" s="47"/>
      <c r="L172" s="47"/>
      <c r="M172" s="47"/>
      <c r="N172" s="47"/>
      <c r="O172" s="47"/>
      <c r="P172" s="59"/>
      <c r="Q172" s="47"/>
      <c r="R172" s="47"/>
      <c r="S172" s="47"/>
      <c r="T172" s="47"/>
      <c r="U172" s="47"/>
      <c r="V172" s="47"/>
      <c r="W172" s="47"/>
      <c r="X172" s="47"/>
      <c r="Y172" s="47"/>
      <c r="Z172" s="47"/>
      <c r="AA172" s="47"/>
      <c r="AB172" s="47"/>
      <c r="AC172" s="47"/>
      <c r="AD172" s="47"/>
      <c r="AE172" s="47"/>
      <c r="AF172" s="47"/>
      <c r="AG172" s="47"/>
      <c r="AH172" s="47"/>
      <c r="AL172" s="47"/>
    </row>
    <row r="173" spans="1:41" x14ac:dyDescent="0.3">
      <c r="A173" s="550" t="s">
        <v>709</v>
      </c>
      <c r="B173" s="550" t="s">
        <v>1463</v>
      </c>
      <c r="C173" s="550" t="s">
        <v>1464</v>
      </c>
      <c r="D173" s="550" t="s">
        <v>1455</v>
      </c>
      <c r="E173" s="547"/>
      <c r="F173" s="47"/>
      <c r="G173" s="59"/>
      <c r="H173" s="47"/>
      <c r="I173" s="47"/>
      <c r="J173" s="47"/>
      <c r="K173" s="47"/>
      <c r="L173" s="47"/>
      <c r="M173" s="47"/>
      <c r="N173" s="47"/>
      <c r="O173" s="47"/>
      <c r="P173" s="59"/>
      <c r="Q173" s="47"/>
      <c r="R173" s="47"/>
      <c r="S173" s="47"/>
      <c r="T173" s="47"/>
      <c r="U173" s="47"/>
      <c r="V173" s="47"/>
      <c r="W173" s="47"/>
      <c r="X173" s="47"/>
      <c r="Y173" s="47"/>
      <c r="Z173" s="47"/>
      <c r="AA173" s="47"/>
      <c r="AB173" s="47"/>
      <c r="AC173" s="47"/>
      <c r="AD173" s="47"/>
      <c r="AE173" s="47"/>
      <c r="AF173" s="47"/>
      <c r="AG173" s="47"/>
      <c r="AH173" s="47"/>
      <c r="AL173" s="47"/>
    </row>
    <row r="174" spans="1:41" x14ac:dyDescent="0.3">
      <c r="A174" s="551" t="s">
        <v>709</v>
      </c>
      <c r="B174" s="551" t="s">
        <v>1465</v>
      </c>
      <c r="C174" s="551" t="s">
        <v>1466</v>
      </c>
      <c r="D174" s="551" t="s">
        <v>1455</v>
      </c>
      <c r="E174" s="549"/>
      <c r="F174" s="47"/>
      <c r="G174" s="59"/>
      <c r="H174" s="47"/>
      <c r="I174" s="47"/>
      <c r="J174" s="47"/>
      <c r="K174" s="47"/>
      <c r="L174" s="47"/>
      <c r="M174" s="47"/>
      <c r="N174" s="47"/>
      <c r="O174" s="47"/>
      <c r="P174" s="59"/>
      <c r="Q174" s="47"/>
      <c r="R174" s="47"/>
      <c r="S174" s="47"/>
      <c r="T174" s="47"/>
      <c r="U174" s="47"/>
      <c r="V174" s="47"/>
      <c r="W174" s="47"/>
      <c r="X174" s="47"/>
      <c r="Y174" s="47"/>
      <c r="Z174" s="47"/>
      <c r="AA174" s="47"/>
      <c r="AB174" s="47"/>
      <c r="AC174" s="47"/>
      <c r="AD174" s="47"/>
      <c r="AE174" s="47"/>
      <c r="AF174" s="47"/>
      <c r="AG174" s="47"/>
      <c r="AH174" s="47"/>
      <c r="AL174" s="47"/>
    </row>
    <row r="175" spans="1:41" x14ac:dyDescent="0.3">
      <c r="A175" s="550" t="s">
        <v>709</v>
      </c>
      <c r="B175" s="550" t="s">
        <v>1432</v>
      </c>
      <c r="C175" s="550" t="s">
        <v>1433</v>
      </c>
      <c r="D175" s="550" t="s">
        <v>712</v>
      </c>
      <c r="E175" s="547"/>
      <c r="F175" s="47"/>
      <c r="G175" s="59"/>
      <c r="H175" s="47"/>
      <c r="I175" s="47"/>
      <c r="J175" s="47"/>
      <c r="K175" s="47"/>
      <c r="L175" s="47"/>
      <c r="M175" s="47"/>
      <c r="N175" s="47"/>
      <c r="O175" s="47"/>
      <c r="P175" s="59"/>
      <c r="Q175" s="47"/>
      <c r="R175" s="47"/>
      <c r="S175" s="47"/>
      <c r="T175" s="47"/>
      <c r="U175" s="47"/>
      <c r="V175" s="47"/>
      <c r="W175" s="47"/>
      <c r="X175" s="47"/>
      <c r="Y175" s="47"/>
      <c r="Z175" s="47"/>
      <c r="AA175" s="47"/>
      <c r="AB175" s="47"/>
      <c r="AC175" s="47"/>
      <c r="AD175" s="47"/>
      <c r="AE175" s="47"/>
      <c r="AF175" s="47"/>
      <c r="AG175" s="47"/>
      <c r="AH175" s="47"/>
      <c r="AL175" s="47"/>
    </row>
    <row r="176" spans="1:41" x14ac:dyDescent="0.3">
      <c r="A176" s="551" t="s">
        <v>709</v>
      </c>
      <c r="B176" s="551" t="s">
        <v>1434</v>
      </c>
      <c r="C176" s="551" t="s">
        <v>1435</v>
      </c>
      <c r="D176" s="551" t="s">
        <v>712</v>
      </c>
      <c r="E176" s="549"/>
      <c r="F176" s="47"/>
      <c r="G176" s="59"/>
      <c r="H176" s="47"/>
      <c r="I176" s="47"/>
      <c r="J176" s="47"/>
      <c r="K176" s="47"/>
      <c r="L176" s="47"/>
      <c r="M176" s="47"/>
      <c r="N176" s="47"/>
      <c r="O176" s="47"/>
      <c r="P176" s="59"/>
      <c r="Q176" s="47"/>
      <c r="R176" s="47"/>
      <c r="S176" s="47"/>
      <c r="T176" s="47"/>
      <c r="U176" s="47"/>
      <c r="V176" s="47"/>
      <c r="W176" s="47"/>
      <c r="X176" s="47"/>
      <c r="Y176" s="47"/>
      <c r="Z176" s="47"/>
      <c r="AA176" s="47"/>
      <c r="AB176" s="47"/>
      <c r="AC176" s="47"/>
      <c r="AD176" s="47"/>
      <c r="AE176" s="47"/>
      <c r="AF176" s="47"/>
      <c r="AG176" s="47"/>
      <c r="AH176" s="47"/>
      <c r="AL176" s="47"/>
    </row>
    <row r="177" spans="1:38" x14ac:dyDescent="0.3">
      <c r="A177" s="550" t="s">
        <v>709</v>
      </c>
      <c r="B177" s="550" t="s">
        <v>1467</v>
      </c>
      <c r="C177" s="550" t="s">
        <v>1468</v>
      </c>
      <c r="D177" s="550" t="s">
        <v>1455</v>
      </c>
      <c r="E177" s="547"/>
      <c r="F177" s="47"/>
      <c r="G177" s="59"/>
      <c r="H177" s="47"/>
      <c r="I177" s="47"/>
      <c r="J177" s="47"/>
      <c r="K177" s="47"/>
      <c r="L177" s="47"/>
      <c r="M177" s="47"/>
      <c r="N177" s="47"/>
      <c r="O177" s="47"/>
      <c r="P177" s="59"/>
      <c r="Q177" s="47"/>
      <c r="R177" s="47"/>
      <c r="S177" s="47"/>
      <c r="T177" s="47"/>
      <c r="U177" s="47"/>
      <c r="V177" s="47"/>
      <c r="W177" s="47"/>
      <c r="X177" s="47"/>
      <c r="Y177" s="47"/>
      <c r="Z177" s="47"/>
      <c r="AA177" s="47"/>
      <c r="AB177" s="47"/>
      <c r="AC177" s="47"/>
      <c r="AD177" s="47"/>
      <c r="AE177" s="47"/>
      <c r="AF177" s="47"/>
      <c r="AG177" s="47"/>
      <c r="AH177" s="47"/>
      <c r="AL177" s="47"/>
    </row>
    <row r="178" spans="1:38" x14ac:dyDescent="0.3">
      <c r="A178" s="551" t="s">
        <v>709</v>
      </c>
      <c r="B178" s="551" t="s">
        <v>1469</v>
      </c>
      <c r="C178" s="551" t="s">
        <v>1470</v>
      </c>
      <c r="D178" s="551" t="s">
        <v>1455</v>
      </c>
      <c r="E178" s="549"/>
      <c r="F178" s="47"/>
      <c r="G178" s="59"/>
      <c r="H178" s="47"/>
      <c r="I178" s="47"/>
      <c r="J178" s="47"/>
      <c r="K178" s="47"/>
      <c r="L178" s="47"/>
      <c r="M178" s="47"/>
      <c r="N178" s="47"/>
      <c r="O178" s="47"/>
      <c r="P178" s="59"/>
      <c r="Q178" s="47"/>
      <c r="R178" s="47"/>
      <c r="S178" s="47"/>
      <c r="T178" s="47"/>
      <c r="U178" s="47"/>
      <c r="V178" s="47"/>
      <c r="W178" s="47"/>
      <c r="X178" s="47"/>
      <c r="Y178" s="47"/>
      <c r="Z178" s="47"/>
      <c r="AA178" s="47"/>
      <c r="AB178" s="47"/>
      <c r="AC178" s="47"/>
      <c r="AD178" s="47"/>
      <c r="AE178" s="47"/>
      <c r="AF178" s="47"/>
      <c r="AG178" s="47"/>
      <c r="AH178" s="47"/>
      <c r="AL178" s="47"/>
    </row>
    <row r="179" spans="1:38" x14ac:dyDescent="0.3">
      <c r="A179" s="550" t="s">
        <v>709</v>
      </c>
      <c r="B179" s="550" t="s">
        <v>1471</v>
      </c>
      <c r="C179" s="550" t="s">
        <v>1472</v>
      </c>
      <c r="D179" s="550" t="s">
        <v>733</v>
      </c>
      <c r="E179" s="547"/>
      <c r="F179" s="47"/>
      <c r="G179" s="59"/>
      <c r="H179" s="47"/>
      <c r="I179" s="47"/>
      <c r="J179" s="47"/>
      <c r="K179" s="47"/>
      <c r="L179" s="47"/>
      <c r="M179" s="47"/>
      <c r="N179" s="47"/>
      <c r="O179" s="47"/>
      <c r="P179" s="59"/>
      <c r="Q179" s="47"/>
      <c r="R179" s="47"/>
      <c r="S179" s="47"/>
      <c r="T179" s="47"/>
      <c r="U179" s="47"/>
      <c r="V179" s="47"/>
      <c r="W179" s="47"/>
      <c r="X179" s="47"/>
      <c r="Y179" s="47"/>
      <c r="Z179" s="47"/>
      <c r="AA179" s="47"/>
      <c r="AB179" s="47"/>
      <c r="AC179" s="47"/>
      <c r="AD179" s="47"/>
      <c r="AE179" s="47"/>
      <c r="AF179" s="47"/>
      <c r="AG179" s="47"/>
      <c r="AH179" s="47"/>
      <c r="AL179" s="47"/>
    </row>
    <row r="180" spans="1:38" x14ac:dyDescent="0.3">
      <c r="A180" s="551" t="s">
        <v>709</v>
      </c>
      <c r="B180" s="551" t="s">
        <v>1473</v>
      </c>
      <c r="C180" s="551" t="s">
        <v>1474</v>
      </c>
      <c r="D180" s="551" t="s">
        <v>733</v>
      </c>
      <c r="E180" s="549"/>
      <c r="F180" s="47"/>
      <c r="G180" s="59"/>
      <c r="H180" s="47"/>
      <c r="I180" s="47"/>
      <c r="J180" s="47"/>
      <c r="K180" s="47"/>
      <c r="L180" s="47"/>
      <c r="M180" s="47"/>
      <c r="N180" s="47"/>
      <c r="O180" s="47"/>
      <c r="P180" s="59"/>
      <c r="Q180" s="47"/>
      <c r="R180" s="47"/>
      <c r="S180" s="47"/>
      <c r="T180" s="47"/>
      <c r="U180" s="47"/>
      <c r="V180" s="47"/>
      <c r="W180" s="47"/>
      <c r="X180" s="47"/>
      <c r="Y180" s="47"/>
      <c r="Z180" s="47"/>
      <c r="AA180" s="47"/>
      <c r="AB180" s="47"/>
      <c r="AC180" s="47"/>
      <c r="AD180" s="47"/>
      <c r="AE180" s="47"/>
      <c r="AF180" s="47"/>
      <c r="AG180" s="47"/>
      <c r="AH180" s="47"/>
      <c r="AL180" s="47"/>
    </row>
    <row r="181" spans="1:38" x14ac:dyDescent="0.3">
      <c r="A181" s="550" t="s">
        <v>709</v>
      </c>
      <c r="B181" s="550" t="s">
        <v>1475</v>
      </c>
      <c r="C181" s="550" t="s">
        <v>1476</v>
      </c>
      <c r="D181" s="550" t="s">
        <v>1452</v>
      </c>
      <c r="E181" s="547"/>
      <c r="F181" s="47"/>
      <c r="G181" s="59"/>
      <c r="H181" s="47"/>
      <c r="I181" s="47"/>
      <c r="J181" s="47"/>
      <c r="AG181" s="47"/>
      <c r="AH181" s="47"/>
      <c r="AL181" s="47"/>
    </row>
    <row r="182" spans="1:38" x14ac:dyDescent="0.3">
      <c r="A182" s="551" t="s">
        <v>709</v>
      </c>
      <c r="B182" s="551" t="s">
        <v>1477</v>
      </c>
      <c r="C182" s="551" t="s">
        <v>1478</v>
      </c>
      <c r="D182" s="551" t="s">
        <v>1455</v>
      </c>
      <c r="E182" s="549"/>
      <c r="F182" s="47"/>
      <c r="G182" s="59"/>
      <c r="H182" s="47"/>
      <c r="I182" s="47"/>
      <c r="J182" s="47"/>
      <c r="AH182" s="47"/>
      <c r="AL182" s="47"/>
    </row>
    <row r="183" spans="1:38" x14ac:dyDescent="0.3">
      <c r="A183" s="550" t="s">
        <v>709</v>
      </c>
      <c r="B183" s="550" t="s">
        <v>1479</v>
      </c>
      <c r="C183" s="550" t="s">
        <v>1480</v>
      </c>
      <c r="D183" s="550" t="s">
        <v>733</v>
      </c>
      <c r="E183" s="547"/>
      <c r="F183" s="47"/>
      <c r="G183" s="59"/>
      <c r="H183" s="47"/>
      <c r="I183" s="47"/>
      <c r="J183" s="47"/>
      <c r="AH183" s="47"/>
      <c r="AL183" s="47"/>
    </row>
    <row r="184" spans="1:38" x14ac:dyDescent="0.3">
      <c r="A184" s="551" t="s">
        <v>709</v>
      </c>
      <c r="B184" s="551" t="s">
        <v>1481</v>
      </c>
      <c r="C184" s="551" t="s">
        <v>1482</v>
      </c>
      <c r="D184" s="551" t="s">
        <v>1455</v>
      </c>
      <c r="E184" s="549"/>
      <c r="F184" s="47"/>
      <c r="G184" s="59"/>
      <c r="H184" s="47"/>
      <c r="I184" s="47"/>
      <c r="J184" s="47"/>
      <c r="AH184" s="47"/>
      <c r="AL184" s="47"/>
    </row>
    <row r="185" spans="1:38" x14ac:dyDescent="0.3">
      <c r="A185" s="550" t="s">
        <v>709</v>
      </c>
      <c r="B185" s="550" t="s">
        <v>1483</v>
      </c>
      <c r="C185" s="550" t="s">
        <v>1484</v>
      </c>
      <c r="D185" s="550" t="s">
        <v>1452</v>
      </c>
      <c r="E185" s="547"/>
      <c r="F185" s="47"/>
      <c r="G185" s="59"/>
      <c r="H185" s="47"/>
      <c r="I185" s="47"/>
      <c r="J185" s="47"/>
      <c r="AL185" s="47"/>
    </row>
    <row r="186" spans="1:38" x14ac:dyDescent="0.3">
      <c r="A186" s="551" t="s">
        <v>709</v>
      </c>
      <c r="B186" s="551" t="s">
        <v>1485</v>
      </c>
      <c r="C186" s="551" t="s">
        <v>1486</v>
      </c>
      <c r="D186" s="551" t="s">
        <v>1487</v>
      </c>
      <c r="E186" s="549"/>
      <c r="F186" s="47"/>
      <c r="G186" s="59"/>
      <c r="H186" s="47"/>
      <c r="I186" s="47"/>
      <c r="J186" s="47"/>
      <c r="AL186" s="47"/>
    </row>
    <row r="187" spans="1:38" x14ac:dyDescent="0.3">
      <c r="A187" s="550" t="s">
        <v>709</v>
      </c>
      <c r="B187" s="550" t="s">
        <v>1488</v>
      </c>
      <c r="C187" s="550" t="s">
        <v>1489</v>
      </c>
      <c r="D187" s="550" t="s">
        <v>712</v>
      </c>
      <c r="E187" s="547"/>
      <c r="F187" s="47"/>
      <c r="G187" s="59"/>
      <c r="H187" s="47"/>
      <c r="I187" s="47"/>
      <c r="J187" s="47"/>
    </row>
    <row r="188" spans="1:38" x14ac:dyDescent="0.3">
      <c r="A188" s="551" t="s">
        <v>709</v>
      </c>
      <c r="B188" s="551" t="s">
        <v>1490</v>
      </c>
      <c r="C188" s="551" t="s">
        <v>1491</v>
      </c>
      <c r="D188" s="551" t="s">
        <v>712</v>
      </c>
      <c r="E188" s="549"/>
      <c r="F188" s="47"/>
      <c r="G188" s="59"/>
      <c r="H188" s="47"/>
      <c r="I188" s="47"/>
      <c r="J188" s="47"/>
    </row>
    <row r="189" spans="1:38" x14ac:dyDescent="0.3">
      <c r="A189" s="550" t="s">
        <v>709</v>
      </c>
      <c r="B189" s="550" t="s">
        <v>1492</v>
      </c>
      <c r="C189" s="550" t="s">
        <v>1493</v>
      </c>
      <c r="D189" s="550" t="s">
        <v>712</v>
      </c>
      <c r="E189" s="547"/>
      <c r="F189" s="47"/>
      <c r="G189" s="59"/>
      <c r="H189" s="47"/>
      <c r="I189" s="47"/>
      <c r="J189" s="47"/>
    </row>
    <row r="190" spans="1:38" x14ac:dyDescent="0.3">
      <c r="A190" s="551" t="s">
        <v>709</v>
      </c>
      <c r="B190" s="551" t="s">
        <v>1494</v>
      </c>
      <c r="C190" s="551" t="s">
        <v>1495</v>
      </c>
      <c r="D190" s="551" t="s">
        <v>1487</v>
      </c>
      <c r="E190" s="549"/>
      <c r="F190" s="47"/>
      <c r="G190" s="59"/>
      <c r="H190" s="47"/>
      <c r="I190" s="47"/>
      <c r="J190" s="47"/>
    </row>
    <row r="191" spans="1:38" x14ac:dyDescent="0.3">
      <c r="A191" s="550" t="s">
        <v>709</v>
      </c>
      <c r="B191" s="550" t="s">
        <v>1496</v>
      </c>
      <c r="C191" s="550" t="s">
        <v>1497</v>
      </c>
      <c r="D191" s="550" t="s">
        <v>733</v>
      </c>
      <c r="E191" s="547"/>
      <c r="F191" s="47"/>
      <c r="G191" s="59"/>
      <c r="H191" s="47"/>
      <c r="I191" s="47"/>
      <c r="J191" s="47"/>
    </row>
    <row r="192" spans="1:38" x14ac:dyDescent="0.3">
      <c r="A192" s="551" t="s">
        <v>709</v>
      </c>
      <c r="B192" s="551" t="s">
        <v>1498</v>
      </c>
      <c r="C192" s="551" t="s">
        <v>1499</v>
      </c>
      <c r="D192" s="551" t="s">
        <v>733</v>
      </c>
      <c r="E192" s="549"/>
      <c r="F192" s="47"/>
      <c r="G192" s="59"/>
      <c r="H192" s="47"/>
      <c r="I192" s="47"/>
      <c r="J192" s="47"/>
    </row>
    <row r="193" spans="1:10" x14ac:dyDescent="0.3">
      <c r="A193" s="550" t="s">
        <v>709</v>
      </c>
      <c r="B193" s="550" t="s">
        <v>1500</v>
      </c>
      <c r="C193" s="550" t="s">
        <v>1501</v>
      </c>
      <c r="D193" s="550" t="s">
        <v>1487</v>
      </c>
      <c r="E193" s="547"/>
      <c r="F193" s="47"/>
      <c r="G193" s="59"/>
      <c r="H193" s="47"/>
      <c r="I193" s="47"/>
      <c r="J193" s="47"/>
    </row>
    <row r="194" spans="1:10" x14ac:dyDescent="0.3">
      <c r="A194" s="551" t="s">
        <v>709</v>
      </c>
      <c r="B194" s="551" t="s">
        <v>1502</v>
      </c>
      <c r="C194" s="551" t="s">
        <v>1503</v>
      </c>
      <c r="D194" s="551" t="s">
        <v>1504</v>
      </c>
      <c r="E194" s="549"/>
      <c r="F194" s="47"/>
      <c r="G194" s="59"/>
      <c r="H194" s="47"/>
      <c r="I194" s="47"/>
      <c r="J194" s="47"/>
    </row>
    <row r="195" spans="1:10" x14ac:dyDescent="0.3">
      <c r="A195" s="550" t="s">
        <v>709</v>
      </c>
      <c r="B195" s="550" t="s">
        <v>1505</v>
      </c>
      <c r="C195" s="550" t="s">
        <v>1506</v>
      </c>
      <c r="D195" s="550" t="s">
        <v>712</v>
      </c>
      <c r="E195" s="547"/>
      <c r="F195" s="47"/>
      <c r="G195" s="59"/>
      <c r="H195" s="47"/>
      <c r="I195" s="47"/>
      <c r="J195" s="47"/>
    </row>
    <row r="196" spans="1:10" x14ac:dyDescent="0.3">
      <c r="A196" s="551" t="s">
        <v>709</v>
      </c>
      <c r="B196" s="551" t="s">
        <v>1507</v>
      </c>
      <c r="C196" s="551" t="s">
        <v>1508</v>
      </c>
      <c r="D196" s="551" t="s">
        <v>712</v>
      </c>
      <c r="E196" s="549"/>
      <c r="F196" s="47"/>
      <c r="G196" s="59"/>
      <c r="H196" s="47"/>
      <c r="I196" s="47"/>
      <c r="J196" s="47"/>
    </row>
    <row r="197" spans="1:10" x14ac:dyDescent="0.3">
      <c r="A197" s="550" t="s">
        <v>709</v>
      </c>
      <c r="B197" s="550" t="s">
        <v>1509</v>
      </c>
      <c r="C197" s="550" t="s">
        <v>1510</v>
      </c>
      <c r="D197" s="550" t="s">
        <v>1487</v>
      </c>
      <c r="E197" s="547"/>
      <c r="F197" s="47"/>
      <c r="G197" s="59"/>
      <c r="H197" s="47"/>
      <c r="I197" s="47"/>
      <c r="J197" s="47"/>
    </row>
    <row r="198" spans="1:10" x14ac:dyDescent="0.3">
      <c r="A198" s="551" t="s">
        <v>709</v>
      </c>
      <c r="B198" s="551" t="s">
        <v>1511</v>
      </c>
      <c r="C198" s="551" t="s">
        <v>1512</v>
      </c>
      <c r="D198" s="551" t="s">
        <v>733</v>
      </c>
      <c r="E198" s="549"/>
      <c r="F198" s="47"/>
      <c r="G198" s="59"/>
      <c r="H198" s="47"/>
      <c r="I198" s="47"/>
      <c r="J198" s="47"/>
    </row>
    <row r="199" spans="1:10" x14ac:dyDescent="0.3">
      <c r="A199" s="550" t="s">
        <v>709</v>
      </c>
      <c r="B199" s="550" t="s">
        <v>1513</v>
      </c>
      <c r="C199" s="550" t="s">
        <v>1514</v>
      </c>
      <c r="D199" s="550" t="s">
        <v>1487</v>
      </c>
      <c r="E199" s="547"/>
      <c r="F199" s="47"/>
      <c r="G199" s="59"/>
      <c r="H199" s="47"/>
      <c r="I199" s="47"/>
      <c r="J199" s="47"/>
    </row>
    <row r="200" spans="1:10" x14ac:dyDescent="0.3">
      <c r="A200" s="551" t="s">
        <v>709</v>
      </c>
      <c r="B200" s="551" t="s">
        <v>1515</v>
      </c>
      <c r="C200" s="551" t="s">
        <v>1516</v>
      </c>
      <c r="D200" s="551" t="s">
        <v>1487</v>
      </c>
      <c r="E200" s="549"/>
      <c r="F200" s="47"/>
      <c r="G200" s="59"/>
      <c r="H200" s="47"/>
      <c r="I200" s="47"/>
      <c r="J200" s="47"/>
    </row>
    <row r="201" spans="1:10" x14ac:dyDescent="0.3">
      <c r="A201" s="550" t="s">
        <v>709</v>
      </c>
      <c r="B201" s="550" t="s">
        <v>1517</v>
      </c>
      <c r="C201" s="550" t="s">
        <v>1518</v>
      </c>
      <c r="D201" s="550" t="s">
        <v>733</v>
      </c>
      <c r="E201" s="547"/>
      <c r="F201" s="47"/>
      <c r="G201" s="59"/>
      <c r="H201" s="47"/>
      <c r="I201" s="47"/>
      <c r="J201" s="47"/>
    </row>
    <row r="202" spans="1:10" x14ac:dyDescent="0.3">
      <c r="A202" s="551" t="s">
        <v>709</v>
      </c>
      <c r="B202" s="551" t="s">
        <v>1519</v>
      </c>
      <c r="C202" s="551" t="s">
        <v>1520</v>
      </c>
      <c r="D202" s="551" t="s">
        <v>1460</v>
      </c>
      <c r="E202" s="549"/>
      <c r="F202" s="47"/>
      <c r="G202" s="59"/>
      <c r="H202" s="47"/>
      <c r="I202" s="47"/>
      <c r="J202" s="47"/>
    </row>
    <row r="203" spans="1:10" x14ac:dyDescent="0.3">
      <c r="A203" s="550" t="s">
        <v>709</v>
      </c>
      <c r="B203" s="550" t="s">
        <v>1521</v>
      </c>
      <c r="C203" s="550" t="s">
        <v>1522</v>
      </c>
      <c r="D203" s="550" t="s">
        <v>1460</v>
      </c>
      <c r="E203" s="547"/>
      <c r="F203" s="47"/>
      <c r="G203" s="59"/>
      <c r="H203" s="47"/>
      <c r="I203" s="47"/>
      <c r="J203" s="47"/>
    </row>
    <row r="204" spans="1:10" x14ac:dyDescent="0.3">
      <c r="A204" s="551" t="s">
        <v>709</v>
      </c>
      <c r="B204" s="551" t="s">
        <v>1523</v>
      </c>
      <c r="C204" s="551" t="s">
        <v>1524</v>
      </c>
      <c r="D204" s="551" t="s">
        <v>1452</v>
      </c>
      <c r="E204" s="549"/>
      <c r="F204" s="47"/>
      <c r="G204" s="59"/>
      <c r="H204" s="47"/>
      <c r="I204" s="47"/>
      <c r="J204" s="47"/>
    </row>
    <row r="205" spans="1:10" x14ac:dyDescent="0.3">
      <c r="A205" s="550" t="s">
        <v>709</v>
      </c>
      <c r="B205" s="550" t="s">
        <v>1525</v>
      </c>
      <c r="C205" s="550" t="s">
        <v>1526</v>
      </c>
      <c r="D205" s="550" t="s">
        <v>1455</v>
      </c>
      <c r="E205" s="547"/>
      <c r="F205" s="47"/>
      <c r="G205" s="59"/>
      <c r="H205" s="47"/>
      <c r="I205" s="47"/>
      <c r="J205" s="47"/>
    </row>
    <row r="206" spans="1:10" x14ac:dyDescent="0.3">
      <c r="A206" s="551" t="s">
        <v>709</v>
      </c>
      <c r="B206" s="551" t="s">
        <v>1527</v>
      </c>
      <c r="C206" s="551" t="s">
        <v>1528</v>
      </c>
      <c r="D206" s="551" t="s">
        <v>1455</v>
      </c>
      <c r="E206" s="549"/>
      <c r="F206" s="47"/>
      <c r="G206" s="59"/>
      <c r="H206" s="47"/>
      <c r="I206" s="47"/>
      <c r="J206" s="47"/>
    </row>
    <row r="207" spans="1:10" x14ac:dyDescent="0.3">
      <c r="A207" s="550" t="s">
        <v>709</v>
      </c>
      <c r="B207" s="550" t="s">
        <v>1529</v>
      </c>
      <c r="C207" s="550" t="s">
        <v>1530</v>
      </c>
      <c r="D207" s="550" t="s">
        <v>1455</v>
      </c>
      <c r="E207" s="547"/>
      <c r="F207" s="47"/>
      <c r="G207" s="59"/>
      <c r="H207" s="47"/>
      <c r="I207" s="47"/>
      <c r="J207" s="47"/>
    </row>
    <row r="208" spans="1:10" x14ac:dyDescent="0.3">
      <c r="A208" s="551" t="s">
        <v>709</v>
      </c>
      <c r="B208" s="551" t="s">
        <v>1531</v>
      </c>
      <c r="C208" s="551" t="s">
        <v>1532</v>
      </c>
      <c r="D208" s="551" t="s">
        <v>1533</v>
      </c>
      <c r="E208" s="549"/>
      <c r="F208" s="47"/>
      <c r="G208" s="59"/>
      <c r="H208" s="47"/>
      <c r="I208" s="47"/>
      <c r="J208" s="47"/>
    </row>
    <row r="209" spans="1:10" x14ac:dyDescent="0.3">
      <c r="A209" s="550" t="s">
        <v>709</v>
      </c>
      <c r="B209" s="550" t="s">
        <v>1426</v>
      </c>
      <c r="C209" s="550" t="s">
        <v>1427</v>
      </c>
      <c r="D209" s="550" t="s">
        <v>1455</v>
      </c>
      <c r="E209" s="547"/>
      <c r="F209" s="47"/>
      <c r="G209" s="59"/>
      <c r="H209" s="47"/>
      <c r="I209" s="47"/>
      <c r="J209" s="47"/>
    </row>
    <row r="210" spans="1:10" x14ac:dyDescent="0.3">
      <c r="A210" s="551" t="s">
        <v>709</v>
      </c>
      <c r="B210" s="551" t="s">
        <v>1534</v>
      </c>
      <c r="C210" s="551" t="s">
        <v>1535</v>
      </c>
      <c r="D210" s="551" t="s">
        <v>1452</v>
      </c>
      <c r="E210" s="549"/>
      <c r="F210" s="47"/>
      <c r="G210" s="59"/>
      <c r="H210" s="47"/>
      <c r="I210" s="47"/>
      <c r="J210" s="47"/>
    </row>
    <row r="211" spans="1:10" x14ac:dyDescent="0.3">
      <c r="A211" s="550" t="s">
        <v>709</v>
      </c>
      <c r="B211" s="550" t="s">
        <v>1536</v>
      </c>
      <c r="C211" s="550" t="s">
        <v>1537</v>
      </c>
      <c r="D211" s="550" t="s">
        <v>1452</v>
      </c>
      <c r="E211" s="547"/>
      <c r="F211" s="47"/>
      <c r="G211" s="59"/>
      <c r="H211" s="47"/>
      <c r="I211" s="47"/>
      <c r="J211" s="47"/>
    </row>
    <row r="212" spans="1:10" x14ac:dyDescent="0.3">
      <c r="A212" s="551" t="s">
        <v>709</v>
      </c>
      <c r="B212" s="551" t="s">
        <v>1538</v>
      </c>
      <c r="C212" s="551" t="s">
        <v>1539</v>
      </c>
      <c r="D212" s="551" t="s">
        <v>1455</v>
      </c>
      <c r="E212" s="549"/>
      <c r="F212" s="47"/>
      <c r="G212" s="59"/>
      <c r="H212" s="47"/>
      <c r="I212" s="47"/>
      <c r="J212" s="47"/>
    </row>
    <row r="213" spans="1:10" x14ac:dyDescent="0.3">
      <c r="A213" s="550" t="s">
        <v>709</v>
      </c>
      <c r="B213" s="550" t="s">
        <v>1540</v>
      </c>
      <c r="C213" s="550" t="s">
        <v>1541</v>
      </c>
      <c r="D213" s="550" t="s">
        <v>712</v>
      </c>
      <c r="E213" s="547"/>
      <c r="F213" s="47"/>
      <c r="G213" s="59"/>
      <c r="H213" s="47"/>
      <c r="I213" s="47"/>
      <c r="J213" s="47"/>
    </row>
    <row r="214" spans="1:10" x14ac:dyDescent="0.3">
      <c r="A214" s="551" t="s">
        <v>709</v>
      </c>
      <c r="B214" s="551" t="s">
        <v>1542</v>
      </c>
      <c r="C214" s="551" t="s">
        <v>1543</v>
      </c>
      <c r="D214" s="551" t="s">
        <v>712</v>
      </c>
      <c r="E214" s="549"/>
      <c r="F214" s="47"/>
      <c r="G214" s="59"/>
      <c r="H214" s="47"/>
      <c r="I214" s="47"/>
      <c r="J214" s="47"/>
    </row>
    <row r="215" spans="1:10" x14ac:dyDescent="0.3">
      <c r="A215" s="550" t="s">
        <v>709</v>
      </c>
      <c r="B215" s="550" t="s">
        <v>1544</v>
      </c>
      <c r="C215" s="550" t="s">
        <v>1545</v>
      </c>
      <c r="D215" s="550" t="s">
        <v>733</v>
      </c>
      <c r="E215" s="547"/>
      <c r="F215" s="47"/>
      <c r="G215" s="59"/>
      <c r="H215" s="47"/>
      <c r="I215" s="47"/>
      <c r="J215" s="47"/>
    </row>
    <row r="216" spans="1:10" x14ac:dyDescent="0.3">
      <c r="A216" s="551" t="s">
        <v>709</v>
      </c>
      <c r="B216" s="551" t="s">
        <v>1546</v>
      </c>
      <c r="C216" s="551" t="s">
        <v>1547</v>
      </c>
      <c r="D216" s="551" t="s">
        <v>733</v>
      </c>
      <c r="E216" s="549"/>
      <c r="F216" s="47"/>
      <c r="G216" s="59"/>
      <c r="H216" s="47"/>
      <c r="I216" s="47"/>
      <c r="J216" s="47"/>
    </row>
    <row r="217" spans="1:10" x14ac:dyDescent="0.3">
      <c r="A217" s="550" t="s">
        <v>709</v>
      </c>
      <c r="B217" s="550" t="s">
        <v>1548</v>
      </c>
      <c r="C217" s="550" t="s">
        <v>1549</v>
      </c>
      <c r="D217" s="550" t="s">
        <v>1452</v>
      </c>
      <c r="E217" s="547"/>
      <c r="F217" s="47"/>
      <c r="G217" s="59"/>
      <c r="H217" s="47"/>
      <c r="I217" s="47"/>
      <c r="J217" s="47"/>
    </row>
    <row r="218" spans="1:10" x14ac:dyDescent="0.3">
      <c r="A218" s="551" t="s">
        <v>709</v>
      </c>
      <c r="B218" s="551" t="s">
        <v>1550</v>
      </c>
      <c r="C218" s="551" t="s">
        <v>1551</v>
      </c>
      <c r="D218" s="551" t="s">
        <v>1504</v>
      </c>
      <c r="E218" s="549"/>
      <c r="F218" s="47"/>
      <c r="G218" s="59"/>
      <c r="H218" s="47"/>
      <c r="I218" s="47"/>
      <c r="J218" s="47"/>
    </row>
    <row r="219" spans="1:10" x14ac:dyDescent="0.3">
      <c r="A219" s="550" t="s">
        <v>709</v>
      </c>
      <c r="B219" s="550" t="s">
        <v>1552</v>
      </c>
      <c r="C219" s="550" t="s">
        <v>1553</v>
      </c>
      <c r="D219" s="550" t="s">
        <v>1452</v>
      </c>
      <c r="E219" s="547"/>
      <c r="F219" s="47"/>
      <c r="G219" s="59"/>
      <c r="H219" s="47"/>
      <c r="I219" s="47"/>
      <c r="J219" s="47"/>
    </row>
    <row r="220" spans="1:10" x14ac:dyDescent="0.3">
      <c r="A220" s="551" t="s">
        <v>709</v>
      </c>
      <c r="B220" s="551" t="s">
        <v>1554</v>
      </c>
      <c r="C220" s="551" t="s">
        <v>1555</v>
      </c>
      <c r="D220" s="551" t="s">
        <v>733</v>
      </c>
      <c r="E220" s="549"/>
      <c r="F220" s="47"/>
      <c r="G220" s="59"/>
      <c r="H220" s="47"/>
      <c r="I220" s="47"/>
      <c r="J220" s="47"/>
    </row>
    <row r="221" spans="1:10" x14ac:dyDescent="0.3">
      <c r="A221" s="550" t="s">
        <v>709</v>
      </c>
      <c r="B221" s="550" t="s">
        <v>1556</v>
      </c>
      <c r="C221" s="550" t="s">
        <v>1557</v>
      </c>
      <c r="D221" s="550" t="s">
        <v>1487</v>
      </c>
      <c r="E221" s="547"/>
      <c r="F221" s="47"/>
      <c r="G221" s="59"/>
      <c r="H221" s="47"/>
      <c r="I221" s="47"/>
      <c r="J221" s="47"/>
    </row>
    <row r="222" spans="1:10" x14ac:dyDescent="0.3">
      <c r="A222" s="551" t="s">
        <v>709</v>
      </c>
      <c r="B222" s="551" t="s">
        <v>1558</v>
      </c>
      <c r="C222" s="551" t="s">
        <v>1559</v>
      </c>
      <c r="D222" s="551" t="s">
        <v>1452</v>
      </c>
      <c r="E222" s="549"/>
      <c r="F222" s="47"/>
      <c r="G222" s="59"/>
      <c r="H222" s="47"/>
      <c r="I222" s="47"/>
      <c r="J222" s="47"/>
    </row>
    <row r="223" spans="1:10" x14ac:dyDescent="0.3">
      <c r="A223" s="550" t="s">
        <v>709</v>
      </c>
      <c r="B223" s="550" t="s">
        <v>1560</v>
      </c>
      <c r="C223" s="550" t="s">
        <v>1561</v>
      </c>
      <c r="D223" s="550" t="s">
        <v>733</v>
      </c>
      <c r="E223" s="547"/>
      <c r="F223" s="47"/>
      <c r="G223" s="59"/>
      <c r="H223" s="47"/>
      <c r="I223" s="47"/>
      <c r="J223" s="47"/>
    </row>
    <row r="224" spans="1:10" x14ac:dyDescent="0.3">
      <c r="A224" s="551" t="s">
        <v>709</v>
      </c>
      <c r="B224" s="551" t="s">
        <v>1562</v>
      </c>
      <c r="C224" s="551" t="s">
        <v>1563</v>
      </c>
      <c r="D224" s="551" t="s">
        <v>712</v>
      </c>
      <c r="E224" s="549"/>
      <c r="F224" s="47"/>
      <c r="G224" s="59"/>
      <c r="H224" s="47"/>
      <c r="I224" s="47"/>
      <c r="J224" s="47"/>
    </row>
    <row r="225" spans="1:10" x14ac:dyDescent="0.3">
      <c r="A225" s="550" t="s">
        <v>709</v>
      </c>
      <c r="B225" s="550" t="s">
        <v>1564</v>
      </c>
      <c r="C225" s="550" t="s">
        <v>1565</v>
      </c>
      <c r="D225" s="550" t="s">
        <v>733</v>
      </c>
      <c r="E225" s="547"/>
      <c r="F225" s="47"/>
      <c r="G225" s="59"/>
      <c r="H225" s="47"/>
      <c r="I225" s="47"/>
      <c r="J225" s="47"/>
    </row>
    <row r="226" spans="1:10" x14ac:dyDescent="0.3">
      <c r="A226" s="551" t="s">
        <v>709</v>
      </c>
      <c r="B226" s="551" t="s">
        <v>1566</v>
      </c>
      <c r="C226" s="551" t="s">
        <v>1567</v>
      </c>
      <c r="D226" s="551" t="s">
        <v>733</v>
      </c>
      <c r="E226" s="549"/>
      <c r="F226" s="47"/>
      <c r="G226" s="59"/>
      <c r="H226" s="47"/>
      <c r="I226" s="47"/>
      <c r="J226" s="47"/>
    </row>
    <row r="227" spans="1:10" x14ac:dyDescent="0.3">
      <c r="A227" s="550" t="s">
        <v>709</v>
      </c>
      <c r="B227" s="550" t="s">
        <v>1568</v>
      </c>
      <c r="C227" s="550" t="s">
        <v>1569</v>
      </c>
      <c r="D227" s="550" t="s">
        <v>733</v>
      </c>
      <c r="E227" s="547"/>
      <c r="F227" s="47"/>
      <c r="G227" s="59"/>
      <c r="H227" s="47"/>
      <c r="I227" s="47"/>
      <c r="J227" s="47"/>
    </row>
    <row r="228" spans="1:10" x14ac:dyDescent="0.3">
      <c r="A228" s="551" t="s">
        <v>709</v>
      </c>
      <c r="B228" s="551" t="s">
        <v>1570</v>
      </c>
      <c r="C228" s="551" t="s">
        <v>1571</v>
      </c>
      <c r="D228" s="551" t="s">
        <v>1572</v>
      </c>
      <c r="E228" s="549"/>
      <c r="F228" s="47"/>
      <c r="G228" s="59"/>
      <c r="H228" s="47"/>
      <c r="I228" s="47"/>
      <c r="J228" s="47"/>
    </row>
    <row r="229" spans="1:10" x14ac:dyDescent="0.3">
      <c r="A229" s="550" t="s">
        <v>709</v>
      </c>
      <c r="B229" s="550" t="s">
        <v>1573</v>
      </c>
      <c r="C229" s="550" t="s">
        <v>1574</v>
      </c>
      <c r="D229" s="550" t="s">
        <v>733</v>
      </c>
      <c r="E229" s="547"/>
      <c r="F229" s="47"/>
      <c r="G229" s="59"/>
      <c r="H229" s="47"/>
      <c r="I229" s="47"/>
      <c r="J229" s="47"/>
    </row>
    <row r="230" spans="1:10" x14ac:dyDescent="0.3">
      <c r="A230" s="551" t="s">
        <v>1575</v>
      </c>
      <c r="B230" s="551" t="s">
        <v>1576</v>
      </c>
      <c r="C230" s="551" t="s">
        <v>1577</v>
      </c>
      <c r="D230" s="551" t="s">
        <v>1578</v>
      </c>
      <c r="E230" s="549"/>
      <c r="F230" s="47"/>
      <c r="G230" s="59"/>
      <c r="H230" s="47"/>
      <c r="I230" s="47"/>
      <c r="J230" s="47"/>
    </row>
    <row r="231" spans="1:10" x14ac:dyDescent="0.3">
      <c r="A231" s="550" t="s">
        <v>709</v>
      </c>
      <c r="B231" s="550" t="s">
        <v>1579</v>
      </c>
      <c r="C231" s="550" t="s">
        <v>1580</v>
      </c>
      <c r="D231" s="550" t="s">
        <v>1572</v>
      </c>
      <c r="E231" s="547"/>
      <c r="F231" s="47"/>
      <c r="G231" s="59"/>
      <c r="H231" s="47"/>
      <c r="I231" s="47"/>
      <c r="J231" s="47"/>
    </row>
    <row r="232" spans="1:10" x14ac:dyDescent="0.3">
      <c r="A232" s="551" t="s">
        <v>709</v>
      </c>
      <c r="B232" s="551" t="s">
        <v>1581</v>
      </c>
      <c r="C232" s="551" t="s">
        <v>1582</v>
      </c>
      <c r="D232" s="551" t="s">
        <v>733</v>
      </c>
      <c r="E232" s="549"/>
      <c r="F232" s="47"/>
      <c r="G232" s="59"/>
      <c r="H232" s="47"/>
      <c r="I232" s="47"/>
      <c r="J232" s="47"/>
    </row>
    <row r="233" spans="1:10" x14ac:dyDescent="0.3">
      <c r="A233" s="550" t="s">
        <v>709</v>
      </c>
      <c r="B233" s="550" t="s">
        <v>1583</v>
      </c>
      <c r="C233" s="550" t="s">
        <v>1584</v>
      </c>
      <c r="D233" s="550" t="s">
        <v>712</v>
      </c>
      <c r="E233" s="547"/>
      <c r="F233" s="47"/>
      <c r="G233" s="59"/>
      <c r="H233" s="47"/>
      <c r="I233" s="47"/>
      <c r="J233" s="47"/>
    </row>
    <row r="234" spans="1:10" x14ac:dyDescent="0.3">
      <c r="A234" s="551" t="s">
        <v>709</v>
      </c>
      <c r="B234" s="551" t="s">
        <v>1585</v>
      </c>
      <c r="C234" s="551" t="s">
        <v>1586</v>
      </c>
      <c r="D234" s="551" t="s">
        <v>1455</v>
      </c>
      <c r="E234" s="549"/>
      <c r="F234" s="47"/>
      <c r="G234" s="59"/>
      <c r="H234" s="47"/>
      <c r="I234" s="47"/>
      <c r="J234" s="47"/>
    </row>
    <row r="235" spans="1:10" ht="21" x14ac:dyDescent="0.3">
      <c r="A235" s="113"/>
      <c r="B235" s="113"/>
      <c r="C235" s="113"/>
      <c r="D235" s="113"/>
      <c r="E235" s="364">
        <f>(COUNTIF(E167:E234,"Sim")/(COUNTA(B167:B234)))</f>
        <v>0</v>
      </c>
      <c r="F235" s="47"/>
      <c r="G235" s="59"/>
      <c r="H235" s="47"/>
      <c r="I235" s="47"/>
      <c r="J235" s="47"/>
    </row>
    <row r="352" spans="1:6" ht="15.6" x14ac:dyDescent="0.3">
      <c r="A352" s="1493" t="s">
        <v>547</v>
      </c>
      <c r="B352" s="1493"/>
      <c r="C352" s="1493"/>
      <c r="D352" s="99" t="s">
        <v>548</v>
      </c>
      <c r="E352" s="99" t="s">
        <v>73</v>
      </c>
      <c r="F352" s="99" t="s">
        <v>74</v>
      </c>
    </row>
    <row r="353" spans="1:6" x14ac:dyDescent="0.3">
      <c r="A353" s="112" t="s">
        <v>867</v>
      </c>
      <c r="B353" s="112" t="s">
        <v>551</v>
      </c>
      <c r="C353" s="333"/>
      <c r="D353" s="343">
        <v>1</v>
      </c>
      <c r="E353" s="109" t="s">
        <v>287</v>
      </c>
      <c r="F353" s="108" t="s">
        <v>488</v>
      </c>
    </row>
    <row r="354" spans="1:6" x14ac:dyDescent="0.3">
      <c r="A354" s="344" t="s">
        <v>867</v>
      </c>
      <c r="B354" s="345" t="s">
        <v>559</v>
      </c>
      <c r="C354" s="346"/>
      <c r="D354" s="347">
        <v>1</v>
      </c>
      <c r="E354" s="106" t="s">
        <v>287</v>
      </c>
      <c r="F354" s="105" t="s">
        <v>287</v>
      </c>
    </row>
    <row r="355" spans="1:6" x14ac:dyDescent="0.3">
      <c r="A355" s="112" t="s">
        <v>867</v>
      </c>
      <c r="B355" s="112" t="s">
        <v>868</v>
      </c>
      <c r="C355" s="333"/>
      <c r="D355" s="343">
        <v>1</v>
      </c>
      <c r="E355" s="109" t="s">
        <v>287</v>
      </c>
      <c r="F355" s="366" t="s">
        <v>488</v>
      </c>
    </row>
    <row r="356" spans="1:6" x14ac:dyDescent="0.3">
      <c r="A356" s="344" t="s">
        <v>867</v>
      </c>
      <c r="B356" s="345" t="s">
        <v>645</v>
      </c>
      <c r="C356" s="346"/>
      <c r="D356" s="347">
        <v>1</v>
      </c>
      <c r="E356" s="106" t="s">
        <v>287</v>
      </c>
      <c r="F356" s="105" t="s">
        <v>488</v>
      </c>
    </row>
    <row r="357" spans="1:6" x14ac:dyDescent="0.3">
      <c r="A357" s="112" t="s">
        <v>867</v>
      </c>
      <c r="B357" s="112" t="s">
        <v>602</v>
      </c>
      <c r="C357" s="333"/>
      <c r="D357" s="343">
        <v>1</v>
      </c>
      <c r="E357" s="109" t="s">
        <v>287</v>
      </c>
      <c r="F357" s="108" t="s">
        <v>488</v>
      </c>
    </row>
    <row r="358" spans="1:6" x14ac:dyDescent="0.3">
      <c r="A358" s="344" t="s">
        <v>869</v>
      </c>
      <c r="B358" s="345" t="s">
        <v>583</v>
      </c>
      <c r="C358" s="346"/>
      <c r="D358" s="347">
        <v>1</v>
      </c>
      <c r="E358" s="106" t="s">
        <v>287</v>
      </c>
      <c r="F358" s="105" t="s">
        <v>488</v>
      </c>
    </row>
    <row r="359" spans="1:6" x14ac:dyDescent="0.3">
      <c r="A359" s="112" t="s">
        <v>869</v>
      </c>
      <c r="B359" s="112" t="s">
        <v>639</v>
      </c>
      <c r="C359" s="333"/>
      <c r="D359" s="343">
        <v>1</v>
      </c>
      <c r="E359" s="109" t="s">
        <v>287</v>
      </c>
      <c r="F359" s="108" t="s">
        <v>488</v>
      </c>
    </row>
    <row r="360" spans="1:6" x14ac:dyDescent="0.3">
      <c r="A360" s="344" t="s">
        <v>869</v>
      </c>
      <c r="B360" s="345" t="s">
        <v>599</v>
      </c>
      <c r="C360" s="346"/>
      <c r="D360" s="347">
        <v>1</v>
      </c>
      <c r="E360" s="106" t="s">
        <v>287</v>
      </c>
      <c r="F360" s="105" t="s">
        <v>488</v>
      </c>
    </row>
    <row r="361" spans="1:6" x14ac:dyDescent="0.3">
      <c r="A361" s="112" t="s">
        <v>869</v>
      </c>
      <c r="B361" s="112" t="s">
        <v>870</v>
      </c>
      <c r="C361" s="333"/>
      <c r="D361" s="343">
        <v>1</v>
      </c>
      <c r="E361" s="109" t="s">
        <v>287</v>
      </c>
      <c r="F361" s="108" t="s">
        <v>488</v>
      </c>
    </row>
    <row r="362" spans="1:6" x14ac:dyDescent="0.3">
      <c r="A362" s="344" t="s">
        <v>869</v>
      </c>
      <c r="B362" s="345" t="s">
        <v>642</v>
      </c>
      <c r="C362" s="346"/>
      <c r="D362" s="347">
        <v>1</v>
      </c>
      <c r="E362" s="106" t="s">
        <v>488</v>
      </c>
      <c r="F362" s="105" t="s">
        <v>488</v>
      </c>
    </row>
    <row r="363" spans="1:6" x14ac:dyDescent="0.3">
      <c r="A363" s="112" t="s">
        <v>871</v>
      </c>
      <c r="B363" s="112" t="s">
        <v>627</v>
      </c>
      <c r="C363" s="333"/>
      <c r="D363" s="343">
        <v>1</v>
      </c>
      <c r="E363" s="109" t="s">
        <v>287</v>
      </c>
      <c r="F363" s="108" t="s">
        <v>287</v>
      </c>
    </row>
    <row r="364" spans="1:6" x14ac:dyDescent="0.3">
      <c r="A364" s="344" t="s">
        <v>871</v>
      </c>
      <c r="B364" s="345" t="s">
        <v>872</v>
      </c>
      <c r="C364" s="346"/>
      <c r="D364" s="347">
        <v>1</v>
      </c>
      <c r="E364" s="106" t="s">
        <v>287</v>
      </c>
      <c r="F364" s="105" t="s">
        <v>287</v>
      </c>
    </row>
    <row r="365" spans="1:6" x14ac:dyDescent="0.3">
      <c r="A365" s="112" t="s">
        <v>871</v>
      </c>
      <c r="B365" s="112" t="s">
        <v>634</v>
      </c>
      <c r="C365" s="333"/>
      <c r="D365" s="343">
        <v>1</v>
      </c>
      <c r="E365" s="109" t="s">
        <v>287</v>
      </c>
      <c r="F365" s="108" t="s">
        <v>287</v>
      </c>
    </row>
    <row r="366" spans="1:6" x14ac:dyDescent="0.3">
      <c r="A366" s="344" t="s">
        <v>871</v>
      </c>
      <c r="B366" s="345" t="s">
        <v>873</v>
      </c>
      <c r="C366" s="346"/>
      <c r="D366" s="347">
        <v>1</v>
      </c>
      <c r="E366" s="106" t="s">
        <v>287</v>
      </c>
      <c r="F366" s="105" t="s">
        <v>488</v>
      </c>
    </row>
    <row r="367" spans="1:6" x14ac:dyDescent="0.3">
      <c r="A367" s="112" t="s">
        <v>871</v>
      </c>
      <c r="B367" s="112" t="s">
        <v>874</v>
      </c>
      <c r="D367" s="343">
        <v>1</v>
      </c>
      <c r="E367" s="109" t="s">
        <v>488</v>
      </c>
      <c r="F367" s="108" t="s">
        <v>488</v>
      </c>
    </row>
    <row r="368" spans="1:6" x14ac:dyDescent="0.3">
      <c r="A368" s="344" t="s">
        <v>871</v>
      </c>
      <c r="B368" s="345" t="s">
        <v>875</v>
      </c>
      <c r="C368" s="333"/>
      <c r="D368" s="347">
        <v>1</v>
      </c>
      <c r="E368" s="106" t="s">
        <v>488</v>
      </c>
      <c r="F368" s="105" t="s">
        <v>488</v>
      </c>
    </row>
    <row r="369" spans="1:6" x14ac:dyDescent="0.3">
      <c r="A369" s="112" t="s">
        <v>871</v>
      </c>
      <c r="B369" s="112" t="s">
        <v>876</v>
      </c>
      <c r="C369" s="333"/>
      <c r="D369" s="343">
        <v>1</v>
      </c>
      <c r="E369" s="109" t="s">
        <v>488</v>
      </c>
      <c r="F369" s="108" t="s">
        <v>488</v>
      </c>
    </row>
    <row r="370" spans="1:6" x14ac:dyDescent="0.3">
      <c r="A370" s="344" t="s">
        <v>877</v>
      </c>
      <c r="B370" s="345" t="s">
        <v>563</v>
      </c>
      <c r="C370" s="346"/>
      <c r="D370" s="347">
        <v>1</v>
      </c>
      <c r="E370" s="106" t="s">
        <v>287</v>
      </c>
      <c r="F370" s="105" t="s">
        <v>287</v>
      </c>
    </row>
    <row r="371" spans="1:6" x14ac:dyDescent="0.3">
      <c r="A371" s="112" t="s">
        <v>877</v>
      </c>
      <c r="B371" s="112" t="s">
        <v>596</v>
      </c>
      <c r="C371" s="333"/>
      <c r="D371" s="343">
        <v>1</v>
      </c>
      <c r="E371" s="109" t="s">
        <v>287</v>
      </c>
      <c r="F371" s="108" t="s">
        <v>488</v>
      </c>
    </row>
    <row r="372" spans="1:6" x14ac:dyDescent="0.3">
      <c r="A372" s="344" t="s">
        <v>877</v>
      </c>
      <c r="B372" s="345" t="s">
        <v>587</v>
      </c>
      <c r="C372" s="346"/>
      <c r="D372" s="347">
        <v>1</v>
      </c>
      <c r="E372" s="106" t="s">
        <v>287</v>
      </c>
      <c r="F372" s="105" t="s">
        <v>488</v>
      </c>
    </row>
    <row r="373" spans="1:6" x14ac:dyDescent="0.3">
      <c r="A373" s="112" t="s">
        <v>877</v>
      </c>
      <c r="B373" s="112" t="s">
        <v>878</v>
      </c>
      <c r="C373" s="333"/>
      <c r="D373" s="343">
        <v>1</v>
      </c>
      <c r="E373" s="109" t="s">
        <v>287</v>
      </c>
      <c r="F373" s="108" t="s">
        <v>488</v>
      </c>
    </row>
    <row r="374" spans="1:6" x14ac:dyDescent="0.3">
      <c r="A374" s="344" t="s">
        <v>877</v>
      </c>
      <c r="B374" s="345" t="s">
        <v>590</v>
      </c>
      <c r="C374" s="346"/>
      <c r="D374" s="347">
        <v>1</v>
      </c>
      <c r="E374" s="106" t="s">
        <v>287</v>
      </c>
      <c r="F374" s="105" t="s">
        <v>488</v>
      </c>
    </row>
    <row r="375" spans="1:6" x14ac:dyDescent="0.3">
      <c r="A375" s="112" t="s">
        <v>877</v>
      </c>
      <c r="B375" s="112" t="s">
        <v>593</v>
      </c>
      <c r="C375" s="333"/>
      <c r="D375" s="343">
        <v>1</v>
      </c>
      <c r="E375" s="109" t="s">
        <v>287</v>
      </c>
      <c r="F375" s="108" t="s">
        <v>488</v>
      </c>
    </row>
    <row r="376" spans="1:6" x14ac:dyDescent="0.3">
      <c r="A376" s="344" t="s">
        <v>877</v>
      </c>
      <c r="B376" s="345" t="s">
        <v>879</v>
      </c>
      <c r="C376" s="333"/>
      <c r="D376" s="347">
        <v>1</v>
      </c>
      <c r="E376" s="106" t="s">
        <v>287</v>
      </c>
      <c r="F376" s="105" t="s">
        <v>488</v>
      </c>
    </row>
    <row r="377" spans="1:6" x14ac:dyDescent="0.3">
      <c r="A377" s="112" t="s">
        <v>877</v>
      </c>
      <c r="B377" s="112" t="s">
        <v>880</v>
      </c>
      <c r="D377" s="343">
        <v>1</v>
      </c>
      <c r="E377" s="109" t="s">
        <v>488</v>
      </c>
      <c r="F377" s="363" t="s">
        <v>488</v>
      </c>
    </row>
    <row r="378" spans="1:6" x14ac:dyDescent="0.3">
      <c r="A378" s="344" t="s">
        <v>877</v>
      </c>
      <c r="B378" s="345" t="s">
        <v>881</v>
      </c>
      <c r="C378" s="346"/>
      <c r="D378" s="347">
        <v>1</v>
      </c>
      <c r="E378" s="106" t="s">
        <v>488</v>
      </c>
      <c r="F378" s="105" t="s">
        <v>488</v>
      </c>
    </row>
    <row r="379" spans="1:6" x14ac:dyDescent="0.3">
      <c r="A379" s="112" t="s">
        <v>877</v>
      </c>
      <c r="B379" s="112" t="s">
        <v>882</v>
      </c>
      <c r="C379" s="333"/>
      <c r="D379" s="343">
        <v>1</v>
      </c>
      <c r="E379" s="109" t="s">
        <v>287</v>
      </c>
      <c r="F379" s="108" t="s">
        <v>488</v>
      </c>
    </row>
    <row r="380" spans="1:6" x14ac:dyDescent="0.3">
      <c r="A380" s="344" t="s">
        <v>877</v>
      </c>
      <c r="B380" s="345" t="s">
        <v>575</v>
      </c>
      <c r="C380" s="346"/>
      <c r="D380" s="347">
        <v>1</v>
      </c>
      <c r="E380" s="106" t="s">
        <v>488</v>
      </c>
      <c r="F380" s="105" t="s">
        <v>488</v>
      </c>
    </row>
    <row r="381" spans="1:6" x14ac:dyDescent="0.3">
      <c r="A381" s="112" t="s">
        <v>877</v>
      </c>
      <c r="B381" s="112" t="s">
        <v>883</v>
      </c>
      <c r="C381" s="333"/>
      <c r="D381" s="343">
        <v>1</v>
      </c>
      <c r="E381" s="109" t="s">
        <v>488</v>
      </c>
      <c r="F381" s="108" t="s">
        <v>488</v>
      </c>
    </row>
    <row r="382" spans="1:6" x14ac:dyDescent="0.3">
      <c r="A382" s="344" t="s">
        <v>877</v>
      </c>
      <c r="B382" s="345" t="s">
        <v>579</v>
      </c>
      <c r="C382" s="346"/>
      <c r="D382" s="347">
        <v>1</v>
      </c>
      <c r="E382" s="106" t="s">
        <v>488</v>
      </c>
      <c r="F382" s="105" t="s">
        <v>488</v>
      </c>
    </row>
    <row r="383" spans="1:6" x14ac:dyDescent="0.3">
      <c r="A383" s="112" t="s">
        <v>877</v>
      </c>
      <c r="B383" s="112" t="s">
        <v>617</v>
      </c>
      <c r="C383" s="333"/>
      <c r="D383" s="343">
        <v>1</v>
      </c>
      <c r="E383" s="109" t="s">
        <v>488</v>
      </c>
      <c r="F383" s="108" t="s">
        <v>488</v>
      </c>
    </row>
    <row r="384" spans="1:6" x14ac:dyDescent="0.3">
      <c r="A384" s="344" t="s">
        <v>871</v>
      </c>
      <c r="B384" s="345" t="s">
        <v>611</v>
      </c>
      <c r="C384" s="346"/>
      <c r="D384" s="347">
        <v>2</v>
      </c>
      <c r="E384" s="106" t="s">
        <v>287</v>
      </c>
      <c r="F384" s="105" t="s">
        <v>287</v>
      </c>
    </row>
    <row r="385" spans="1:6" x14ac:dyDescent="0.3">
      <c r="A385" s="112" t="s">
        <v>871</v>
      </c>
      <c r="B385" s="112" t="s">
        <v>884</v>
      </c>
      <c r="C385" s="333"/>
      <c r="D385" s="343">
        <v>2</v>
      </c>
      <c r="E385" s="109" t="s">
        <v>287</v>
      </c>
      <c r="F385" s="108" t="s">
        <v>287</v>
      </c>
    </row>
    <row r="386" spans="1:6" x14ac:dyDescent="0.3">
      <c r="A386" s="344" t="s">
        <v>871</v>
      </c>
      <c r="B386" s="345" t="s">
        <v>636</v>
      </c>
      <c r="C386" s="346"/>
      <c r="D386" s="347">
        <v>2</v>
      </c>
      <c r="E386" s="106" t="s">
        <v>287</v>
      </c>
      <c r="F386" s="105" t="s">
        <v>287</v>
      </c>
    </row>
    <row r="387" spans="1:6" x14ac:dyDescent="0.3">
      <c r="A387" s="112" t="s">
        <v>871</v>
      </c>
      <c r="B387" s="112" t="s">
        <v>630</v>
      </c>
      <c r="C387" s="333"/>
      <c r="D387" s="343">
        <v>2</v>
      </c>
      <c r="E387" s="109" t="s">
        <v>488</v>
      </c>
      <c r="F387" s="363" t="s">
        <v>488</v>
      </c>
    </row>
    <row r="388" spans="1:6" x14ac:dyDescent="0.3">
      <c r="A388" s="344" t="s">
        <v>871</v>
      </c>
      <c r="B388" s="345" t="s">
        <v>567</v>
      </c>
      <c r="C388" s="346"/>
      <c r="D388" s="347">
        <v>2</v>
      </c>
      <c r="E388" s="106" t="s">
        <v>287</v>
      </c>
      <c r="F388" s="105" t="s">
        <v>488</v>
      </c>
    </row>
    <row r="389" spans="1:6" x14ac:dyDescent="0.3">
      <c r="A389" s="112" t="s">
        <v>877</v>
      </c>
      <c r="B389" s="112" t="s">
        <v>608</v>
      </c>
      <c r="C389" s="333"/>
      <c r="D389" s="343">
        <v>2</v>
      </c>
      <c r="E389" s="109" t="s">
        <v>488</v>
      </c>
      <c r="F389" s="108" t="s">
        <v>488</v>
      </c>
    </row>
    <row r="390" spans="1:6" x14ac:dyDescent="0.3">
      <c r="A390" s="344" t="s">
        <v>877</v>
      </c>
      <c r="B390" s="345" t="s">
        <v>614</v>
      </c>
      <c r="C390" s="346"/>
      <c r="D390" s="347">
        <v>2</v>
      </c>
      <c r="E390" s="106" t="s">
        <v>287</v>
      </c>
      <c r="F390" s="105" t="s">
        <v>488</v>
      </c>
    </row>
    <row r="391" spans="1:6" x14ac:dyDescent="0.3">
      <c r="A391" s="112" t="s">
        <v>877</v>
      </c>
      <c r="B391" s="112" t="s">
        <v>885</v>
      </c>
      <c r="C391" s="333"/>
      <c r="D391" s="343">
        <v>2</v>
      </c>
      <c r="E391" s="109" t="s">
        <v>287</v>
      </c>
      <c r="F391" s="108" t="s">
        <v>488</v>
      </c>
    </row>
    <row r="392" spans="1:6" x14ac:dyDescent="0.3">
      <c r="A392" s="344" t="s">
        <v>877</v>
      </c>
      <c r="B392" s="345" t="s">
        <v>886</v>
      </c>
      <c r="C392" s="346"/>
      <c r="D392" s="347">
        <v>2</v>
      </c>
      <c r="E392" s="106" t="s">
        <v>287</v>
      </c>
      <c r="F392" s="105" t="s">
        <v>488</v>
      </c>
    </row>
    <row r="393" spans="1:6" x14ac:dyDescent="0.3">
      <c r="A393" s="112" t="s">
        <v>877</v>
      </c>
      <c r="B393" s="112" t="s">
        <v>887</v>
      </c>
      <c r="C393" s="333"/>
      <c r="D393" s="343">
        <v>2</v>
      </c>
      <c r="E393" s="109" t="s">
        <v>488</v>
      </c>
      <c r="F393" s="108" t="s">
        <v>488</v>
      </c>
    </row>
    <row r="394" spans="1:6" x14ac:dyDescent="0.3">
      <c r="A394" s="344" t="s">
        <v>877</v>
      </c>
      <c r="B394" s="345" t="s">
        <v>571</v>
      </c>
      <c r="C394" s="346"/>
      <c r="D394" s="347">
        <v>2</v>
      </c>
      <c r="E394" s="106" t="s">
        <v>287</v>
      </c>
      <c r="F394" s="105" t="s">
        <v>287</v>
      </c>
    </row>
    <row r="395" spans="1:6" x14ac:dyDescent="0.3">
      <c r="A395" s="112" t="s">
        <v>871</v>
      </c>
      <c r="B395" s="112" t="s">
        <v>621</v>
      </c>
      <c r="C395" s="333"/>
      <c r="D395" s="343">
        <v>3</v>
      </c>
      <c r="E395" s="109" t="s">
        <v>287</v>
      </c>
      <c r="F395" s="108" t="s">
        <v>488</v>
      </c>
    </row>
    <row r="396" spans="1:6" x14ac:dyDescent="0.3">
      <c r="A396" s="344" t="s">
        <v>871</v>
      </c>
      <c r="B396" s="345" t="s">
        <v>888</v>
      </c>
      <c r="C396" s="346"/>
      <c r="D396" s="347">
        <v>3</v>
      </c>
      <c r="E396" s="106" t="s">
        <v>287</v>
      </c>
      <c r="F396" s="105" t="s">
        <v>287</v>
      </c>
    </row>
    <row r="397" spans="1:6" x14ac:dyDescent="0.3">
      <c r="A397" s="112" t="s">
        <v>877</v>
      </c>
      <c r="B397" s="112" t="s">
        <v>605</v>
      </c>
      <c r="C397" s="333"/>
      <c r="D397" s="343">
        <v>3</v>
      </c>
      <c r="E397" s="109" t="s">
        <v>287</v>
      </c>
      <c r="F397" s="108" t="s">
        <v>287</v>
      </c>
    </row>
    <row r="398" spans="1:6" x14ac:dyDescent="0.3">
      <c r="A398" s="112" t="s">
        <v>877</v>
      </c>
      <c r="B398" s="112" t="s">
        <v>1331</v>
      </c>
      <c r="C398" s="333"/>
      <c r="D398" s="343">
        <v>3</v>
      </c>
      <c r="E398" s="109" t="s">
        <v>488</v>
      </c>
      <c r="F398" s="108" t="s">
        <v>488</v>
      </c>
    </row>
    <row r="399" spans="1:6" x14ac:dyDescent="0.3">
      <c r="A399" s="344" t="s">
        <v>877</v>
      </c>
      <c r="B399" s="345" t="s">
        <v>624</v>
      </c>
      <c r="C399" s="346"/>
      <c r="D399" s="347">
        <v>3</v>
      </c>
      <c r="E399" s="106" t="s">
        <v>488</v>
      </c>
      <c r="F399" s="105" t="s">
        <v>488</v>
      </c>
    </row>
    <row r="400" spans="1:6" ht="21" x14ac:dyDescent="0.3">
      <c r="A400" s="1492"/>
      <c r="B400" s="1492"/>
      <c r="C400" s="1492"/>
      <c r="D400" s="101"/>
      <c r="E400" s="113">
        <f>(COUNTIF(E353:E399,"OK")+COUNTIF(E353:E399,"N/A"))/47</f>
        <v>0.68085106382978722</v>
      </c>
      <c r="F400" s="113">
        <f>(COUNTIF(F353:F399,"OK")+COUNTIF(F353:F399,"N/A"))/47</f>
        <v>0.23404255319148937</v>
      </c>
    </row>
  </sheetData>
  <sheetProtection formatCells="0" formatColumns="0" formatRows="0" insertHyperlinks="0" selectLockedCells="1"/>
  <autoFilter ref="A54:AO98" xr:uid="{0EA77265-C537-4C9F-8E83-DFC36F6B4475}"/>
  <mergeCells count="619">
    <mergeCell ref="I57:I58"/>
    <mergeCell ref="J59:J60"/>
    <mergeCell ref="J61:J62"/>
    <mergeCell ref="A352:C352"/>
    <mergeCell ref="A400:C400"/>
    <mergeCell ref="K97:K98"/>
    <mergeCell ref="K111:K112"/>
    <mergeCell ref="K113:K114"/>
    <mergeCell ref="J97:J98"/>
    <mergeCell ref="J111:J112"/>
    <mergeCell ref="J113:J114"/>
    <mergeCell ref="K59:K60"/>
    <mergeCell ref="K61:K62"/>
    <mergeCell ref="K63:K64"/>
    <mergeCell ref="K65:K66"/>
    <mergeCell ref="K67:K68"/>
    <mergeCell ref="K69:K70"/>
    <mergeCell ref="K71:K72"/>
    <mergeCell ref="K73:K74"/>
    <mergeCell ref="K75:K76"/>
    <mergeCell ref="K77:K78"/>
    <mergeCell ref="K79:K80"/>
    <mergeCell ref="J89:J90"/>
    <mergeCell ref="J71:J72"/>
    <mergeCell ref="AK97:AK98"/>
    <mergeCell ref="J67:J68"/>
    <mergeCell ref="J77:J78"/>
    <mergeCell ref="K8:K9"/>
    <mergeCell ref="K10:K11"/>
    <mergeCell ref="K85:K86"/>
    <mergeCell ref="K87:K88"/>
    <mergeCell ref="K89:K90"/>
    <mergeCell ref="K93:K94"/>
    <mergeCell ref="K95:K96"/>
    <mergeCell ref="M55:M56"/>
    <mergeCell ref="M65:M66"/>
    <mergeCell ref="L55:L56"/>
    <mergeCell ref="L75:L76"/>
    <mergeCell ref="L77:L78"/>
    <mergeCell ref="M75:M76"/>
    <mergeCell ref="M57:M58"/>
    <mergeCell ref="L67:L68"/>
    <mergeCell ref="M73:M74"/>
    <mergeCell ref="M71:M72"/>
    <mergeCell ref="L85:L86"/>
    <mergeCell ref="L87:L88"/>
    <mergeCell ref="M77:M78"/>
    <mergeCell ref="AJ45:AK45"/>
    <mergeCell ref="AK111:AK112"/>
    <mergeCell ref="M95:M96"/>
    <mergeCell ref="K91:K92"/>
    <mergeCell ref="J95:J96"/>
    <mergeCell ref="AK87:AK88"/>
    <mergeCell ref="AK89:AK90"/>
    <mergeCell ref="AK91:AK92"/>
    <mergeCell ref="AK93:AK94"/>
    <mergeCell ref="AK95:AK96"/>
    <mergeCell ref="J91:J92"/>
    <mergeCell ref="J93:J94"/>
    <mergeCell ref="L91:L92"/>
    <mergeCell ref="L89:L90"/>
    <mergeCell ref="N111:N112"/>
    <mergeCell ref="K99:K100"/>
    <mergeCell ref="L99:L100"/>
    <mergeCell ref="M99:M100"/>
    <mergeCell ref="N99:N100"/>
    <mergeCell ref="AK99:AK100"/>
    <mergeCell ref="K103:K104"/>
    <mergeCell ref="L103:L104"/>
    <mergeCell ref="M103:M104"/>
    <mergeCell ref="N103:N104"/>
    <mergeCell ref="AK103:AK104"/>
    <mergeCell ref="AL69:AL70"/>
    <mergeCell ref="AL71:AL72"/>
    <mergeCell ref="AL73:AL74"/>
    <mergeCell ref="AL75:AL76"/>
    <mergeCell ref="AL77:AL78"/>
    <mergeCell ref="AL79:AL80"/>
    <mergeCell ref="AL81:AL82"/>
    <mergeCell ref="P73:P74"/>
    <mergeCell ref="P75:P76"/>
    <mergeCell ref="P71:P72"/>
    <mergeCell ref="P69:P70"/>
    <mergeCell ref="AK69:AK70"/>
    <mergeCell ref="AL55:AL56"/>
    <mergeCell ref="AL57:AL58"/>
    <mergeCell ref="AL59:AL60"/>
    <mergeCell ref="AL61:AL62"/>
    <mergeCell ref="AL63:AL64"/>
    <mergeCell ref="AL65:AL66"/>
    <mergeCell ref="AL67:AL68"/>
    <mergeCell ref="AK53:AM53"/>
    <mergeCell ref="AK55:AK56"/>
    <mergeCell ref="AK57:AK58"/>
    <mergeCell ref="AK59:AK60"/>
    <mergeCell ref="AK61:AK62"/>
    <mergeCell ref="AK63:AK64"/>
    <mergeCell ref="AK65:AK66"/>
    <mergeCell ref="AK67:AK68"/>
    <mergeCell ref="AM55:AM56"/>
    <mergeCell ref="AM57:AM58"/>
    <mergeCell ref="AM59:AM60"/>
    <mergeCell ref="AM61:AM62"/>
    <mergeCell ref="AM63:AM64"/>
    <mergeCell ref="AM65:AM66"/>
    <mergeCell ref="AM67:AM68"/>
    <mergeCell ref="AK113:AK114"/>
    <mergeCell ref="AM93:AM94"/>
    <mergeCell ref="AM95:AM96"/>
    <mergeCell ref="AM97:AM98"/>
    <mergeCell ref="AM111:AM112"/>
    <mergeCell ref="AL113:AL114"/>
    <mergeCell ref="AM113:AM114"/>
    <mergeCell ref="AK71:AK72"/>
    <mergeCell ref="AK73:AK74"/>
    <mergeCell ref="AK75:AK76"/>
    <mergeCell ref="AK77:AK78"/>
    <mergeCell ref="AK79:AK80"/>
    <mergeCell ref="AK81:AK82"/>
    <mergeCell ref="AK83:AK84"/>
    <mergeCell ref="AK85:AK86"/>
    <mergeCell ref="AL85:AL86"/>
    <mergeCell ref="AL87:AL88"/>
    <mergeCell ref="AL89:AL90"/>
    <mergeCell ref="AL91:AL92"/>
    <mergeCell ref="AL93:AL94"/>
    <mergeCell ref="AL95:AL96"/>
    <mergeCell ref="AL97:AL98"/>
    <mergeCell ref="AL111:AL112"/>
    <mergeCell ref="AL83:AL84"/>
    <mergeCell ref="E4:F4"/>
    <mergeCell ref="A55:A56"/>
    <mergeCell ref="C55:C56"/>
    <mergeCell ref="U14:Y14"/>
    <mergeCell ref="U15:Y15"/>
    <mergeCell ref="U16:Y16"/>
    <mergeCell ref="U17:Y17"/>
    <mergeCell ref="U18:Y18"/>
    <mergeCell ref="U19:Y19"/>
    <mergeCell ref="G4:I4"/>
    <mergeCell ref="G5:I5"/>
    <mergeCell ref="H7:J7"/>
    <mergeCell ref="L4:M4"/>
    <mergeCell ref="L5:M5"/>
    <mergeCell ref="L8:L9"/>
    <mergeCell ref="M8:M9"/>
    <mergeCell ref="L10:L11"/>
    <mergeCell ref="A4:B4"/>
    <mergeCell ref="J4:K4"/>
    <mergeCell ref="J55:J56"/>
    <mergeCell ref="E55:E56"/>
    <mergeCell ref="F55:F56"/>
    <mergeCell ref="U22:Y22"/>
    <mergeCell ref="U20:Y20"/>
    <mergeCell ref="P113:P114"/>
    <mergeCell ref="O113:O114"/>
    <mergeCell ref="P81:P82"/>
    <mergeCell ref="P83:P84"/>
    <mergeCell ref="O81:O82"/>
    <mergeCell ref="O83:O84"/>
    <mergeCell ref="P77:P78"/>
    <mergeCell ref="P79:P80"/>
    <mergeCell ref="O79:O80"/>
    <mergeCell ref="O77:O78"/>
    <mergeCell ref="P91:P92"/>
    <mergeCell ref="P93:P94"/>
    <mergeCell ref="P111:P112"/>
    <mergeCell ref="O99:O100"/>
    <mergeCell ref="P99:P100"/>
    <mergeCell ref="O103:O104"/>
    <mergeCell ref="P103:P104"/>
    <mergeCell ref="J5:K5"/>
    <mergeCell ref="P55:P56"/>
    <mergeCell ref="P57:P58"/>
    <mergeCell ref="P65:P66"/>
    <mergeCell ref="M10:M11"/>
    <mergeCell ref="N55:N56"/>
    <mergeCell ref="O55:O56"/>
    <mergeCell ref="M87:M88"/>
    <mergeCell ref="N87:N88"/>
    <mergeCell ref="M85:M86"/>
    <mergeCell ref="K55:K56"/>
    <mergeCell ref="M83:M84"/>
    <mergeCell ref="L83:L84"/>
    <mergeCell ref="O71:O72"/>
    <mergeCell ref="O69:O70"/>
    <mergeCell ref="P67:P68"/>
    <mergeCell ref="O73:O74"/>
    <mergeCell ref="N83:N84"/>
    <mergeCell ref="J81:J82"/>
    <mergeCell ref="N71:N72"/>
    <mergeCell ref="N73:N74"/>
    <mergeCell ref="N77:N78"/>
    <mergeCell ref="L73:L74"/>
    <mergeCell ref="N57:N58"/>
    <mergeCell ref="I95:I96"/>
    <mergeCell ref="E67:E68"/>
    <mergeCell ref="F67:F68"/>
    <mergeCell ref="G67:G68"/>
    <mergeCell ref="H65:H66"/>
    <mergeCell ref="I65:I66"/>
    <mergeCell ref="H67:H68"/>
    <mergeCell ref="I67:I68"/>
    <mergeCell ref="H95:H96"/>
    <mergeCell ref="H85:H86"/>
    <mergeCell ref="I85:I86"/>
    <mergeCell ref="I87:I88"/>
    <mergeCell ref="E85:E86"/>
    <mergeCell ref="H77:H78"/>
    <mergeCell ref="I77:I78"/>
    <mergeCell ref="I83:I84"/>
    <mergeCell ref="I93:I94"/>
    <mergeCell ref="I79:I80"/>
    <mergeCell ref="E73:E74"/>
    <mergeCell ref="F73:F74"/>
    <mergeCell ref="F79:F80"/>
    <mergeCell ref="G79:G80"/>
    <mergeCell ref="H79:H80"/>
    <mergeCell ref="I73:I74"/>
    <mergeCell ref="G57:G58"/>
    <mergeCell ref="H57:H58"/>
    <mergeCell ref="I75:I76"/>
    <mergeCell ref="C79:C80"/>
    <mergeCell ref="C75:C76"/>
    <mergeCell ref="J63:J64"/>
    <mergeCell ref="J65:J66"/>
    <mergeCell ref="A65:A66"/>
    <mergeCell ref="D71:D72"/>
    <mergeCell ref="H73:H74"/>
    <mergeCell ref="G65:G66"/>
    <mergeCell ref="C63:C64"/>
    <mergeCell ref="A63:A64"/>
    <mergeCell ref="J73:J74"/>
    <mergeCell ref="G73:G74"/>
    <mergeCell ref="J79:J80"/>
    <mergeCell ref="G63:G64"/>
    <mergeCell ref="H63:H64"/>
    <mergeCell ref="I63:I64"/>
    <mergeCell ref="A67:A68"/>
    <mergeCell ref="C67:C68"/>
    <mergeCell ref="C65:C66"/>
    <mergeCell ref="D73:D74"/>
    <mergeCell ref="D77:D78"/>
    <mergeCell ref="D79:D80"/>
    <mergeCell ref="E81:E82"/>
    <mergeCell ref="F83:F84"/>
    <mergeCell ref="A79:A80"/>
    <mergeCell ref="F81:F82"/>
    <mergeCell ref="G89:G90"/>
    <mergeCell ref="A71:A72"/>
    <mergeCell ref="C71:C72"/>
    <mergeCell ref="C73:C74"/>
    <mergeCell ref="D75:D76"/>
    <mergeCell ref="G81:G82"/>
    <mergeCell ref="E75:E76"/>
    <mergeCell ref="F75:F76"/>
    <mergeCell ref="A77:A78"/>
    <mergeCell ref="A69:A70"/>
    <mergeCell ref="C69:C70"/>
    <mergeCell ref="E69:E70"/>
    <mergeCell ref="F69:F70"/>
    <mergeCell ref="E57:E58"/>
    <mergeCell ref="F57:F58"/>
    <mergeCell ref="A61:A62"/>
    <mergeCell ref="C61:C62"/>
    <mergeCell ref="A57:A58"/>
    <mergeCell ref="D69:D70"/>
    <mergeCell ref="A59:A60"/>
    <mergeCell ref="U5:Y5"/>
    <mergeCell ref="U6:Y6"/>
    <mergeCell ref="E77:E78"/>
    <mergeCell ref="F77:F78"/>
    <mergeCell ref="G77:G78"/>
    <mergeCell ref="L71:L72"/>
    <mergeCell ref="E71:E72"/>
    <mergeCell ref="F71:F72"/>
    <mergeCell ref="G71:G72"/>
    <mergeCell ref="H71:H72"/>
    <mergeCell ref="I71:I72"/>
    <mergeCell ref="G75:G76"/>
    <mergeCell ref="H75:H76"/>
    <mergeCell ref="G61:G62"/>
    <mergeCell ref="H61:H62"/>
    <mergeCell ref="I61:I62"/>
    <mergeCell ref="E63:E64"/>
    <mergeCell ref="F63:F64"/>
    <mergeCell ref="E59:E60"/>
    <mergeCell ref="E61:E62"/>
    <mergeCell ref="F61:F62"/>
    <mergeCell ref="H55:H56"/>
    <mergeCell ref="I55:I56"/>
    <mergeCell ref="J57:J58"/>
    <mergeCell ref="I111:I112"/>
    <mergeCell ref="M111:M112"/>
    <mergeCell ref="A97:A98"/>
    <mergeCell ref="A5:B5"/>
    <mergeCell ref="E5:F5"/>
    <mergeCell ref="E83:E84"/>
    <mergeCell ref="H91:H92"/>
    <mergeCell ref="D91:D92"/>
    <mergeCell ref="D93:D94"/>
    <mergeCell ref="C95:C96"/>
    <mergeCell ref="E95:E96"/>
    <mergeCell ref="A75:A76"/>
    <mergeCell ref="A73:A74"/>
    <mergeCell ref="A89:A90"/>
    <mergeCell ref="C89:C90"/>
    <mergeCell ref="A85:A86"/>
    <mergeCell ref="C85:C86"/>
    <mergeCell ref="D85:D86"/>
    <mergeCell ref="D87:D88"/>
    <mergeCell ref="D89:D90"/>
    <mergeCell ref="E89:E90"/>
    <mergeCell ref="F89:F90"/>
    <mergeCell ref="G85:G86"/>
    <mergeCell ref="G69:G70"/>
    <mergeCell ref="A113:A114"/>
    <mergeCell ref="C113:C114"/>
    <mergeCell ref="E113:E114"/>
    <mergeCell ref="F113:F114"/>
    <mergeCell ref="G113:G114"/>
    <mergeCell ref="H113:H114"/>
    <mergeCell ref="C97:C98"/>
    <mergeCell ref="A87:A88"/>
    <mergeCell ref="E87:E88"/>
    <mergeCell ref="F87:F88"/>
    <mergeCell ref="G87:G88"/>
    <mergeCell ref="A95:A96"/>
    <mergeCell ref="A111:A112"/>
    <mergeCell ref="C111:C112"/>
    <mergeCell ref="E111:E112"/>
    <mergeCell ref="F111:F112"/>
    <mergeCell ref="G111:G112"/>
    <mergeCell ref="H111:H112"/>
    <mergeCell ref="D113:D114"/>
    <mergeCell ref="E91:E92"/>
    <mergeCell ref="F91:F92"/>
    <mergeCell ref="G91:G92"/>
    <mergeCell ref="A99:A100"/>
    <mergeCell ref="C99:C100"/>
    <mergeCell ref="P61:P62"/>
    <mergeCell ref="O61:O62"/>
    <mergeCell ref="O65:O66"/>
    <mergeCell ref="O67:O68"/>
    <mergeCell ref="L65:L66"/>
    <mergeCell ref="M61:M62"/>
    <mergeCell ref="N61:N62"/>
    <mergeCell ref="L61:L62"/>
    <mergeCell ref="M63:M64"/>
    <mergeCell ref="N63:N64"/>
    <mergeCell ref="P63:P64"/>
    <mergeCell ref="O63:O64"/>
    <mergeCell ref="L63:L64"/>
    <mergeCell ref="N65:N66"/>
    <mergeCell ref="H69:H70"/>
    <mergeCell ref="I69:I70"/>
    <mergeCell ref="M69:M70"/>
    <mergeCell ref="E65:E66"/>
    <mergeCell ref="F65:F66"/>
    <mergeCell ref="M67:M68"/>
    <mergeCell ref="N67:N68"/>
    <mergeCell ref="N69:N70"/>
    <mergeCell ref="L69:L70"/>
    <mergeCell ref="J69:J70"/>
    <mergeCell ref="M91:M92"/>
    <mergeCell ref="L95:L96"/>
    <mergeCell ref="L93:L94"/>
    <mergeCell ref="D83:D84"/>
    <mergeCell ref="A81:A82"/>
    <mergeCell ref="C81:C82"/>
    <mergeCell ref="A83:A84"/>
    <mergeCell ref="J83:J84"/>
    <mergeCell ref="G83:G84"/>
    <mergeCell ref="A93:A94"/>
    <mergeCell ref="C93:C94"/>
    <mergeCell ref="E93:E94"/>
    <mergeCell ref="F93:F94"/>
    <mergeCell ref="G93:G94"/>
    <mergeCell ref="H93:H94"/>
    <mergeCell ref="C91:C92"/>
    <mergeCell ref="F95:F96"/>
    <mergeCell ref="G95:G96"/>
    <mergeCell ref="A91:A92"/>
    <mergeCell ref="M81:M82"/>
    <mergeCell ref="H81:H82"/>
    <mergeCell ref="K81:K82"/>
    <mergeCell ref="K83:K84"/>
    <mergeCell ref="H87:H88"/>
    <mergeCell ref="H89:H90"/>
    <mergeCell ref="I89:I90"/>
    <mergeCell ref="O75:O76"/>
    <mergeCell ref="M79:M80"/>
    <mergeCell ref="N79:N80"/>
    <mergeCell ref="L79:L80"/>
    <mergeCell ref="L81:L82"/>
    <mergeCell ref="J85:J86"/>
    <mergeCell ref="J87:J88"/>
    <mergeCell ref="I81:I82"/>
    <mergeCell ref="M89:M90"/>
    <mergeCell ref="O85:O86"/>
    <mergeCell ref="N85:N86"/>
    <mergeCell ref="N89:N90"/>
    <mergeCell ref="J75:J76"/>
    <mergeCell ref="J99:J100"/>
    <mergeCell ref="M116:N116"/>
    <mergeCell ref="O116:P116"/>
    <mergeCell ref="O87:O88"/>
    <mergeCell ref="O89:O90"/>
    <mergeCell ref="H83:H84"/>
    <mergeCell ref="N81:N82"/>
    <mergeCell ref="D81:D82"/>
    <mergeCell ref="E79:E80"/>
    <mergeCell ref="H116:L116"/>
    <mergeCell ref="P85:P86"/>
    <mergeCell ref="P87:P88"/>
    <mergeCell ref="N97:N98"/>
    <mergeCell ref="P97:P98"/>
    <mergeCell ref="P89:P90"/>
    <mergeCell ref="N113:N114"/>
    <mergeCell ref="N93:N94"/>
    <mergeCell ref="N95:N96"/>
    <mergeCell ref="M113:M114"/>
    <mergeCell ref="O91:O92"/>
    <mergeCell ref="O93:O94"/>
    <mergeCell ref="N91:N92"/>
    <mergeCell ref="M93:M94"/>
    <mergeCell ref="I91:I92"/>
    <mergeCell ref="U7:Y7"/>
    <mergeCell ref="L113:L114"/>
    <mergeCell ref="I97:I98"/>
    <mergeCell ref="L111:L112"/>
    <mergeCell ref="L97:L98"/>
    <mergeCell ref="P95:P96"/>
    <mergeCell ref="M97:M98"/>
    <mergeCell ref="D95:D96"/>
    <mergeCell ref="D97:D98"/>
    <mergeCell ref="D111:D112"/>
    <mergeCell ref="O95:O96"/>
    <mergeCell ref="O97:O98"/>
    <mergeCell ref="O111:O112"/>
    <mergeCell ref="F97:F98"/>
    <mergeCell ref="G97:G98"/>
    <mergeCell ref="H97:H98"/>
    <mergeCell ref="E97:E98"/>
    <mergeCell ref="I113:I114"/>
    <mergeCell ref="D99:D100"/>
    <mergeCell ref="E99:E100"/>
    <mergeCell ref="F99:F100"/>
    <mergeCell ref="G99:G100"/>
    <mergeCell ref="H99:H100"/>
    <mergeCell ref="I99:I100"/>
    <mergeCell ref="AM101:AM102"/>
    <mergeCell ref="O4:AF4"/>
    <mergeCell ref="A1:AF1"/>
    <mergeCell ref="A2:AF2"/>
    <mergeCell ref="AM83:AM84"/>
    <mergeCell ref="AM85:AM86"/>
    <mergeCell ref="AM87:AM88"/>
    <mergeCell ref="AM89:AM90"/>
    <mergeCell ref="AM91:AM92"/>
    <mergeCell ref="AM69:AM70"/>
    <mergeCell ref="AM71:AM72"/>
    <mergeCell ref="AM73:AM74"/>
    <mergeCell ref="AM75:AM76"/>
    <mergeCell ref="AM77:AM78"/>
    <mergeCell ref="AM79:AM80"/>
    <mergeCell ref="AM81:AM82"/>
    <mergeCell ref="D55:D56"/>
    <mergeCell ref="D57:D58"/>
    <mergeCell ref="D59:D60"/>
    <mergeCell ref="D61:D62"/>
    <mergeCell ref="D63:D64"/>
    <mergeCell ref="D65:D66"/>
    <mergeCell ref="D67:D68"/>
    <mergeCell ref="F85:F86"/>
    <mergeCell ref="F103:F104"/>
    <mergeCell ref="G103:G104"/>
    <mergeCell ref="H103:H104"/>
    <mergeCell ref="I103:I104"/>
    <mergeCell ref="J103:J104"/>
    <mergeCell ref="AL99:AL100"/>
    <mergeCell ref="AM99:AM100"/>
    <mergeCell ref="A101:A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AK101:AK102"/>
    <mergeCell ref="AL101:AL102"/>
    <mergeCell ref="AL103:AL104"/>
    <mergeCell ref="AM103:AM104"/>
    <mergeCell ref="AM105:AM106"/>
    <mergeCell ref="A105:A106"/>
    <mergeCell ref="C105:C106"/>
    <mergeCell ref="D105:D106"/>
    <mergeCell ref="E105:E106"/>
    <mergeCell ref="F105:F106"/>
    <mergeCell ref="G105:G106"/>
    <mergeCell ref="H105:H106"/>
    <mergeCell ref="I105:I106"/>
    <mergeCell ref="J105:J106"/>
    <mergeCell ref="P105:P106"/>
    <mergeCell ref="AK105:AK106"/>
    <mergeCell ref="K105:K106"/>
    <mergeCell ref="L105:L106"/>
    <mergeCell ref="M105:M106"/>
    <mergeCell ref="N105:N106"/>
    <mergeCell ref="O105:O106"/>
    <mergeCell ref="AL105:AL106"/>
    <mergeCell ref="A103:A104"/>
    <mergeCell ref="C103:C104"/>
    <mergeCell ref="D103:D104"/>
    <mergeCell ref="E103:E104"/>
    <mergeCell ref="F109:F110"/>
    <mergeCell ref="G109:G110"/>
    <mergeCell ref="H109:H110"/>
    <mergeCell ref="I109:I110"/>
    <mergeCell ref="J109:J110"/>
    <mergeCell ref="B109:B110"/>
    <mergeCell ref="E107:E108"/>
    <mergeCell ref="F107:F108"/>
    <mergeCell ref="G107:G108"/>
    <mergeCell ref="H107:H108"/>
    <mergeCell ref="I107:I108"/>
    <mergeCell ref="J107:J108"/>
    <mergeCell ref="B107:B108"/>
    <mergeCell ref="AL107:AL108"/>
    <mergeCell ref="AM107:AM108"/>
    <mergeCell ref="A107:A108"/>
    <mergeCell ref="C107:C108"/>
    <mergeCell ref="D107:D108"/>
    <mergeCell ref="K109:K110"/>
    <mergeCell ref="L109:L110"/>
    <mergeCell ref="M109:M110"/>
    <mergeCell ref="N109:N110"/>
    <mergeCell ref="O109:O110"/>
    <mergeCell ref="P109:P110"/>
    <mergeCell ref="K107:K108"/>
    <mergeCell ref="L107:L108"/>
    <mergeCell ref="M107:M108"/>
    <mergeCell ref="N107:N108"/>
    <mergeCell ref="O107:O108"/>
    <mergeCell ref="P107:P108"/>
    <mergeCell ref="AK109:AK110"/>
    <mergeCell ref="AL109:AL110"/>
    <mergeCell ref="AM109:AM110"/>
    <mergeCell ref="A109:A110"/>
    <mergeCell ref="C109:C110"/>
    <mergeCell ref="D109:D110"/>
    <mergeCell ref="E109:E110"/>
    <mergeCell ref="AK107:AK108"/>
    <mergeCell ref="U8:Y8"/>
    <mergeCell ref="U9:Y9"/>
    <mergeCell ref="U10:Y10"/>
    <mergeCell ref="U11:Y11"/>
    <mergeCell ref="U12:Y12"/>
    <mergeCell ref="U13:Y13"/>
    <mergeCell ref="F59:F60"/>
    <mergeCell ref="G59:G60"/>
    <mergeCell ref="H59:H60"/>
    <mergeCell ref="I59:I60"/>
    <mergeCell ref="M59:M60"/>
    <mergeCell ref="N59:N60"/>
    <mergeCell ref="O57:O58"/>
    <mergeCell ref="O59:O60"/>
    <mergeCell ref="L57:L58"/>
    <mergeCell ref="L59:L60"/>
    <mergeCell ref="K57:K58"/>
    <mergeCell ref="U21:Y21"/>
    <mergeCell ref="O26:P26"/>
    <mergeCell ref="U23:Y23"/>
    <mergeCell ref="U24:Y24"/>
    <mergeCell ref="U25:Y25"/>
    <mergeCell ref="G55:G56"/>
    <mergeCell ref="P59:P60"/>
    <mergeCell ref="C83:C84"/>
    <mergeCell ref="C87:C88"/>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C57:C58"/>
    <mergeCell ref="C59:C60"/>
    <mergeCell ref="C77:C78"/>
    <mergeCell ref="N75:N76"/>
    <mergeCell ref="B111:B112"/>
    <mergeCell ref="B113:B114"/>
    <mergeCell ref="B89:B90"/>
    <mergeCell ref="B91:B92"/>
    <mergeCell ref="B93:B94"/>
    <mergeCell ref="B95:B96"/>
    <mergeCell ref="B97:B98"/>
    <mergeCell ref="B99:B100"/>
    <mergeCell ref="B101:B102"/>
    <mergeCell ref="B103:B104"/>
    <mergeCell ref="B105:B106"/>
  </mergeCells>
  <phoneticPr fontId="12" type="noConversion"/>
  <conditionalFormatting sqref="F9:F12">
    <cfRule type="dataBar" priority="52">
      <dataBar showValue="0">
        <cfvo type="num" val="0"/>
        <cfvo type="num" val="1"/>
        <color rgb="FF00B050"/>
      </dataBar>
      <extLst>
        <ext xmlns:x14="http://schemas.microsoft.com/office/spreadsheetml/2009/9/main" uri="{B025F937-C7B1-47D3-B67F-A62EFF666E3E}">
          <x14:id>{593BEEC4-2C32-4DE4-B5C4-C18E43AAA362}</x14:id>
        </ext>
      </extLst>
    </cfRule>
  </conditionalFormatting>
  <conditionalFormatting sqref="R6:R25">
    <cfRule type="cellIs" dxfId="99" priority="3" operator="between">
      <formula>$Q$6</formula>
      <formula>0.01</formula>
    </cfRule>
    <cfRule type="cellIs" dxfId="98" priority="4" operator="greaterThanOrEqual">
      <formula>$Q$6</formula>
    </cfRule>
    <cfRule type="cellIs" dxfId="97" priority="5" operator="equal">
      <formula>0</formula>
    </cfRule>
  </conditionalFormatting>
  <conditionalFormatting sqref="S6:S25">
    <cfRule type="containsText" dxfId="96" priority="15" operator="containsText" text="Concluído">
      <formula>NOT(ISERROR(SEARCH("Concluído",S6)))</formula>
    </cfRule>
    <cfRule type="containsText" dxfId="95" priority="16" operator="containsText" text="Conforme Planejado">
      <formula>NOT(ISERROR(SEARCH("Conforme Planejado",S6)))</formula>
    </cfRule>
    <cfRule type="containsText" dxfId="94" priority="17" operator="containsText" text="FALTA PLANEJAMENTO">
      <formula>NOT(ISERROR(SEARCH("FALTA PLANEJAMENTO",S6)))</formula>
    </cfRule>
    <cfRule type="containsText" dxfId="93" priority="18" operator="containsText" text="Atraso">
      <formula>NOT(ISERROR(SEARCH("Atraso",S6)))</formula>
    </cfRule>
  </conditionalFormatting>
  <conditionalFormatting sqref="T6:T25 AP55:AP114 AO115:AO164">
    <cfRule type="cellIs" dxfId="92" priority="6" operator="lessThan">
      <formula>0</formula>
    </cfRule>
  </conditionalFormatting>
  <conditionalFormatting sqref="AA6:AA25">
    <cfRule type="cellIs" dxfId="91" priority="47" operator="lessThanOrEqual">
      <formula>0.81</formula>
    </cfRule>
  </conditionalFormatting>
  <conditionalFormatting sqref="AD6:AD25">
    <cfRule type="containsText" dxfId="90" priority="9" operator="containsText" text="ADIANTADO">
      <formula>NOT(ISERROR(SEARCH("ADIANTADO",AD6)))</formula>
    </cfRule>
    <cfRule type="containsText" dxfId="89" priority="10" operator="containsText" text="FALTA DE ACOMPANHAMENTO">
      <formula>NOT(ISERROR(SEARCH("FALTA DE ACOMPANHAMENTO",AD6)))</formula>
    </cfRule>
    <cfRule type="containsText" dxfId="88" priority="11" operator="containsText" text="Concluído">
      <formula>NOT(ISERROR(SEARCH("Concluído",AD6)))</formula>
    </cfRule>
    <cfRule type="containsText" dxfId="87" priority="12" operator="containsText" text="Conforme Planejado">
      <formula>NOT(ISERROR(SEARCH("Conforme Planejado",AD6)))</formula>
    </cfRule>
    <cfRule type="containsText" dxfId="86" priority="13" operator="containsText" text="PROJETO NÃO INICIADO">
      <formula>NOT(ISERROR(SEARCH("PROJETO NÃO INICIADO",AD6)))</formula>
    </cfRule>
    <cfRule type="containsText" dxfId="85" priority="14" operator="containsText" text="Atraso">
      <formula>NOT(ISERROR(SEARCH("Atraso",AD6)))</formula>
    </cfRule>
  </conditionalFormatting>
  <dataValidations count="6">
    <dataValidation type="list" allowBlank="1" showInputMessage="1" showErrorMessage="1" sqref="I29:I51 K29:K51 M29:M51 O29:O51 Q29:Q51 S29:S51 U29:U51 W29:W51 Y29:Y51 AA29:AA51 AC29:AC51 AE29:AE51" xr:uid="{0F4861CD-A665-499A-A8F9-E7EF66E776C3}">
      <formula1>"Método,mão de obra,máquina,materiais,medidas,meio ambiente "</formula1>
    </dataValidation>
    <dataValidation type="list" allowBlank="1" showInputMessage="1" showErrorMessage="1" sqref="E167:E234" xr:uid="{B4BD5359-C2F5-4AF6-BFFA-E2FA976BA817}">
      <formula1>"Sim,Não"</formula1>
    </dataValidation>
    <dataValidation type="list" allowBlank="1" showInputMessage="1" showErrorMessage="1" sqref="D116:D119 D124:D130 D138 D140 D142:D144" xr:uid="{570F1F01-1D0B-4933-9B79-FA492C664136}">
      <formula1>"1,2,3"</formula1>
    </dataValidation>
    <dataValidation type="list" allowBlank="1" showInputMessage="1" showErrorMessage="1" sqref="E117:F144" xr:uid="{7B4C52BB-3D1B-4C9D-B8BA-7AD13131E590}">
      <formula1>"NOK,OK"</formula1>
    </dataValidation>
    <dataValidation type="list" allowBlank="1" showInputMessage="1" showErrorMessage="1" sqref="AK55:AK114" xr:uid="{9E60AB47-C3B0-4424-934B-DE09378DCCC1}">
      <formula1>$AJ$47:$AJ$51</formula1>
    </dataValidation>
    <dataValidation type="list" allowBlank="1" showInputMessage="1" showErrorMessage="1" sqref="B55:B114" xr:uid="{90C7203B-7493-444D-A98E-864A518B728E}">
      <formula1>"VA,GGF,MA,Outros"</formula1>
    </dataValidation>
  </dataValidations>
  <hyperlinks>
    <hyperlink ref="C87:C88" r:id="rId1" display="19 - Insumos logística" xr:uid="{782E85C7-A2BA-4233-AE09-B675FA875D54}"/>
    <hyperlink ref="C83:C84" r:id="rId2" display="17 - Consumo de água " xr:uid="{DFD50583-4590-406A-8147-052B3F2E5170}"/>
    <hyperlink ref="C79:C80" r:id="rId3" display="15 - Enclausuramento do jato granalha" xr:uid="{FB09FB39-ABF4-494E-B78A-8EE287EA2831}"/>
    <hyperlink ref="C77:C78" r:id="rId4" display="14 - Consumo de EPI's" xr:uid="{86E4D4BB-D9DB-456A-9315-60C07AECBF7E}"/>
    <hyperlink ref="C75:C76" r:id="rId5" display="13 - Transferência Hasenclaver para o plasma " xr:uid="{7347A4BD-3BC3-4334-8839-B9C858825FF9}"/>
    <hyperlink ref="C71:C72" r:id="rId6" display="10 - Consumo de energia elétrica: vazamentos de ar " xr:uid="{A025B1F7-3918-45AC-AA9E-DB09F149CA49}"/>
    <hyperlink ref="C73:C74" r:id="rId7" display="12 - Sistema hidráulico 3500T" xr:uid="{C4103470-BF45-47BA-9CD3-739DDBE6C44E}"/>
    <hyperlink ref="C67:C68" r:id="rId8" display="07 - Consumo de gás " xr:uid="{BF764B63-115E-4826-BC77-75337BED7687}"/>
    <hyperlink ref="C65:C66" r:id="rId9" display="06 - Reaproveitamento de lixas " xr:uid="{1D5D6401-286D-4C41-8C98-3F01D9EAD873}"/>
    <hyperlink ref="C61:C62" r:id="rId10" display="04 - Redução dos retrabalhos " xr:uid="{67D0826C-39F9-41C6-9745-7074574D9B11}"/>
    <hyperlink ref="C59:C60" r:id="rId11" display="03 - Consumo de desmoldante " xr:uid="{1F4A2DCF-6B36-4CF1-AB3A-8BA3F9AAE5FF}"/>
    <hyperlink ref="D55:D56" r:id="rId12" display="\\dfsrvfile01\Departamentos\Engenharia\02. Engenharia de Processo\02 - Projetos\05 - Projetos estratégicos\01 - Clientes com baixa margem de contribuição\PROJETO - CLIENTES COM BAIXA MARGEM DE CONTRIBUIÇÃO.xlsx" xr:uid="{58676B2C-0E17-4225-82FC-BA1699959407}"/>
    <hyperlink ref="D57" r:id="rId13" xr:uid="{557A9EEF-E70E-4D4B-B0C2-0F6640B7423A}"/>
    <hyperlink ref="D61" r:id="rId14" xr:uid="{58EFDD55-40B1-4679-A6F5-07840DA58B05}"/>
    <hyperlink ref="D55" r:id="rId15" xr:uid="{E4FC5CD5-1841-4D3C-8831-0B466AC253B6}"/>
    <hyperlink ref="D63" r:id="rId16" xr:uid="{A72306DE-DC7D-4BC1-9632-B6B0C164BA8B}"/>
    <hyperlink ref="D65" r:id="rId17" xr:uid="{E4FDA7EB-E026-4ECB-9608-E8D6378673BD}"/>
    <hyperlink ref="D67" r:id="rId18" xr:uid="{FD0C9E18-4BC4-4BB3-ABFA-710E96A59801}"/>
    <hyperlink ref="D69" r:id="rId19" xr:uid="{A33EB2EE-EC59-442C-88CC-907D3092D7C5}"/>
    <hyperlink ref="D71" r:id="rId20" xr:uid="{E3FCE5D8-7071-4F41-8AAE-6C0238A466C6}"/>
    <hyperlink ref="D73" r:id="rId21" xr:uid="{B080E2E2-7F9A-49EA-95D7-5EF3878B2D4B}"/>
    <hyperlink ref="D75" r:id="rId22" xr:uid="{3A8CC2C3-DF9C-477D-940E-213A35AB529B}"/>
    <hyperlink ref="D77" r:id="rId23" xr:uid="{C1763BBE-0D54-41E7-B630-DA2FA298E950}"/>
    <hyperlink ref="D79" r:id="rId24" xr:uid="{ADD15021-A00E-4DDF-983D-A331FE77AD48}"/>
    <hyperlink ref="D83" r:id="rId25" xr:uid="{1097B20F-8390-4C4A-B96A-4A1A043AECD9}"/>
    <hyperlink ref="D89" r:id="rId26" xr:uid="{AAB690F7-9351-4CF3-BC57-9E9E9FA5E683}"/>
    <hyperlink ref="D81" r:id="rId27" xr:uid="{6F40D80E-5F59-4D6D-9B96-B66CD09744DB}"/>
    <hyperlink ref="D59" r:id="rId28" xr:uid="{CB40EB65-49CF-44D7-B696-73FD355DF633}"/>
    <hyperlink ref="D87" r:id="rId29" xr:uid="{FFCD2B14-C4C1-4DB5-B576-D51FB75E6D72}"/>
  </hyperlinks>
  <pageMargins left="0.75" right="0.75" top="1" bottom="1" header="0.5" footer="0.5"/>
  <pageSetup paperSize="9" scale="11" orientation="portrait" r:id="rId30"/>
  <drawing r:id="rId31"/>
  <legacyDrawing r:id="rId32"/>
  <mc:AlternateContent xmlns:mc="http://schemas.openxmlformats.org/markup-compatibility/2006">
    <mc:Choice Requires="x14">
      <controls>
        <mc:AlternateContent xmlns:mc="http://schemas.openxmlformats.org/markup-compatibility/2006">
          <mc:Choice Requires="x14">
            <control shapeId="4154" r:id="rId33" name="Check Box 58">
              <controlPr defaultSize="0" autoFill="0" autoLine="0" autoPict="0">
                <anchor moveWithCells="1">
                  <from>
                    <xdr:col>11</xdr:col>
                    <xdr:colOff>0</xdr:colOff>
                    <xdr:row>54</xdr:row>
                    <xdr:rowOff>259080</xdr:rowOff>
                  </from>
                  <to>
                    <xdr:col>11</xdr:col>
                    <xdr:colOff>1783080</xdr:colOff>
                    <xdr:row>55</xdr:row>
                    <xdr:rowOff>106680</xdr:rowOff>
                  </to>
                </anchor>
              </controlPr>
            </control>
          </mc:Choice>
        </mc:AlternateContent>
        <mc:AlternateContent xmlns:mc="http://schemas.openxmlformats.org/markup-compatibility/2006">
          <mc:Choice Requires="x14">
            <control shapeId="4155" r:id="rId34" name="Check Box 59">
              <controlPr defaultSize="0" autoFill="0" autoLine="0" autoPict="0">
                <anchor moveWithCells="1">
                  <from>
                    <xdr:col>11</xdr:col>
                    <xdr:colOff>0</xdr:colOff>
                    <xdr:row>55</xdr:row>
                    <xdr:rowOff>106680</xdr:rowOff>
                  </from>
                  <to>
                    <xdr:col>11</xdr:col>
                    <xdr:colOff>1783080</xdr:colOff>
                    <xdr:row>55</xdr:row>
                    <xdr:rowOff>335280</xdr:rowOff>
                  </to>
                </anchor>
              </controlPr>
            </control>
          </mc:Choice>
        </mc:AlternateContent>
        <mc:AlternateContent xmlns:mc="http://schemas.openxmlformats.org/markup-compatibility/2006">
          <mc:Choice Requires="x14">
            <control shapeId="4157" r:id="rId35" name="Check Box 61">
              <controlPr defaultSize="0" autoFill="0" autoLine="0" autoPict="0">
                <anchor moveWithCells="1">
                  <from>
                    <xdr:col>11</xdr:col>
                    <xdr:colOff>0</xdr:colOff>
                    <xdr:row>56</xdr:row>
                    <xdr:rowOff>259080</xdr:rowOff>
                  </from>
                  <to>
                    <xdr:col>11</xdr:col>
                    <xdr:colOff>1783080</xdr:colOff>
                    <xdr:row>57</xdr:row>
                    <xdr:rowOff>106680</xdr:rowOff>
                  </to>
                </anchor>
              </controlPr>
            </control>
          </mc:Choice>
        </mc:AlternateContent>
        <mc:AlternateContent xmlns:mc="http://schemas.openxmlformats.org/markup-compatibility/2006">
          <mc:Choice Requires="x14">
            <control shapeId="4158" r:id="rId36" name="Check Box 62">
              <controlPr defaultSize="0" autoFill="0" autoLine="0" autoPict="0">
                <anchor moveWithCells="1">
                  <from>
                    <xdr:col>11</xdr:col>
                    <xdr:colOff>0</xdr:colOff>
                    <xdr:row>57</xdr:row>
                    <xdr:rowOff>106680</xdr:rowOff>
                  </from>
                  <to>
                    <xdr:col>11</xdr:col>
                    <xdr:colOff>1783080</xdr:colOff>
                    <xdr:row>57</xdr:row>
                    <xdr:rowOff>304800</xdr:rowOff>
                  </to>
                </anchor>
              </controlPr>
            </control>
          </mc:Choice>
        </mc:AlternateContent>
        <mc:AlternateContent xmlns:mc="http://schemas.openxmlformats.org/markup-compatibility/2006">
          <mc:Choice Requires="x14">
            <control shapeId="4160" r:id="rId37" name="Check Box 64">
              <controlPr defaultSize="0" autoFill="0" autoLine="0" autoPict="0">
                <anchor moveWithCells="1">
                  <from>
                    <xdr:col>11</xdr:col>
                    <xdr:colOff>0</xdr:colOff>
                    <xdr:row>58</xdr:row>
                    <xdr:rowOff>259080</xdr:rowOff>
                  </from>
                  <to>
                    <xdr:col>11</xdr:col>
                    <xdr:colOff>1783080</xdr:colOff>
                    <xdr:row>59</xdr:row>
                    <xdr:rowOff>106680</xdr:rowOff>
                  </to>
                </anchor>
              </controlPr>
            </control>
          </mc:Choice>
        </mc:AlternateContent>
        <mc:AlternateContent xmlns:mc="http://schemas.openxmlformats.org/markup-compatibility/2006">
          <mc:Choice Requires="x14">
            <control shapeId="4161" r:id="rId38" name="Check Box 65">
              <controlPr defaultSize="0" autoFill="0" autoLine="0" autoPict="0">
                <anchor moveWithCells="1">
                  <from>
                    <xdr:col>11</xdr:col>
                    <xdr:colOff>0</xdr:colOff>
                    <xdr:row>59</xdr:row>
                    <xdr:rowOff>106680</xdr:rowOff>
                  </from>
                  <to>
                    <xdr:col>11</xdr:col>
                    <xdr:colOff>1783080</xdr:colOff>
                    <xdr:row>59</xdr:row>
                    <xdr:rowOff>304800</xdr:rowOff>
                  </to>
                </anchor>
              </controlPr>
            </control>
          </mc:Choice>
        </mc:AlternateContent>
        <mc:AlternateContent xmlns:mc="http://schemas.openxmlformats.org/markup-compatibility/2006">
          <mc:Choice Requires="x14">
            <control shapeId="4163" r:id="rId39" name="Check Box 67">
              <controlPr defaultSize="0" autoFill="0" autoLine="0" autoPict="0">
                <anchor moveWithCells="1">
                  <from>
                    <xdr:col>11</xdr:col>
                    <xdr:colOff>0</xdr:colOff>
                    <xdr:row>60</xdr:row>
                    <xdr:rowOff>259080</xdr:rowOff>
                  </from>
                  <to>
                    <xdr:col>11</xdr:col>
                    <xdr:colOff>1783080</xdr:colOff>
                    <xdr:row>61</xdr:row>
                    <xdr:rowOff>106680</xdr:rowOff>
                  </to>
                </anchor>
              </controlPr>
            </control>
          </mc:Choice>
        </mc:AlternateContent>
        <mc:AlternateContent xmlns:mc="http://schemas.openxmlformats.org/markup-compatibility/2006">
          <mc:Choice Requires="x14">
            <control shapeId="4164" r:id="rId40" name="Check Box 68">
              <controlPr defaultSize="0" autoFill="0" autoLine="0" autoPict="0">
                <anchor moveWithCells="1">
                  <from>
                    <xdr:col>11</xdr:col>
                    <xdr:colOff>0</xdr:colOff>
                    <xdr:row>61</xdr:row>
                    <xdr:rowOff>106680</xdr:rowOff>
                  </from>
                  <to>
                    <xdr:col>11</xdr:col>
                    <xdr:colOff>1783080</xdr:colOff>
                    <xdr:row>61</xdr:row>
                    <xdr:rowOff>327660</xdr:rowOff>
                  </to>
                </anchor>
              </controlPr>
            </control>
          </mc:Choice>
        </mc:AlternateContent>
        <mc:AlternateContent xmlns:mc="http://schemas.openxmlformats.org/markup-compatibility/2006">
          <mc:Choice Requires="x14">
            <control shapeId="4166" r:id="rId41" name="Check Box 70">
              <controlPr defaultSize="0" autoFill="0" autoLine="0" autoPict="0">
                <anchor moveWithCells="1">
                  <from>
                    <xdr:col>11</xdr:col>
                    <xdr:colOff>0</xdr:colOff>
                    <xdr:row>62</xdr:row>
                    <xdr:rowOff>259080</xdr:rowOff>
                  </from>
                  <to>
                    <xdr:col>11</xdr:col>
                    <xdr:colOff>1783080</xdr:colOff>
                    <xdr:row>63</xdr:row>
                    <xdr:rowOff>144780</xdr:rowOff>
                  </to>
                </anchor>
              </controlPr>
            </control>
          </mc:Choice>
        </mc:AlternateContent>
        <mc:AlternateContent xmlns:mc="http://schemas.openxmlformats.org/markup-compatibility/2006">
          <mc:Choice Requires="x14">
            <control shapeId="4167" r:id="rId42" name="Check Box 71">
              <controlPr defaultSize="0" autoFill="0" autoLine="0" autoPict="0">
                <anchor moveWithCells="1">
                  <from>
                    <xdr:col>11</xdr:col>
                    <xdr:colOff>0</xdr:colOff>
                    <xdr:row>63</xdr:row>
                    <xdr:rowOff>106680</xdr:rowOff>
                  </from>
                  <to>
                    <xdr:col>11</xdr:col>
                    <xdr:colOff>1783080</xdr:colOff>
                    <xdr:row>63</xdr:row>
                    <xdr:rowOff>297180</xdr:rowOff>
                  </to>
                </anchor>
              </controlPr>
            </control>
          </mc:Choice>
        </mc:AlternateContent>
        <mc:AlternateContent xmlns:mc="http://schemas.openxmlformats.org/markup-compatibility/2006">
          <mc:Choice Requires="x14">
            <control shapeId="4169" r:id="rId43" name="Check Box 73">
              <controlPr defaultSize="0" autoFill="0" autoLine="0" autoPict="0">
                <anchor moveWithCells="1">
                  <from>
                    <xdr:col>11</xdr:col>
                    <xdr:colOff>0</xdr:colOff>
                    <xdr:row>64</xdr:row>
                    <xdr:rowOff>259080</xdr:rowOff>
                  </from>
                  <to>
                    <xdr:col>11</xdr:col>
                    <xdr:colOff>1783080</xdr:colOff>
                    <xdr:row>65</xdr:row>
                    <xdr:rowOff>106680</xdr:rowOff>
                  </to>
                </anchor>
              </controlPr>
            </control>
          </mc:Choice>
        </mc:AlternateContent>
        <mc:AlternateContent xmlns:mc="http://schemas.openxmlformats.org/markup-compatibility/2006">
          <mc:Choice Requires="x14">
            <control shapeId="4170" r:id="rId44" name="Check Box 74">
              <controlPr defaultSize="0" autoFill="0" autoLine="0" autoPict="0">
                <anchor moveWithCells="1">
                  <from>
                    <xdr:col>11</xdr:col>
                    <xdr:colOff>0</xdr:colOff>
                    <xdr:row>65</xdr:row>
                    <xdr:rowOff>106680</xdr:rowOff>
                  </from>
                  <to>
                    <xdr:col>11</xdr:col>
                    <xdr:colOff>1783080</xdr:colOff>
                    <xdr:row>65</xdr:row>
                    <xdr:rowOff>304800</xdr:rowOff>
                  </to>
                </anchor>
              </controlPr>
            </control>
          </mc:Choice>
        </mc:AlternateContent>
        <mc:AlternateContent xmlns:mc="http://schemas.openxmlformats.org/markup-compatibility/2006">
          <mc:Choice Requires="x14">
            <control shapeId="4172" r:id="rId45" name="Check Box 76">
              <controlPr defaultSize="0" autoFill="0" autoLine="0" autoPict="0">
                <anchor moveWithCells="1">
                  <from>
                    <xdr:col>11</xdr:col>
                    <xdr:colOff>0</xdr:colOff>
                    <xdr:row>66</xdr:row>
                    <xdr:rowOff>259080</xdr:rowOff>
                  </from>
                  <to>
                    <xdr:col>11</xdr:col>
                    <xdr:colOff>1783080</xdr:colOff>
                    <xdr:row>67</xdr:row>
                    <xdr:rowOff>106680</xdr:rowOff>
                  </to>
                </anchor>
              </controlPr>
            </control>
          </mc:Choice>
        </mc:AlternateContent>
        <mc:AlternateContent xmlns:mc="http://schemas.openxmlformats.org/markup-compatibility/2006">
          <mc:Choice Requires="x14">
            <control shapeId="4173" r:id="rId46" name="Check Box 77">
              <controlPr defaultSize="0" autoFill="0" autoLine="0" autoPict="0">
                <anchor moveWithCells="1">
                  <from>
                    <xdr:col>11</xdr:col>
                    <xdr:colOff>0</xdr:colOff>
                    <xdr:row>67</xdr:row>
                    <xdr:rowOff>106680</xdr:rowOff>
                  </from>
                  <to>
                    <xdr:col>11</xdr:col>
                    <xdr:colOff>1783080</xdr:colOff>
                    <xdr:row>67</xdr:row>
                    <xdr:rowOff>304800</xdr:rowOff>
                  </to>
                </anchor>
              </controlPr>
            </control>
          </mc:Choice>
        </mc:AlternateContent>
        <mc:AlternateContent xmlns:mc="http://schemas.openxmlformats.org/markup-compatibility/2006">
          <mc:Choice Requires="x14">
            <control shapeId="4176" r:id="rId47" name="Check Box 80">
              <controlPr defaultSize="0" autoFill="0" autoLine="0" autoPict="0">
                <anchor moveWithCells="1">
                  <from>
                    <xdr:col>11</xdr:col>
                    <xdr:colOff>0</xdr:colOff>
                    <xdr:row>68</xdr:row>
                    <xdr:rowOff>0</xdr:rowOff>
                  </from>
                  <to>
                    <xdr:col>11</xdr:col>
                    <xdr:colOff>1783080</xdr:colOff>
                    <xdr:row>68</xdr:row>
                    <xdr:rowOff>228600</xdr:rowOff>
                  </to>
                </anchor>
              </controlPr>
            </control>
          </mc:Choice>
        </mc:AlternateContent>
        <mc:AlternateContent xmlns:mc="http://schemas.openxmlformats.org/markup-compatibility/2006">
          <mc:Choice Requires="x14">
            <control shapeId="4178" r:id="rId48" name="Check Box 82">
              <controlPr defaultSize="0" autoFill="0" autoLine="0" autoPict="0">
                <anchor moveWithCells="1">
                  <from>
                    <xdr:col>11</xdr:col>
                    <xdr:colOff>0</xdr:colOff>
                    <xdr:row>68</xdr:row>
                    <xdr:rowOff>259080</xdr:rowOff>
                  </from>
                  <to>
                    <xdr:col>11</xdr:col>
                    <xdr:colOff>1783080</xdr:colOff>
                    <xdr:row>69</xdr:row>
                    <xdr:rowOff>106680</xdr:rowOff>
                  </to>
                </anchor>
              </controlPr>
            </control>
          </mc:Choice>
        </mc:AlternateContent>
        <mc:AlternateContent xmlns:mc="http://schemas.openxmlformats.org/markup-compatibility/2006">
          <mc:Choice Requires="x14">
            <control shapeId="4179" r:id="rId49" name="Check Box 83">
              <controlPr defaultSize="0" autoFill="0" autoLine="0" autoPict="0">
                <anchor moveWithCells="1">
                  <from>
                    <xdr:col>11</xdr:col>
                    <xdr:colOff>0</xdr:colOff>
                    <xdr:row>69</xdr:row>
                    <xdr:rowOff>106680</xdr:rowOff>
                  </from>
                  <to>
                    <xdr:col>11</xdr:col>
                    <xdr:colOff>1783080</xdr:colOff>
                    <xdr:row>69</xdr:row>
                    <xdr:rowOff>335280</xdr:rowOff>
                  </to>
                </anchor>
              </controlPr>
            </control>
          </mc:Choice>
        </mc:AlternateContent>
        <mc:AlternateContent xmlns:mc="http://schemas.openxmlformats.org/markup-compatibility/2006">
          <mc:Choice Requires="x14">
            <control shapeId="4181" r:id="rId50" name="Check Box 85">
              <controlPr defaultSize="0" autoFill="0" autoLine="0" autoPict="0">
                <anchor moveWithCells="1">
                  <from>
                    <xdr:col>11</xdr:col>
                    <xdr:colOff>0</xdr:colOff>
                    <xdr:row>70</xdr:row>
                    <xdr:rowOff>259080</xdr:rowOff>
                  </from>
                  <to>
                    <xdr:col>11</xdr:col>
                    <xdr:colOff>1783080</xdr:colOff>
                    <xdr:row>71</xdr:row>
                    <xdr:rowOff>106680</xdr:rowOff>
                  </to>
                </anchor>
              </controlPr>
            </control>
          </mc:Choice>
        </mc:AlternateContent>
        <mc:AlternateContent xmlns:mc="http://schemas.openxmlformats.org/markup-compatibility/2006">
          <mc:Choice Requires="x14">
            <control shapeId="4182" r:id="rId51" name="Check Box 86">
              <controlPr defaultSize="0" autoFill="0" autoLine="0" autoPict="0">
                <anchor moveWithCells="1">
                  <from>
                    <xdr:col>11</xdr:col>
                    <xdr:colOff>0</xdr:colOff>
                    <xdr:row>71</xdr:row>
                    <xdr:rowOff>106680</xdr:rowOff>
                  </from>
                  <to>
                    <xdr:col>11</xdr:col>
                    <xdr:colOff>1783080</xdr:colOff>
                    <xdr:row>71</xdr:row>
                    <xdr:rowOff>304800</xdr:rowOff>
                  </to>
                </anchor>
              </controlPr>
            </control>
          </mc:Choice>
        </mc:AlternateContent>
        <mc:AlternateContent xmlns:mc="http://schemas.openxmlformats.org/markup-compatibility/2006">
          <mc:Choice Requires="x14">
            <control shapeId="4187" r:id="rId52" name="Check Box 91">
              <controlPr defaultSize="0" autoFill="0" autoLine="0" autoPict="0">
                <anchor moveWithCells="1">
                  <from>
                    <xdr:col>11</xdr:col>
                    <xdr:colOff>0</xdr:colOff>
                    <xdr:row>72</xdr:row>
                    <xdr:rowOff>259080</xdr:rowOff>
                  </from>
                  <to>
                    <xdr:col>11</xdr:col>
                    <xdr:colOff>1783080</xdr:colOff>
                    <xdr:row>73</xdr:row>
                    <xdr:rowOff>144780</xdr:rowOff>
                  </to>
                </anchor>
              </controlPr>
            </control>
          </mc:Choice>
        </mc:AlternateContent>
        <mc:AlternateContent xmlns:mc="http://schemas.openxmlformats.org/markup-compatibility/2006">
          <mc:Choice Requires="x14">
            <control shapeId="4188" r:id="rId53" name="Check Box 92">
              <controlPr defaultSize="0" autoFill="0" autoLine="0" autoPict="0">
                <anchor moveWithCells="1">
                  <from>
                    <xdr:col>11</xdr:col>
                    <xdr:colOff>0</xdr:colOff>
                    <xdr:row>73</xdr:row>
                    <xdr:rowOff>106680</xdr:rowOff>
                  </from>
                  <to>
                    <xdr:col>11</xdr:col>
                    <xdr:colOff>1783080</xdr:colOff>
                    <xdr:row>73</xdr:row>
                    <xdr:rowOff>297180</xdr:rowOff>
                  </to>
                </anchor>
              </controlPr>
            </control>
          </mc:Choice>
        </mc:AlternateContent>
        <mc:AlternateContent xmlns:mc="http://schemas.openxmlformats.org/markup-compatibility/2006">
          <mc:Choice Requires="x14">
            <control shapeId="4190" r:id="rId54" name="Check Box 94">
              <controlPr defaultSize="0" autoFill="0" autoLine="0" autoPict="0">
                <anchor moveWithCells="1">
                  <from>
                    <xdr:col>11</xdr:col>
                    <xdr:colOff>0</xdr:colOff>
                    <xdr:row>74</xdr:row>
                    <xdr:rowOff>259080</xdr:rowOff>
                  </from>
                  <to>
                    <xdr:col>11</xdr:col>
                    <xdr:colOff>1783080</xdr:colOff>
                    <xdr:row>75</xdr:row>
                    <xdr:rowOff>144780</xdr:rowOff>
                  </to>
                </anchor>
              </controlPr>
            </control>
          </mc:Choice>
        </mc:AlternateContent>
        <mc:AlternateContent xmlns:mc="http://schemas.openxmlformats.org/markup-compatibility/2006">
          <mc:Choice Requires="x14">
            <control shapeId="4191" r:id="rId55" name="Check Box 95">
              <controlPr defaultSize="0" autoFill="0" autoLine="0" autoPict="0">
                <anchor moveWithCells="1">
                  <from>
                    <xdr:col>11</xdr:col>
                    <xdr:colOff>0</xdr:colOff>
                    <xdr:row>75</xdr:row>
                    <xdr:rowOff>106680</xdr:rowOff>
                  </from>
                  <to>
                    <xdr:col>11</xdr:col>
                    <xdr:colOff>1783080</xdr:colOff>
                    <xdr:row>75</xdr:row>
                    <xdr:rowOff>297180</xdr:rowOff>
                  </to>
                </anchor>
              </controlPr>
            </control>
          </mc:Choice>
        </mc:AlternateContent>
        <mc:AlternateContent xmlns:mc="http://schemas.openxmlformats.org/markup-compatibility/2006">
          <mc:Choice Requires="x14">
            <control shapeId="4193" r:id="rId56" name="Check Box 97">
              <controlPr defaultSize="0" autoFill="0" autoLine="0" autoPict="0">
                <anchor moveWithCells="1">
                  <from>
                    <xdr:col>11</xdr:col>
                    <xdr:colOff>0</xdr:colOff>
                    <xdr:row>76</xdr:row>
                    <xdr:rowOff>259080</xdr:rowOff>
                  </from>
                  <to>
                    <xdr:col>11</xdr:col>
                    <xdr:colOff>1783080</xdr:colOff>
                    <xdr:row>77</xdr:row>
                    <xdr:rowOff>106680</xdr:rowOff>
                  </to>
                </anchor>
              </controlPr>
            </control>
          </mc:Choice>
        </mc:AlternateContent>
        <mc:AlternateContent xmlns:mc="http://schemas.openxmlformats.org/markup-compatibility/2006">
          <mc:Choice Requires="x14">
            <control shapeId="4194" r:id="rId57" name="Check Box 98">
              <controlPr defaultSize="0" autoFill="0" autoLine="0" autoPict="0">
                <anchor moveWithCells="1">
                  <from>
                    <xdr:col>11</xdr:col>
                    <xdr:colOff>0</xdr:colOff>
                    <xdr:row>77</xdr:row>
                    <xdr:rowOff>106680</xdr:rowOff>
                  </from>
                  <to>
                    <xdr:col>11</xdr:col>
                    <xdr:colOff>1783080</xdr:colOff>
                    <xdr:row>77</xdr:row>
                    <xdr:rowOff>304800</xdr:rowOff>
                  </to>
                </anchor>
              </controlPr>
            </control>
          </mc:Choice>
        </mc:AlternateContent>
        <mc:AlternateContent xmlns:mc="http://schemas.openxmlformats.org/markup-compatibility/2006">
          <mc:Choice Requires="x14">
            <control shapeId="4196" r:id="rId58" name="Check Box 100">
              <controlPr defaultSize="0" autoFill="0" autoLine="0" autoPict="0">
                <anchor moveWithCells="1">
                  <from>
                    <xdr:col>11</xdr:col>
                    <xdr:colOff>0</xdr:colOff>
                    <xdr:row>78</xdr:row>
                    <xdr:rowOff>259080</xdr:rowOff>
                  </from>
                  <to>
                    <xdr:col>11</xdr:col>
                    <xdr:colOff>1783080</xdr:colOff>
                    <xdr:row>79</xdr:row>
                    <xdr:rowOff>106680</xdr:rowOff>
                  </to>
                </anchor>
              </controlPr>
            </control>
          </mc:Choice>
        </mc:AlternateContent>
        <mc:AlternateContent xmlns:mc="http://schemas.openxmlformats.org/markup-compatibility/2006">
          <mc:Choice Requires="x14">
            <control shapeId="4197" r:id="rId59" name="Check Box 101">
              <controlPr defaultSize="0" autoFill="0" autoLine="0" autoPict="0">
                <anchor moveWithCells="1">
                  <from>
                    <xdr:col>11</xdr:col>
                    <xdr:colOff>0</xdr:colOff>
                    <xdr:row>79</xdr:row>
                    <xdr:rowOff>106680</xdr:rowOff>
                  </from>
                  <to>
                    <xdr:col>11</xdr:col>
                    <xdr:colOff>1783080</xdr:colOff>
                    <xdr:row>79</xdr:row>
                    <xdr:rowOff>327660</xdr:rowOff>
                  </to>
                </anchor>
              </controlPr>
            </control>
          </mc:Choice>
        </mc:AlternateContent>
        <mc:AlternateContent xmlns:mc="http://schemas.openxmlformats.org/markup-compatibility/2006">
          <mc:Choice Requires="x14">
            <control shapeId="4199" r:id="rId60" name="Check Box 103">
              <controlPr defaultSize="0" autoFill="0" autoLine="0" autoPict="0">
                <anchor moveWithCells="1">
                  <from>
                    <xdr:col>11</xdr:col>
                    <xdr:colOff>0</xdr:colOff>
                    <xdr:row>80</xdr:row>
                    <xdr:rowOff>259080</xdr:rowOff>
                  </from>
                  <to>
                    <xdr:col>11</xdr:col>
                    <xdr:colOff>1783080</xdr:colOff>
                    <xdr:row>81</xdr:row>
                    <xdr:rowOff>144780</xdr:rowOff>
                  </to>
                </anchor>
              </controlPr>
            </control>
          </mc:Choice>
        </mc:AlternateContent>
        <mc:AlternateContent xmlns:mc="http://schemas.openxmlformats.org/markup-compatibility/2006">
          <mc:Choice Requires="x14">
            <control shapeId="4200" r:id="rId61" name="Check Box 104">
              <controlPr defaultSize="0" autoFill="0" autoLine="0" autoPict="0">
                <anchor moveWithCells="1">
                  <from>
                    <xdr:col>11</xdr:col>
                    <xdr:colOff>0</xdr:colOff>
                    <xdr:row>81</xdr:row>
                    <xdr:rowOff>106680</xdr:rowOff>
                  </from>
                  <to>
                    <xdr:col>11</xdr:col>
                    <xdr:colOff>1783080</xdr:colOff>
                    <xdr:row>81</xdr:row>
                    <xdr:rowOff>297180</xdr:rowOff>
                  </to>
                </anchor>
              </controlPr>
            </control>
          </mc:Choice>
        </mc:AlternateContent>
        <mc:AlternateContent xmlns:mc="http://schemas.openxmlformats.org/markup-compatibility/2006">
          <mc:Choice Requires="x14">
            <control shapeId="4202" r:id="rId62" name="Check Box 106">
              <controlPr defaultSize="0" autoFill="0" autoLine="0" autoPict="0">
                <anchor moveWithCells="1">
                  <from>
                    <xdr:col>11</xdr:col>
                    <xdr:colOff>0</xdr:colOff>
                    <xdr:row>82</xdr:row>
                    <xdr:rowOff>259080</xdr:rowOff>
                  </from>
                  <to>
                    <xdr:col>11</xdr:col>
                    <xdr:colOff>1783080</xdr:colOff>
                    <xdr:row>83</xdr:row>
                    <xdr:rowOff>106680</xdr:rowOff>
                  </to>
                </anchor>
              </controlPr>
            </control>
          </mc:Choice>
        </mc:AlternateContent>
        <mc:AlternateContent xmlns:mc="http://schemas.openxmlformats.org/markup-compatibility/2006">
          <mc:Choice Requires="x14">
            <control shapeId="4203" r:id="rId63" name="Check Box 107">
              <controlPr defaultSize="0" autoFill="0" autoLine="0" autoPict="0">
                <anchor moveWithCells="1">
                  <from>
                    <xdr:col>11</xdr:col>
                    <xdr:colOff>0</xdr:colOff>
                    <xdr:row>83</xdr:row>
                    <xdr:rowOff>106680</xdr:rowOff>
                  </from>
                  <to>
                    <xdr:col>11</xdr:col>
                    <xdr:colOff>1783080</xdr:colOff>
                    <xdr:row>83</xdr:row>
                    <xdr:rowOff>304800</xdr:rowOff>
                  </to>
                </anchor>
              </controlPr>
            </control>
          </mc:Choice>
        </mc:AlternateContent>
        <mc:AlternateContent xmlns:mc="http://schemas.openxmlformats.org/markup-compatibility/2006">
          <mc:Choice Requires="x14">
            <control shapeId="4205" r:id="rId64" name="Check Box 109">
              <controlPr defaultSize="0" autoFill="0" autoLine="0" autoPict="0">
                <anchor moveWithCells="1">
                  <from>
                    <xdr:col>11</xdr:col>
                    <xdr:colOff>0</xdr:colOff>
                    <xdr:row>84</xdr:row>
                    <xdr:rowOff>259080</xdr:rowOff>
                  </from>
                  <to>
                    <xdr:col>11</xdr:col>
                    <xdr:colOff>1783080</xdr:colOff>
                    <xdr:row>85</xdr:row>
                    <xdr:rowOff>106680</xdr:rowOff>
                  </to>
                </anchor>
              </controlPr>
            </control>
          </mc:Choice>
        </mc:AlternateContent>
        <mc:AlternateContent xmlns:mc="http://schemas.openxmlformats.org/markup-compatibility/2006">
          <mc:Choice Requires="x14">
            <control shapeId="4206" r:id="rId65" name="Check Box 110">
              <controlPr defaultSize="0" autoFill="0" autoLine="0" autoPict="0">
                <anchor moveWithCells="1">
                  <from>
                    <xdr:col>11</xdr:col>
                    <xdr:colOff>0</xdr:colOff>
                    <xdr:row>85</xdr:row>
                    <xdr:rowOff>106680</xdr:rowOff>
                  </from>
                  <to>
                    <xdr:col>11</xdr:col>
                    <xdr:colOff>1783080</xdr:colOff>
                    <xdr:row>85</xdr:row>
                    <xdr:rowOff>304800</xdr:rowOff>
                  </to>
                </anchor>
              </controlPr>
            </control>
          </mc:Choice>
        </mc:AlternateContent>
        <mc:AlternateContent xmlns:mc="http://schemas.openxmlformats.org/markup-compatibility/2006">
          <mc:Choice Requires="x14">
            <control shapeId="4208" r:id="rId66" name="Check Box 112">
              <controlPr defaultSize="0" autoFill="0" autoLine="0" autoPict="0">
                <anchor moveWithCells="1">
                  <from>
                    <xdr:col>11</xdr:col>
                    <xdr:colOff>0</xdr:colOff>
                    <xdr:row>86</xdr:row>
                    <xdr:rowOff>259080</xdr:rowOff>
                  </from>
                  <to>
                    <xdr:col>11</xdr:col>
                    <xdr:colOff>1783080</xdr:colOff>
                    <xdr:row>87</xdr:row>
                    <xdr:rowOff>106680</xdr:rowOff>
                  </to>
                </anchor>
              </controlPr>
            </control>
          </mc:Choice>
        </mc:AlternateContent>
        <mc:AlternateContent xmlns:mc="http://schemas.openxmlformats.org/markup-compatibility/2006">
          <mc:Choice Requires="x14">
            <control shapeId="4209" r:id="rId67" name="Check Box 113">
              <controlPr defaultSize="0" autoFill="0" autoLine="0" autoPict="0">
                <anchor moveWithCells="1">
                  <from>
                    <xdr:col>11</xdr:col>
                    <xdr:colOff>0</xdr:colOff>
                    <xdr:row>87</xdr:row>
                    <xdr:rowOff>106680</xdr:rowOff>
                  </from>
                  <to>
                    <xdr:col>11</xdr:col>
                    <xdr:colOff>1783080</xdr:colOff>
                    <xdr:row>87</xdr:row>
                    <xdr:rowOff>304800</xdr:rowOff>
                  </to>
                </anchor>
              </controlPr>
            </control>
          </mc:Choice>
        </mc:AlternateContent>
        <mc:AlternateContent xmlns:mc="http://schemas.openxmlformats.org/markup-compatibility/2006">
          <mc:Choice Requires="x14">
            <control shapeId="4211" r:id="rId68" name="Check Box 115">
              <controlPr defaultSize="0" autoFill="0" autoLine="0" autoPict="0">
                <anchor moveWithCells="1">
                  <from>
                    <xdr:col>11</xdr:col>
                    <xdr:colOff>0</xdr:colOff>
                    <xdr:row>88</xdr:row>
                    <xdr:rowOff>259080</xdr:rowOff>
                  </from>
                  <to>
                    <xdr:col>11</xdr:col>
                    <xdr:colOff>1783080</xdr:colOff>
                    <xdr:row>89</xdr:row>
                    <xdr:rowOff>144780</xdr:rowOff>
                  </to>
                </anchor>
              </controlPr>
            </control>
          </mc:Choice>
        </mc:AlternateContent>
        <mc:AlternateContent xmlns:mc="http://schemas.openxmlformats.org/markup-compatibility/2006">
          <mc:Choice Requires="x14">
            <control shapeId="4212" r:id="rId69" name="Check Box 116">
              <controlPr defaultSize="0" autoFill="0" autoLine="0" autoPict="0">
                <anchor moveWithCells="1">
                  <from>
                    <xdr:col>11</xdr:col>
                    <xdr:colOff>0</xdr:colOff>
                    <xdr:row>89</xdr:row>
                    <xdr:rowOff>106680</xdr:rowOff>
                  </from>
                  <to>
                    <xdr:col>11</xdr:col>
                    <xdr:colOff>1783080</xdr:colOff>
                    <xdr:row>89</xdr:row>
                    <xdr:rowOff>297180</xdr:rowOff>
                  </to>
                </anchor>
              </controlPr>
            </control>
          </mc:Choice>
        </mc:AlternateContent>
        <mc:AlternateContent xmlns:mc="http://schemas.openxmlformats.org/markup-compatibility/2006">
          <mc:Choice Requires="x14">
            <control shapeId="4214" r:id="rId70" name="Check Box 118">
              <controlPr defaultSize="0" autoFill="0" autoLine="0" autoPict="0">
                <anchor moveWithCells="1">
                  <from>
                    <xdr:col>11</xdr:col>
                    <xdr:colOff>0</xdr:colOff>
                    <xdr:row>90</xdr:row>
                    <xdr:rowOff>259080</xdr:rowOff>
                  </from>
                  <to>
                    <xdr:col>11</xdr:col>
                    <xdr:colOff>1783080</xdr:colOff>
                    <xdr:row>91</xdr:row>
                    <xdr:rowOff>106680</xdr:rowOff>
                  </to>
                </anchor>
              </controlPr>
            </control>
          </mc:Choice>
        </mc:AlternateContent>
        <mc:AlternateContent xmlns:mc="http://schemas.openxmlformats.org/markup-compatibility/2006">
          <mc:Choice Requires="x14">
            <control shapeId="4215" r:id="rId71" name="Check Box 119">
              <controlPr defaultSize="0" autoFill="0" autoLine="0" autoPict="0">
                <anchor moveWithCells="1">
                  <from>
                    <xdr:col>11</xdr:col>
                    <xdr:colOff>0</xdr:colOff>
                    <xdr:row>91</xdr:row>
                    <xdr:rowOff>106680</xdr:rowOff>
                  </from>
                  <to>
                    <xdr:col>11</xdr:col>
                    <xdr:colOff>1783080</xdr:colOff>
                    <xdr:row>91</xdr:row>
                    <xdr:rowOff>304800</xdr:rowOff>
                  </to>
                </anchor>
              </controlPr>
            </control>
          </mc:Choice>
        </mc:AlternateContent>
        <mc:AlternateContent xmlns:mc="http://schemas.openxmlformats.org/markup-compatibility/2006">
          <mc:Choice Requires="x14">
            <control shapeId="4217" r:id="rId72" name="Check Box 121">
              <controlPr defaultSize="0" autoFill="0" autoLine="0" autoPict="0">
                <anchor moveWithCells="1">
                  <from>
                    <xdr:col>11</xdr:col>
                    <xdr:colOff>0</xdr:colOff>
                    <xdr:row>92</xdr:row>
                    <xdr:rowOff>259080</xdr:rowOff>
                  </from>
                  <to>
                    <xdr:col>11</xdr:col>
                    <xdr:colOff>1783080</xdr:colOff>
                    <xdr:row>93</xdr:row>
                    <xdr:rowOff>144780</xdr:rowOff>
                  </to>
                </anchor>
              </controlPr>
            </control>
          </mc:Choice>
        </mc:AlternateContent>
        <mc:AlternateContent xmlns:mc="http://schemas.openxmlformats.org/markup-compatibility/2006">
          <mc:Choice Requires="x14">
            <control shapeId="4218" r:id="rId73" name="Check Box 122">
              <controlPr defaultSize="0" autoFill="0" autoLine="0" autoPict="0">
                <anchor moveWithCells="1">
                  <from>
                    <xdr:col>11</xdr:col>
                    <xdr:colOff>0</xdr:colOff>
                    <xdr:row>93</xdr:row>
                    <xdr:rowOff>106680</xdr:rowOff>
                  </from>
                  <to>
                    <xdr:col>11</xdr:col>
                    <xdr:colOff>1783080</xdr:colOff>
                    <xdr:row>93</xdr:row>
                    <xdr:rowOff>297180</xdr:rowOff>
                  </to>
                </anchor>
              </controlPr>
            </control>
          </mc:Choice>
        </mc:AlternateContent>
        <mc:AlternateContent xmlns:mc="http://schemas.openxmlformats.org/markup-compatibility/2006">
          <mc:Choice Requires="x14">
            <control shapeId="4220" r:id="rId74" name="Check Box 124">
              <controlPr defaultSize="0" autoFill="0" autoLine="0" autoPict="0">
                <anchor moveWithCells="1">
                  <from>
                    <xdr:col>11</xdr:col>
                    <xdr:colOff>0</xdr:colOff>
                    <xdr:row>94</xdr:row>
                    <xdr:rowOff>259080</xdr:rowOff>
                  </from>
                  <to>
                    <xdr:col>11</xdr:col>
                    <xdr:colOff>1783080</xdr:colOff>
                    <xdr:row>95</xdr:row>
                    <xdr:rowOff>144780</xdr:rowOff>
                  </to>
                </anchor>
              </controlPr>
            </control>
          </mc:Choice>
        </mc:AlternateContent>
        <mc:AlternateContent xmlns:mc="http://schemas.openxmlformats.org/markup-compatibility/2006">
          <mc:Choice Requires="x14">
            <control shapeId="4221" r:id="rId75" name="Check Box 125">
              <controlPr defaultSize="0" autoFill="0" autoLine="0" autoPict="0">
                <anchor moveWithCells="1">
                  <from>
                    <xdr:col>11</xdr:col>
                    <xdr:colOff>0</xdr:colOff>
                    <xdr:row>95</xdr:row>
                    <xdr:rowOff>106680</xdr:rowOff>
                  </from>
                  <to>
                    <xdr:col>11</xdr:col>
                    <xdr:colOff>1783080</xdr:colOff>
                    <xdr:row>95</xdr:row>
                    <xdr:rowOff>297180</xdr:rowOff>
                  </to>
                </anchor>
              </controlPr>
            </control>
          </mc:Choice>
        </mc:AlternateContent>
        <mc:AlternateContent xmlns:mc="http://schemas.openxmlformats.org/markup-compatibility/2006">
          <mc:Choice Requires="x14">
            <control shapeId="4222" r:id="rId76" name="Check Box 126">
              <controlPr defaultSize="0" autoFill="0" autoLine="0" autoPict="0">
                <anchor moveWithCells="1">
                  <from>
                    <xdr:col>11</xdr:col>
                    <xdr:colOff>0</xdr:colOff>
                    <xdr:row>96</xdr:row>
                    <xdr:rowOff>30480</xdr:rowOff>
                  </from>
                  <to>
                    <xdr:col>11</xdr:col>
                    <xdr:colOff>1783080</xdr:colOff>
                    <xdr:row>96</xdr:row>
                    <xdr:rowOff>228600</xdr:rowOff>
                  </to>
                </anchor>
              </controlPr>
            </control>
          </mc:Choice>
        </mc:AlternateContent>
        <mc:AlternateContent xmlns:mc="http://schemas.openxmlformats.org/markup-compatibility/2006">
          <mc:Choice Requires="x14">
            <control shapeId="4223" r:id="rId77" name="Check Box 127">
              <controlPr defaultSize="0" autoFill="0" autoLine="0" autoPict="0">
                <anchor moveWithCells="1">
                  <from>
                    <xdr:col>11</xdr:col>
                    <xdr:colOff>0</xdr:colOff>
                    <xdr:row>96</xdr:row>
                    <xdr:rowOff>259080</xdr:rowOff>
                  </from>
                  <to>
                    <xdr:col>11</xdr:col>
                    <xdr:colOff>1783080</xdr:colOff>
                    <xdr:row>97</xdr:row>
                    <xdr:rowOff>144780</xdr:rowOff>
                  </to>
                </anchor>
              </controlPr>
            </control>
          </mc:Choice>
        </mc:AlternateContent>
        <mc:AlternateContent xmlns:mc="http://schemas.openxmlformats.org/markup-compatibility/2006">
          <mc:Choice Requires="x14">
            <control shapeId="4224" r:id="rId78" name="Check Box 128">
              <controlPr defaultSize="0" autoFill="0" autoLine="0" autoPict="0">
                <anchor moveWithCells="1">
                  <from>
                    <xdr:col>11</xdr:col>
                    <xdr:colOff>0</xdr:colOff>
                    <xdr:row>97</xdr:row>
                    <xdr:rowOff>106680</xdr:rowOff>
                  </from>
                  <to>
                    <xdr:col>11</xdr:col>
                    <xdr:colOff>1783080</xdr:colOff>
                    <xdr:row>97</xdr:row>
                    <xdr:rowOff>297180</xdr:rowOff>
                  </to>
                </anchor>
              </controlPr>
            </control>
          </mc:Choice>
        </mc:AlternateContent>
        <mc:AlternateContent xmlns:mc="http://schemas.openxmlformats.org/markup-compatibility/2006">
          <mc:Choice Requires="x14">
            <control shapeId="4226" r:id="rId79" name="Check Box 130">
              <controlPr defaultSize="0" autoFill="0" autoLine="0" autoPict="0">
                <anchor moveWithCells="1">
                  <from>
                    <xdr:col>11</xdr:col>
                    <xdr:colOff>0</xdr:colOff>
                    <xdr:row>110</xdr:row>
                    <xdr:rowOff>259080</xdr:rowOff>
                  </from>
                  <to>
                    <xdr:col>11</xdr:col>
                    <xdr:colOff>1783080</xdr:colOff>
                    <xdr:row>111</xdr:row>
                    <xdr:rowOff>144780</xdr:rowOff>
                  </to>
                </anchor>
              </controlPr>
            </control>
          </mc:Choice>
        </mc:AlternateContent>
        <mc:AlternateContent xmlns:mc="http://schemas.openxmlformats.org/markup-compatibility/2006">
          <mc:Choice Requires="x14">
            <control shapeId="4227" r:id="rId80" name="Check Box 131">
              <controlPr defaultSize="0" autoFill="0" autoLine="0" autoPict="0">
                <anchor moveWithCells="1">
                  <from>
                    <xdr:col>11</xdr:col>
                    <xdr:colOff>0</xdr:colOff>
                    <xdr:row>111</xdr:row>
                    <xdr:rowOff>106680</xdr:rowOff>
                  </from>
                  <to>
                    <xdr:col>11</xdr:col>
                    <xdr:colOff>1783080</xdr:colOff>
                    <xdr:row>111</xdr:row>
                    <xdr:rowOff>297180</xdr:rowOff>
                  </to>
                </anchor>
              </controlPr>
            </control>
          </mc:Choice>
        </mc:AlternateContent>
        <mc:AlternateContent xmlns:mc="http://schemas.openxmlformats.org/markup-compatibility/2006">
          <mc:Choice Requires="x14">
            <control shapeId="4229" r:id="rId81" name="Check Box 133">
              <controlPr defaultSize="0" autoFill="0" autoLine="0" autoPict="0">
                <anchor moveWithCells="1">
                  <from>
                    <xdr:col>11</xdr:col>
                    <xdr:colOff>0</xdr:colOff>
                    <xdr:row>112</xdr:row>
                    <xdr:rowOff>259080</xdr:rowOff>
                  </from>
                  <to>
                    <xdr:col>11</xdr:col>
                    <xdr:colOff>1783080</xdr:colOff>
                    <xdr:row>113</xdr:row>
                    <xdr:rowOff>144780</xdr:rowOff>
                  </to>
                </anchor>
              </controlPr>
            </control>
          </mc:Choice>
        </mc:AlternateContent>
        <mc:AlternateContent xmlns:mc="http://schemas.openxmlformats.org/markup-compatibility/2006">
          <mc:Choice Requires="x14">
            <control shapeId="4230" r:id="rId82" name="Check Box 134">
              <controlPr defaultSize="0" autoFill="0" autoLine="0" autoPict="0">
                <anchor moveWithCells="1">
                  <from>
                    <xdr:col>11</xdr:col>
                    <xdr:colOff>0</xdr:colOff>
                    <xdr:row>113</xdr:row>
                    <xdr:rowOff>106680</xdr:rowOff>
                  </from>
                  <to>
                    <xdr:col>11</xdr:col>
                    <xdr:colOff>1783080</xdr:colOff>
                    <xdr:row>113</xdr:row>
                    <xdr:rowOff>297180</xdr:rowOff>
                  </to>
                </anchor>
              </controlPr>
            </control>
          </mc:Choice>
        </mc:AlternateContent>
        <mc:AlternateContent xmlns:mc="http://schemas.openxmlformats.org/markup-compatibility/2006">
          <mc:Choice Requires="x14">
            <control shapeId="4232" r:id="rId83" name="Check Box 136">
              <controlPr defaultSize="0" autoFill="0" autoLine="0" autoPict="0">
                <anchor moveWithCells="1">
                  <from>
                    <xdr:col>11</xdr:col>
                    <xdr:colOff>0</xdr:colOff>
                    <xdr:row>54</xdr:row>
                    <xdr:rowOff>30480</xdr:rowOff>
                  </from>
                  <to>
                    <xdr:col>11</xdr:col>
                    <xdr:colOff>1783080</xdr:colOff>
                    <xdr:row>54</xdr:row>
                    <xdr:rowOff>259080</xdr:rowOff>
                  </to>
                </anchor>
              </controlPr>
            </control>
          </mc:Choice>
        </mc:AlternateContent>
        <mc:AlternateContent xmlns:mc="http://schemas.openxmlformats.org/markup-compatibility/2006">
          <mc:Choice Requires="x14">
            <control shapeId="4233" r:id="rId84" name="Check Box 137">
              <controlPr defaultSize="0" autoFill="0" autoLine="0" autoPict="0">
                <anchor moveWithCells="1">
                  <from>
                    <xdr:col>11</xdr:col>
                    <xdr:colOff>0</xdr:colOff>
                    <xdr:row>56</xdr:row>
                    <xdr:rowOff>30480</xdr:rowOff>
                  </from>
                  <to>
                    <xdr:col>11</xdr:col>
                    <xdr:colOff>1783080</xdr:colOff>
                    <xdr:row>56</xdr:row>
                    <xdr:rowOff>259080</xdr:rowOff>
                  </to>
                </anchor>
              </controlPr>
            </control>
          </mc:Choice>
        </mc:AlternateContent>
        <mc:AlternateContent xmlns:mc="http://schemas.openxmlformats.org/markup-compatibility/2006">
          <mc:Choice Requires="x14">
            <control shapeId="4234" r:id="rId85" name="Check Box 138">
              <controlPr defaultSize="0" autoFill="0" autoLine="0" autoPict="0">
                <anchor moveWithCells="1">
                  <from>
                    <xdr:col>11</xdr:col>
                    <xdr:colOff>0</xdr:colOff>
                    <xdr:row>58</xdr:row>
                    <xdr:rowOff>30480</xdr:rowOff>
                  </from>
                  <to>
                    <xdr:col>11</xdr:col>
                    <xdr:colOff>1783080</xdr:colOff>
                    <xdr:row>58</xdr:row>
                    <xdr:rowOff>259080</xdr:rowOff>
                  </to>
                </anchor>
              </controlPr>
            </control>
          </mc:Choice>
        </mc:AlternateContent>
        <mc:AlternateContent xmlns:mc="http://schemas.openxmlformats.org/markup-compatibility/2006">
          <mc:Choice Requires="x14">
            <control shapeId="4235" r:id="rId86" name="Check Box 139">
              <controlPr defaultSize="0" autoFill="0" autoLine="0" autoPict="0">
                <anchor moveWithCells="1">
                  <from>
                    <xdr:col>11</xdr:col>
                    <xdr:colOff>0</xdr:colOff>
                    <xdr:row>60</xdr:row>
                    <xdr:rowOff>30480</xdr:rowOff>
                  </from>
                  <to>
                    <xdr:col>11</xdr:col>
                    <xdr:colOff>1783080</xdr:colOff>
                    <xdr:row>60</xdr:row>
                    <xdr:rowOff>259080</xdr:rowOff>
                  </to>
                </anchor>
              </controlPr>
            </control>
          </mc:Choice>
        </mc:AlternateContent>
        <mc:AlternateContent xmlns:mc="http://schemas.openxmlformats.org/markup-compatibility/2006">
          <mc:Choice Requires="x14">
            <control shapeId="4236" r:id="rId87" name="Check Box 140">
              <controlPr defaultSize="0" autoFill="0" autoLine="0" autoPict="0">
                <anchor moveWithCells="1">
                  <from>
                    <xdr:col>11</xdr:col>
                    <xdr:colOff>0</xdr:colOff>
                    <xdr:row>62</xdr:row>
                    <xdr:rowOff>30480</xdr:rowOff>
                  </from>
                  <to>
                    <xdr:col>11</xdr:col>
                    <xdr:colOff>1783080</xdr:colOff>
                    <xdr:row>62</xdr:row>
                    <xdr:rowOff>259080</xdr:rowOff>
                  </to>
                </anchor>
              </controlPr>
            </control>
          </mc:Choice>
        </mc:AlternateContent>
        <mc:AlternateContent xmlns:mc="http://schemas.openxmlformats.org/markup-compatibility/2006">
          <mc:Choice Requires="x14">
            <control shapeId="4237" r:id="rId88" name="Check Box 141">
              <controlPr defaultSize="0" autoFill="0" autoLine="0" autoPict="0">
                <anchor moveWithCells="1">
                  <from>
                    <xdr:col>11</xdr:col>
                    <xdr:colOff>0</xdr:colOff>
                    <xdr:row>64</xdr:row>
                    <xdr:rowOff>30480</xdr:rowOff>
                  </from>
                  <to>
                    <xdr:col>11</xdr:col>
                    <xdr:colOff>1783080</xdr:colOff>
                    <xdr:row>64</xdr:row>
                    <xdr:rowOff>259080</xdr:rowOff>
                  </to>
                </anchor>
              </controlPr>
            </control>
          </mc:Choice>
        </mc:AlternateContent>
        <mc:AlternateContent xmlns:mc="http://schemas.openxmlformats.org/markup-compatibility/2006">
          <mc:Choice Requires="x14">
            <control shapeId="4238" r:id="rId89" name="Check Box 142">
              <controlPr defaultSize="0" autoFill="0" autoLine="0" autoPict="0">
                <anchor moveWithCells="1">
                  <from>
                    <xdr:col>11</xdr:col>
                    <xdr:colOff>0</xdr:colOff>
                    <xdr:row>66</xdr:row>
                    <xdr:rowOff>30480</xdr:rowOff>
                  </from>
                  <to>
                    <xdr:col>11</xdr:col>
                    <xdr:colOff>1783080</xdr:colOff>
                    <xdr:row>66</xdr:row>
                    <xdr:rowOff>259080</xdr:rowOff>
                  </to>
                </anchor>
              </controlPr>
            </control>
          </mc:Choice>
        </mc:AlternateContent>
        <mc:AlternateContent xmlns:mc="http://schemas.openxmlformats.org/markup-compatibility/2006">
          <mc:Choice Requires="x14">
            <control shapeId="4242" r:id="rId90" name="Check Box 146">
              <controlPr defaultSize="0" autoFill="0" autoLine="0" autoPict="0">
                <anchor moveWithCells="1">
                  <from>
                    <xdr:col>11</xdr:col>
                    <xdr:colOff>0</xdr:colOff>
                    <xdr:row>70</xdr:row>
                    <xdr:rowOff>30480</xdr:rowOff>
                  </from>
                  <to>
                    <xdr:col>11</xdr:col>
                    <xdr:colOff>1783080</xdr:colOff>
                    <xdr:row>70</xdr:row>
                    <xdr:rowOff>259080</xdr:rowOff>
                  </to>
                </anchor>
              </controlPr>
            </control>
          </mc:Choice>
        </mc:AlternateContent>
        <mc:AlternateContent xmlns:mc="http://schemas.openxmlformats.org/markup-compatibility/2006">
          <mc:Choice Requires="x14">
            <control shapeId="4243" r:id="rId91" name="Check Box 147">
              <controlPr defaultSize="0" autoFill="0" autoLine="0" autoPict="0">
                <anchor moveWithCells="1">
                  <from>
                    <xdr:col>11</xdr:col>
                    <xdr:colOff>0</xdr:colOff>
                    <xdr:row>72</xdr:row>
                    <xdr:rowOff>30480</xdr:rowOff>
                  </from>
                  <to>
                    <xdr:col>11</xdr:col>
                    <xdr:colOff>1783080</xdr:colOff>
                    <xdr:row>72</xdr:row>
                    <xdr:rowOff>259080</xdr:rowOff>
                  </to>
                </anchor>
              </controlPr>
            </control>
          </mc:Choice>
        </mc:AlternateContent>
        <mc:AlternateContent xmlns:mc="http://schemas.openxmlformats.org/markup-compatibility/2006">
          <mc:Choice Requires="x14">
            <control shapeId="4244" r:id="rId92" name="Check Box 148">
              <controlPr defaultSize="0" autoFill="0" autoLine="0" autoPict="0">
                <anchor moveWithCells="1">
                  <from>
                    <xdr:col>11</xdr:col>
                    <xdr:colOff>0</xdr:colOff>
                    <xdr:row>74</xdr:row>
                    <xdr:rowOff>30480</xdr:rowOff>
                  </from>
                  <to>
                    <xdr:col>11</xdr:col>
                    <xdr:colOff>1783080</xdr:colOff>
                    <xdr:row>74</xdr:row>
                    <xdr:rowOff>259080</xdr:rowOff>
                  </to>
                </anchor>
              </controlPr>
            </control>
          </mc:Choice>
        </mc:AlternateContent>
        <mc:AlternateContent xmlns:mc="http://schemas.openxmlformats.org/markup-compatibility/2006">
          <mc:Choice Requires="x14">
            <control shapeId="4245" r:id="rId93" name="Check Box 149">
              <controlPr defaultSize="0" autoFill="0" autoLine="0" autoPict="0">
                <anchor moveWithCells="1">
                  <from>
                    <xdr:col>11</xdr:col>
                    <xdr:colOff>0</xdr:colOff>
                    <xdr:row>76</xdr:row>
                    <xdr:rowOff>30480</xdr:rowOff>
                  </from>
                  <to>
                    <xdr:col>11</xdr:col>
                    <xdr:colOff>1783080</xdr:colOff>
                    <xdr:row>76</xdr:row>
                    <xdr:rowOff>259080</xdr:rowOff>
                  </to>
                </anchor>
              </controlPr>
            </control>
          </mc:Choice>
        </mc:AlternateContent>
        <mc:AlternateContent xmlns:mc="http://schemas.openxmlformats.org/markup-compatibility/2006">
          <mc:Choice Requires="x14">
            <control shapeId="4246" r:id="rId94" name="Check Box 150">
              <controlPr defaultSize="0" autoFill="0" autoLine="0" autoPict="0">
                <anchor moveWithCells="1">
                  <from>
                    <xdr:col>11</xdr:col>
                    <xdr:colOff>0</xdr:colOff>
                    <xdr:row>78</xdr:row>
                    <xdr:rowOff>30480</xdr:rowOff>
                  </from>
                  <to>
                    <xdr:col>11</xdr:col>
                    <xdr:colOff>1783080</xdr:colOff>
                    <xdr:row>78</xdr:row>
                    <xdr:rowOff>259080</xdr:rowOff>
                  </to>
                </anchor>
              </controlPr>
            </control>
          </mc:Choice>
        </mc:AlternateContent>
        <mc:AlternateContent xmlns:mc="http://schemas.openxmlformats.org/markup-compatibility/2006">
          <mc:Choice Requires="x14">
            <control shapeId="4247" r:id="rId95" name="Check Box 151">
              <controlPr defaultSize="0" autoFill="0" autoLine="0" autoPict="0">
                <anchor moveWithCells="1">
                  <from>
                    <xdr:col>11</xdr:col>
                    <xdr:colOff>0</xdr:colOff>
                    <xdr:row>80</xdr:row>
                    <xdr:rowOff>30480</xdr:rowOff>
                  </from>
                  <to>
                    <xdr:col>11</xdr:col>
                    <xdr:colOff>1783080</xdr:colOff>
                    <xdr:row>80</xdr:row>
                    <xdr:rowOff>259080</xdr:rowOff>
                  </to>
                </anchor>
              </controlPr>
            </control>
          </mc:Choice>
        </mc:AlternateContent>
        <mc:AlternateContent xmlns:mc="http://schemas.openxmlformats.org/markup-compatibility/2006">
          <mc:Choice Requires="x14">
            <control shapeId="4248" r:id="rId96" name="Check Box 152">
              <controlPr defaultSize="0" autoFill="0" autoLine="0" autoPict="0">
                <anchor moveWithCells="1">
                  <from>
                    <xdr:col>11</xdr:col>
                    <xdr:colOff>0</xdr:colOff>
                    <xdr:row>82</xdr:row>
                    <xdr:rowOff>30480</xdr:rowOff>
                  </from>
                  <to>
                    <xdr:col>11</xdr:col>
                    <xdr:colOff>1783080</xdr:colOff>
                    <xdr:row>82</xdr:row>
                    <xdr:rowOff>259080</xdr:rowOff>
                  </to>
                </anchor>
              </controlPr>
            </control>
          </mc:Choice>
        </mc:AlternateContent>
        <mc:AlternateContent xmlns:mc="http://schemas.openxmlformats.org/markup-compatibility/2006">
          <mc:Choice Requires="x14">
            <control shapeId="4249" r:id="rId97" name="Check Box 153">
              <controlPr defaultSize="0" autoFill="0" autoLine="0" autoPict="0">
                <anchor moveWithCells="1">
                  <from>
                    <xdr:col>11</xdr:col>
                    <xdr:colOff>0</xdr:colOff>
                    <xdr:row>84</xdr:row>
                    <xdr:rowOff>30480</xdr:rowOff>
                  </from>
                  <to>
                    <xdr:col>11</xdr:col>
                    <xdr:colOff>1783080</xdr:colOff>
                    <xdr:row>84</xdr:row>
                    <xdr:rowOff>259080</xdr:rowOff>
                  </to>
                </anchor>
              </controlPr>
            </control>
          </mc:Choice>
        </mc:AlternateContent>
        <mc:AlternateContent xmlns:mc="http://schemas.openxmlformats.org/markup-compatibility/2006">
          <mc:Choice Requires="x14">
            <control shapeId="4250" r:id="rId98" name="Check Box 154">
              <controlPr defaultSize="0" autoFill="0" autoLine="0" autoPict="0">
                <anchor moveWithCells="1">
                  <from>
                    <xdr:col>11</xdr:col>
                    <xdr:colOff>0</xdr:colOff>
                    <xdr:row>86</xdr:row>
                    <xdr:rowOff>30480</xdr:rowOff>
                  </from>
                  <to>
                    <xdr:col>11</xdr:col>
                    <xdr:colOff>1783080</xdr:colOff>
                    <xdr:row>86</xdr:row>
                    <xdr:rowOff>259080</xdr:rowOff>
                  </to>
                </anchor>
              </controlPr>
            </control>
          </mc:Choice>
        </mc:AlternateContent>
        <mc:AlternateContent xmlns:mc="http://schemas.openxmlformats.org/markup-compatibility/2006">
          <mc:Choice Requires="x14">
            <control shapeId="4251" r:id="rId99" name="Check Box 155">
              <controlPr defaultSize="0" autoFill="0" autoLine="0" autoPict="0">
                <anchor moveWithCells="1">
                  <from>
                    <xdr:col>11</xdr:col>
                    <xdr:colOff>0</xdr:colOff>
                    <xdr:row>88</xdr:row>
                    <xdr:rowOff>30480</xdr:rowOff>
                  </from>
                  <to>
                    <xdr:col>11</xdr:col>
                    <xdr:colOff>1783080</xdr:colOff>
                    <xdr:row>88</xdr:row>
                    <xdr:rowOff>259080</xdr:rowOff>
                  </to>
                </anchor>
              </controlPr>
            </control>
          </mc:Choice>
        </mc:AlternateContent>
        <mc:AlternateContent xmlns:mc="http://schemas.openxmlformats.org/markup-compatibility/2006">
          <mc:Choice Requires="x14">
            <control shapeId="4252" r:id="rId100" name="Check Box 156">
              <controlPr defaultSize="0" autoFill="0" autoLine="0" autoPict="0">
                <anchor moveWithCells="1">
                  <from>
                    <xdr:col>11</xdr:col>
                    <xdr:colOff>0</xdr:colOff>
                    <xdr:row>90</xdr:row>
                    <xdr:rowOff>30480</xdr:rowOff>
                  </from>
                  <to>
                    <xdr:col>11</xdr:col>
                    <xdr:colOff>1783080</xdr:colOff>
                    <xdr:row>90</xdr:row>
                    <xdr:rowOff>259080</xdr:rowOff>
                  </to>
                </anchor>
              </controlPr>
            </control>
          </mc:Choice>
        </mc:AlternateContent>
        <mc:AlternateContent xmlns:mc="http://schemas.openxmlformats.org/markup-compatibility/2006">
          <mc:Choice Requires="x14">
            <control shapeId="4253" r:id="rId101" name="Check Box 157">
              <controlPr defaultSize="0" autoFill="0" autoLine="0" autoPict="0">
                <anchor moveWithCells="1">
                  <from>
                    <xdr:col>11</xdr:col>
                    <xdr:colOff>0</xdr:colOff>
                    <xdr:row>92</xdr:row>
                    <xdr:rowOff>30480</xdr:rowOff>
                  </from>
                  <to>
                    <xdr:col>11</xdr:col>
                    <xdr:colOff>1783080</xdr:colOff>
                    <xdr:row>92</xdr:row>
                    <xdr:rowOff>259080</xdr:rowOff>
                  </to>
                </anchor>
              </controlPr>
            </control>
          </mc:Choice>
        </mc:AlternateContent>
        <mc:AlternateContent xmlns:mc="http://schemas.openxmlformats.org/markup-compatibility/2006">
          <mc:Choice Requires="x14">
            <control shapeId="4254" r:id="rId102" name="Check Box 158">
              <controlPr defaultSize="0" autoFill="0" autoLine="0" autoPict="0">
                <anchor moveWithCells="1">
                  <from>
                    <xdr:col>11</xdr:col>
                    <xdr:colOff>0</xdr:colOff>
                    <xdr:row>94</xdr:row>
                    <xdr:rowOff>30480</xdr:rowOff>
                  </from>
                  <to>
                    <xdr:col>11</xdr:col>
                    <xdr:colOff>1783080</xdr:colOff>
                    <xdr:row>94</xdr:row>
                    <xdr:rowOff>259080</xdr:rowOff>
                  </to>
                </anchor>
              </controlPr>
            </control>
          </mc:Choice>
        </mc:AlternateContent>
        <mc:AlternateContent xmlns:mc="http://schemas.openxmlformats.org/markup-compatibility/2006">
          <mc:Choice Requires="x14">
            <control shapeId="4255" r:id="rId103" name="Check Box 159">
              <controlPr defaultSize="0" autoFill="0" autoLine="0" autoPict="0">
                <anchor moveWithCells="1">
                  <from>
                    <xdr:col>11</xdr:col>
                    <xdr:colOff>0</xdr:colOff>
                    <xdr:row>110</xdr:row>
                    <xdr:rowOff>30480</xdr:rowOff>
                  </from>
                  <to>
                    <xdr:col>11</xdr:col>
                    <xdr:colOff>1783080</xdr:colOff>
                    <xdr:row>110</xdr:row>
                    <xdr:rowOff>259080</xdr:rowOff>
                  </to>
                </anchor>
              </controlPr>
            </control>
          </mc:Choice>
        </mc:AlternateContent>
        <mc:AlternateContent xmlns:mc="http://schemas.openxmlformats.org/markup-compatibility/2006">
          <mc:Choice Requires="x14">
            <control shapeId="4256" r:id="rId104" name="Check Box 160">
              <controlPr defaultSize="0" autoFill="0" autoLine="0" autoPict="0">
                <anchor moveWithCells="1">
                  <from>
                    <xdr:col>11</xdr:col>
                    <xdr:colOff>0</xdr:colOff>
                    <xdr:row>112</xdr:row>
                    <xdr:rowOff>30480</xdr:rowOff>
                  </from>
                  <to>
                    <xdr:col>11</xdr:col>
                    <xdr:colOff>1783080</xdr:colOff>
                    <xdr:row>112</xdr:row>
                    <xdr:rowOff>259080</xdr:rowOff>
                  </to>
                </anchor>
              </controlPr>
            </control>
          </mc:Choice>
        </mc:AlternateContent>
        <mc:AlternateContent xmlns:mc="http://schemas.openxmlformats.org/markup-compatibility/2006">
          <mc:Choice Requires="x14">
            <control shapeId="4413" r:id="rId105" name="Check Box 317">
              <controlPr defaultSize="0" autoFill="0" autoLine="0" autoPict="0">
                <anchor moveWithCells="1">
                  <from>
                    <xdr:col>11</xdr:col>
                    <xdr:colOff>0</xdr:colOff>
                    <xdr:row>98</xdr:row>
                    <xdr:rowOff>259080</xdr:rowOff>
                  </from>
                  <to>
                    <xdr:col>11</xdr:col>
                    <xdr:colOff>1783080</xdr:colOff>
                    <xdr:row>99</xdr:row>
                    <xdr:rowOff>144780</xdr:rowOff>
                  </to>
                </anchor>
              </controlPr>
            </control>
          </mc:Choice>
        </mc:AlternateContent>
        <mc:AlternateContent xmlns:mc="http://schemas.openxmlformats.org/markup-compatibility/2006">
          <mc:Choice Requires="x14">
            <control shapeId="4414" r:id="rId106" name="Check Box 318">
              <controlPr defaultSize="0" autoFill="0" autoLine="0" autoPict="0">
                <anchor moveWithCells="1">
                  <from>
                    <xdr:col>11</xdr:col>
                    <xdr:colOff>0</xdr:colOff>
                    <xdr:row>99</xdr:row>
                    <xdr:rowOff>106680</xdr:rowOff>
                  </from>
                  <to>
                    <xdr:col>11</xdr:col>
                    <xdr:colOff>1783080</xdr:colOff>
                    <xdr:row>99</xdr:row>
                    <xdr:rowOff>297180</xdr:rowOff>
                  </to>
                </anchor>
              </controlPr>
            </control>
          </mc:Choice>
        </mc:AlternateContent>
        <mc:AlternateContent xmlns:mc="http://schemas.openxmlformats.org/markup-compatibility/2006">
          <mc:Choice Requires="x14">
            <control shapeId="4415" r:id="rId107" name="Check Box 319">
              <controlPr defaultSize="0" autoFill="0" autoLine="0" autoPict="0">
                <anchor moveWithCells="1">
                  <from>
                    <xdr:col>11</xdr:col>
                    <xdr:colOff>0</xdr:colOff>
                    <xdr:row>98</xdr:row>
                    <xdr:rowOff>30480</xdr:rowOff>
                  </from>
                  <to>
                    <xdr:col>11</xdr:col>
                    <xdr:colOff>1783080</xdr:colOff>
                    <xdr:row>98</xdr:row>
                    <xdr:rowOff>259080</xdr:rowOff>
                  </to>
                </anchor>
              </controlPr>
            </control>
          </mc:Choice>
        </mc:AlternateContent>
        <mc:AlternateContent xmlns:mc="http://schemas.openxmlformats.org/markup-compatibility/2006">
          <mc:Choice Requires="x14">
            <control shapeId="4416" r:id="rId108" name="Check Box 320">
              <controlPr defaultSize="0" autoFill="0" autoLine="0" autoPict="0">
                <anchor moveWithCells="1">
                  <from>
                    <xdr:col>11</xdr:col>
                    <xdr:colOff>0</xdr:colOff>
                    <xdr:row>100</xdr:row>
                    <xdr:rowOff>259080</xdr:rowOff>
                  </from>
                  <to>
                    <xdr:col>11</xdr:col>
                    <xdr:colOff>1783080</xdr:colOff>
                    <xdr:row>101</xdr:row>
                    <xdr:rowOff>144780</xdr:rowOff>
                  </to>
                </anchor>
              </controlPr>
            </control>
          </mc:Choice>
        </mc:AlternateContent>
        <mc:AlternateContent xmlns:mc="http://schemas.openxmlformats.org/markup-compatibility/2006">
          <mc:Choice Requires="x14">
            <control shapeId="4417" r:id="rId109" name="Check Box 321">
              <controlPr defaultSize="0" autoFill="0" autoLine="0" autoPict="0">
                <anchor moveWithCells="1">
                  <from>
                    <xdr:col>11</xdr:col>
                    <xdr:colOff>0</xdr:colOff>
                    <xdr:row>101</xdr:row>
                    <xdr:rowOff>106680</xdr:rowOff>
                  </from>
                  <to>
                    <xdr:col>11</xdr:col>
                    <xdr:colOff>1783080</xdr:colOff>
                    <xdr:row>101</xdr:row>
                    <xdr:rowOff>297180</xdr:rowOff>
                  </to>
                </anchor>
              </controlPr>
            </control>
          </mc:Choice>
        </mc:AlternateContent>
        <mc:AlternateContent xmlns:mc="http://schemas.openxmlformats.org/markup-compatibility/2006">
          <mc:Choice Requires="x14">
            <control shapeId="4418" r:id="rId110" name="Check Box 322">
              <controlPr defaultSize="0" autoFill="0" autoLine="0" autoPict="0">
                <anchor moveWithCells="1">
                  <from>
                    <xdr:col>11</xdr:col>
                    <xdr:colOff>0</xdr:colOff>
                    <xdr:row>100</xdr:row>
                    <xdr:rowOff>30480</xdr:rowOff>
                  </from>
                  <to>
                    <xdr:col>11</xdr:col>
                    <xdr:colOff>1783080</xdr:colOff>
                    <xdr:row>100</xdr:row>
                    <xdr:rowOff>259080</xdr:rowOff>
                  </to>
                </anchor>
              </controlPr>
            </control>
          </mc:Choice>
        </mc:AlternateContent>
        <mc:AlternateContent xmlns:mc="http://schemas.openxmlformats.org/markup-compatibility/2006">
          <mc:Choice Requires="x14">
            <control shapeId="4419" r:id="rId111" name="Check Box 323">
              <controlPr defaultSize="0" autoFill="0" autoLine="0" autoPict="0">
                <anchor moveWithCells="1">
                  <from>
                    <xdr:col>11</xdr:col>
                    <xdr:colOff>0</xdr:colOff>
                    <xdr:row>102</xdr:row>
                    <xdr:rowOff>259080</xdr:rowOff>
                  </from>
                  <to>
                    <xdr:col>11</xdr:col>
                    <xdr:colOff>1783080</xdr:colOff>
                    <xdr:row>103</xdr:row>
                    <xdr:rowOff>144780</xdr:rowOff>
                  </to>
                </anchor>
              </controlPr>
            </control>
          </mc:Choice>
        </mc:AlternateContent>
        <mc:AlternateContent xmlns:mc="http://schemas.openxmlformats.org/markup-compatibility/2006">
          <mc:Choice Requires="x14">
            <control shapeId="4420" r:id="rId112" name="Check Box 324">
              <controlPr defaultSize="0" autoFill="0" autoLine="0" autoPict="0">
                <anchor moveWithCells="1">
                  <from>
                    <xdr:col>11</xdr:col>
                    <xdr:colOff>0</xdr:colOff>
                    <xdr:row>103</xdr:row>
                    <xdr:rowOff>106680</xdr:rowOff>
                  </from>
                  <to>
                    <xdr:col>11</xdr:col>
                    <xdr:colOff>1783080</xdr:colOff>
                    <xdr:row>103</xdr:row>
                    <xdr:rowOff>297180</xdr:rowOff>
                  </to>
                </anchor>
              </controlPr>
            </control>
          </mc:Choice>
        </mc:AlternateContent>
        <mc:AlternateContent xmlns:mc="http://schemas.openxmlformats.org/markup-compatibility/2006">
          <mc:Choice Requires="x14">
            <control shapeId="4421" r:id="rId113" name="Check Box 325">
              <controlPr defaultSize="0" autoFill="0" autoLine="0" autoPict="0">
                <anchor moveWithCells="1">
                  <from>
                    <xdr:col>11</xdr:col>
                    <xdr:colOff>0</xdr:colOff>
                    <xdr:row>102</xdr:row>
                    <xdr:rowOff>30480</xdr:rowOff>
                  </from>
                  <to>
                    <xdr:col>11</xdr:col>
                    <xdr:colOff>1783080</xdr:colOff>
                    <xdr:row>102</xdr:row>
                    <xdr:rowOff>259080</xdr:rowOff>
                  </to>
                </anchor>
              </controlPr>
            </control>
          </mc:Choice>
        </mc:AlternateContent>
        <mc:AlternateContent xmlns:mc="http://schemas.openxmlformats.org/markup-compatibility/2006">
          <mc:Choice Requires="x14">
            <control shapeId="4422" r:id="rId114" name="Check Box 326">
              <controlPr defaultSize="0" autoFill="0" autoLine="0" autoPict="0">
                <anchor moveWithCells="1">
                  <from>
                    <xdr:col>11</xdr:col>
                    <xdr:colOff>0</xdr:colOff>
                    <xdr:row>104</xdr:row>
                    <xdr:rowOff>259080</xdr:rowOff>
                  </from>
                  <to>
                    <xdr:col>11</xdr:col>
                    <xdr:colOff>1783080</xdr:colOff>
                    <xdr:row>105</xdr:row>
                    <xdr:rowOff>144780</xdr:rowOff>
                  </to>
                </anchor>
              </controlPr>
            </control>
          </mc:Choice>
        </mc:AlternateContent>
        <mc:AlternateContent xmlns:mc="http://schemas.openxmlformats.org/markup-compatibility/2006">
          <mc:Choice Requires="x14">
            <control shapeId="4423" r:id="rId115" name="Check Box 327">
              <controlPr defaultSize="0" autoFill="0" autoLine="0" autoPict="0">
                <anchor moveWithCells="1">
                  <from>
                    <xdr:col>11</xdr:col>
                    <xdr:colOff>0</xdr:colOff>
                    <xdr:row>105</xdr:row>
                    <xdr:rowOff>106680</xdr:rowOff>
                  </from>
                  <to>
                    <xdr:col>11</xdr:col>
                    <xdr:colOff>1783080</xdr:colOff>
                    <xdr:row>105</xdr:row>
                    <xdr:rowOff>297180</xdr:rowOff>
                  </to>
                </anchor>
              </controlPr>
            </control>
          </mc:Choice>
        </mc:AlternateContent>
        <mc:AlternateContent xmlns:mc="http://schemas.openxmlformats.org/markup-compatibility/2006">
          <mc:Choice Requires="x14">
            <control shapeId="4424" r:id="rId116" name="Check Box 328">
              <controlPr defaultSize="0" autoFill="0" autoLine="0" autoPict="0">
                <anchor moveWithCells="1">
                  <from>
                    <xdr:col>11</xdr:col>
                    <xdr:colOff>0</xdr:colOff>
                    <xdr:row>104</xdr:row>
                    <xdr:rowOff>30480</xdr:rowOff>
                  </from>
                  <to>
                    <xdr:col>11</xdr:col>
                    <xdr:colOff>1783080</xdr:colOff>
                    <xdr:row>104</xdr:row>
                    <xdr:rowOff>259080</xdr:rowOff>
                  </to>
                </anchor>
              </controlPr>
            </control>
          </mc:Choice>
        </mc:AlternateContent>
        <mc:AlternateContent xmlns:mc="http://schemas.openxmlformats.org/markup-compatibility/2006">
          <mc:Choice Requires="x14">
            <control shapeId="4425" r:id="rId117" name="Check Box 329">
              <controlPr defaultSize="0" autoFill="0" autoLine="0" autoPict="0">
                <anchor moveWithCells="1">
                  <from>
                    <xdr:col>11</xdr:col>
                    <xdr:colOff>0</xdr:colOff>
                    <xdr:row>106</xdr:row>
                    <xdr:rowOff>259080</xdr:rowOff>
                  </from>
                  <to>
                    <xdr:col>11</xdr:col>
                    <xdr:colOff>1783080</xdr:colOff>
                    <xdr:row>107</xdr:row>
                    <xdr:rowOff>144780</xdr:rowOff>
                  </to>
                </anchor>
              </controlPr>
            </control>
          </mc:Choice>
        </mc:AlternateContent>
        <mc:AlternateContent xmlns:mc="http://schemas.openxmlformats.org/markup-compatibility/2006">
          <mc:Choice Requires="x14">
            <control shapeId="4426" r:id="rId118" name="Check Box 330">
              <controlPr defaultSize="0" autoFill="0" autoLine="0" autoPict="0">
                <anchor moveWithCells="1">
                  <from>
                    <xdr:col>11</xdr:col>
                    <xdr:colOff>0</xdr:colOff>
                    <xdr:row>107</xdr:row>
                    <xdr:rowOff>106680</xdr:rowOff>
                  </from>
                  <to>
                    <xdr:col>11</xdr:col>
                    <xdr:colOff>1783080</xdr:colOff>
                    <xdr:row>107</xdr:row>
                    <xdr:rowOff>297180</xdr:rowOff>
                  </to>
                </anchor>
              </controlPr>
            </control>
          </mc:Choice>
        </mc:AlternateContent>
        <mc:AlternateContent xmlns:mc="http://schemas.openxmlformats.org/markup-compatibility/2006">
          <mc:Choice Requires="x14">
            <control shapeId="4427" r:id="rId119" name="Check Box 331">
              <controlPr defaultSize="0" autoFill="0" autoLine="0" autoPict="0">
                <anchor moveWithCells="1">
                  <from>
                    <xdr:col>11</xdr:col>
                    <xdr:colOff>0</xdr:colOff>
                    <xdr:row>106</xdr:row>
                    <xdr:rowOff>30480</xdr:rowOff>
                  </from>
                  <to>
                    <xdr:col>11</xdr:col>
                    <xdr:colOff>1783080</xdr:colOff>
                    <xdr:row>106</xdr:row>
                    <xdr:rowOff>259080</xdr:rowOff>
                  </to>
                </anchor>
              </controlPr>
            </control>
          </mc:Choice>
        </mc:AlternateContent>
        <mc:AlternateContent xmlns:mc="http://schemas.openxmlformats.org/markup-compatibility/2006">
          <mc:Choice Requires="x14">
            <control shapeId="4428" r:id="rId120" name="Check Box 332">
              <controlPr defaultSize="0" autoFill="0" autoLine="0" autoPict="0">
                <anchor moveWithCells="1">
                  <from>
                    <xdr:col>11</xdr:col>
                    <xdr:colOff>0</xdr:colOff>
                    <xdr:row>108</xdr:row>
                    <xdr:rowOff>259080</xdr:rowOff>
                  </from>
                  <to>
                    <xdr:col>11</xdr:col>
                    <xdr:colOff>1783080</xdr:colOff>
                    <xdr:row>109</xdr:row>
                    <xdr:rowOff>144780</xdr:rowOff>
                  </to>
                </anchor>
              </controlPr>
            </control>
          </mc:Choice>
        </mc:AlternateContent>
        <mc:AlternateContent xmlns:mc="http://schemas.openxmlformats.org/markup-compatibility/2006">
          <mc:Choice Requires="x14">
            <control shapeId="4429" r:id="rId121" name="Check Box 333">
              <controlPr defaultSize="0" autoFill="0" autoLine="0" autoPict="0">
                <anchor moveWithCells="1">
                  <from>
                    <xdr:col>11</xdr:col>
                    <xdr:colOff>0</xdr:colOff>
                    <xdr:row>109</xdr:row>
                    <xdr:rowOff>106680</xdr:rowOff>
                  </from>
                  <to>
                    <xdr:col>11</xdr:col>
                    <xdr:colOff>1783080</xdr:colOff>
                    <xdr:row>109</xdr:row>
                    <xdr:rowOff>297180</xdr:rowOff>
                  </to>
                </anchor>
              </controlPr>
            </control>
          </mc:Choice>
        </mc:AlternateContent>
        <mc:AlternateContent xmlns:mc="http://schemas.openxmlformats.org/markup-compatibility/2006">
          <mc:Choice Requires="x14">
            <control shapeId="4430" r:id="rId122" name="Check Box 334">
              <controlPr defaultSize="0" autoFill="0" autoLine="0" autoPict="0">
                <anchor moveWithCells="1">
                  <from>
                    <xdr:col>11</xdr:col>
                    <xdr:colOff>0</xdr:colOff>
                    <xdr:row>108</xdr:row>
                    <xdr:rowOff>30480</xdr:rowOff>
                  </from>
                  <to>
                    <xdr:col>11</xdr:col>
                    <xdr:colOff>1783080</xdr:colOff>
                    <xdr:row>108</xdr:row>
                    <xdr:rowOff>259080</xdr:rowOff>
                  </to>
                </anchor>
              </controlPr>
            </control>
          </mc:Choice>
        </mc:AlternateContent>
      </controls>
    </mc:Choice>
  </mc:AlternateContent>
  <tableParts count="1">
    <tablePart r:id="rId123"/>
  </tableParts>
  <extLst>
    <ext xmlns:x14="http://schemas.microsoft.com/office/spreadsheetml/2009/9/main" uri="{78C0D931-6437-407d-A8EE-F0AAD7539E65}">
      <x14:conditionalFormattings>
        <x14:conditionalFormatting xmlns:xm="http://schemas.microsoft.com/office/excel/2006/main">
          <x14:cfRule type="dataBar" id="{593BEEC4-2C32-4DE4-B5C4-C18E43AAA362}">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46" id="{E43207D4-63CC-45E5-ABE7-AD7807BF4502}">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6" id="{29B978F4-A49C-4E50-866B-7BC9DC2AA14D}">
            <x14:iconSet iconSet="3Stars">
              <x14:cfvo type="percent">
                <xm:f>0</xm:f>
              </x14:cfvo>
              <x14:cfvo type="percent">
                <xm:f>33</xm:f>
              </x14:cfvo>
              <x14:cfvo type="percent">
                <xm:f>67</xm:f>
              </x14:cfvo>
            </x14:iconSet>
          </x14:cfRule>
          <xm:sqref>P6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1766A1A-6D72-4FB5-8F79-A2C49D7791A7}">
          <x14:formula1>
            <xm:f>Parâmetros!$A$28:$A$29</xm:f>
          </x14:formula1>
          <xm:sqref>I118:K139 M55:M114</xm:sqref>
        </x14:dataValidation>
        <x14:dataValidation type="list" allowBlank="1" showInputMessage="1" showErrorMessage="1" xr:uid="{C0B4DD86-90EC-4C10-A2C7-4E37AFED646F}">
          <x14:formula1>
            <xm:f>Parâmetros!$A$31:$A$33</xm:f>
          </x14:formula1>
          <xm:sqref>O55 O57 O59:O114</xm:sqref>
        </x14:dataValidation>
        <x14:dataValidation type="list" allowBlank="1" showInputMessage="1" showErrorMessage="1" xr:uid="{35BBFE3F-4907-443A-87AE-1C2213DDE67B}">
          <x14:formula1>
            <xm:f>Parâmetros!$A$36:$A$38</xm:f>
          </x14:formula1>
          <xm:sqref>H38</xm:sqref>
        </x14:dataValidation>
        <x14:dataValidation type="list" allowBlank="1" showInputMessage="1" showErrorMessage="1" xr:uid="{66D131EC-E431-4450-B8AC-BFA977B25FDC}">
          <x14:formula1>
            <xm:f>Parâmetros!$A$24:$A$27</xm:f>
          </x14:formula1>
          <xm:sqref>A55:A114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D16A-4F46-4AA3-8504-88D8B8E9E833}">
  <dimension ref="A1:AP305"/>
  <sheetViews>
    <sheetView topLeftCell="A5" zoomScale="70" zoomScaleNormal="70" workbookViewId="0">
      <selection activeCell="I55" sqref="I55:I86"/>
    </sheetView>
  </sheetViews>
  <sheetFormatPr defaultColWidth="8.5546875" defaultRowHeight="14.4" x14ac:dyDescent="0.3"/>
  <cols>
    <col min="1" max="1" width="43.5546875" style="62" customWidth="1"/>
    <col min="2" max="2" width="27.5546875" style="62" customWidth="1"/>
    <col min="3" max="3" width="46.44140625" style="62" customWidth="1"/>
    <col min="4" max="4" width="29.5546875" style="62" customWidth="1"/>
    <col min="5" max="5" width="27.77734375" style="62" customWidth="1"/>
    <col min="6" max="6" width="18.5546875" style="62" customWidth="1"/>
    <col min="7" max="7" width="10.44140625" style="62" customWidth="1"/>
    <col min="8" max="8" width="24.44140625" style="62" customWidth="1"/>
    <col min="9" max="9" width="37.44140625" style="62" bestFit="1" customWidth="1"/>
    <col min="10" max="10" width="27" style="62" customWidth="1"/>
    <col min="11" max="11" width="15.5546875" style="62" customWidth="1"/>
    <col min="12" max="12" width="24.44140625" style="62" bestFit="1" customWidth="1"/>
    <col min="13" max="13" width="35" style="62" bestFit="1" customWidth="1"/>
    <col min="14" max="14" width="29.44140625" style="62" customWidth="1"/>
    <col min="15" max="15" width="29.5546875" style="62" bestFit="1" customWidth="1"/>
    <col min="16" max="16" width="19.5546875" style="62" bestFit="1" customWidth="1"/>
    <col min="17" max="17" width="24.44140625" style="62" customWidth="1"/>
    <col min="18" max="18" width="25.44140625" style="62" customWidth="1"/>
    <col min="19" max="19" width="17.5546875" style="62" bestFit="1" customWidth="1"/>
    <col min="20" max="20" width="22.44140625" style="62" customWidth="1"/>
    <col min="21" max="21" width="17.5546875" style="62" bestFit="1" customWidth="1"/>
    <col min="22" max="22" width="23.44140625" style="62" customWidth="1"/>
    <col min="23" max="23" width="17.5546875" style="62" bestFit="1" customWidth="1"/>
    <col min="24" max="24" width="18.44140625" style="62" bestFit="1" customWidth="1"/>
    <col min="25" max="25" width="22.44140625" style="62" customWidth="1"/>
    <col min="26" max="26" width="19.5546875" style="62" bestFit="1" customWidth="1"/>
    <col min="27" max="27" width="20.44140625" style="62" bestFit="1" customWidth="1"/>
    <col min="28" max="28" width="36.5546875" style="62" bestFit="1" customWidth="1"/>
    <col min="29" max="29" width="20.44140625" style="62" bestFit="1" customWidth="1"/>
    <col min="30" max="30" width="28.44140625" style="62" customWidth="1"/>
    <col min="31" max="31" width="15.5546875" style="62" customWidth="1"/>
    <col min="32" max="32" width="16.5546875" style="62" bestFit="1" customWidth="1"/>
    <col min="33" max="33" width="54.44140625" style="62" bestFit="1" customWidth="1"/>
    <col min="34" max="34" width="22.44140625" style="62" bestFit="1" customWidth="1"/>
    <col min="35" max="35" width="15.5546875" style="62" bestFit="1" customWidth="1"/>
    <col min="36" max="36" width="16" style="62" customWidth="1"/>
    <col min="37" max="37" width="20.44140625" style="62" bestFit="1" customWidth="1"/>
    <col min="38" max="38" width="11.44140625" style="62" bestFit="1" customWidth="1"/>
    <col min="39" max="39" width="48.44140625" style="62" bestFit="1" customWidth="1"/>
    <col min="40" max="40" width="93.44140625" style="62" bestFit="1" customWidth="1"/>
    <col min="41" max="41" width="20.44140625" style="62" bestFit="1" customWidth="1"/>
    <col min="42" max="42" width="14.109375" style="62" bestFit="1" customWidth="1"/>
    <col min="43" max="16384" width="8.5546875" style="62"/>
  </cols>
  <sheetData>
    <row r="1" spans="1:39" ht="50.1" customHeight="1" x14ac:dyDescent="0.3">
      <c r="A1" s="1181" t="s">
        <v>1587</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c r="AF1" s="1181"/>
      <c r="AG1" s="47"/>
      <c r="AH1" s="47"/>
      <c r="AI1" s="47"/>
      <c r="AJ1" s="47"/>
    </row>
    <row r="2" spans="1:39"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c r="AF2" s="1183"/>
      <c r="AG2" s="47"/>
      <c r="AH2" s="47"/>
      <c r="AI2" s="47"/>
      <c r="AJ2" s="47"/>
    </row>
    <row r="3" spans="1:39"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row>
    <row r="4" spans="1:39" ht="22.35" customHeight="1" x14ac:dyDescent="0.3">
      <c r="A4" s="1185" t="s">
        <v>89</v>
      </c>
      <c r="B4" s="1185"/>
      <c r="C4" s="508" t="s">
        <v>110</v>
      </c>
      <c r="D4" s="511" t="s">
        <v>49</v>
      </c>
      <c r="E4" s="1187" t="s">
        <v>50</v>
      </c>
      <c r="F4" s="1187"/>
      <c r="G4" s="1188" t="s">
        <v>51</v>
      </c>
      <c r="H4" s="1188"/>
      <c r="I4" s="1188"/>
      <c r="J4" s="1189" t="s">
        <v>53</v>
      </c>
      <c r="K4" s="1189"/>
      <c r="L4" s="1189" t="s">
        <v>54</v>
      </c>
      <c r="M4" s="1189"/>
      <c r="N4" s="47"/>
      <c r="O4" s="1192" t="s">
        <v>112</v>
      </c>
      <c r="P4" s="1192"/>
      <c r="Q4" s="1192"/>
      <c r="R4" s="1192"/>
      <c r="S4" s="1192"/>
      <c r="T4" s="1192"/>
      <c r="U4" s="1192"/>
      <c r="V4" s="1192"/>
      <c r="W4" s="1192"/>
      <c r="X4" s="1192"/>
      <c r="Y4" s="1192"/>
      <c r="Z4" s="1192"/>
      <c r="AA4" s="1192"/>
      <c r="AB4" s="1192"/>
      <c r="AC4" s="1192"/>
      <c r="AD4" s="1192"/>
      <c r="AE4" s="1192"/>
      <c r="AF4" s="1192"/>
      <c r="AG4" s="47"/>
      <c r="AH4" s="47"/>
      <c r="AI4" s="47"/>
      <c r="AJ4" s="47"/>
    </row>
    <row r="5" spans="1:39" ht="45" customHeight="1" x14ac:dyDescent="0.3">
      <c r="A5" s="1196">
        <f>Parâmetros!E7</f>
        <v>2100000</v>
      </c>
      <c r="B5" s="1196"/>
      <c r="C5" s="510">
        <f>SUM(I55:I124)</f>
        <v>1676299.18</v>
      </c>
      <c r="D5" s="512">
        <f>SUMIF(Q55:Q124,"Previsto",AI55:AI124)</f>
        <v>2468990.236397305</v>
      </c>
      <c r="E5" s="1198">
        <f>SUM(N55:N124)</f>
        <v>2337750.5480639716</v>
      </c>
      <c r="F5" s="1198"/>
      <c r="G5" s="1388">
        <f>SUMIF(Q55:Q124,"Real",AI55:AI124)</f>
        <v>821641.95</v>
      </c>
      <c r="H5" s="1388"/>
      <c r="I5" s="1388"/>
      <c r="J5" s="1541">
        <f>G5/A5</f>
        <v>0.39125807142857139</v>
      </c>
      <c r="K5" s="1541"/>
      <c r="L5" s="1060">
        <f>SUM(I9:I11)</f>
        <v>26</v>
      </c>
      <c r="M5" s="1060"/>
      <c r="N5" s="314"/>
      <c r="O5" s="243" t="s">
        <v>115</v>
      </c>
      <c r="P5" s="382" t="s">
        <v>72</v>
      </c>
      <c r="Q5" s="244" t="s">
        <v>891</v>
      </c>
      <c r="R5" s="386" t="s">
        <v>117</v>
      </c>
      <c r="S5" s="386" t="s">
        <v>118</v>
      </c>
      <c r="T5" s="542" t="s">
        <v>119</v>
      </c>
      <c r="U5" s="1542" t="s">
        <v>120</v>
      </c>
      <c r="V5" s="1542"/>
      <c r="W5" s="1542"/>
      <c r="X5" s="1542"/>
      <c r="Y5" s="1542"/>
      <c r="Z5" s="244" t="s">
        <v>121</v>
      </c>
      <c r="AA5" s="244" t="s">
        <v>122</v>
      </c>
      <c r="AB5" s="382" t="s">
        <v>123</v>
      </c>
      <c r="AC5" s="382" t="s">
        <v>124</v>
      </c>
      <c r="AD5" s="382" t="s">
        <v>125</v>
      </c>
      <c r="AE5" s="386" t="s">
        <v>126</v>
      </c>
      <c r="AG5" s="47"/>
      <c r="AH5" s="47"/>
      <c r="AI5" s="47"/>
      <c r="AJ5" s="47"/>
      <c r="AK5" s="47"/>
      <c r="AL5" s="47"/>
    </row>
    <row r="6" spans="1:39" ht="20.100000000000001" customHeight="1" x14ac:dyDescent="0.3">
      <c r="A6" s="47"/>
      <c r="B6" s="47"/>
      <c r="C6" s="47"/>
      <c r="D6" s="47"/>
      <c r="E6" s="47"/>
      <c r="F6" s="47"/>
      <c r="G6" s="47"/>
      <c r="H6" s="47"/>
      <c r="I6" s="47"/>
      <c r="J6" s="47"/>
      <c r="K6" s="47"/>
      <c r="L6" s="47"/>
      <c r="M6" s="47"/>
      <c r="N6" s="47"/>
      <c r="O6" s="241" cm="1">
        <f t="array" ref="O6:O25">_xlfn.SEQUENCE(20)</f>
        <v>1</v>
      </c>
      <c r="P6" s="398" t="str">
        <f t="shared" ref="P6:P25" si="0">_xlfn.XLOOKUP(U6,$C$55:$C$124,$A$55:$A$124)</f>
        <v>Kaizen</v>
      </c>
      <c r="Q6" s="404">
        <f>MAX(I55:I124)</f>
        <v>733701.49999999988</v>
      </c>
      <c r="R6" s="796">
        <f>_xlfn.XLOOKUP(Q6,$I$55:$I$124,$N$55:$N$124)</f>
        <v>1736617.43</v>
      </c>
      <c r="S6" s="534">
        <f>_xlfn.XLOOKUP(U6,$C$55:$C$124,$J$55:$J$124)</f>
        <v>46082</v>
      </c>
      <c r="T6" s="543" cm="1">
        <f t="array" aca="1" ref="T6" ca="1">SUMPRODUCT(($C$55:$C$124=U6)*(S$54:$AG$54&lt;=TODAY())*(ISNUMBER(S$55:$AG$124)),S$55:$AG$124)</f>
        <v>694646.97199999995</v>
      </c>
      <c r="U6" s="747" t="str">
        <f t="shared" ref="U6:U25" si="1">IFERROR(HYPERLINK(INDEX($D$55:$D$124,MATCH(Q6,$I$55:$I$124,0)),INDEX($C$55:$C$124,MATCH(Q6,$I$55:$I$124,0))
   ),
   ""
)</f>
        <v>08 - Reestruturação</v>
      </c>
      <c r="V6" s="520"/>
      <c r="W6" s="520"/>
      <c r="X6" s="520"/>
      <c r="Y6" s="521"/>
      <c r="Z6" s="376">
        <f t="shared" ref="Z6:Z20" si="2">IF(Q6="","",Q6/$C$5)</f>
        <v>0.43769125986209689</v>
      </c>
      <c r="AA6" s="248">
        <f>Z6</f>
        <v>0.43769125986209689</v>
      </c>
      <c r="AB6" s="707" cm="1">
        <f t="array" aca="1" ref="AB6" ca="1">IFERROR(INDEX($R$55:$R$124,MATCH(1,($AN$55:$AN$124=U6)*($Q$55:$Q$124="Previsto"), 0) ), "")</f>
        <v>1</v>
      </c>
      <c r="AC6" s="707" cm="1">
        <f t="array" ref="AC6">IFERROR(INDEX($R$55:$R$124,MATCH(1,($AN$55:$AN$124=U6)*($Q$55:$Q$124="Real"), 0) ), "")</f>
        <v>1</v>
      </c>
      <c r="AD6" s="400" t="str">
        <f t="shared" ref="AD6:AD13" ca="1" si="3">IF(OR(AB6="",AC6=""),"",IF(AC6=100%,"CONCLUÍDO",IF(AC6=0,IF(AB6=0,"PROJETO NÃO INICIADO","FALTA DE ACOMPANHAMENTO"),IF(AC6&gt;AB6,"ADIANTADO",IF(AC6=AB6,"CONFORME PLANEJADO","ATRASO")))))</f>
        <v>CONCLUÍDO</v>
      </c>
      <c r="AE6" s="376" cm="1">
        <f t="array" ref="AE6:AE25">_xlfn.XLOOKUP($U$6:$U$25,$C$55:$C$124,$P$55:$P$124)</f>
        <v>1</v>
      </c>
      <c r="AG6" s="47"/>
      <c r="AH6" s="47"/>
      <c r="AI6" s="47"/>
      <c r="AJ6" s="47"/>
      <c r="AK6" s="47"/>
      <c r="AL6" s="47"/>
    </row>
    <row r="7" spans="1:39" ht="20.100000000000001" customHeight="1" x14ac:dyDescent="0.3">
      <c r="A7" s="857" t="s">
        <v>129</v>
      </c>
      <c r="B7" s="857"/>
      <c r="C7" s="857"/>
      <c r="D7" s="857"/>
      <c r="E7" s="857"/>
      <c r="F7" s="857"/>
      <c r="G7" s="47"/>
      <c r="H7" s="1059" t="s">
        <v>59</v>
      </c>
      <c r="I7" s="1059"/>
      <c r="J7" s="1059"/>
      <c r="K7" s="852" t="s">
        <v>60</v>
      </c>
      <c r="L7" s="852"/>
      <c r="M7" s="852"/>
      <c r="N7" s="47"/>
      <c r="O7" s="278">
        <v>2</v>
      </c>
      <c r="P7" s="399" t="str">
        <f t="shared" si="0"/>
        <v>Kaizen</v>
      </c>
      <c r="Q7" s="405">
        <f>IFERROR(LARGE($I$55:$I$124,O7)," ")</f>
        <v>218726.78</v>
      </c>
      <c r="R7" s="797">
        <f t="shared" ref="R7:R20" si="4">_xlfn.XLOOKUP(Q7,$I$55:$I$124,$N$55:$N$124)</f>
        <v>218726.78</v>
      </c>
      <c r="S7" s="535">
        <f t="shared" ref="S7:S20" si="5">_xlfn.XLOOKUP(U7,$C$55:$C$124,$J$55:$J$124)</f>
        <v>46054</v>
      </c>
      <c r="T7" s="544" cm="1">
        <f t="array" aca="1" ref="T7" ca="1">SUMPRODUCT(($C$55:$C$124=U7)*(S$54:$AG$54&lt;=TODAY())*(ISNUMBER(S$55:$AG$124)),S$55:$AG$124)</f>
        <v>99421.263636363641</v>
      </c>
      <c r="U7" s="516" t="str">
        <f t="shared" si="1"/>
        <v>01 - Redução de Refugo</v>
      </c>
      <c r="V7" s="517"/>
      <c r="W7" s="517"/>
      <c r="X7" s="517"/>
      <c r="Y7" s="518"/>
      <c r="Z7" s="381">
        <f t="shared" ref="Z7:Z13" si="6">IF(Q7="","",Q7/$C$5)</f>
        <v>0.13048194654608136</v>
      </c>
      <c r="AA7" s="277">
        <f t="shared" ref="AA7:AA14" si="7">Z7+AA6</f>
        <v>0.56817320640817826</v>
      </c>
      <c r="AB7" s="708" cm="1">
        <f t="array" ref="AB7">IFERROR(INDEX($R$55:$R$124,MATCH(1,($AN$55:$AN$124=U7)*($Q$55:$Q$124="Previsto"), 0) ), "")</f>
        <v>0.94736842105263164</v>
      </c>
      <c r="AC7" s="708" cm="1">
        <f t="array" ref="AC7">IFERROR(INDEX($R$55:$R$124,MATCH(1,($AN$55:$AN$124=U7)*($Q$55:$Q$124="Real"), 0) ), "")</f>
        <v>0.95</v>
      </c>
      <c r="AD7" s="401" t="str">
        <f t="shared" si="3"/>
        <v>ADIANTADO</v>
      </c>
      <c r="AE7" s="381">
        <v>1</v>
      </c>
      <c r="AH7" s="47"/>
      <c r="AI7" s="47"/>
      <c r="AJ7" s="47"/>
      <c r="AK7" s="47"/>
      <c r="AL7" s="47"/>
      <c r="AM7" s="47"/>
    </row>
    <row r="8" spans="1:39" ht="20.100000000000001" customHeight="1" x14ac:dyDescent="0.35">
      <c r="A8" s="15" t="s">
        <v>62</v>
      </c>
      <c r="B8" s="15" t="s">
        <v>63</v>
      </c>
      <c r="C8" s="15" t="s">
        <v>64</v>
      </c>
      <c r="D8" s="855" t="s">
        <v>65</v>
      </c>
      <c r="E8" s="15" t="s">
        <v>66</v>
      </c>
      <c r="F8" s="15" t="s">
        <v>131</v>
      </c>
      <c r="G8" s="47"/>
      <c r="H8" s="496" t="s">
        <v>67</v>
      </c>
      <c r="I8" s="496" t="s">
        <v>63</v>
      </c>
      <c r="J8" s="579" t="s">
        <v>68</v>
      </c>
      <c r="K8" s="1404" t="s">
        <v>69</v>
      </c>
      <c r="L8" s="1404" t="s">
        <v>70</v>
      </c>
      <c r="M8" s="1404" t="s">
        <v>132</v>
      </c>
      <c r="N8" s="47"/>
      <c r="O8" s="241">
        <v>3</v>
      </c>
      <c r="P8" s="398" t="str">
        <f t="shared" si="0"/>
        <v>Redução de custo</v>
      </c>
      <c r="Q8" s="404">
        <f t="shared" ref="Q8:Q25" si="8">IFERROR(LARGE($I$55:$I$124,O8)," ")</f>
        <v>120860.88</v>
      </c>
      <c r="R8" s="796">
        <f t="shared" si="4"/>
        <v>0</v>
      </c>
      <c r="S8" s="534">
        <f t="shared" si="5"/>
        <v>0</v>
      </c>
      <c r="T8" s="543" cm="1">
        <f t="array" aca="1" ref="T8" ca="1">SUMPRODUCT(($C$55:$C$124=U8)*(S$54:$AG$54&lt;=TODAY())*(ISNUMBER(S$55:$AG$124)),S$55:$AG$124)</f>
        <v>0</v>
      </c>
      <c r="U8" s="519" t="str">
        <f t="shared" si="1"/>
        <v>16- Redução de gastos com energia elétrica.</v>
      </c>
      <c r="V8" s="520"/>
      <c r="W8" s="520"/>
      <c r="X8" s="520"/>
      <c r="Y8" s="521"/>
      <c r="Z8" s="376">
        <f t="shared" si="6"/>
        <v>7.2099826476082873E-2</v>
      </c>
      <c r="AA8" s="248">
        <f t="shared" si="7"/>
        <v>0.64027303288426118</v>
      </c>
      <c r="AB8" s="707" cm="1">
        <f t="array" ref="AB8">IFERROR(INDEX($R$55:$R$124,MATCH(1,($AN$55:$AN$124=U8)*($Q$55:$Q$124="Previsto"), 0) ), "")</f>
        <v>0.90133333333333321</v>
      </c>
      <c r="AC8" s="707" cm="1">
        <f t="array" ref="AC8">IFERROR(INDEX($R$55:$R$124,MATCH(1,($AN$55:$AN$124=U8)*($Q$55:$Q$124="Real"), 0) ), "")</f>
        <v>0.95000000000000007</v>
      </c>
      <c r="AD8" s="400" t="str">
        <f t="shared" si="3"/>
        <v>ADIANTADO</v>
      </c>
      <c r="AE8" s="376">
        <v>1</v>
      </c>
      <c r="AH8" s="47"/>
      <c r="AI8" s="47"/>
      <c r="AJ8" s="47"/>
      <c r="AK8" s="47"/>
      <c r="AL8" s="47"/>
      <c r="AM8" s="47"/>
    </row>
    <row r="9" spans="1:39" ht="20.100000000000001" customHeight="1" x14ac:dyDescent="0.35">
      <c r="A9" s="490" t="s">
        <v>76</v>
      </c>
      <c r="B9" s="491">
        <f>COUNTIF($A$54:$A$124,A9)</f>
        <v>12</v>
      </c>
      <c r="C9" s="492">
        <f>SUMIF($A$55:$A$124,A9,$I$55:$I$124)</f>
        <v>1177574.1499999999</v>
      </c>
      <c r="D9" s="492">
        <f>SUMIF($A$55:$A$124,A9,$N$55:$N$124)</f>
        <v>2069581.19</v>
      </c>
      <c r="E9" s="861">
        <f>IF($D$13=0,"",D9/$D$13)</f>
        <v>0.8852874365547434</v>
      </c>
      <c r="F9" s="19">
        <f>E9</f>
        <v>0.8852874365547434</v>
      </c>
      <c r="G9" s="47"/>
      <c r="H9" s="497" t="s">
        <v>77</v>
      </c>
      <c r="I9" s="498">
        <f>COUNTIF($O$55:$O$124,H9)</f>
        <v>1</v>
      </c>
      <c r="J9" s="580">
        <f>SUMIF($O$55:$O$124,H9,$I$55:$I$124)</f>
        <v>733701.49999999988</v>
      </c>
      <c r="K9" s="1405"/>
      <c r="L9" s="1405"/>
      <c r="M9" s="1405"/>
      <c r="N9" s="47"/>
      <c r="O9" s="278">
        <v>4</v>
      </c>
      <c r="P9" s="399" t="str">
        <f t="shared" si="0"/>
        <v>Redução de custo</v>
      </c>
      <c r="Q9" s="405">
        <f t="shared" si="8"/>
        <v>110000</v>
      </c>
      <c r="R9" s="797">
        <f t="shared" si="4"/>
        <v>0</v>
      </c>
      <c r="S9" s="535">
        <f t="shared" si="5"/>
        <v>0</v>
      </c>
      <c r="T9" s="544" cm="1">
        <f t="array" aca="1" ref="T9" ca="1">SUMPRODUCT(($C$55:$C$124=U9)*(S$54:$AG$54&lt;=TODAY())*(ISNUMBER(S$55:$AG$124)),S$55:$AG$124)</f>
        <v>0</v>
      </c>
      <c r="U9" s="516" t="str">
        <f t="shared" si="1"/>
        <v>07 - Troca dos fornecedores de tubo do Capo CNH CN-13</v>
      </c>
      <c r="V9" s="517"/>
      <c r="W9" s="517"/>
      <c r="X9" s="517"/>
      <c r="Y9" s="518"/>
      <c r="Z9" s="381">
        <f t="shared" si="6"/>
        <v>6.5620744382873228E-2</v>
      </c>
      <c r="AA9" s="277">
        <f t="shared" si="7"/>
        <v>0.70589377726713443</v>
      </c>
      <c r="AB9" s="708" cm="1">
        <f t="array" ref="AB9">IFERROR(INDEX($R$55:$R$124,MATCH(1,($AN$55:$AN$124=U9)*($Q$55:$Q$124="Previsto"), 0) ), "")</f>
        <v>0.80519480519480524</v>
      </c>
      <c r="AC9" s="708" cm="1">
        <f t="array" ref="AC9">IFERROR(INDEX($R$55:$R$124,MATCH(1,($AN$55:$AN$124=U9)*($Q$55:$Q$124="Real"), 0) ), "")</f>
        <v>0.82857142857142851</v>
      </c>
      <c r="AD9" s="401" t="str">
        <f t="shared" si="3"/>
        <v>ADIANTADO</v>
      </c>
      <c r="AE9" s="381">
        <v>1</v>
      </c>
      <c r="AI9" s="47"/>
      <c r="AJ9" s="47"/>
      <c r="AK9" s="47"/>
      <c r="AL9" s="47"/>
      <c r="AM9" s="47"/>
    </row>
    <row r="10" spans="1:39" ht="20.100000000000001" customHeight="1" x14ac:dyDescent="0.35">
      <c r="A10" s="490" t="s">
        <v>79</v>
      </c>
      <c r="B10" s="491">
        <f>COUNTIF($A$55:$A$124,A10)</f>
        <v>9</v>
      </c>
      <c r="C10" s="492">
        <f>SUMIF($A$55:$A$124,A10,$I$55:$I$124)</f>
        <v>279835.88</v>
      </c>
      <c r="D10" s="492">
        <f>SUMIF($A$55:$A$124,A10,$N$55:$N$124)</f>
        <v>6272.73</v>
      </c>
      <c r="E10" s="861">
        <f>IF($D$13=0,"",D10/$D$13)</f>
        <v>2.6832332496702078E-3</v>
      </c>
      <c r="F10" s="19">
        <f t="shared" ref="F10:F11" si="9">E10</f>
        <v>2.6832332496702078E-3</v>
      </c>
      <c r="G10" s="47"/>
      <c r="H10" s="499" t="s">
        <v>80</v>
      </c>
      <c r="I10" s="500">
        <f>COUNTIF($O$55:$O$124,H10)</f>
        <v>25</v>
      </c>
      <c r="J10" s="581">
        <f>SUMIF($O$55:$O$124,H10,$I$55:$I$124)</f>
        <v>942597.68</v>
      </c>
      <c r="K10" s="1543">
        <f>E155</f>
        <v>0.75</v>
      </c>
      <c r="L10" s="1543">
        <f>F155</f>
        <v>0.35714285714285715</v>
      </c>
      <c r="M10" s="1543">
        <f>L148</f>
        <v>0.15384615230769233</v>
      </c>
      <c r="N10" s="47"/>
      <c r="O10" s="241">
        <v>5</v>
      </c>
      <c r="P10" s="398" t="str">
        <f t="shared" si="0"/>
        <v>BSW</v>
      </c>
      <c r="Q10" s="404">
        <f t="shared" si="8"/>
        <v>92802.55</v>
      </c>
      <c r="R10" s="796">
        <f t="shared" si="4"/>
        <v>150372.36277166364</v>
      </c>
      <c r="S10" s="534">
        <f t="shared" si="5"/>
        <v>46143</v>
      </c>
      <c r="T10" s="543" cm="1">
        <f t="array" aca="1" ref="T10" ca="1">SUMPRODUCT(($C$55:$C$124=U10)*(S$54:$AG$54&lt;=TODAY())*(ISNUMBER(S$55:$AG$124)),S$55:$AG$124)</f>
        <v>37593.09069291591</v>
      </c>
      <c r="U10" s="519" t="str">
        <f t="shared" si="1"/>
        <v>05 -  REDUÇÃO DE PESO BRUTO DD000502/503Z</v>
      </c>
      <c r="V10" s="520"/>
      <c r="W10" s="520"/>
      <c r="X10" s="520"/>
      <c r="Y10" s="521"/>
      <c r="Z10" s="376">
        <f t="shared" si="6"/>
        <v>5.5361567378443749E-2</v>
      </c>
      <c r="AA10" s="248">
        <f t="shared" si="7"/>
        <v>0.7612553446455782</v>
      </c>
      <c r="AB10" s="707" cm="1">
        <f t="array" ref="AB10">IFERROR(INDEX($R$55:$R$124,MATCH(1,($AN$55:$AN$124=U10)*($Q$55:$Q$124="Previsto"), 0) ), "")</f>
        <v>0.89452054794520541</v>
      </c>
      <c r="AC10" s="707" cm="1">
        <f t="array" ref="AC10">IFERROR(INDEX($R$55:$R$124,MATCH(1,($AN$55:$AN$124=U10)*($Q$55:$Q$124="Real"), 0) ), "")</f>
        <v>0.89900000000000002</v>
      </c>
      <c r="AD10" s="400" t="str">
        <f t="shared" si="3"/>
        <v>ADIANTADO</v>
      </c>
      <c r="AE10" s="376">
        <v>1</v>
      </c>
      <c r="AH10" s="47"/>
      <c r="AI10" s="47"/>
      <c r="AJ10" s="47"/>
      <c r="AK10" s="47"/>
      <c r="AL10" s="47"/>
      <c r="AM10" s="47"/>
    </row>
    <row r="11" spans="1:39" ht="20.100000000000001" customHeight="1" x14ac:dyDescent="0.35">
      <c r="A11" s="490" t="s">
        <v>82</v>
      </c>
      <c r="B11" s="491">
        <f>COUNTIF($A$55:$A$124,A11)</f>
        <v>0</v>
      </c>
      <c r="C11" s="492">
        <f>SUMIF($A$55:$A$124,A11,$I$55:$I$124)</f>
        <v>0</v>
      </c>
      <c r="D11" s="492">
        <f>SUMIF($A$55:$A$124,A11,$N$55:$N$124)</f>
        <v>0</v>
      </c>
      <c r="E11" s="861">
        <f>IF($D$13=0,"",D11/$D$13)</f>
        <v>0</v>
      </c>
      <c r="F11" s="19">
        <f t="shared" si="9"/>
        <v>0</v>
      </c>
      <c r="G11" s="47"/>
      <c r="H11" s="501" t="s">
        <v>83</v>
      </c>
      <c r="I11" s="502">
        <f>COUNTIF($O$55:$O$124,H11)</f>
        <v>0</v>
      </c>
      <c r="J11" s="582">
        <f>SUMIF($O$55:$O$124,H11,$I$55:$I$124)</f>
        <v>0</v>
      </c>
      <c r="K11" s="1544"/>
      <c r="L11" s="1544"/>
      <c r="M11" s="1544"/>
      <c r="N11" s="853"/>
      <c r="O11" s="278">
        <v>6</v>
      </c>
      <c r="P11" s="399" t="str">
        <f t="shared" si="0"/>
        <v>Kaizen</v>
      </c>
      <c r="Q11" s="405">
        <f t="shared" si="8"/>
        <v>82981.320000000007</v>
      </c>
      <c r="R11" s="797">
        <f t="shared" si="4"/>
        <v>53213.38</v>
      </c>
      <c r="S11" s="535">
        <f t="shared" si="5"/>
        <v>46113</v>
      </c>
      <c r="T11" s="544" cm="1">
        <f t="array" aca="1" ref="T11" ca="1">SUMPRODUCT(($C$55:$C$124=U11)*(S$54:$AG$54&lt;=TODAY())*(ISNUMBER(S$55:$AG$124)),S$55:$AG$124)</f>
        <v>13303.344999999998</v>
      </c>
      <c r="U11" s="516" t="str">
        <f t="shared" si="1"/>
        <v>15- Redução do custo mensal de empilhadeira locada (LOCAPEX).</v>
      </c>
      <c r="V11" s="517"/>
      <c r="W11" s="517"/>
      <c r="X11" s="517"/>
      <c r="Y11" s="518"/>
      <c r="Z11" s="381">
        <f t="shared" si="6"/>
        <v>4.9502690802485518E-2</v>
      </c>
      <c r="AA11" s="277">
        <f t="shared" si="7"/>
        <v>0.81075803544806369</v>
      </c>
      <c r="AB11" s="708" cm="1">
        <f t="array" ref="AB11">IFERROR(INDEX($R$55:$R$124,MATCH(1,($AN$55:$AN$124=U11)*($Q$55:$Q$124="Previsto"), 0) ), "")</f>
        <v>1</v>
      </c>
      <c r="AC11" s="708" cm="1">
        <f t="array" ref="AC11">IFERROR(INDEX($R$55:$R$124,MATCH(1,($AN$55:$AN$124=U11)*($Q$55:$Q$124="Real"), 0) ), "")</f>
        <v>1</v>
      </c>
      <c r="AD11" s="401" t="str">
        <f t="shared" si="3"/>
        <v>CONCLUÍDO</v>
      </c>
      <c r="AE11" s="381">
        <v>1</v>
      </c>
      <c r="AH11" s="47"/>
      <c r="AI11" s="47"/>
      <c r="AJ11" s="47"/>
      <c r="AK11" s="47"/>
      <c r="AL11" s="47"/>
      <c r="AM11" s="47"/>
    </row>
    <row r="12" spans="1:39" ht="20.100000000000001" customHeight="1" x14ac:dyDescent="0.35">
      <c r="A12" s="490" t="s">
        <v>85</v>
      </c>
      <c r="B12" s="491">
        <f>COUNTIF($A$55:$A$124,A12)</f>
        <v>5</v>
      </c>
      <c r="C12" s="492">
        <f>SUMIF($A$55:$A$124,A12,$I$55:$I$124)</f>
        <v>218889.15000000002</v>
      </c>
      <c r="D12" s="492">
        <f>SUMIF($A$55:$A$124,A12,$N$55:$N$124)</f>
        <v>261896.6280639717</v>
      </c>
      <c r="E12" s="861">
        <f>IF($D$13=0,"",D12/$D$13)</f>
        <v>0.11202933019558638</v>
      </c>
      <c r="F12" s="19">
        <f t="shared" ref="F12" si="10">E12</f>
        <v>0.11202933019558638</v>
      </c>
      <c r="G12" s="47"/>
      <c r="H12" s="47"/>
      <c r="I12" s="47"/>
      <c r="J12" s="47"/>
      <c r="K12" s="47"/>
      <c r="L12" s="47"/>
      <c r="M12" s="47"/>
      <c r="N12" s="47"/>
      <c r="O12" s="241">
        <v>7</v>
      </c>
      <c r="P12" s="398" t="str">
        <f t="shared" si="0"/>
        <v>BSW</v>
      </c>
      <c r="Q12" s="404">
        <f t="shared" si="8"/>
        <v>48730.19</v>
      </c>
      <c r="R12" s="796">
        <f t="shared" si="4"/>
        <v>79062.146070720046</v>
      </c>
      <c r="S12" s="534">
        <f t="shared" si="5"/>
        <v>46143</v>
      </c>
      <c r="T12" s="543" cm="1">
        <f t="array" aca="1" ref="T12" ca="1">SUMPRODUCT(($C$55:$C$124=U12)*(S$54:$AG$54&lt;=TODAY())*(ISNUMBER(S$55:$AG$124)),S$55:$AG$124)</f>
        <v>19765.536517680011</v>
      </c>
      <c r="U12" s="519" t="str">
        <f t="shared" si="1"/>
        <v xml:space="preserve">12 -  REDUÇÃO DE PESO BRUTO DD000504/505Z
</v>
      </c>
      <c r="V12" s="520"/>
      <c r="W12" s="520"/>
      <c r="X12" s="520"/>
      <c r="Y12" s="521"/>
      <c r="Z12" s="376">
        <f t="shared" si="6"/>
        <v>2.9070103106534958E-2</v>
      </c>
      <c r="AA12" s="248">
        <f t="shared" si="7"/>
        <v>0.83982813855459859</v>
      </c>
      <c r="AB12" s="707" cm="1">
        <f t="array" ref="AB12">IFERROR(INDEX($R$55:$R$124,MATCH(1,($AN$55:$AN$124=U12)*($Q$55:$Q$124="Previsto"), 0) ), "")</f>
        <v>0.88961038961038952</v>
      </c>
      <c r="AC12" s="707" cm="1">
        <f t="array" ref="AC12">IFERROR(INDEX($R$55:$R$124,MATCH(1,($AN$55:$AN$124=U12)*($Q$55:$Q$124="Real"), 0) ), "")</f>
        <v>0.89499999999999991</v>
      </c>
      <c r="AD12" s="400" t="str">
        <f t="shared" si="3"/>
        <v>ADIANTADO</v>
      </c>
      <c r="AE12" s="376">
        <v>1</v>
      </c>
      <c r="AH12" s="47"/>
      <c r="AI12" s="47"/>
      <c r="AJ12" s="47"/>
      <c r="AK12" s="47"/>
      <c r="AL12" s="47"/>
      <c r="AM12" s="47"/>
    </row>
    <row r="13" spans="1:39" ht="20.100000000000001" customHeight="1" x14ac:dyDescent="0.35">
      <c r="A13" s="493" t="s">
        <v>29</v>
      </c>
      <c r="B13" s="494">
        <f>SUM(B9:B12)</f>
        <v>26</v>
      </c>
      <c r="C13" s="495">
        <f>SUM(C9:C12)</f>
        <v>1676299.1799999997</v>
      </c>
      <c r="D13" s="495">
        <f>SUM(D9:D12)</f>
        <v>2337750.5480639716</v>
      </c>
      <c r="E13" s="171">
        <f>SUM(E9:E12)</f>
        <v>1</v>
      </c>
      <c r="F13" s="20"/>
      <c r="G13" s="659"/>
      <c r="I13" s="47"/>
      <c r="J13" s="47"/>
      <c r="K13" s="47"/>
      <c r="L13" s="168"/>
      <c r="M13" s="854"/>
      <c r="N13" s="854"/>
      <c r="O13" s="278">
        <v>8</v>
      </c>
      <c r="P13" s="399" t="str">
        <f t="shared" si="0"/>
        <v>Kaizen</v>
      </c>
      <c r="Q13" s="405">
        <f t="shared" si="8"/>
        <v>40500</v>
      </c>
      <c r="R13" s="797">
        <f t="shared" si="4"/>
        <v>61023.6</v>
      </c>
      <c r="S13" s="535">
        <f t="shared" si="5"/>
        <v>46113</v>
      </c>
      <c r="T13" s="544" cm="1">
        <f t="array" aca="1" ref="T13" ca="1">SUMPRODUCT(($C$55:$C$124=U13)*(S$54:$AG$54&lt;=TODAY())*(ISNUMBER(S$55:$AG$124)),S$55:$AG$124)</f>
        <v>20341.199999999997</v>
      </c>
      <c r="U13" s="516" t="str">
        <f t="shared" si="1"/>
        <v>06 - Acabamento capo CN13</v>
      </c>
      <c r="V13" s="517"/>
      <c r="W13" s="517"/>
      <c r="X13" s="517"/>
      <c r="Y13" s="518"/>
      <c r="Z13" s="381">
        <f t="shared" si="6"/>
        <v>2.4160364977330599E-2</v>
      </c>
      <c r="AA13" s="277">
        <f t="shared" si="7"/>
        <v>0.86398850353192924</v>
      </c>
      <c r="AB13" s="708" cm="1">
        <f t="array" ref="AB13">IFERROR(INDEX($R$55:$R$124,MATCH(1,($AN$55:$AN$124=U13)*($Q$55:$Q$124="Previsto"), 0) ), "")</f>
        <v>0.88888888888888884</v>
      </c>
      <c r="AC13" s="708" cm="1">
        <f t="array" ref="AC13">IFERROR(INDEX($R$55:$R$124,MATCH(1,($AN$55:$AN$124=U13)*($Q$55:$Q$124="Real"), 0) ), "")</f>
        <v>0.91111111111111098</v>
      </c>
      <c r="AD13" s="401" t="str">
        <f t="shared" si="3"/>
        <v>ADIANTADO</v>
      </c>
      <c r="AE13" s="381">
        <v>1</v>
      </c>
      <c r="AH13" s="47"/>
      <c r="AI13" s="47"/>
      <c r="AJ13" s="47"/>
      <c r="AK13" s="47"/>
      <c r="AL13" s="47"/>
      <c r="AM13" s="47"/>
    </row>
    <row r="14" spans="1:39" ht="20.100000000000001" customHeight="1" x14ac:dyDescent="0.3">
      <c r="A14" s="47"/>
      <c r="B14" s="47"/>
      <c r="C14" s="47"/>
      <c r="D14" s="47"/>
      <c r="E14" s="47"/>
      <c r="F14" s="47"/>
      <c r="G14" s="47"/>
      <c r="H14" s="47"/>
      <c r="I14" s="47"/>
      <c r="J14" s="47"/>
      <c r="K14" s="47"/>
      <c r="L14" s="47"/>
      <c r="M14" s="47"/>
      <c r="N14" s="47"/>
      <c r="O14" s="241">
        <v>9</v>
      </c>
      <c r="P14" s="398" t="str">
        <f t="shared" si="0"/>
        <v>BSW</v>
      </c>
      <c r="Q14" s="404">
        <f t="shared" si="8"/>
        <v>40000</v>
      </c>
      <c r="R14" s="796">
        <f t="shared" si="4"/>
        <v>0</v>
      </c>
      <c r="S14" s="534">
        <f t="shared" si="5"/>
        <v>46143</v>
      </c>
      <c r="T14" s="543" cm="1">
        <f t="array" aca="1" ref="T14" ca="1">SUMPRODUCT(($C$55:$C$124=U14)*(S$54:$AG$54&lt;=TODAY())*(ISNUMBER(S$55:$AG$124)),S$55:$AG$124)</f>
        <v>10000</v>
      </c>
      <c r="U14" s="519" t="str">
        <f t="shared" si="1"/>
        <v>03- Comunização de Materiais</v>
      </c>
      <c r="V14" s="520"/>
      <c r="W14" s="520"/>
      <c r="X14" s="520"/>
      <c r="Y14" s="521"/>
      <c r="Z14" s="376">
        <f t="shared" si="2"/>
        <v>2.3862088866499358E-2</v>
      </c>
      <c r="AA14" s="248">
        <f t="shared" si="7"/>
        <v>0.88785059239842856</v>
      </c>
      <c r="AB14" s="707" cm="1">
        <f t="array" ref="AB14">IFERROR(INDEX($R$55:$R$124,MATCH(1,($AN$55:$AN$124=U14)*($Q$55:$Q$124="Previsto"), 0) ), "")</f>
        <v>0.79534883720930227</v>
      </c>
      <c r="AC14" s="707" cm="1">
        <f t="array" ref="AC14">IFERROR(INDEX($R$55:$R$124,MATCH(1,($AN$55:$AN$124=U14)*($Q$55:$Q$124="Real"), 0) ), "")</f>
        <v>0.79699999999999993</v>
      </c>
      <c r="AD14" s="400" t="str">
        <f t="shared" ref="AD14:AD20" si="11">IF(OR(AB14="",AC14=""),"",IF(AC14=100%,"CONCLUÍDO",IF(AC14=0,IF(AB14=0,"PROJETO NÃO INICIADO","FALTA DE ACOMPANHAMENTO"),IF(AC14&gt;AB14,"ADIANTADO",IF(AC14=AB14,"CONFORME PLANEJADO","ATRASO")))))</f>
        <v>ADIANTADO</v>
      </c>
      <c r="AE14" s="376">
        <v>1</v>
      </c>
      <c r="AG14" s="47"/>
      <c r="AH14" s="47"/>
      <c r="AI14" s="47"/>
      <c r="AJ14" s="47"/>
      <c r="AK14" s="47"/>
      <c r="AL14" s="47"/>
    </row>
    <row r="15" spans="1:39" ht="20.100000000000001" customHeight="1" x14ac:dyDescent="0.3">
      <c r="A15" s="47"/>
      <c r="B15" s="47"/>
      <c r="C15" s="47"/>
      <c r="D15" s="47"/>
      <c r="E15" s="47"/>
      <c r="F15" s="47" t="s">
        <v>90</v>
      </c>
      <c r="G15" s="967">
        <f>SUMIF($B$55:$B$116,F15,$N$55:$N$116)</f>
        <v>261896.6280639717</v>
      </c>
      <c r="H15" s="47"/>
      <c r="I15" s="47"/>
      <c r="J15" s="47"/>
      <c r="K15" s="47"/>
      <c r="L15" s="47"/>
      <c r="M15" s="47"/>
      <c r="N15" s="47"/>
      <c r="O15" s="278">
        <v>10</v>
      </c>
      <c r="P15" s="399" t="str">
        <f t="shared" si="0"/>
        <v>BSW</v>
      </c>
      <c r="Q15" s="405">
        <f t="shared" si="8"/>
        <v>37356.410000000003</v>
      </c>
      <c r="R15" s="797">
        <f t="shared" si="4"/>
        <v>32462.119221588004</v>
      </c>
      <c r="S15" s="535">
        <f t="shared" si="5"/>
        <v>46143</v>
      </c>
      <c r="T15" s="544" cm="1">
        <f t="array" aca="1" ref="T15" ca="1">SUMPRODUCT(($C$55:$C$124=U15)*(S$54:$AG$54&lt;=TODAY())*(ISNUMBER(S$55:$AG$124)),S$55:$AG$124)</f>
        <v>8115.5298053970009</v>
      </c>
      <c r="U15" s="516" t="str">
        <f t="shared" si="1"/>
        <v xml:space="preserve">02 -  REDUÇÃO DE PESO BRUTO DD000506Z
</v>
      </c>
      <c r="V15" s="517"/>
      <c r="W15" s="517"/>
      <c r="X15" s="517"/>
      <c r="Y15" s="518"/>
      <c r="Z15" s="381">
        <f t="shared" si="2"/>
        <v>2.2285049378834632E-2</v>
      </c>
      <c r="AA15" s="277">
        <f t="shared" ref="AA15:AA17" si="12">Z15+AA14</f>
        <v>0.91013564177726325</v>
      </c>
      <c r="AB15" s="708" cm="1">
        <f t="array" ref="AB15">IFERROR(INDEX($R$55:$R$124,MATCH(1,($AN$55:$AN$124=U15)*($Q$55:$Q$124="Previsto"), 0) ), "")</f>
        <v>0.62931034482758619</v>
      </c>
      <c r="AC15" s="708" cm="1">
        <f t="array" ref="AC15">IFERROR(INDEX($R$55:$R$124,MATCH(1,($AN$55:$AN$124=U15)*($Q$55:$Q$124="Real"), 0) ), "")</f>
        <v>0.65</v>
      </c>
      <c r="AD15" s="401" t="str">
        <f t="shared" si="11"/>
        <v>ADIANTADO</v>
      </c>
      <c r="AE15" s="381">
        <v>1</v>
      </c>
      <c r="AG15" s="47"/>
      <c r="AH15" s="47"/>
      <c r="AI15" s="47"/>
      <c r="AJ15" s="47"/>
      <c r="AK15" s="47"/>
      <c r="AL15" s="47"/>
    </row>
    <row r="16" spans="1:39" ht="20.100000000000001" customHeight="1" x14ac:dyDescent="0.3">
      <c r="A16" s="47"/>
      <c r="B16" s="47"/>
      <c r="C16" s="47"/>
      <c r="D16" s="47"/>
      <c r="E16" s="47"/>
      <c r="F16" s="47" t="s">
        <v>91</v>
      </c>
      <c r="G16" s="967">
        <f t="shared" ref="G16:G18" si="13">SUMIF($B$55:$B$116,F16,$N$55:$N$116)</f>
        <v>2075853.92</v>
      </c>
      <c r="H16" s="47"/>
      <c r="I16" s="47"/>
      <c r="J16" s="47"/>
      <c r="K16" s="47"/>
      <c r="L16" s="47"/>
      <c r="M16" s="47"/>
      <c r="N16" s="47"/>
      <c r="O16" s="241">
        <v>11</v>
      </c>
      <c r="P16" s="398" t="str">
        <f t="shared" si="0"/>
        <v>Kaizen</v>
      </c>
      <c r="Q16" s="404">
        <f t="shared" si="8"/>
        <v>33214.550000000003</v>
      </c>
      <c r="R16" s="796">
        <f t="shared" si="4"/>
        <v>0</v>
      </c>
      <c r="S16" s="534">
        <f t="shared" si="5"/>
        <v>46143</v>
      </c>
      <c r="T16" s="543" cm="1">
        <f t="array" aca="1" ref="T16" ca="1">SUMPRODUCT(($C$55:$C$124=U16)*(S$54:$AG$54&lt;=TODAY())*(ISNUMBER(S$55:$AG$124)),S$55:$AG$124)</f>
        <v>5535.7583333333341</v>
      </c>
      <c r="U16" s="519" t="str">
        <f t="shared" si="1"/>
        <v>22- Eliminar custo com usinagem externa CN 00016/17</v>
      </c>
      <c r="V16" s="520"/>
      <c r="W16" s="520"/>
      <c r="X16" s="520"/>
      <c r="Y16" s="521"/>
      <c r="Z16" s="376">
        <f t="shared" si="2"/>
        <v>1.9814213594019657E-2</v>
      </c>
      <c r="AA16" s="248">
        <f>Z15+AA15</f>
        <v>0.93242069115609794</v>
      </c>
      <c r="AB16" s="707" cm="1">
        <f t="array" ref="AB16">IFERROR(INDEX($R$55:$R$124,MATCH(1,($AN$55:$AN$124=U16)*($Q$55:$Q$124="Previsto"), 0) ), "")</f>
        <v>0.69841269841269848</v>
      </c>
      <c r="AC16" s="707" cm="1">
        <f t="array" ref="AC16">IFERROR(INDEX($R$55:$R$124,MATCH(1,($AN$55:$AN$124=U16)*($Q$55:$Q$124="Real"), 0) ), "")</f>
        <v>0.70714285714285718</v>
      </c>
      <c r="AD16" s="400" t="str">
        <f>IF(OR(AB16="",AC16=""),"",IF(AC16=100%,"CONCLUÍDO",IF(AC16=0,IF(AB16=0,"PROJETO NÃO INICIADO","FALTA DE ACOMPANHAMENTO"),IF(AC16&gt;AB16,"ADIANTADO",IF(AC16=AB16,"CONFORME PLANEJADO","ATRASO")))))</f>
        <v>ADIANTADO</v>
      </c>
      <c r="AE16" s="376">
        <v>0</v>
      </c>
      <c r="AG16" s="47"/>
      <c r="AH16" s="47"/>
      <c r="AI16" s="47"/>
      <c r="AJ16" s="47"/>
      <c r="AK16" s="47"/>
      <c r="AL16" s="47"/>
    </row>
    <row r="17" spans="1:38" ht="20.100000000000001" customHeight="1" x14ac:dyDescent="0.3">
      <c r="A17" s="47"/>
      <c r="B17" s="47"/>
      <c r="C17" s="47"/>
      <c r="D17" s="47"/>
      <c r="E17" s="47"/>
      <c r="F17" s="47" t="s">
        <v>93</v>
      </c>
      <c r="G17" s="967">
        <f t="shared" si="13"/>
        <v>0</v>
      </c>
      <c r="H17" s="47"/>
      <c r="I17" s="47"/>
      <c r="J17" s="47"/>
      <c r="K17" s="47"/>
      <c r="L17" s="47"/>
      <c r="M17" s="47"/>
      <c r="N17" s="47"/>
      <c r="O17" s="278">
        <v>12</v>
      </c>
      <c r="P17" s="399" t="str">
        <f t="shared" si="0"/>
        <v>Kaizen</v>
      </c>
      <c r="Q17" s="405">
        <f t="shared" si="8"/>
        <v>26400</v>
      </c>
      <c r="R17" s="797">
        <f t="shared" si="4"/>
        <v>0</v>
      </c>
      <c r="S17" s="535">
        <f t="shared" si="5"/>
        <v>46144</v>
      </c>
      <c r="T17" s="544" cm="1">
        <f t="array" aca="1" ref="T17" ca="1">SUMPRODUCT(($C$55:$C$124=U17)*(S$54:$AG$54&lt;=TODAY())*(ISNUMBER(S$55:$AG$124)),S$55:$AG$124)</f>
        <v>6600</v>
      </c>
      <c r="U17" s="516" t="str">
        <f t="shared" si="1"/>
        <v>13- REDUZIR A QUANTIDADE DE MÁQUINAS DE SOLDA MIG/MAG LOCADAS</v>
      </c>
      <c r="V17" s="517"/>
      <c r="W17" s="517"/>
      <c r="X17" s="517"/>
      <c r="Y17" s="518"/>
      <c r="Z17" s="381">
        <f t="shared" si="2"/>
        <v>1.5748978651889577E-2</v>
      </c>
      <c r="AA17" s="277">
        <f t="shared" si="12"/>
        <v>0.94816966980798756</v>
      </c>
      <c r="AB17" s="708" cm="1">
        <f t="array" ref="AB17">IFERROR(INDEX($R$55:$R$124,MATCH(1,($AN$55:$AN$124=U17)*($Q$55:$Q$124="Previsto"), 0) ), "")</f>
        <v>0.67500000000000004</v>
      </c>
      <c r="AC17" s="708" cm="1">
        <f t="array" ref="AC17">IFERROR(INDEX($R$55:$R$124,MATCH(1,($AN$55:$AN$124=U17)*($Q$55:$Q$124="Real"), 0) ), "")</f>
        <v>0.7</v>
      </c>
      <c r="AD17" s="401" t="str">
        <f t="shared" si="11"/>
        <v>ADIANTADO</v>
      </c>
      <c r="AE17" s="381">
        <v>1</v>
      </c>
      <c r="AG17" s="47"/>
      <c r="AH17" s="47"/>
      <c r="AI17" s="47"/>
      <c r="AJ17" s="47"/>
      <c r="AK17" s="47"/>
      <c r="AL17" s="47"/>
    </row>
    <row r="18" spans="1:38" ht="20.100000000000001" customHeight="1" x14ac:dyDescent="0.3">
      <c r="A18" s="47"/>
      <c r="B18" s="47"/>
      <c r="C18" s="47"/>
      <c r="D18" s="47"/>
      <c r="E18" s="47"/>
      <c r="F18" s="47" t="s">
        <v>94</v>
      </c>
      <c r="G18" s="967">
        <f t="shared" si="13"/>
        <v>0</v>
      </c>
      <c r="H18" s="47"/>
      <c r="I18" s="47"/>
      <c r="J18" s="47"/>
      <c r="K18" s="47"/>
      <c r="L18" s="47"/>
      <c r="M18" s="47"/>
      <c r="N18" s="47"/>
      <c r="O18" s="241">
        <v>13</v>
      </c>
      <c r="P18" s="398" t="str">
        <f t="shared" si="0"/>
        <v>Redução de custo</v>
      </c>
      <c r="Q18" s="404">
        <f t="shared" si="8"/>
        <v>24000</v>
      </c>
      <c r="R18" s="796">
        <f t="shared" si="4"/>
        <v>0</v>
      </c>
      <c r="S18" s="534">
        <f t="shared" si="5"/>
        <v>46204</v>
      </c>
      <c r="T18" s="543" cm="1">
        <f t="array" aca="1" ref="T18" ca="1">SUMPRODUCT(($C$55:$C$124=U18)*(S$54:$AG$54&lt;=TODAY())*(ISNUMBER(S$55:$AG$124)),S$55:$AG$124)</f>
        <v>0</v>
      </c>
      <c r="U18" s="519" t="str">
        <f t="shared" si="1"/>
        <v>10 - Vazamentos de Ar Comprimido</v>
      </c>
      <c r="V18" s="520"/>
      <c r="W18" s="520"/>
      <c r="X18" s="520"/>
      <c r="Y18" s="521"/>
      <c r="Z18" s="376">
        <f t="shared" si="2"/>
        <v>1.4317253319899614E-2</v>
      </c>
      <c r="AA18" s="248">
        <f>Z18+AA17</f>
        <v>0.9624869231278872</v>
      </c>
      <c r="AB18" s="707" cm="1">
        <f t="array" ref="AB18">IFERROR(INDEX($R$55:$R$124,MATCH(1,($AN$55:$AN$124=U18)*($Q$55:$Q$124="Previsto"), 0) ), "")</f>
        <v>0.84729064039408875</v>
      </c>
      <c r="AC18" s="707" cm="1">
        <f t="array" ref="AC18">IFERROR(INDEX($R$55:$R$124,MATCH(1,($AN$55:$AN$124=U18)*($Q$55:$Q$124="Real"), 0) ), "")</f>
        <v>0.85</v>
      </c>
      <c r="AD18" s="400" t="str">
        <f t="shared" si="11"/>
        <v>ADIANTADO</v>
      </c>
      <c r="AE18" s="376">
        <v>1</v>
      </c>
      <c r="AG18" s="47"/>
      <c r="AH18" s="47"/>
      <c r="AI18" s="47"/>
      <c r="AJ18" s="47"/>
      <c r="AK18" s="47"/>
      <c r="AL18" s="47"/>
    </row>
    <row r="19" spans="1:38" ht="20.100000000000001" customHeight="1" x14ac:dyDescent="0.3">
      <c r="A19" s="47"/>
      <c r="B19" s="47"/>
      <c r="C19" s="47"/>
      <c r="D19" s="47"/>
      <c r="E19" s="47"/>
      <c r="F19" s="47"/>
      <c r="G19" s="59"/>
      <c r="H19" s="47"/>
      <c r="I19" s="47"/>
      <c r="J19" s="47"/>
      <c r="K19" s="47"/>
      <c r="L19" s="47"/>
      <c r="M19" s="47"/>
      <c r="N19" s="47"/>
      <c r="O19" s="278">
        <v>14</v>
      </c>
      <c r="P19" s="399" t="str">
        <f t="shared" si="0"/>
        <v>Kaizen</v>
      </c>
      <c r="Q19" s="405">
        <f t="shared" si="8"/>
        <v>22050</v>
      </c>
      <c r="R19" s="797">
        <f t="shared" si="4"/>
        <v>0</v>
      </c>
      <c r="S19" s="535">
        <f t="shared" si="5"/>
        <v>0</v>
      </c>
      <c r="T19" s="544" cm="1">
        <f t="array" aca="1" ref="T19" ca="1">SUMPRODUCT(($C$55:$C$124=U19)*(S$54:$AG$54&lt;=TODAY())*(ISNUMBER(S$55:$AG$124)),S$55:$AG$124)</f>
        <v>0</v>
      </c>
      <c r="U19" s="516" t="str">
        <f t="shared" si="1"/>
        <v>11- Substituíção de Empilhadeiras GPL.</v>
      </c>
      <c r="V19" s="517"/>
      <c r="W19" s="517"/>
      <c r="X19" s="517"/>
      <c r="Y19" s="518"/>
      <c r="Z19" s="381">
        <f t="shared" si="2"/>
        <v>1.3153976487657771E-2</v>
      </c>
      <c r="AA19" s="277">
        <f>Z19+AA18</f>
        <v>0.97564089961554501</v>
      </c>
      <c r="AB19" s="708" cm="1">
        <f t="array" ref="AB19">IFERROR(INDEX($R$55:$R$124,MATCH(1,($AN$55:$AN$124=U19)*($Q$55:$Q$124="Previsto"), 0) ), "")</f>
        <v>0.4925373134328358</v>
      </c>
      <c r="AC19" s="708" cm="1">
        <f t="array" ref="AC19">IFERROR(INDEX($R$55:$R$124,MATCH(1,($AN$55:$AN$124=U19)*($Q$55:$Q$124="Real"), 0) ), "")</f>
        <v>0.49375000000000002</v>
      </c>
      <c r="AD19" s="401" t="str">
        <f t="shared" si="11"/>
        <v>ADIANTADO</v>
      </c>
      <c r="AE19" s="381">
        <v>1</v>
      </c>
      <c r="AG19" s="47"/>
      <c r="AH19" s="47"/>
      <c r="AI19" s="47"/>
      <c r="AJ19" s="47"/>
      <c r="AK19" s="47"/>
      <c r="AL19" s="47"/>
    </row>
    <row r="20" spans="1:38" ht="20.100000000000001" customHeight="1" x14ac:dyDescent="0.3">
      <c r="A20" s="47"/>
      <c r="B20" s="47"/>
      <c r="C20" s="47"/>
      <c r="D20" s="47"/>
      <c r="E20" s="47"/>
      <c r="F20" s="47"/>
      <c r="G20" s="47"/>
      <c r="H20" s="47"/>
      <c r="I20" s="47"/>
      <c r="J20" s="47"/>
      <c r="K20" s="47"/>
      <c r="L20" s="47"/>
      <c r="M20" s="47"/>
      <c r="N20" s="47"/>
      <c r="O20" s="241">
        <v>15</v>
      </c>
      <c r="P20" s="398" t="str">
        <f t="shared" si="0"/>
        <v>Kaizen</v>
      </c>
      <c r="Q20" s="404">
        <f t="shared" si="8"/>
        <v>20000</v>
      </c>
      <c r="R20" s="796">
        <f t="shared" si="4"/>
        <v>0</v>
      </c>
      <c r="S20" s="534">
        <f t="shared" si="5"/>
        <v>46143</v>
      </c>
      <c r="T20" s="543" cm="1">
        <f t="array" aca="1" ref="T20" ca="1">SUMPRODUCT(($C$55:$C$124=U20)*(S$54:$AG$54&lt;=TODAY())*(ISNUMBER(S$55:$AG$124)),S$55:$AG$124)</f>
        <v>5000</v>
      </c>
      <c r="U20" s="519" t="str">
        <f t="shared" si="1"/>
        <v>04 - Aluguel de corte plasma</v>
      </c>
      <c r="V20" s="520"/>
      <c r="W20" s="520"/>
      <c r="X20" s="520"/>
      <c r="Y20" s="521"/>
      <c r="Z20" s="376">
        <f t="shared" si="2"/>
        <v>1.1931044433249679E-2</v>
      </c>
      <c r="AA20" s="248">
        <f>Z20+AA19</f>
        <v>0.98757194404879467</v>
      </c>
      <c r="AB20" s="707" cm="1">
        <f t="array" ref="AB20">IFERROR(INDEX($R$55:$R$124,MATCH(1,($AN$55:$AN$124=U20)*($Q$55:$Q$124="Previsto"), 0) ), "")</f>
        <v>0.77124183006535951</v>
      </c>
      <c r="AC20" s="707" cm="1">
        <f t="array" ref="AC20">IFERROR(INDEX($R$55:$R$124,MATCH(1,($AN$55:$AN$124=U20)*($Q$55:$Q$124="Real"), 0) ), "")</f>
        <v>0.77777777777777779</v>
      </c>
      <c r="AD20" s="400" t="str">
        <f t="shared" si="11"/>
        <v>ADIANTADO</v>
      </c>
      <c r="AE20" s="376">
        <v>1</v>
      </c>
      <c r="AG20" s="47"/>
      <c r="AH20" s="47"/>
      <c r="AI20" s="47"/>
      <c r="AJ20" s="47"/>
      <c r="AK20" s="47"/>
      <c r="AL20" s="47"/>
    </row>
    <row r="21" spans="1:38" ht="20.100000000000001" customHeight="1" x14ac:dyDescent="0.3">
      <c r="A21" s="47"/>
      <c r="B21" s="47"/>
      <c r="C21" s="47"/>
      <c r="D21" s="47"/>
      <c r="E21" s="47"/>
      <c r="F21" s="47"/>
      <c r="G21" s="47"/>
      <c r="H21" s="47"/>
      <c r="I21" s="47"/>
      <c r="J21" s="47"/>
      <c r="K21" s="47"/>
      <c r="L21" s="47"/>
      <c r="M21" s="47"/>
      <c r="N21" s="47"/>
      <c r="O21" s="278">
        <v>16</v>
      </c>
      <c r="P21" s="399" t="str">
        <f t="shared" si="0"/>
        <v>Redução de custo</v>
      </c>
      <c r="Q21" s="405">
        <f t="shared" si="8"/>
        <v>18000</v>
      </c>
      <c r="R21" s="466"/>
      <c r="S21" s="535"/>
      <c r="T21" s="544"/>
      <c r="U21" s="1301" t="str">
        <f t="shared" si="1"/>
        <v>14-Adicionar serviços de portaria e limpeza em um único prestador terceirizado com serviços gerais.</v>
      </c>
      <c r="V21" s="1301"/>
      <c r="W21" s="1301"/>
      <c r="X21" s="1301"/>
      <c r="Y21" s="1301"/>
      <c r="Z21" s="381"/>
      <c r="AA21" s="277"/>
      <c r="AB21" s="708" cm="1">
        <f t="array" ref="AB21">IFERROR(INDEX($R$55:$R$124,MATCH(1,($AN$55:$AN$124=U21)*($Q$55:$Q$124="Previsto"), 0) ), "")</f>
        <v>1</v>
      </c>
      <c r="AC21" s="708" cm="1">
        <f t="array" ref="AC21">IFERROR(INDEX($R$55:$R$124,MATCH(1,($AN$55:$AN$124=U21)*($Q$55:$Q$124="Real"), 0) ), "")</f>
        <v>1</v>
      </c>
      <c r="AD21" s="401" t="str">
        <f>IF(OR(AB21="",AC21=""),"",IF(AC21=100%,"CONCLUÍDO",IF(AC21=0,IF(AB21=0,"PROJETO NÃO INICIADO","FALTA DE ACOMPANHAMENTO"),IF(AC21&gt;AB21,"ADIANTADO",IF(AC21=AB21,"CONFORME PLANEJADO","ATRASO")))))</f>
        <v>CONCLUÍDO</v>
      </c>
      <c r="AE21" s="381">
        <v>1</v>
      </c>
      <c r="AG21" s="47"/>
      <c r="AH21" s="47"/>
      <c r="AI21" s="47"/>
      <c r="AJ21" s="47"/>
      <c r="AK21" s="47"/>
      <c r="AL21" s="47"/>
    </row>
    <row r="22" spans="1:38" ht="20.100000000000001" customHeight="1" x14ac:dyDescent="0.3">
      <c r="A22" s="47"/>
      <c r="B22" s="47"/>
      <c r="C22" s="47"/>
      <c r="D22" s="47"/>
      <c r="E22" s="47"/>
      <c r="F22" s="47"/>
      <c r="G22" s="47"/>
      <c r="H22" s="47"/>
      <c r="I22" s="47"/>
      <c r="J22" s="47"/>
      <c r="K22" s="47"/>
      <c r="L22" s="47"/>
      <c r="M22" s="47"/>
      <c r="N22" s="47"/>
      <c r="O22" s="241">
        <v>17</v>
      </c>
      <c r="P22" s="398">
        <f t="shared" si="0"/>
        <v>0</v>
      </c>
      <c r="Q22" s="404">
        <f t="shared" si="8"/>
        <v>6975</v>
      </c>
      <c r="R22" s="465"/>
      <c r="S22" s="534"/>
      <c r="T22" s="543"/>
      <c r="U22" s="1302"/>
      <c r="V22" s="1302"/>
      <c r="W22" s="1302"/>
      <c r="X22" s="1302"/>
      <c r="Y22" s="1302"/>
      <c r="Z22" s="376"/>
      <c r="AA22" s="248"/>
      <c r="AB22" s="707"/>
      <c r="AC22" s="707"/>
      <c r="AD22" s="400" t="str">
        <f>IF(OR(AB22="",AC22=""),"",IF(AC22=100%,"CONCLUÍDO",IF(AC22=0,IF(AB22=0,"PROJETO NÃO INICIADO","FALTA DE ACOMPANHAMENTO"),IF(AC22&gt;AB22,"ADIANTADO",IF(AC22=AB22,"CONFORME PLANEJADO","ATRASO")))))</f>
        <v/>
      </c>
      <c r="AE22" s="376">
        <v>0</v>
      </c>
      <c r="AG22" s="47"/>
      <c r="AH22" s="47"/>
      <c r="AI22" s="47"/>
      <c r="AJ22" s="47"/>
      <c r="AK22" s="47"/>
      <c r="AL22" s="47"/>
    </row>
    <row r="23" spans="1:38" ht="20.100000000000001" customHeight="1" x14ac:dyDescent="0.3">
      <c r="A23" s="47"/>
      <c r="B23" s="47"/>
      <c r="C23" s="47"/>
      <c r="D23" s="47"/>
      <c r="E23" s="47"/>
      <c r="F23" s="47"/>
      <c r="G23" s="47"/>
      <c r="H23" s="47"/>
      <c r="I23" s="47"/>
      <c r="J23" s="47"/>
      <c r="K23" s="47"/>
      <c r="L23" s="47"/>
      <c r="M23" s="47"/>
      <c r="N23" s="47"/>
      <c r="O23" s="278">
        <v>18</v>
      </c>
      <c r="P23" s="399" t="e">
        <f t="shared" si="0"/>
        <v>#N/A</v>
      </c>
      <c r="Q23" s="405" t="str">
        <f t="shared" si="8"/>
        <v xml:space="preserve"> </v>
      </c>
      <c r="R23" s="466"/>
      <c r="S23" s="535"/>
      <c r="T23" s="544"/>
      <c r="U23" s="1301" t="str">
        <f t="shared" si="1"/>
        <v/>
      </c>
      <c r="V23" s="1301"/>
      <c r="W23" s="1301"/>
      <c r="X23" s="1301"/>
      <c r="Y23" s="1301"/>
      <c r="Z23" s="381"/>
      <c r="AA23" s="277"/>
      <c r="AB23" s="708"/>
      <c r="AC23" s="708"/>
      <c r="AD23" s="401" t="str">
        <f>IF(OR(AB23="",AC23=""),"",IF(AC23=100%,"CONCLUÍDO",IF(AC23=0,IF(AB23=0,"PROJETO NÃO INICIADO","FALTA DE ACOMPANHAMENTO"),IF(AC23&gt;AB23,"ADIANTADO",IF(AC23=AB23,"CONFORME PLANEJADO","ATRASO")))))</f>
        <v/>
      </c>
      <c r="AE23" s="381" t="e">
        <v>#N/A</v>
      </c>
      <c r="AG23" s="47"/>
      <c r="AH23" s="47"/>
      <c r="AI23" s="47"/>
      <c r="AJ23" s="47"/>
      <c r="AK23" s="47"/>
      <c r="AL23" s="47"/>
    </row>
    <row r="24" spans="1:38" ht="20.100000000000001" customHeight="1" x14ac:dyDescent="0.3">
      <c r="A24" s="47"/>
      <c r="B24" s="47"/>
      <c r="C24" s="47"/>
      <c r="D24" s="47"/>
      <c r="E24" s="47"/>
      <c r="F24" s="47"/>
      <c r="G24" s="47"/>
      <c r="H24" s="47"/>
      <c r="I24" s="47"/>
      <c r="J24" s="47"/>
      <c r="K24" s="47"/>
      <c r="L24" s="47"/>
      <c r="M24" s="47"/>
      <c r="N24" s="47"/>
      <c r="O24" s="241">
        <v>19</v>
      </c>
      <c r="P24" s="398" t="e">
        <f t="shared" si="0"/>
        <v>#N/A</v>
      </c>
      <c r="Q24" s="404" t="str">
        <f t="shared" si="8"/>
        <v xml:space="preserve"> </v>
      </c>
      <c r="R24" s="465"/>
      <c r="S24" s="534"/>
      <c r="T24" s="543"/>
      <c r="U24" s="1302" t="str">
        <f t="shared" si="1"/>
        <v/>
      </c>
      <c r="V24" s="1302"/>
      <c r="W24" s="1302"/>
      <c r="X24" s="1302"/>
      <c r="Y24" s="1302"/>
      <c r="Z24" s="376"/>
      <c r="AA24" s="248"/>
      <c r="AB24" s="707"/>
      <c r="AC24" s="707"/>
      <c r="AD24" s="400" t="str">
        <f>IF(OR(AB24="",AC24=""),"",IF(AC24=100%,"CONCLUÍDO",IF(AC24=0,IF(AB24=0,"PROJETO NÃO INICIADO","FALTA DE ACOMPANHAMENTO"),IF(AC24&gt;AB24,"ADIANTADO",IF(AC24=AB24,"CONFORME PLANEJADO","ATRASO")))))</f>
        <v/>
      </c>
      <c r="AE24" s="376" t="e">
        <v>#N/A</v>
      </c>
      <c r="AG24" s="47"/>
      <c r="AH24" s="47"/>
      <c r="AI24" s="47"/>
      <c r="AJ24" s="47"/>
      <c r="AK24" s="47"/>
      <c r="AL24" s="47"/>
    </row>
    <row r="25" spans="1:38" ht="20.100000000000001" customHeight="1" x14ac:dyDescent="0.3">
      <c r="A25" s="47"/>
      <c r="B25" s="47"/>
      <c r="C25" s="47"/>
      <c r="D25" s="47"/>
      <c r="E25" s="47"/>
      <c r="F25" s="47"/>
      <c r="G25" s="47"/>
      <c r="H25" s="47"/>
      <c r="I25" s="47"/>
      <c r="J25" s="47"/>
      <c r="K25" s="47"/>
      <c r="L25" s="47"/>
      <c r="M25" s="47"/>
      <c r="N25" s="47"/>
      <c r="O25" s="278">
        <v>20</v>
      </c>
      <c r="P25" s="399" t="e">
        <f t="shared" si="0"/>
        <v>#N/A</v>
      </c>
      <c r="Q25" s="405" t="str">
        <f t="shared" si="8"/>
        <v xml:space="preserve"> </v>
      </c>
      <c r="R25" s="466"/>
      <c r="S25" s="535"/>
      <c r="T25" s="544"/>
      <c r="U25" s="1301" t="str">
        <f t="shared" si="1"/>
        <v/>
      </c>
      <c r="V25" s="1301"/>
      <c r="W25" s="1301"/>
      <c r="X25" s="1301"/>
      <c r="Y25" s="1301"/>
      <c r="Z25" s="381"/>
      <c r="AA25" s="277"/>
      <c r="AB25" s="708"/>
      <c r="AC25" s="708"/>
      <c r="AD25" s="401" t="str">
        <f>IF(OR(AB25="",AC25=""),"",IF(AC25=100%,"CONCLUÍDO",IF(AC25=0,IF(AB25=0,"PROJETO NÃO INICIADO","FALTA DE ACOMPANHAMENTO"),IF(AC25&gt;AB25,"ADIANTADO",IF(AC25=AB25,"CONFORME PLANEJADO","ATRASO")))))</f>
        <v/>
      </c>
      <c r="AE25" s="381" t="e">
        <v>#N/A</v>
      </c>
      <c r="AG25" s="47"/>
      <c r="AH25" s="47"/>
      <c r="AI25" s="47"/>
      <c r="AJ25" s="47"/>
      <c r="AK25" s="47"/>
      <c r="AL25" s="47"/>
    </row>
    <row r="26" spans="1:38" ht="20.100000000000001" customHeight="1" x14ac:dyDescent="0.3">
      <c r="A26" s="47"/>
      <c r="B26" s="47"/>
      <c r="C26" s="47"/>
      <c r="D26" s="47"/>
      <c r="E26" s="47"/>
      <c r="F26" s="47"/>
      <c r="G26" s="47"/>
      <c r="H26" s="47"/>
      <c r="I26" s="47"/>
      <c r="J26" s="47"/>
      <c r="K26" s="47"/>
      <c r="L26" s="47"/>
      <c r="M26" s="47"/>
      <c r="N26" s="47"/>
      <c r="O26" s="1079" t="s">
        <v>133</v>
      </c>
      <c r="P26" s="1079"/>
      <c r="Q26" s="435">
        <f>SUM(Q6:Q25)</f>
        <v>1676299.18</v>
      </c>
      <c r="R26" s="435">
        <f>SUM(R6:R25)</f>
        <v>2331477.8180639721</v>
      </c>
      <c r="S26" s="47"/>
      <c r="T26" s="47"/>
      <c r="U26" s="47"/>
      <c r="V26" s="47"/>
      <c r="W26" s="47"/>
      <c r="X26" s="47"/>
      <c r="Y26" s="47"/>
      <c r="Z26" s="47"/>
      <c r="AA26" s="47"/>
      <c r="AB26" s="47"/>
      <c r="AC26" s="47"/>
      <c r="AD26" s="47"/>
      <c r="AE26" s="47"/>
      <c r="AF26" s="47"/>
      <c r="AG26" s="47"/>
      <c r="AH26" s="47"/>
      <c r="AI26" s="47"/>
      <c r="AJ26" s="47"/>
    </row>
    <row r="27" spans="1:38" ht="15.6" x14ac:dyDescent="0.3">
      <c r="A27" s="63" t="s">
        <v>134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47"/>
      <c r="AF27" s="47"/>
      <c r="AG27" s="47"/>
      <c r="AH27" s="47"/>
      <c r="AI27" s="47"/>
      <c r="AJ27" s="47"/>
    </row>
    <row r="28" spans="1:38" x14ac:dyDescent="0.3">
      <c r="A28" s="64" t="s">
        <v>135</v>
      </c>
      <c r="B28" s="65" t="s">
        <v>31</v>
      </c>
      <c r="C28" s="65" t="s">
        <v>136</v>
      </c>
      <c r="D28" s="65" t="s">
        <v>137</v>
      </c>
      <c r="E28" s="65" t="s">
        <v>138</v>
      </c>
      <c r="F28" s="65" t="s">
        <v>139</v>
      </c>
      <c r="G28" s="65" t="s">
        <v>140</v>
      </c>
      <c r="H28" s="65" t="s">
        <v>141</v>
      </c>
      <c r="I28" s="66" t="s">
        <v>142</v>
      </c>
      <c r="J28" s="65" t="s">
        <v>143</v>
      </c>
      <c r="K28" s="66" t="s">
        <v>144</v>
      </c>
      <c r="L28" s="6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65" t="s">
        <v>163</v>
      </c>
      <c r="AE28" s="172" t="s">
        <v>164</v>
      </c>
      <c r="AF28" s="47"/>
      <c r="AG28" s="47"/>
      <c r="AH28" s="47"/>
      <c r="AI28" s="47"/>
      <c r="AJ28" s="47"/>
    </row>
    <row r="29" spans="1:38" x14ac:dyDescent="0.3">
      <c r="A29" s="67" t="s">
        <v>165</v>
      </c>
      <c r="B29" s="68" t="s">
        <v>166</v>
      </c>
      <c r="C29" s="68" t="s">
        <v>167</v>
      </c>
      <c r="D29" s="69" t="s">
        <v>168</v>
      </c>
      <c r="E29" s="674" t="s">
        <v>893</v>
      </c>
      <c r="F29" s="70">
        <v>44.8</v>
      </c>
      <c r="G29" s="70">
        <v>37.799999999999997</v>
      </c>
      <c r="H29" s="885" t="s">
        <v>1588</v>
      </c>
      <c r="I29" s="69"/>
      <c r="J29" s="884">
        <v>0.42799999999999999</v>
      </c>
      <c r="K29" s="68"/>
      <c r="L29" s="884">
        <v>0.41199999999999998</v>
      </c>
      <c r="M29" s="69"/>
      <c r="N29" s="884">
        <v>0.46100000000000002</v>
      </c>
      <c r="O29" s="69"/>
      <c r="P29" s="892"/>
      <c r="Q29" s="69"/>
      <c r="R29" s="69"/>
      <c r="S29" s="69"/>
      <c r="T29" s="69"/>
      <c r="U29" s="69"/>
      <c r="V29" s="69"/>
      <c r="W29" s="69"/>
      <c r="X29" s="69"/>
      <c r="Y29" s="71"/>
      <c r="Z29" s="71"/>
      <c r="AA29" s="71"/>
      <c r="AB29" s="71"/>
      <c r="AC29" s="71"/>
      <c r="AD29" s="71"/>
      <c r="AE29" s="156"/>
      <c r="AF29" s="47"/>
      <c r="AG29" s="47"/>
      <c r="AH29" s="47"/>
      <c r="AI29" s="47"/>
      <c r="AJ29" s="47"/>
    </row>
    <row r="30" spans="1:38" x14ac:dyDescent="0.3">
      <c r="A30" s="67" t="s">
        <v>165</v>
      </c>
      <c r="B30" s="68" t="s">
        <v>171</v>
      </c>
      <c r="C30" s="68" t="s">
        <v>1589</v>
      </c>
      <c r="D30" s="68" t="s">
        <v>168</v>
      </c>
      <c r="E30" s="261" t="s">
        <v>894</v>
      </c>
      <c r="F30" s="72">
        <v>1.3</v>
      </c>
      <c r="G30" s="72">
        <v>0.5</v>
      </c>
      <c r="H30" s="669">
        <v>6987</v>
      </c>
      <c r="I30" s="68"/>
      <c r="J30" s="670">
        <v>4855</v>
      </c>
      <c r="K30" s="68"/>
      <c r="L30" s="670">
        <v>3169</v>
      </c>
      <c r="M30" s="68"/>
      <c r="N30" s="891">
        <v>3260</v>
      </c>
      <c r="O30" s="68"/>
      <c r="P30" s="325"/>
      <c r="Q30" s="68"/>
      <c r="R30" s="68"/>
      <c r="S30" s="68"/>
      <c r="T30" s="68"/>
      <c r="U30" s="68"/>
      <c r="V30" s="68"/>
      <c r="W30" s="68"/>
      <c r="X30" s="68"/>
      <c r="Y30" s="68"/>
      <c r="Z30" s="68"/>
      <c r="AA30" s="68"/>
      <c r="AB30" s="68"/>
      <c r="AC30" s="68"/>
      <c r="AD30" s="68"/>
      <c r="AE30" s="157"/>
      <c r="AF30" s="47"/>
      <c r="AG30" s="47"/>
      <c r="AH30" s="47"/>
      <c r="AI30" s="47"/>
      <c r="AJ30" s="47"/>
    </row>
    <row r="31" spans="1:38" x14ac:dyDescent="0.3">
      <c r="A31" s="67" t="s">
        <v>174</v>
      </c>
      <c r="B31" s="68" t="s">
        <v>896</v>
      </c>
      <c r="C31" s="68" t="s">
        <v>167</v>
      </c>
      <c r="D31" s="68" t="s">
        <v>176</v>
      </c>
      <c r="E31" s="261" t="s">
        <v>893</v>
      </c>
      <c r="F31" s="72">
        <v>0.52710000000000001</v>
      </c>
      <c r="G31" s="72">
        <v>0.55000000000000004</v>
      </c>
      <c r="H31" s="72">
        <v>0.52</v>
      </c>
      <c r="I31" s="68" t="s">
        <v>1590</v>
      </c>
      <c r="J31" s="78">
        <v>0.62</v>
      </c>
      <c r="K31" s="583"/>
      <c r="L31" s="583">
        <v>0.63700000000000001</v>
      </c>
      <c r="M31" s="68"/>
      <c r="N31" s="583">
        <v>0.69299999999999995</v>
      </c>
      <c r="O31" s="68"/>
      <c r="P31" s="78">
        <v>0.71</v>
      </c>
      <c r="Q31" s="68"/>
      <c r="R31" s="68"/>
      <c r="S31" s="68"/>
      <c r="T31" s="68"/>
      <c r="U31" s="68"/>
      <c r="V31" s="68"/>
      <c r="W31" s="68"/>
      <c r="X31" s="68"/>
      <c r="Y31" s="73"/>
      <c r="Z31" s="73"/>
      <c r="AA31" s="73"/>
      <c r="AB31" s="73"/>
      <c r="AC31" s="73"/>
      <c r="AD31" s="73"/>
      <c r="AE31" s="158"/>
      <c r="AF31" s="47"/>
      <c r="AG31" s="47"/>
      <c r="AH31" s="47"/>
      <c r="AI31" s="47"/>
      <c r="AJ31" s="47"/>
    </row>
    <row r="32" spans="1:38" x14ac:dyDescent="0.3">
      <c r="A32" s="67" t="s">
        <v>174</v>
      </c>
      <c r="B32" s="68" t="s">
        <v>899</v>
      </c>
      <c r="C32" s="68" t="s">
        <v>167</v>
      </c>
      <c r="D32" s="68" t="s">
        <v>168</v>
      </c>
      <c r="E32" s="261" t="s">
        <v>893</v>
      </c>
      <c r="F32" s="72">
        <v>0.54120000000000001</v>
      </c>
      <c r="G32" s="72">
        <v>0.6</v>
      </c>
      <c r="H32" s="72">
        <v>0.62</v>
      </c>
      <c r="I32" s="68"/>
      <c r="J32" s="78">
        <v>0.67</v>
      </c>
      <c r="K32" s="68"/>
      <c r="L32" s="78">
        <v>0.69</v>
      </c>
      <c r="M32" s="68"/>
      <c r="N32" s="78">
        <v>0.68</v>
      </c>
      <c r="O32" s="68"/>
      <c r="P32" s="78">
        <v>0.77</v>
      </c>
      <c r="Q32" s="68"/>
      <c r="R32" s="68"/>
      <c r="S32" s="68"/>
      <c r="T32" s="68"/>
      <c r="U32" s="68"/>
      <c r="V32" s="68"/>
      <c r="W32" s="68"/>
      <c r="X32" s="68"/>
      <c r="Y32" s="68"/>
      <c r="Z32" s="68"/>
      <c r="AA32" s="68"/>
      <c r="AB32" s="68"/>
      <c r="AC32" s="68"/>
      <c r="AD32" s="68"/>
      <c r="AE32" s="157"/>
      <c r="AF32" s="47"/>
      <c r="AG32" s="47"/>
      <c r="AH32" s="47"/>
      <c r="AI32" s="47"/>
      <c r="AJ32" s="47"/>
    </row>
    <row r="33" spans="1:37" x14ac:dyDescent="0.3">
      <c r="A33" s="67" t="s">
        <v>174</v>
      </c>
      <c r="B33" s="68" t="s">
        <v>902</v>
      </c>
      <c r="C33" s="68" t="s">
        <v>167</v>
      </c>
      <c r="D33" s="68" t="s">
        <v>176</v>
      </c>
      <c r="E33" s="261" t="s">
        <v>893</v>
      </c>
      <c r="F33" s="72">
        <v>0.80169999999999997</v>
      </c>
      <c r="G33" s="72">
        <v>0.9</v>
      </c>
      <c r="H33" s="72">
        <v>0.748</v>
      </c>
      <c r="I33" s="68"/>
      <c r="J33" s="78">
        <v>0.93</v>
      </c>
      <c r="K33" s="68"/>
      <c r="L33" s="583">
        <v>0.80500000000000005</v>
      </c>
      <c r="M33" s="68"/>
      <c r="N33" s="78">
        <v>0.745</v>
      </c>
      <c r="O33" s="68"/>
      <c r="P33" s="78">
        <v>0.93</v>
      </c>
      <c r="Q33" s="68"/>
      <c r="R33" s="68"/>
      <c r="S33" s="68"/>
      <c r="T33" s="68"/>
      <c r="U33" s="68"/>
      <c r="V33" s="68"/>
      <c r="W33" s="68"/>
      <c r="X33" s="68"/>
      <c r="Y33" s="68"/>
      <c r="Z33" s="68"/>
      <c r="AA33" s="68"/>
      <c r="AB33" s="68"/>
      <c r="AC33" s="68"/>
      <c r="AD33" s="68"/>
      <c r="AE33" s="157"/>
      <c r="AF33" s="47"/>
      <c r="AG33" s="47"/>
      <c r="AH33" s="47"/>
      <c r="AI33" s="47"/>
      <c r="AJ33" s="47"/>
    </row>
    <row r="34" spans="1:37" x14ac:dyDescent="0.3">
      <c r="A34" s="67" t="s">
        <v>174</v>
      </c>
      <c r="B34" s="68" t="s">
        <v>200</v>
      </c>
      <c r="C34" s="68" t="s">
        <v>167</v>
      </c>
      <c r="D34" s="68" t="s">
        <v>176</v>
      </c>
      <c r="E34" s="261" t="s">
        <v>893</v>
      </c>
      <c r="F34" s="72">
        <v>0.999</v>
      </c>
      <c r="G34" s="72">
        <v>0.95</v>
      </c>
      <c r="H34" s="72">
        <v>1</v>
      </c>
      <c r="I34" s="68"/>
      <c r="J34" s="78">
        <v>1</v>
      </c>
      <c r="K34" s="68"/>
      <c r="L34" s="78">
        <v>1</v>
      </c>
      <c r="M34" s="68"/>
      <c r="N34" s="78">
        <v>1</v>
      </c>
      <c r="O34" s="68"/>
      <c r="P34" s="78">
        <v>1</v>
      </c>
      <c r="Q34" s="68"/>
      <c r="R34" s="68"/>
      <c r="S34" s="68"/>
      <c r="T34" s="68"/>
      <c r="U34" s="68"/>
      <c r="V34" s="68"/>
      <c r="W34" s="68"/>
      <c r="X34" s="68"/>
      <c r="Y34" s="68"/>
      <c r="Z34" s="68"/>
      <c r="AA34" s="68"/>
      <c r="AB34" s="68"/>
      <c r="AC34" s="68"/>
      <c r="AD34" s="68"/>
      <c r="AE34" s="157"/>
      <c r="AF34" s="47"/>
      <c r="AG34" s="47"/>
      <c r="AH34" s="47"/>
      <c r="AI34" s="47"/>
      <c r="AJ34" s="47"/>
    </row>
    <row r="35" spans="1:37" x14ac:dyDescent="0.3">
      <c r="A35" s="67" t="s">
        <v>174</v>
      </c>
      <c r="B35" s="68" t="s">
        <v>904</v>
      </c>
      <c r="C35" s="68" t="s">
        <v>167</v>
      </c>
      <c r="D35" s="68" t="s">
        <v>176</v>
      </c>
      <c r="E35" s="261" t="s">
        <v>893</v>
      </c>
      <c r="F35" s="72">
        <v>0.66910000000000003</v>
      </c>
      <c r="G35" s="72">
        <v>0.7</v>
      </c>
      <c r="H35" s="72">
        <v>0.7</v>
      </c>
      <c r="I35" s="68"/>
      <c r="J35" s="583">
        <v>0.63900000000000001</v>
      </c>
      <c r="K35" s="68" t="s">
        <v>1591</v>
      </c>
      <c r="L35" s="583">
        <v>0.79100000000000004</v>
      </c>
      <c r="M35" s="68"/>
      <c r="N35" s="78">
        <v>0.745</v>
      </c>
      <c r="O35" s="68"/>
      <c r="P35" s="896">
        <v>0.77</v>
      </c>
      <c r="Q35" s="68"/>
      <c r="R35" s="68"/>
      <c r="S35" s="68"/>
      <c r="T35" s="68"/>
      <c r="U35" s="68"/>
      <c r="V35" s="68"/>
      <c r="W35" s="68"/>
      <c r="X35" s="68"/>
      <c r="Y35" s="73"/>
      <c r="Z35" s="73"/>
      <c r="AA35" s="73"/>
      <c r="AB35" s="73"/>
      <c r="AC35" s="73"/>
      <c r="AD35" s="73"/>
      <c r="AE35" s="158"/>
      <c r="AF35" s="47"/>
      <c r="AG35" s="47"/>
      <c r="AH35" s="47"/>
      <c r="AI35" s="47"/>
      <c r="AJ35" s="47"/>
    </row>
    <row r="36" spans="1:37" x14ac:dyDescent="0.3">
      <c r="A36" s="67" t="s">
        <v>174</v>
      </c>
      <c r="B36" s="68" t="s">
        <v>185</v>
      </c>
      <c r="C36" s="68" t="s">
        <v>186</v>
      </c>
      <c r="D36" s="68" t="s">
        <v>168</v>
      </c>
      <c r="E36" s="261" t="s">
        <v>893</v>
      </c>
      <c r="F36" s="74"/>
      <c r="G36" s="192">
        <v>200</v>
      </c>
      <c r="H36" s="192">
        <v>218</v>
      </c>
      <c r="I36" s="68"/>
      <c r="J36" s="76">
        <v>104.59</v>
      </c>
      <c r="K36" s="68" t="s">
        <v>1592</v>
      </c>
      <c r="L36" s="68">
        <v>107.06</v>
      </c>
      <c r="M36" s="68"/>
      <c r="N36" s="908">
        <v>4.2993055555555557</v>
      </c>
      <c r="O36" s="68"/>
      <c r="P36" s="893">
        <v>4.166666666666667</v>
      </c>
      <c r="Q36" s="68"/>
      <c r="R36" s="68"/>
      <c r="S36" s="68"/>
      <c r="T36" s="68"/>
      <c r="U36" s="68"/>
      <c r="V36" s="68"/>
      <c r="W36" s="68"/>
      <c r="X36" s="68"/>
      <c r="Y36" s="68"/>
      <c r="Z36" s="68"/>
      <c r="AA36" s="68"/>
      <c r="AB36" s="68"/>
      <c r="AC36" s="68"/>
      <c r="AD36" s="68"/>
      <c r="AE36" s="157"/>
      <c r="AF36" s="47"/>
      <c r="AG36" s="47"/>
      <c r="AH36" s="47"/>
      <c r="AI36" s="47"/>
      <c r="AJ36" s="47"/>
    </row>
    <row r="37" spans="1:37" x14ac:dyDescent="0.3">
      <c r="A37" s="67" t="s">
        <v>174</v>
      </c>
      <c r="B37" s="68" t="s">
        <v>190</v>
      </c>
      <c r="C37" s="68" t="s">
        <v>186</v>
      </c>
      <c r="D37" s="68" t="s">
        <v>168</v>
      </c>
      <c r="E37" s="261" t="s">
        <v>894</v>
      </c>
      <c r="F37" s="74">
        <v>7.18</v>
      </c>
      <c r="G37" s="285">
        <v>8.3333333333333329E-2</v>
      </c>
      <c r="H37" s="285">
        <v>0.97847222222222219</v>
      </c>
      <c r="I37" s="68" t="s">
        <v>1593</v>
      </c>
      <c r="J37" s="76">
        <v>7.64</v>
      </c>
      <c r="K37" s="68"/>
      <c r="L37" s="68">
        <v>35</v>
      </c>
      <c r="M37" s="68"/>
      <c r="N37" s="584">
        <v>2.5694444444444443E-2</v>
      </c>
      <c r="O37" s="68"/>
      <c r="P37" s="897">
        <v>1.9444444444444445E-2</v>
      </c>
      <c r="Q37" s="68"/>
      <c r="R37" s="68"/>
      <c r="S37" s="68"/>
      <c r="T37" s="68"/>
      <c r="U37" s="68"/>
      <c r="V37" s="68"/>
      <c r="W37" s="68"/>
      <c r="X37" s="68"/>
      <c r="Y37" s="73"/>
      <c r="Z37" s="73"/>
      <c r="AA37" s="73"/>
      <c r="AB37" s="73"/>
      <c r="AC37" s="73"/>
      <c r="AD37" s="73"/>
      <c r="AE37" s="158"/>
      <c r="AF37" s="47"/>
      <c r="AG37" s="47"/>
      <c r="AH37" s="47"/>
      <c r="AI37" s="47"/>
      <c r="AJ37" s="47"/>
    </row>
    <row r="38" spans="1:37" x14ac:dyDescent="0.3">
      <c r="A38" s="67" t="s">
        <v>174</v>
      </c>
      <c r="B38" s="68" t="s">
        <v>195</v>
      </c>
      <c r="C38" s="68" t="s">
        <v>196</v>
      </c>
      <c r="D38" s="68" t="s">
        <v>168</v>
      </c>
      <c r="E38" s="261" t="s">
        <v>894</v>
      </c>
      <c r="F38" s="75">
        <v>743400</v>
      </c>
      <c r="G38" s="75">
        <v>514800</v>
      </c>
      <c r="H38" s="75">
        <v>636.45000000000005</v>
      </c>
      <c r="I38" s="68" t="s">
        <v>1594</v>
      </c>
      <c r="J38" s="588">
        <v>1117.23</v>
      </c>
      <c r="K38" s="68" t="s">
        <v>1594</v>
      </c>
      <c r="L38" s="647">
        <v>16713</v>
      </c>
      <c r="M38" s="68"/>
      <c r="N38" s="588">
        <v>8242.9</v>
      </c>
      <c r="O38" s="68" t="s">
        <v>1595</v>
      </c>
      <c r="P38" s="894">
        <v>10100</v>
      </c>
      <c r="Q38" s="68" t="s">
        <v>1594</v>
      </c>
      <c r="R38" s="68"/>
      <c r="S38" s="68"/>
      <c r="T38" s="68"/>
      <c r="U38" s="68"/>
      <c r="V38" s="68"/>
      <c r="W38" s="68"/>
      <c r="X38" s="68"/>
      <c r="Y38" s="68"/>
      <c r="Z38" s="68"/>
      <c r="AA38" s="68"/>
      <c r="AB38" s="68"/>
      <c r="AC38" s="68"/>
      <c r="AD38" s="68"/>
      <c r="AE38" s="157"/>
      <c r="AF38" s="47"/>
      <c r="AG38" s="47"/>
      <c r="AH38" s="47"/>
      <c r="AI38" s="47"/>
      <c r="AJ38" s="47"/>
    </row>
    <row r="39" spans="1:37" x14ac:dyDescent="0.3">
      <c r="A39" s="67" t="s">
        <v>174</v>
      </c>
      <c r="B39" s="68" t="s">
        <v>197</v>
      </c>
      <c r="C39" s="68" t="s">
        <v>196</v>
      </c>
      <c r="D39" s="68" t="s">
        <v>176</v>
      </c>
      <c r="E39" s="261" t="s">
        <v>894</v>
      </c>
      <c r="F39" s="276">
        <v>0.88300000000000001</v>
      </c>
      <c r="G39" s="276">
        <v>0.95</v>
      </c>
      <c r="H39" s="276">
        <v>0.87</v>
      </c>
      <c r="I39" s="68"/>
      <c r="J39" s="78">
        <v>0.85</v>
      </c>
      <c r="K39" s="68"/>
      <c r="L39" s="78">
        <v>0.84</v>
      </c>
      <c r="M39" s="68"/>
      <c r="N39" s="78">
        <v>0.88</v>
      </c>
      <c r="O39" s="68"/>
      <c r="P39" s="896">
        <v>0.87</v>
      </c>
      <c r="Q39" s="68"/>
      <c r="R39" s="68"/>
      <c r="S39" s="68"/>
      <c r="T39" s="68"/>
      <c r="U39" s="68"/>
      <c r="V39" s="68"/>
      <c r="W39" s="68"/>
      <c r="X39" s="68"/>
      <c r="Y39" s="73"/>
      <c r="Z39" s="73"/>
      <c r="AA39" s="73"/>
      <c r="AB39" s="73"/>
      <c r="AC39" s="73"/>
      <c r="AD39" s="73"/>
      <c r="AE39" s="158"/>
      <c r="AF39" s="47"/>
      <c r="AG39" s="47"/>
      <c r="AH39" s="47"/>
      <c r="AI39" s="47"/>
      <c r="AJ39" s="47"/>
    </row>
    <row r="40" spans="1:37" x14ac:dyDescent="0.3">
      <c r="A40" s="67" t="s">
        <v>200</v>
      </c>
      <c r="B40" s="68" t="s">
        <v>201</v>
      </c>
      <c r="C40" s="68" t="s">
        <v>202</v>
      </c>
      <c r="D40" s="68" t="s">
        <v>168</v>
      </c>
      <c r="E40" s="261" t="s">
        <v>894</v>
      </c>
      <c r="F40" s="76">
        <v>6200</v>
      </c>
      <c r="G40" s="76">
        <v>3000</v>
      </c>
      <c r="H40" s="76">
        <v>13618</v>
      </c>
      <c r="I40" s="68"/>
      <c r="J40" s="68">
        <v>1300</v>
      </c>
      <c r="K40" s="68"/>
      <c r="L40" s="68">
        <v>487</v>
      </c>
      <c r="M40" s="68"/>
      <c r="N40" s="68">
        <v>291</v>
      </c>
      <c r="O40" s="68"/>
      <c r="P40" s="325">
        <v>200</v>
      </c>
      <c r="Q40" s="68"/>
      <c r="R40" s="68"/>
      <c r="S40" s="68"/>
      <c r="T40" s="68"/>
      <c r="U40" s="68"/>
      <c r="V40" s="68"/>
      <c r="W40" s="68"/>
      <c r="X40" s="68"/>
      <c r="Y40" s="68"/>
      <c r="Z40" s="68"/>
      <c r="AA40" s="68"/>
      <c r="AB40" s="68"/>
      <c r="AC40" s="68"/>
      <c r="AD40" s="68"/>
      <c r="AE40" s="157"/>
      <c r="AF40" s="47"/>
      <c r="AG40" s="47"/>
      <c r="AH40" s="47"/>
      <c r="AI40" s="47"/>
      <c r="AJ40" s="47"/>
    </row>
    <row r="41" spans="1:37" x14ac:dyDescent="0.3">
      <c r="A41" s="67" t="s">
        <v>200</v>
      </c>
      <c r="B41" s="68" t="s">
        <v>204</v>
      </c>
      <c r="C41" s="68" t="s">
        <v>202</v>
      </c>
      <c r="D41" s="68" t="s">
        <v>168</v>
      </c>
      <c r="E41" s="261" t="s">
        <v>894</v>
      </c>
      <c r="F41" s="76">
        <v>1386</v>
      </c>
      <c r="G41" s="76">
        <v>600</v>
      </c>
      <c r="H41" s="76">
        <v>0</v>
      </c>
      <c r="I41" s="68"/>
      <c r="J41" s="68">
        <v>25</v>
      </c>
      <c r="K41" s="68"/>
      <c r="L41" s="68">
        <v>20</v>
      </c>
      <c r="M41" s="68"/>
      <c r="N41" s="68">
        <v>33</v>
      </c>
      <c r="O41" s="68"/>
      <c r="P41" s="898">
        <v>30</v>
      </c>
      <c r="Q41" s="68"/>
      <c r="R41" s="68"/>
      <c r="S41" s="68"/>
      <c r="T41" s="68"/>
      <c r="U41" s="68"/>
      <c r="V41" s="68"/>
      <c r="W41" s="68"/>
      <c r="X41" s="68"/>
      <c r="Y41" s="73"/>
      <c r="Z41" s="73"/>
      <c r="AA41" s="73"/>
      <c r="AB41" s="73"/>
      <c r="AC41" s="73"/>
      <c r="AD41" s="73"/>
      <c r="AE41" s="158"/>
      <c r="AF41" s="47"/>
      <c r="AG41" s="47"/>
      <c r="AH41" s="47"/>
      <c r="AI41" s="47"/>
      <c r="AJ41" s="47"/>
    </row>
    <row r="42" spans="1:37" x14ac:dyDescent="0.3">
      <c r="A42" s="67" t="s">
        <v>200</v>
      </c>
      <c r="B42" s="68" t="s">
        <v>210</v>
      </c>
      <c r="C42" s="68" t="s">
        <v>167</v>
      </c>
      <c r="D42" s="68" t="s">
        <v>168</v>
      </c>
      <c r="E42" s="261" t="s">
        <v>894</v>
      </c>
      <c r="F42" s="72">
        <v>3.3500000000000002E-2</v>
      </c>
      <c r="G42" s="72">
        <v>0.01</v>
      </c>
      <c r="H42" s="72">
        <v>2.1999999999999999E-2</v>
      </c>
      <c r="I42" s="68" t="s">
        <v>1596</v>
      </c>
      <c r="J42" s="583">
        <v>6.8999999999999999E-3</v>
      </c>
      <c r="K42" s="68"/>
      <c r="L42" s="583">
        <v>6.6E-3</v>
      </c>
      <c r="M42" s="68"/>
      <c r="N42" s="583">
        <v>7.7000000000000002E-3</v>
      </c>
      <c r="O42" s="68"/>
      <c r="P42" s="583">
        <v>3.2800000000000003E-2</v>
      </c>
      <c r="Q42" s="68"/>
      <c r="R42" s="68"/>
      <c r="S42" s="68"/>
      <c r="T42" s="68"/>
      <c r="U42" s="68"/>
      <c r="V42" s="68"/>
      <c r="W42" s="68"/>
      <c r="X42" s="68"/>
      <c r="Y42" s="68"/>
      <c r="Z42" s="68"/>
      <c r="AA42" s="68"/>
      <c r="AB42" s="68"/>
      <c r="AC42" s="68"/>
      <c r="AD42" s="68"/>
      <c r="AE42" s="157"/>
      <c r="AF42" s="47"/>
      <c r="AG42" s="47"/>
      <c r="AH42" s="47"/>
      <c r="AI42" s="47"/>
      <c r="AJ42" s="47"/>
    </row>
    <row r="43" spans="1:37" x14ac:dyDescent="0.3">
      <c r="A43" s="67" t="s">
        <v>200</v>
      </c>
      <c r="B43" s="68" t="s">
        <v>214</v>
      </c>
      <c r="C43" s="68" t="s">
        <v>215</v>
      </c>
      <c r="D43" s="68" t="s">
        <v>216</v>
      </c>
      <c r="E43" s="261" t="s">
        <v>894</v>
      </c>
      <c r="F43" s="76">
        <v>18</v>
      </c>
      <c r="G43" s="76">
        <v>15</v>
      </c>
      <c r="H43" s="76">
        <v>0</v>
      </c>
      <c r="I43" s="68"/>
      <c r="J43" s="68">
        <v>0</v>
      </c>
      <c r="K43" s="68"/>
      <c r="L43" s="68">
        <v>2</v>
      </c>
      <c r="M43" s="68"/>
      <c r="N43" s="68">
        <v>2</v>
      </c>
      <c r="O43" s="68"/>
      <c r="P43" s="68">
        <v>1</v>
      </c>
      <c r="Q43" s="68"/>
      <c r="R43" s="68"/>
      <c r="S43" s="68"/>
      <c r="T43" s="68"/>
      <c r="U43" s="68"/>
      <c r="V43" s="68"/>
      <c r="W43" s="68"/>
      <c r="X43" s="68"/>
      <c r="Y43" s="73"/>
      <c r="Z43" s="73"/>
      <c r="AA43" s="73"/>
      <c r="AB43" s="73"/>
      <c r="AC43" s="73"/>
      <c r="AD43" s="73"/>
      <c r="AE43" s="158"/>
      <c r="AF43" s="47"/>
      <c r="AG43" s="47"/>
      <c r="AH43" s="47"/>
      <c r="AI43" s="47"/>
      <c r="AJ43" s="47"/>
    </row>
    <row r="44" spans="1:37" x14ac:dyDescent="0.3">
      <c r="A44" s="67" t="s">
        <v>218</v>
      </c>
      <c r="B44" s="68" t="s">
        <v>219</v>
      </c>
      <c r="C44" s="68" t="s">
        <v>220</v>
      </c>
      <c r="D44" s="325" t="s">
        <v>168</v>
      </c>
      <c r="E44" s="261" t="s">
        <v>894</v>
      </c>
      <c r="F44" s="76">
        <v>20</v>
      </c>
      <c r="G44" s="76">
        <v>31</v>
      </c>
      <c r="H44" s="76">
        <v>0</v>
      </c>
      <c r="I44" s="68"/>
      <c r="J44" s="68">
        <v>0</v>
      </c>
      <c r="K44" s="68"/>
      <c r="L44" s="68">
        <v>0</v>
      </c>
      <c r="M44" s="68"/>
      <c r="N44" s="68">
        <v>0</v>
      </c>
      <c r="O44" s="68"/>
      <c r="P44" s="68">
        <v>0</v>
      </c>
      <c r="Q44" s="68"/>
      <c r="R44" s="68"/>
      <c r="S44" s="68"/>
      <c r="T44" s="68"/>
      <c r="U44" s="68"/>
      <c r="V44" s="68"/>
      <c r="W44" s="68"/>
      <c r="X44" s="68"/>
      <c r="Y44" s="68"/>
      <c r="Z44" s="68"/>
      <c r="AA44" s="68"/>
      <c r="AB44" s="68"/>
      <c r="AC44" s="68"/>
      <c r="AD44" s="68"/>
      <c r="AE44" s="157"/>
      <c r="AF44" s="47"/>
      <c r="AG44" s="47"/>
      <c r="AH44" s="47"/>
      <c r="AI44" s="47"/>
      <c r="AJ44" s="47"/>
    </row>
    <row r="45" spans="1:37" ht="15.6" x14ac:dyDescent="0.3">
      <c r="A45" s="67" t="s">
        <v>222</v>
      </c>
      <c r="B45" s="68" t="s">
        <v>223</v>
      </c>
      <c r="C45" s="68" t="s">
        <v>167</v>
      </c>
      <c r="D45" s="68" t="s">
        <v>224</v>
      </c>
      <c r="E45" s="261" t="s">
        <v>893</v>
      </c>
      <c r="F45" s="186" t="s">
        <v>88</v>
      </c>
      <c r="G45" s="77">
        <v>1</v>
      </c>
      <c r="H45" s="77">
        <v>1</v>
      </c>
      <c r="I45" s="68"/>
      <c r="J45" s="78">
        <v>1</v>
      </c>
      <c r="K45" s="68"/>
      <c r="L45" s="78">
        <v>1</v>
      </c>
      <c r="M45" s="68"/>
      <c r="N45" s="68">
        <v>100</v>
      </c>
      <c r="O45" s="68"/>
      <c r="P45" s="896">
        <v>1</v>
      </c>
      <c r="Q45" s="68"/>
      <c r="R45" s="68"/>
      <c r="S45" s="68"/>
      <c r="T45" s="68"/>
      <c r="U45" s="68"/>
      <c r="V45" s="68"/>
      <c r="W45" s="68"/>
      <c r="X45" s="68"/>
      <c r="Y45" s="73"/>
      <c r="Z45" s="73"/>
      <c r="AA45" s="73"/>
      <c r="AB45" s="73"/>
      <c r="AC45" s="73"/>
      <c r="AD45" s="73"/>
      <c r="AE45" s="158"/>
      <c r="AF45" s="47"/>
      <c r="AG45" s="47"/>
      <c r="AH45" s="47"/>
      <c r="AI45" s="47"/>
      <c r="AJ45" s="1203" t="s">
        <v>227</v>
      </c>
      <c r="AK45" s="1203"/>
    </row>
    <row r="46" spans="1:37" x14ac:dyDescent="0.3">
      <c r="A46" s="67" t="s">
        <v>228</v>
      </c>
      <c r="B46" s="68" t="s">
        <v>229</v>
      </c>
      <c r="C46" s="68" t="s">
        <v>167</v>
      </c>
      <c r="D46" s="68" t="s">
        <v>176</v>
      </c>
      <c r="E46" s="261" t="s">
        <v>893</v>
      </c>
      <c r="F46" s="68">
        <v>0</v>
      </c>
      <c r="G46" s="78">
        <v>1</v>
      </c>
      <c r="H46" s="78">
        <v>0.68</v>
      </c>
      <c r="I46" s="68"/>
      <c r="J46" s="78">
        <v>0.8</v>
      </c>
      <c r="K46" s="68"/>
      <c r="L46" s="78">
        <v>0.34</v>
      </c>
      <c r="M46" s="68"/>
      <c r="N46" s="78">
        <v>0.78</v>
      </c>
      <c r="O46" s="68"/>
      <c r="P46" s="78">
        <v>0.89</v>
      </c>
      <c r="Q46" s="68"/>
      <c r="R46" s="68"/>
      <c r="S46" s="68"/>
      <c r="T46" s="68"/>
      <c r="U46" s="68"/>
      <c r="V46" s="68"/>
      <c r="W46" s="68"/>
      <c r="X46" s="68"/>
      <c r="Y46" s="68"/>
      <c r="Z46" s="68"/>
      <c r="AA46" s="68"/>
      <c r="AB46" s="68"/>
      <c r="AC46" s="68"/>
      <c r="AD46" s="68"/>
      <c r="AE46" s="157"/>
      <c r="AF46" s="47"/>
      <c r="AG46" s="47"/>
      <c r="AH46" s="47"/>
      <c r="AI46" s="47"/>
      <c r="AJ46" s="476" t="s">
        <v>232</v>
      </c>
      <c r="AK46" s="476" t="s">
        <v>233</v>
      </c>
    </row>
    <row r="47" spans="1:37" x14ac:dyDescent="0.3">
      <c r="A47" s="67" t="s">
        <v>174</v>
      </c>
      <c r="B47" s="68" t="s">
        <v>234</v>
      </c>
      <c r="C47" s="68" t="s">
        <v>186</v>
      </c>
      <c r="D47" s="68" t="s">
        <v>168</v>
      </c>
      <c r="E47" s="261" t="s">
        <v>893</v>
      </c>
      <c r="F47" s="186" t="s">
        <v>88</v>
      </c>
      <c r="G47" s="279">
        <v>2.3333333333333335</v>
      </c>
      <c r="H47" s="279">
        <v>2.4166666666666665</v>
      </c>
      <c r="I47" s="68"/>
      <c r="J47" s="279">
        <v>2.375</v>
      </c>
      <c r="K47" s="68"/>
      <c r="L47" s="279">
        <v>2.4166666666666665</v>
      </c>
      <c r="M47" s="68"/>
      <c r="N47" s="279">
        <v>2.4099537037037035</v>
      </c>
      <c r="O47" s="68"/>
      <c r="P47" s="895">
        <v>2.4</v>
      </c>
      <c r="Q47" s="68"/>
      <c r="R47" s="68"/>
      <c r="S47" s="68"/>
      <c r="T47" s="68"/>
      <c r="U47" s="68"/>
      <c r="V47" s="68"/>
      <c r="W47" s="68"/>
      <c r="X47" s="68"/>
      <c r="Y47" s="73"/>
      <c r="Z47" s="73"/>
      <c r="AA47" s="73"/>
      <c r="AB47" s="73"/>
      <c r="AC47" s="73"/>
      <c r="AD47" s="73"/>
      <c r="AE47" s="158"/>
      <c r="AF47" s="47"/>
      <c r="AG47" s="47"/>
      <c r="AH47" s="47"/>
      <c r="AI47" s="47"/>
      <c r="AJ47" s="239" t="s">
        <v>26</v>
      </c>
      <c r="AK47" s="477">
        <f>SUMIF($AK$55:$AK$124,AJ47,$AM$55:$AM$124)</f>
        <v>0</v>
      </c>
    </row>
    <row r="48" spans="1:37" x14ac:dyDescent="0.3">
      <c r="A48" s="67" t="s">
        <v>174</v>
      </c>
      <c r="B48" s="68" t="s">
        <v>243</v>
      </c>
      <c r="C48" s="68" t="s">
        <v>186</v>
      </c>
      <c r="D48" s="68" t="s">
        <v>168</v>
      </c>
      <c r="E48" s="261" t="s">
        <v>894</v>
      </c>
      <c r="F48" s="186" t="s">
        <v>88</v>
      </c>
      <c r="G48" s="286">
        <v>1.7361111111111112E-2</v>
      </c>
      <c r="H48" s="286">
        <v>7.6388888888888895E-2</v>
      </c>
      <c r="I48" s="68" t="s">
        <v>1597</v>
      </c>
      <c r="J48" s="584">
        <v>1.0416666666666666E-2</v>
      </c>
      <c r="K48" s="68"/>
      <c r="L48" s="584">
        <v>6.9444444444444441E-3</v>
      </c>
      <c r="M48" s="68"/>
      <c r="N48" s="286">
        <v>1.0416666666666666E-2</v>
      </c>
      <c r="O48" s="68"/>
      <c r="P48" s="890">
        <v>8.3333333333333332E-3</v>
      </c>
      <c r="Q48" s="68"/>
      <c r="R48" s="68"/>
      <c r="S48" s="68"/>
      <c r="T48" s="68"/>
      <c r="U48" s="68"/>
      <c r="V48" s="68"/>
      <c r="W48" s="68"/>
      <c r="X48" s="68"/>
      <c r="Y48" s="68"/>
      <c r="Z48" s="68"/>
      <c r="AA48" s="68"/>
      <c r="AB48" s="68"/>
      <c r="AC48" s="68"/>
      <c r="AD48" s="68"/>
      <c r="AE48" s="157"/>
      <c r="AF48" s="47"/>
      <c r="AG48" s="47"/>
      <c r="AH48" s="47"/>
      <c r="AI48" s="47"/>
      <c r="AJ48" s="265" t="s">
        <v>27</v>
      </c>
      <c r="AK48" s="478">
        <f>SUMIF($AK$55:$AK$124,AJ48,$AM$55:$AM$124)</f>
        <v>0</v>
      </c>
    </row>
    <row r="49" spans="1:42" x14ac:dyDescent="0.3">
      <c r="A49" s="67" t="s">
        <v>246</v>
      </c>
      <c r="B49" s="68" t="s">
        <v>247</v>
      </c>
      <c r="C49" s="68" t="s">
        <v>248</v>
      </c>
      <c r="D49" s="68" t="s">
        <v>168</v>
      </c>
      <c r="E49" s="261" t="s">
        <v>169</v>
      </c>
      <c r="F49" s="536" t="s">
        <v>88</v>
      </c>
      <c r="G49" s="536" t="s">
        <v>88</v>
      </c>
      <c r="H49" s="631">
        <v>11000</v>
      </c>
      <c r="I49" s="68"/>
      <c r="J49" s="588">
        <v>13000</v>
      </c>
      <c r="K49" s="68"/>
      <c r="L49" s="588">
        <v>15000</v>
      </c>
      <c r="M49" s="68"/>
      <c r="N49" s="588">
        <v>14000</v>
      </c>
      <c r="O49" s="68"/>
      <c r="P49" s="588">
        <v>15000</v>
      </c>
      <c r="Q49" s="68"/>
      <c r="R49" s="68"/>
      <c r="S49" s="68"/>
      <c r="T49" s="68"/>
      <c r="U49" s="68"/>
      <c r="V49" s="68"/>
      <c r="W49" s="68"/>
      <c r="X49" s="68"/>
      <c r="Y49" s="73"/>
      <c r="Z49" s="73"/>
      <c r="AA49" s="73"/>
      <c r="AB49" s="73"/>
      <c r="AC49" s="73"/>
      <c r="AD49" s="73"/>
      <c r="AE49" s="158"/>
      <c r="AF49" s="47"/>
      <c r="AG49" s="47"/>
      <c r="AH49" s="47"/>
      <c r="AI49" s="47"/>
      <c r="AJ49" s="239" t="s">
        <v>249</v>
      </c>
      <c r="AK49" s="477">
        <f>SUMIF($AK$55:$AK$124,AJ49,$AM$55:$AM$124)</f>
        <v>0</v>
      </c>
    </row>
    <row r="50" spans="1:42" x14ac:dyDescent="0.3">
      <c r="A50" s="67"/>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157"/>
      <c r="AF50" s="47"/>
      <c r="AG50" s="47"/>
      <c r="AH50" s="47"/>
      <c r="AI50" s="47"/>
      <c r="AJ50" s="265" t="s">
        <v>250</v>
      </c>
      <c r="AK50" s="478">
        <f>SUMIF($AK$55:$AK$124,AJ50,$AM$55:$AM$124)</f>
        <v>0</v>
      </c>
    </row>
    <row r="51" spans="1:42" x14ac:dyDescent="0.3">
      <c r="A51" s="79"/>
      <c r="B51" s="80"/>
      <c r="C51" s="80"/>
      <c r="D51" s="80"/>
      <c r="E51" s="80"/>
      <c r="F51" s="80"/>
      <c r="G51" s="80"/>
      <c r="H51" s="185"/>
      <c r="I51" s="80"/>
      <c r="J51" s="80"/>
      <c r="K51" s="80"/>
      <c r="L51" s="80"/>
      <c r="M51" s="80"/>
      <c r="N51" s="80"/>
      <c r="O51" s="80"/>
      <c r="P51" s="80"/>
      <c r="Q51" s="80"/>
      <c r="R51" s="80"/>
      <c r="S51" s="80"/>
      <c r="T51" s="80"/>
      <c r="U51" s="80"/>
      <c r="V51" s="80"/>
      <c r="W51" s="80"/>
      <c r="X51" s="80"/>
      <c r="Y51" s="73"/>
      <c r="Z51" s="73"/>
      <c r="AA51" s="73"/>
      <c r="AB51" s="73"/>
      <c r="AC51" s="73"/>
      <c r="AD51" s="73"/>
      <c r="AE51" s="158"/>
      <c r="AF51" s="47"/>
      <c r="AG51" s="47"/>
      <c r="AH51" s="47"/>
      <c r="AI51" s="47"/>
      <c r="AJ51" s="239" t="s">
        <v>251</v>
      </c>
      <c r="AK51" s="477">
        <f>SUMIF($AK$55:$AK$124,AJ51,$AM$55:$AM$124)</f>
        <v>0</v>
      </c>
    </row>
    <row r="52" spans="1:42" x14ac:dyDescent="0.3">
      <c r="A52" s="79"/>
      <c r="B52" s="80"/>
      <c r="C52" s="80"/>
      <c r="D52" s="80"/>
      <c r="E52" s="80"/>
      <c r="F52" s="80"/>
      <c r="G52" s="80"/>
      <c r="H52" s="80"/>
      <c r="I52" s="80"/>
      <c r="J52" s="80"/>
      <c r="K52" s="80"/>
      <c r="L52" s="80"/>
      <c r="M52" s="80"/>
      <c r="N52" s="80"/>
      <c r="O52" s="80"/>
      <c r="P52" s="80"/>
      <c r="Q52" s="80"/>
      <c r="R52" s="80"/>
      <c r="S52" s="80"/>
      <c r="T52" s="80"/>
      <c r="U52" s="80"/>
      <c r="V52" s="585"/>
      <c r="W52" s="585"/>
      <c r="X52" s="80"/>
      <c r="Y52" s="586"/>
      <c r="Z52" s="586"/>
      <c r="AA52" s="586"/>
      <c r="AB52" s="586"/>
      <c r="AC52" s="586"/>
      <c r="AD52" s="586"/>
      <c r="AE52" s="587"/>
      <c r="AF52" s="47"/>
      <c r="AG52" s="47"/>
      <c r="AH52" s="47"/>
      <c r="AI52" s="47"/>
      <c r="AJ52" s="47"/>
    </row>
    <row r="53" spans="1:42" ht="15.6" x14ac:dyDescent="0.3">
      <c r="A53" s="208" t="s">
        <v>252</v>
      </c>
      <c r="B53" s="208"/>
      <c r="C53" s="208"/>
      <c r="D53" s="208"/>
      <c r="E53" s="208"/>
      <c r="F53" s="208"/>
      <c r="G53" s="208"/>
      <c r="H53" s="208"/>
      <c r="I53" s="208"/>
      <c r="J53" s="208"/>
      <c r="K53" s="208"/>
      <c r="L53" s="208"/>
      <c r="M53" s="208"/>
      <c r="N53" s="208"/>
      <c r="O53" s="82"/>
      <c r="P53" s="208"/>
      <c r="Q53" s="82"/>
      <c r="R53" s="82"/>
      <c r="S53" s="1335" t="s">
        <v>253</v>
      </c>
      <c r="T53" s="1335"/>
      <c r="U53" s="1335"/>
      <c r="V53" s="209"/>
      <c r="W53" s="204" t="s">
        <v>254</v>
      </c>
      <c r="X53" s="204"/>
      <c r="Y53" s="204"/>
      <c r="Z53" s="204"/>
      <c r="AA53" s="204" t="s">
        <v>255</v>
      </c>
      <c r="AB53" s="204"/>
      <c r="AC53" s="204"/>
      <c r="AD53" s="204"/>
      <c r="AE53" s="204" t="s">
        <v>256</v>
      </c>
      <c r="AF53" s="204"/>
      <c r="AG53" s="204"/>
      <c r="AH53" s="204"/>
      <c r="AI53" s="83"/>
      <c r="AJ53" s="82"/>
      <c r="AK53" s="1204"/>
      <c r="AL53" s="1204"/>
      <c r="AM53" s="1204"/>
      <c r="AN53" s="47"/>
    </row>
    <row r="54" spans="1:42" ht="36" customHeight="1" x14ac:dyDescent="0.3">
      <c r="A54" s="282" t="s">
        <v>914</v>
      </c>
      <c r="B54" s="84" t="s">
        <v>258</v>
      </c>
      <c r="C54" s="282" t="s">
        <v>259</v>
      </c>
      <c r="D54" s="84" t="s">
        <v>260</v>
      </c>
      <c r="E54" s="282" t="s">
        <v>261</v>
      </c>
      <c r="F54" s="282" t="s">
        <v>262</v>
      </c>
      <c r="G54" s="282" t="s">
        <v>263</v>
      </c>
      <c r="H54" s="282" t="s">
        <v>264</v>
      </c>
      <c r="I54" s="282" t="s">
        <v>915</v>
      </c>
      <c r="J54" s="84" t="s">
        <v>266</v>
      </c>
      <c r="K54" s="264" t="s">
        <v>267</v>
      </c>
      <c r="L54" s="371" t="s">
        <v>268</v>
      </c>
      <c r="M54" s="282" t="s">
        <v>916</v>
      </c>
      <c r="N54" s="282" t="s">
        <v>270</v>
      </c>
      <c r="O54" s="282" t="s">
        <v>67</v>
      </c>
      <c r="P54" s="84" t="s">
        <v>126</v>
      </c>
      <c r="Q54" s="282"/>
      <c r="R54" s="84" t="s">
        <v>272</v>
      </c>
      <c r="S54" s="283">
        <v>46023</v>
      </c>
      <c r="T54" s="283">
        <v>46054</v>
      </c>
      <c r="U54" s="283">
        <v>46082</v>
      </c>
      <c r="V54" s="282" t="s">
        <v>273</v>
      </c>
      <c r="W54" s="283">
        <v>46113</v>
      </c>
      <c r="X54" s="283">
        <v>46143</v>
      </c>
      <c r="Y54" s="283">
        <v>46174</v>
      </c>
      <c r="Z54" s="282" t="s">
        <v>274</v>
      </c>
      <c r="AA54" s="284">
        <v>46204</v>
      </c>
      <c r="AB54" s="284">
        <v>46235</v>
      </c>
      <c r="AC54" s="284">
        <v>46266</v>
      </c>
      <c r="AD54" s="282" t="s">
        <v>275</v>
      </c>
      <c r="AE54" s="284">
        <v>46296</v>
      </c>
      <c r="AF54" s="284">
        <v>46327</v>
      </c>
      <c r="AG54" s="284">
        <v>46357</v>
      </c>
      <c r="AH54" s="282" t="s">
        <v>276</v>
      </c>
      <c r="AI54" s="84" t="s">
        <v>277</v>
      </c>
      <c r="AJ54" s="84" t="s">
        <v>278</v>
      </c>
      <c r="AK54" s="84" t="s">
        <v>227</v>
      </c>
      <c r="AL54" s="84" t="s">
        <v>279</v>
      </c>
      <c r="AM54" s="84" t="s">
        <v>280</v>
      </c>
      <c r="AN54" s="62" t="s">
        <v>281</v>
      </c>
      <c r="AP54" s="542" t="s">
        <v>282</v>
      </c>
    </row>
    <row r="55" spans="1:42" ht="32.85" customHeight="1" x14ac:dyDescent="0.3">
      <c r="A55" s="1036" t="s">
        <v>76</v>
      </c>
      <c r="B55" s="1299" t="s">
        <v>91</v>
      </c>
      <c r="C55" s="1113" t="s">
        <v>1598</v>
      </c>
      <c r="D55" s="1115" t="s">
        <v>1599</v>
      </c>
      <c r="E55" s="1303" t="s">
        <v>1600</v>
      </c>
      <c r="F55" s="1040" t="s">
        <v>1601</v>
      </c>
      <c r="G55" s="1117">
        <v>46023</v>
      </c>
      <c r="H55" s="1117">
        <v>46113</v>
      </c>
      <c r="I55" s="1074">
        <v>218726.78</v>
      </c>
      <c r="J55" s="1158">
        <v>46054</v>
      </c>
      <c r="K55" s="1121">
        <f>IF(J55="", "", 12 - MONTH(J55) + 1)</f>
        <v>11</v>
      </c>
      <c r="L55" s="1074"/>
      <c r="M55" s="1119" t="s">
        <v>287</v>
      </c>
      <c r="N55" s="1053">
        <v>218726.78</v>
      </c>
      <c r="O55" s="1057" t="s">
        <v>80</v>
      </c>
      <c r="P55" s="1057">
        <v>1</v>
      </c>
      <c r="Q55" s="87" t="s">
        <v>106</v>
      </c>
      <c r="R55" s="91">
        <f>AVERAGE([19]Estrutura!$I$5:$I$8)</f>
        <v>0.94736842105263164</v>
      </c>
      <c r="S55" s="309">
        <f>IFERROR(IF(AND(S$54&gt;=EOMONTH($J55,-1)+1,S$54&lt;=EOMONTH(EOMONTH($J55,-1)+1,$K55-1)),IF(NOT(ISBLANK($N55)),$N55/$K55,$I55/$K55),0),0)</f>
        <v>0</v>
      </c>
      <c r="T55" s="309">
        <f>IFERROR(IF(AND(T$54&gt;=EOMONTH($J55,-1)+1,T$54&lt;=EOMONTH(EOMONTH($J55,-1)+1,$K55-1)),IF(NOT(ISBLANK($N55)),$N55/$K55,$I55/$K55),0),0)</f>
        <v>19884.252727272727</v>
      </c>
      <c r="U55" s="309">
        <f>IFERROR(IF(AND(U$54&gt;=EOMONTH($J55,-1)+1,U$54&lt;=EOMONTH(EOMONTH($J55,-1)+1,$K55-1)),IF(NOT(ISBLANK($N55)),$N55/$K55,$I55/$K55),0),0)</f>
        <v>19884.252727272727</v>
      </c>
      <c r="V55" s="89">
        <f t="shared" ref="V55:V60" si="14">SUM(S55:U55)</f>
        <v>39768.505454545455</v>
      </c>
      <c r="W55" s="309">
        <f>IFERROR(IF(AND(W$54&gt;=EOMONTH($J55,-1)+1,W$54&lt;=EOMONTH(EOMONTH($J55,-1)+1,$K55-1)),IF(NOT(ISBLANK($N55)),$N55/$K55,$I55/$K55),0),0)</f>
        <v>19884.252727272727</v>
      </c>
      <c r="X55" s="309">
        <f>IFERROR(IF(AND(X$54&gt;=EOMONTH($J55,-1)+1,X$54&lt;=EOMONTH(EOMONTH($J55,-1)+1,$K55-1)),IF(NOT(ISBLANK($N55)),$N55/$K55,$I55/$K55),0),0)</f>
        <v>19884.252727272727</v>
      </c>
      <c r="Y55" s="309">
        <f>IFERROR(IF(AND(Y$54&gt;=EOMONTH($J55,-1)+1,Y$54&lt;=EOMONTH(EOMONTH($J55,-1)+1,$K55-1)),IF(NOT(ISBLANK($N55)),$N55/$K55,$I55/$K55),0),0)</f>
        <v>19884.252727272727</v>
      </c>
      <c r="Z55" s="89">
        <f t="shared" ref="Z55:Z60" si="15">SUM(W55:Y55)</f>
        <v>59652.758181818179</v>
      </c>
      <c r="AA55" s="309">
        <f>IFERROR(IF(AND(AA$54&gt;=EOMONTH($J55,-1)+1,AA$54&lt;=EOMONTH(EOMONTH($J55,-1)+1,$K55-1)),IF(NOT(ISBLANK($N55)),$N55/$K55,$I55/$K55),0),0)</f>
        <v>19884.252727272727</v>
      </c>
      <c r="AB55" s="309">
        <f>IFERROR(IF(AND(AB$54&gt;=EOMONTH($J55,-1)+1,AB$54&lt;=EOMONTH(EOMONTH($J55,-1)+1,$K55-1)),IF(NOT(ISBLANK($N55)),$N55/$K55,$I55/$K55),0),0)</f>
        <v>19884.252727272727</v>
      </c>
      <c r="AC55" s="309">
        <f>IFERROR(IF(AND(AC$54&gt;=EOMONTH($J55,-1)+1,AC$54&lt;=EOMONTH(EOMONTH($J55,-1)+1,$K55-1)),IF(NOT(ISBLANK($N55)),$N55/$K55,$I55/$K55),0),0)</f>
        <v>19884.252727272727</v>
      </c>
      <c r="AD55" s="89">
        <f t="shared" ref="AD55:AD60" si="16">SUM(AA55:AC55)</f>
        <v>59652.758181818179</v>
      </c>
      <c r="AE55" s="309">
        <f>IFERROR(IF(AND(AE$54&gt;=EOMONTH($J55,-1)+1,AE$54&lt;=EOMONTH(EOMONTH($J55,-1)+1,$K55-1)),IF(NOT(ISBLANK($N55)),$N55/$K55,$I55/$K55),0),0)</f>
        <v>19884.252727272727</v>
      </c>
      <c r="AF55" s="309">
        <f>IFERROR(IF(AND(AF$54&gt;=EOMONTH($J55,-1)+1,AF$54&lt;=EOMONTH(EOMONTH($J55,-1)+1,$K55-1)),IF(NOT(ISBLANK($N55)),$N55/$K55,$I55/$K55),0),0)</f>
        <v>19884.252727272727</v>
      </c>
      <c r="AG55" s="309">
        <f>IFERROR(IF(AND(AG$54&gt;=EOMONTH($J55,-1)+1,AG$54&lt;=EOMONTH(EOMONTH($J55,-1)+1,$K55-1)),IF(NOT(ISBLANK($N55)),$N55/$K55,$I55/$K55),0),0)</f>
        <v>19884.252727272727</v>
      </c>
      <c r="AH55" s="89">
        <f t="shared" ref="AH55:AH118" si="17">SUM(AE55:AG55)</f>
        <v>59652.758181818179</v>
      </c>
      <c r="AI55" s="90">
        <f>SUM(V55,Z55,AD55,AH55)</f>
        <v>218726.78</v>
      </c>
      <c r="AJ55" s="98" t="s">
        <v>1602</v>
      </c>
      <c r="AK55" s="1040"/>
      <c r="AL55" s="1048"/>
      <c r="AM55" s="1046">
        <f>N55*AL55</f>
        <v>0</v>
      </c>
      <c r="AN55" s="62" t="str">
        <f>C55</f>
        <v>01 - Redução de Refugo</v>
      </c>
      <c r="AO55" s="62" t="s">
        <v>289</v>
      </c>
      <c r="AP55" s="543" cm="1">
        <f t="array" aca="1" ref="AP55" ca="1">IF(OR(AN55="",AN55=0),"",IF(SUMPRODUCT(($C$55:$C$160=AN55)*(S$54:$AG$54&lt;EOMONTH(TODAY(),-1)+1)*(ISNUMBER(S$55:$AG$160)),S$55:$AG$160)=0,"",SUMPRODUCT(($C$55:$C$160=AN55)*(S$54:$AG$54&lt;EOMONTH(TODAY(),-1)+1)*(ISNUMBER(S$55:$AG$160)),S$55:$AG$160)))</f>
        <v>79537.01090909091</v>
      </c>
    </row>
    <row r="56" spans="1:42" ht="29.1" customHeight="1" x14ac:dyDescent="0.3">
      <c r="A56" s="1036"/>
      <c r="B56" s="1300"/>
      <c r="C56" s="1113"/>
      <c r="D56" s="1115"/>
      <c r="E56" s="1303"/>
      <c r="F56" s="1040"/>
      <c r="G56" s="1117"/>
      <c r="H56" s="1117"/>
      <c r="I56" s="1074"/>
      <c r="J56" s="1158"/>
      <c r="K56" s="1121"/>
      <c r="L56" s="1074"/>
      <c r="M56" s="1119"/>
      <c r="N56" s="1053"/>
      <c r="O56" s="1057"/>
      <c r="P56" s="1057"/>
      <c r="Q56" s="87" t="s">
        <v>107</v>
      </c>
      <c r="R56" s="91">
        <f>AVERAGE([19]Estrutura!$J$5:$J$8)</f>
        <v>0.95</v>
      </c>
      <c r="S56" s="309">
        <v>3234</v>
      </c>
      <c r="T56" s="589">
        <v>24747.29</v>
      </c>
      <c r="U56" s="589">
        <v>26300.93</v>
      </c>
      <c r="V56" s="89">
        <f>SUM(S56:U56)</f>
        <v>54282.22</v>
      </c>
      <c r="W56" s="589">
        <v>20156.3</v>
      </c>
      <c r="X56" s="309">
        <v>23720.82</v>
      </c>
      <c r="Y56" s="309" t="s">
        <v>390</v>
      </c>
      <c r="Z56" s="89">
        <f t="shared" si="15"/>
        <v>43877.119999999995</v>
      </c>
      <c r="AA56" s="309" t="s">
        <v>390</v>
      </c>
      <c r="AB56" s="309" t="s">
        <v>390</v>
      </c>
      <c r="AC56" s="309" t="s">
        <v>390</v>
      </c>
      <c r="AD56" s="89">
        <f t="shared" si="16"/>
        <v>0</v>
      </c>
      <c r="AE56" s="309" t="s">
        <v>390</v>
      </c>
      <c r="AF56" s="309" t="s">
        <v>390</v>
      </c>
      <c r="AG56" s="309" t="s">
        <v>390</v>
      </c>
      <c r="AH56" s="89">
        <f t="shared" si="17"/>
        <v>0</v>
      </c>
      <c r="AI56" s="311">
        <f t="shared" ref="AI56:AI58" si="18">SUM(V56,Z56,AD56,AH56)</f>
        <v>98159.34</v>
      </c>
      <c r="AJ56" s="92"/>
      <c r="AK56" s="1040"/>
      <c r="AL56" s="1048"/>
      <c r="AM56" s="1046"/>
      <c r="AN56" s="62" t="str">
        <f>C55</f>
        <v>01 - Redução de Refugo</v>
      </c>
      <c r="AO56" s="62" t="s">
        <v>291</v>
      </c>
      <c r="AP56" s="543" cm="1">
        <f t="array" aca="1" ref="AP56" ca="1">IF(OR(AN56="",AN56=0),"",IF(SUMPRODUCT(($C$55:$C$160=AN56)*(S$54:$AG$54&lt;EOMONTH(TODAY(),-1)+1)*(ISNUMBER(S$56:$AG$161)),S$56:$AG$161)=0,"",SUMPRODUCT(($C$55:$C$160=AN56)*(S$54:$AG$54&lt;EOMONTH(TODAY(),-1)+1)*(ISNUMBER(S$56:$AG$161)),S$56:$AG$161)))</f>
        <v>98159.34</v>
      </c>
    </row>
    <row r="57" spans="1:42" ht="29.1" customHeight="1" x14ac:dyDescent="0.3">
      <c r="A57" s="1038" t="s">
        <v>85</v>
      </c>
      <c r="B57" s="1038" t="s">
        <v>90</v>
      </c>
      <c r="C57" s="1138" t="s">
        <v>1603</v>
      </c>
      <c r="D57" s="1097" t="s">
        <v>1604</v>
      </c>
      <c r="E57" s="1363" t="s">
        <v>1605</v>
      </c>
      <c r="F57" s="1099" t="s">
        <v>1606</v>
      </c>
      <c r="G57" s="1150">
        <v>46054</v>
      </c>
      <c r="H57" s="1150">
        <v>46143</v>
      </c>
      <c r="I57" s="1152">
        <v>37356.410000000003</v>
      </c>
      <c r="J57" s="1109">
        <v>46143</v>
      </c>
      <c r="K57" s="1213">
        <f>IF(J57="", "", 12 - MONTH(J57) + 1)</f>
        <v>8</v>
      </c>
      <c r="L57" s="1076"/>
      <c r="M57" s="1091" t="s">
        <v>287</v>
      </c>
      <c r="N57" s="1331">
        <v>32462.119221588004</v>
      </c>
      <c r="O57" s="1042" t="s">
        <v>80</v>
      </c>
      <c r="P57" s="1042">
        <v>1</v>
      </c>
      <c r="Q57" s="93" t="s">
        <v>106</v>
      </c>
      <c r="R57" s="96">
        <f>AVERAGE([20]Estrutura!$I$11:$I$14)</f>
        <v>0.62931034482758619</v>
      </c>
      <c r="S57" s="532">
        <f>IFERROR(IF(AND(S$54&gt;=EOMONTH($J57,-1)+1,S$54&lt;=EOMONTH(EOMONTH($J57,-1)+1,$K57-1)),IF(NOT(ISBLANK($N57)),$N57/$K57,$I57/$K57),0),0)</f>
        <v>0</v>
      </c>
      <c r="T57" s="532">
        <f>IFERROR(IF(AND(T$54&gt;=EOMONTH($J57,-1)+1,T$54&lt;=EOMONTH(EOMONTH($J57,-1)+1,$K57-1)),IF(NOT(ISBLANK($N57)),$N57/$K57,$I57/$K57),0),0)</f>
        <v>0</v>
      </c>
      <c r="U57" s="532">
        <f>IFERROR(IF(AND(U$54&gt;=EOMONTH($J57,-1)+1,U$54&lt;=EOMONTH(EOMONTH($J57,-1)+1,$K57-1)),IF(NOT(ISBLANK($N57)),$N57/$K57,$I57/$K57),0),0)</f>
        <v>0</v>
      </c>
      <c r="V57" s="89">
        <f t="shared" ref="V57" si="19">SUM(S57:U57)</f>
        <v>0</v>
      </c>
      <c r="W57" s="532">
        <f>IFERROR(IF(AND(W$54&gt;=EOMONTH($J57,-1)+1,W$54&lt;=EOMONTH(EOMONTH($J57,-1)+1,$K57-1)),IF(NOT(ISBLANK($N57)),$N57/$K57,$I57/$K57),0),0)</f>
        <v>0</v>
      </c>
      <c r="X57" s="1030">
        <f>IFERROR(IF(AND(X$54&gt;=EOMONTH($J57,-1)+1,X$54&lt;=EOMONTH(EOMONTH($J57,-1)+1,$K57-1)),IF(NOT(ISBLANK($N57)),$N57/$K57,$I57/$K57),0),0)</f>
        <v>4057.7649026985005</v>
      </c>
      <c r="Y57" s="532">
        <f>IFERROR(IF(AND(Y$54&gt;=EOMONTH($J57,-1)+1,Y$54&lt;=EOMONTH(EOMONTH($J57,-1)+1,$K57-1)),IF(NOT(ISBLANK($N57)),$N57/$K57,$I57/$K57),0),0)</f>
        <v>4057.7649026985005</v>
      </c>
      <c r="Z57" s="89">
        <f t="shared" ref="Z57" si="20">SUM(W57:Y57)</f>
        <v>8115.5298053970009</v>
      </c>
      <c r="AA57" s="532">
        <f>IFERROR(IF(AND(AA$54&gt;=EOMONTH($J57,-1)+1,AA$54&lt;=EOMONTH(EOMONTH($J57,-1)+1,$K57-1)),IF(NOT(ISBLANK($N57)),$N57/$K57,$I57/$K57),0),0)</f>
        <v>4057.7649026985005</v>
      </c>
      <c r="AB57" s="532">
        <f>IFERROR(IF(AND(AB$54&gt;=EOMONTH($J57,-1)+1,AB$54&lt;=EOMONTH(EOMONTH($J57,-1)+1,$K57-1)),IF(NOT(ISBLANK($N57)),$N57/$K57,$I57/$K57),0),0)</f>
        <v>4057.7649026985005</v>
      </c>
      <c r="AC57" s="532">
        <f>IFERROR(IF(AND(AC$54&gt;=EOMONTH($J57,-1)+1,AC$54&lt;=EOMONTH(EOMONTH($J57,-1)+1,$K57-1)),IF(NOT(ISBLANK($N57)),$N57/$K57,$I57/$K57),0),0)</f>
        <v>4057.7649026985005</v>
      </c>
      <c r="AD57" s="89">
        <f t="shared" ref="AD57" si="21">SUM(AA57:AC57)</f>
        <v>12173.294708095502</v>
      </c>
      <c r="AE57" s="532">
        <f>IFERROR(IF(AND(AE$54&gt;=EOMONTH($J57,-1)+1,AE$54&lt;=EOMONTH(EOMONTH($J57,-1)+1,$K57-1)),IF(NOT(ISBLANK($N57)),$N57/$K57,$I57/$K57),0),0)</f>
        <v>4057.7649026985005</v>
      </c>
      <c r="AF57" s="532">
        <f>IFERROR(IF(AND(AF$54&gt;=EOMONTH($J57,-1)+1,AF$54&lt;=EOMONTH(EOMONTH($J57,-1)+1,$K57-1)),IF(NOT(ISBLANK($N57)),$N57/$K57,$I57/$K57),0),0)</f>
        <v>4057.7649026985005</v>
      </c>
      <c r="AG57" s="532">
        <f>IFERROR(IF(AND(AG$54&gt;=EOMONTH($J57,-1)+1,AG$54&lt;=EOMONTH(EOMONTH($J57,-1)+1,$K57-1)),IF(NOT(ISBLANK($N57)),$N57/$K57,$I57/$K57),0),0)</f>
        <v>4057.7649026985005</v>
      </c>
      <c r="AH57" s="89">
        <f t="shared" si="17"/>
        <v>12173.294708095502</v>
      </c>
      <c r="AI57" s="95">
        <f t="shared" si="18"/>
        <v>32462.119221588004</v>
      </c>
      <c r="AJ57" s="97"/>
      <c r="AK57" s="1038"/>
      <c r="AL57" s="1042"/>
      <c r="AM57" s="1044">
        <f>N57*AL57</f>
        <v>0</v>
      </c>
      <c r="AN57" s="62" t="str">
        <f>C57</f>
        <v xml:space="preserve">02 -  REDUÇÃO DE PESO BRUTO DD000506Z
</v>
      </c>
      <c r="AO57" s="62" t="s">
        <v>289</v>
      </c>
      <c r="AP57" s="543" cm="1">
        <f t="array" aca="1" ref="AP57" ca="1">IF(OR(AN57="",AN57=0),"",IF(SUMPRODUCT(($C$55:$C$160=AN57)*(S$54:$AG$54&lt;EOMONTH(TODAY(),-1)+1)*(ISNUMBER(S$55:$AG$160)),S$55:$AG$160)=0,"",SUMPRODUCT(($C$55:$C$160=AN57)*(S$54:$AG$54&lt;EOMONTH(TODAY(),-1)+1)*(ISNUMBER(S$55:$AG$160)),S$55:$AG$160)))</f>
        <v>4057.7649026985005</v>
      </c>
    </row>
    <row r="58" spans="1:42" ht="36.6" customHeight="1" x14ac:dyDescent="0.3">
      <c r="A58" s="1038"/>
      <c r="B58" s="1039"/>
      <c r="C58" s="1138"/>
      <c r="D58" s="1097"/>
      <c r="E58" s="1363"/>
      <c r="F58" s="1099"/>
      <c r="G58" s="1150"/>
      <c r="H58" s="1150"/>
      <c r="I58" s="1152"/>
      <c r="J58" s="1109"/>
      <c r="K58" s="1213"/>
      <c r="L58" s="1076"/>
      <c r="M58" s="1091"/>
      <c r="N58" s="1331"/>
      <c r="O58" s="1042"/>
      <c r="P58" s="1042"/>
      <c r="Q58" s="93" t="s">
        <v>107</v>
      </c>
      <c r="R58" s="96">
        <f>AVERAGE([20]Estrutura!$J$11:$J$14)</f>
        <v>0.65</v>
      </c>
      <c r="S58" s="312" t="s">
        <v>390</v>
      </c>
      <c r="T58" s="312" t="s">
        <v>390</v>
      </c>
      <c r="U58" s="312" t="s">
        <v>390</v>
      </c>
      <c r="V58" s="89">
        <f t="shared" si="14"/>
        <v>0</v>
      </c>
      <c r="W58" s="312" t="s">
        <v>390</v>
      </c>
      <c r="X58" s="312" t="s">
        <v>390</v>
      </c>
      <c r="Y58" s="312" t="s">
        <v>390</v>
      </c>
      <c r="Z58" s="89">
        <f t="shared" si="15"/>
        <v>0</v>
      </c>
      <c r="AA58" s="312" t="s">
        <v>390</v>
      </c>
      <c r="AB58" s="312" t="s">
        <v>390</v>
      </c>
      <c r="AC58" s="312" t="s">
        <v>390</v>
      </c>
      <c r="AD58" s="89">
        <f t="shared" si="16"/>
        <v>0</v>
      </c>
      <c r="AE58" s="312" t="s">
        <v>390</v>
      </c>
      <c r="AF58" s="312" t="s">
        <v>390</v>
      </c>
      <c r="AG58" s="312" t="s">
        <v>390</v>
      </c>
      <c r="AH58" s="89">
        <f t="shared" si="17"/>
        <v>0</v>
      </c>
      <c r="AI58" s="313">
        <f t="shared" si="18"/>
        <v>0</v>
      </c>
      <c r="AJ58" s="97"/>
      <c r="AK58" s="1038"/>
      <c r="AL58" s="1042"/>
      <c r="AM58" s="1044"/>
      <c r="AN58" s="62" t="str">
        <f>C57</f>
        <v xml:space="preserve">02 -  REDUÇÃO DE PESO BRUTO DD000506Z
</v>
      </c>
      <c r="AO58" s="62" t="s">
        <v>291</v>
      </c>
      <c r="AP58" s="543" t="str" cm="1">
        <f t="array" aca="1" ref="AP58" ca="1">IF(OR(AN58="",AN58=0),"",IF(SUMPRODUCT(($C$55:$C$160=AN58)*(S$54:$AG$54&lt;EOMONTH(TODAY(),-1)+1)*(ISNUMBER(S$56:$AG$161)),S$56:$AG$161)=0,"",SUMPRODUCT(($C$55:$C$160=AN58)*(S$54:$AG$54&lt;EOMONTH(TODAY(),-1)+1)*(ISNUMBER(S$56:$AG$161)),S$56:$AG$161)))</f>
        <v/>
      </c>
    </row>
    <row r="59" spans="1:42" ht="29.1" customHeight="1" x14ac:dyDescent="0.3">
      <c r="A59" s="1036" t="s">
        <v>85</v>
      </c>
      <c r="B59" s="1299" t="s">
        <v>90</v>
      </c>
      <c r="C59" s="1113" t="s">
        <v>1607</v>
      </c>
      <c r="D59" s="1115" t="s">
        <v>1608</v>
      </c>
      <c r="E59" s="1303" t="s">
        <v>1609</v>
      </c>
      <c r="F59" s="1040" t="s">
        <v>1610</v>
      </c>
      <c r="G59" s="1117">
        <v>45992</v>
      </c>
      <c r="H59" s="1117">
        <v>46157</v>
      </c>
      <c r="I59" s="1074">
        <v>40000</v>
      </c>
      <c r="J59" s="1158">
        <v>46143</v>
      </c>
      <c r="K59" s="1121">
        <f t="shared" ref="K59" si="22">IF(J59="", "", 12 - MONTH(J59) + 1)</f>
        <v>8</v>
      </c>
      <c r="L59" s="1074"/>
      <c r="M59" s="1119"/>
      <c r="N59" s="1053"/>
      <c r="O59" s="1057" t="s">
        <v>80</v>
      </c>
      <c r="P59" s="1057">
        <v>1</v>
      </c>
      <c r="Q59" s="87" t="s">
        <v>106</v>
      </c>
      <c r="R59" s="91">
        <f>AVERAGE([21]Estrutura!$I$5:$I$14)</f>
        <v>0.79534883720930227</v>
      </c>
      <c r="S59" s="309">
        <f>IFERROR(IF(AND(S$54&gt;=EOMONTH($J59,-1)+1,S$54&lt;=EOMONTH(EOMONTH($J59,-1)+1,$K59-1)),IF(NOT(ISBLANK($N59)),$N59/$K59,$I59/$K59),0),0)</f>
        <v>0</v>
      </c>
      <c r="T59" s="309">
        <f>IFERROR(IF(AND(T$54&gt;=EOMONTH($J59,-1)+1,T$54&lt;=EOMONTH(EOMONTH($J59,-1)+1,$K59-1)),IF(NOT(ISBLANK($N59)),$N59/$K59,$I59/$K59),0),0)</f>
        <v>0</v>
      </c>
      <c r="U59" s="309">
        <f>IFERROR(IF(AND(U$54&gt;=EOMONTH($J59,-1)+1,U$54&lt;=EOMONTH(EOMONTH($J59,-1)+1,$K59-1)),IF(NOT(ISBLANK($N59)),$N59/$K59,$I59/$K59),0),0)</f>
        <v>0</v>
      </c>
      <c r="V59" s="89">
        <f t="shared" ref="V59" si="23">SUM(S59:U59)</f>
        <v>0</v>
      </c>
      <c r="W59" s="309">
        <f>IFERROR(IF(AND(W$54&gt;=EOMONTH($J59,-1)+1,W$54&lt;=EOMONTH(EOMONTH($J59,-1)+1,$K59-1)),IF(NOT(ISBLANK($N59)),$N59/$K59,$I59/$K59),0),0)</f>
        <v>0</v>
      </c>
      <c r="X59" s="569">
        <f>IFERROR(IF(AND(X$54&gt;=EOMONTH($J59,-1)+1,X$54&lt;=EOMONTH(EOMONTH($J59,-1)+1,$K59-1)),IF(NOT(ISBLANK($N59)),$N59/$K59,$I59/$K59),0),0)</f>
        <v>5000</v>
      </c>
      <c r="Y59" s="309">
        <f>IFERROR(IF(AND(Y$54&gt;=EOMONTH($J59,-1)+1,Y$54&lt;=EOMONTH(EOMONTH($J59,-1)+1,$K59-1)),IF(NOT(ISBLANK($N59)),$N59/$K59,$I59/$K59),0),0)</f>
        <v>5000</v>
      </c>
      <c r="Z59" s="89">
        <f t="shared" ref="Z59" si="24">SUM(W59:Y59)</f>
        <v>10000</v>
      </c>
      <c r="AA59" s="309">
        <f>IFERROR(IF(AND(AA$54&gt;=EOMONTH($J59,-1)+1,AA$54&lt;=EOMONTH(EOMONTH($J59,-1)+1,$K59-1)),IF(NOT(ISBLANK($N59)),$N59/$K59,$I59/$K59),0),0)</f>
        <v>5000</v>
      </c>
      <c r="AB59" s="309">
        <f>IFERROR(IF(AND(AB$54&gt;=EOMONTH($J59,-1)+1,AB$54&lt;=EOMONTH(EOMONTH($J59,-1)+1,$K59-1)),IF(NOT(ISBLANK($N59)),$N59/$K59,$I59/$K59),0),0)</f>
        <v>5000</v>
      </c>
      <c r="AC59" s="309">
        <f>IFERROR(IF(AND(AC$54&gt;=EOMONTH($J59,-1)+1,AC$54&lt;=EOMONTH(EOMONTH($J59,-1)+1,$K59-1)),IF(NOT(ISBLANK($N59)),$N59/$K59,$I59/$K59),0),0)</f>
        <v>5000</v>
      </c>
      <c r="AD59" s="89">
        <f t="shared" ref="AD59" si="25">SUM(AA59:AC59)</f>
        <v>15000</v>
      </c>
      <c r="AE59" s="309">
        <f>IFERROR(IF(AND(AE$54&gt;=EOMONTH($J59,-1)+1,AE$54&lt;=EOMONTH(EOMONTH($J59,-1)+1,$K59-1)),IF(NOT(ISBLANK($N59)),$N59/$K59,$I59/$K59),0),0)</f>
        <v>5000</v>
      </c>
      <c r="AF59" s="309">
        <f>IFERROR(IF(AND(AF$54&gt;=EOMONTH($J59,-1)+1,AF$54&lt;=EOMONTH(EOMONTH($J59,-1)+1,$K59-1)),IF(NOT(ISBLANK($N59)),$N59/$K59,$I59/$K59),0),0)</f>
        <v>5000</v>
      </c>
      <c r="AG59" s="309">
        <f>IFERROR(IF(AND(AG$54&gt;=EOMONTH($J59,-1)+1,AG$54&lt;=EOMONTH(EOMONTH($J59,-1)+1,$K59-1)),IF(NOT(ISBLANK($N59)),$N59/$K59,$I59/$K59),0),0)</f>
        <v>5000</v>
      </c>
      <c r="AH59" s="89">
        <f t="shared" si="17"/>
        <v>15000</v>
      </c>
      <c r="AI59" s="90">
        <f>SUM(V59,Z59,AD59,AH59)</f>
        <v>40000</v>
      </c>
      <c r="AJ59" s="98"/>
      <c r="AK59" s="1040"/>
      <c r="AL59" s="1048"/>
      <c r="AM59" s="1046">
        <f t="shared" ref="AM59" si="26">N59*AL59</f>
        <v>0</v>
      </c>
      <c r="AN59" s="62" t="str">
        <f>C59</f>
        <v>03- Comunização de Materiais</v>
      </c>
      <c r="AO59" s="62" t="s">
        <v>289</v>
      </c>
      <c r="AP59" s="543" cm="1">
        <f t="array" aca="1" ref="AP59" ca="1">IF(OR(AN59="",AN59=0),"",IF(SUMPRODUCT(($C$55:$C$160=AN59)*(S$54:$AG$54&lt;EOMONTH(TODAY(),-1)+1)*(ISNUMBER(S$55:$AG$160)),S$55:$AG$160)=0,"",SUMPRODUCT(($C$55:$C$160=AN59)*(S$54:$AG$54&lt;EOMONTH(TODAY(),-1)+1)*(ISNUMBER(S$55:$AG$160)),S$55:$AG$160)))</f>
        <v>5000</v>
      </c>
    </row>
    <row r="60" spans="1:42" ht="29.1" customHeight="1" x14ac:dyDescent="0.3">
      <c r="A60" s="1036"/>
      <c r="B60" s="1300"/>
      <c r="C60" s="1113"/>
      <c r="D60" s="1115"/>
      <c r="E60" s="1303"/>
      <c r="F60" s="1040"/>
      <c r="G60" s="1117"/>
      <c r="H60" s="1117"/>
      <c r="I60" s="1074"/>
      <c r="J60" s="1158"/>
      <c r="K60" s="1121"/>
      <c r="L60" s="1074"/>
      <c r="M60" s="1119"/>
      <c r="N60" s="1053"/>
      <c r="O60" s="1057"/>
      <c r="P60" s="1057"/>
      <c r="Q60" s="87" t="s">
        <v>107</v>
      </c>
      <c r="R60" s="91">
        <f>AVERAGE([21]Estrutura!$J$5:$J$14)</f>
        <v>0.79699999999999993</v>
      </c>
      <c r="S60" s="309" t="s">
        <v>390</v>
      </c>
      <c r="T60" s="309" t="s">
        <v>390</v>
      </c>
      <c r="U60" s="309" t="s">
        <v>390</v>
      </c>
      <c r="V60" s="89">
        <f t="shared" si="14"/>
        <v>0</v>
      </c>
      <c r="W60" s="309" t="s">
        <v>390</v>
      </c>
      <c r="X60" s="309" t="s">
        <v>390</v>
      </c>
      <c r="Y60" s="309" t="s">
        <v>390</v>
      </c>
      <c r="Z60" s="89">
        <f t="shared" si="15"/>
        <v>0</v>
      </c>
      <c r="AA60" s="309" t="s">
        <v>390</v>
      </c>
      <c r="AB60" s="309" t="s">
        <v>390</v>
      </c>
      <c r="AC60" s="309" t="s">
        <v>390</v>
      </c>
      <c r="AD60" s="89">
        <f t="shared" si="16"/>
        <v>0</v>
      </c>
      <c r="AE60" s="309" t="s">
        <v>390</v>
      </c>
      <c r="AF60" s="309" t="s">
        <v>390</v>
      </c>
      <c r="AG60" s="309" t="s">
        <v>390</v>
      </c>
      <c r="AH60" s="89">
        <f t="shared" si="17"/>
        <v>0</v>
      </c>
      <c r="AI60" s="311">
        <f t="shared" ref="AI60" si="27">SUM(V60,Z60,AD60,AH60)</f>
        <v>0</v>
      </c>
      <c r="AJ60" s="360" t="s">
        <v>1611</v>
      </c>
      <c r="AK60" s="1040"/>
      <c r="AL60" s="1048"/>
      <c r="AM60" s="1046"/>
      <c r="AN60" s="62" t="str">
        <f>C59</f>
        <v>03- Comunização de Materiais</v>
      </c>
      <c r="AO60" s="62" t="s">
        <v>291</v>
      </c>
      <c r="AP60" s="543" t="str" cm="1">
        <f t="array" aca="1" ref="AP60" ca="1">IF(OR(AN60="",AN60=0),"",IF(SUMPRODUCT(($C$55:$C$160=AN60)*(S$54:$AG$54&lt;EOMONTH(TODAY(),-1)+1)*(ISNUMBER(S$56:$AG$161)),S$56:$AG$161)=0,"",SUMPRODUCT(($C$55:$C$160=AN60)*(S$54:$AG$54&lt;EOMONTH(TODAY(),-1)+1)*(ISNUMBER(S$56:$AG$161)),S$56:$AG$161)))</f>
        <v/>
      </c>
    </row>
    <row r="61" spans="1:42" ht="40.35" customHeight="1" x14ac:dyDescent="0.3">
      <c r="A61" s="1036" t="s">
        <v>76</v>
      </c>
      <c r="B61" s="1038" t="s">
        <v>91</v>
      </c>
      <c r="C61" s="1113" t="s">
        <v>1612</v>
      </c>
      <c r="D61" s="1115" t="s">
        <v>1613</v>
      </c>
      <c r="E61" s="1303" t="s">
        <v>1614</v>
      </c>
      <c r="F61" s="1040" t="s">
        <v>1615</v>
      </c>
      <c r="G61" s="1117">
        <v>45962</v>
      </c>
      <c r="H61" s="1117">
        <v>46113</v>
      </c>
      <c r="I61" s="1439">
        <v>20000</v>
      </c>
      <c r="J61" s="1158">
        <v>46143</v>
      </c>
      <c r="K61" s="1121">
        <f t="shared" ref="K61" si="28">IF(J61="", "", 12 - MONTH(J61) + 1)</f>
        <v>8</v>
      </c>
      <c r="L61" s="1074"/>
      <c r="M61" s="1119"/>
      <c r="N61" s="1053"/>
      <c r="O61" s="1057" t="s">
        <v>80</v>
      </c>
      <c r="P61" s="1057">
        <v>1</v>
      </c>
      <c r="Q61" s="87" t="s">
        <v>106</v>
      </c>
      <c r="R61" s="91">
        <f>AVERAGE([22]Estrutura!$I$5:$I$13)</f>
        <v>0.77124183006535951</v>
      </c>
      <c r="S61" s="309">
        <f>IFERROR(IF(AND(S$54&gt;=EOMONTH($J61,-1)+1,S$54&lt;=EOMONTH(EOMONTH($J61,-1)+1,$K61-1)),IF(NOT(ISBLANK($N61)),$N61/$K61,$I61/$K61),0),0)</f>
        <v>0</v>
      </c>
      <c r="T61" s="309">
        <f>IFERROR(IF(AND(T$54&gt;=EOMONTH($J61,-1)+1,T$54&lt;=EOMONTH(EOMONTH($J61,-1)+1,$K61-1)),IF(NOT(ISBLANK($N61)),$N61/$K61,$I61/$K61),0),0)</f>
        <v>0</v>
      </c>
      <c r="U61" s="309">
        <f>IFERROR(IF(AND(U$54&gt;=EOMONTH($J61,-1)+1,U$54&lt;=EOMONTH(EOMONTH($J61,-1)+1,$K61-1)),IF(NOT(ISBLANK($N61)),$N61/$K61,$I61/$K61),0),0)</f>
        <v>0</v>
      </c>
      <c r="V61" s="89">
        <f t="shared" ref="V61:V118" si="29">SUM(S61:U61)</f>
        <v>0</v>
      </c>
      <c r="W61" s="309">
        <f>IFERROR(IF(AND(W$54&gt;=EOMONTH($J61,-1)+1,W$54&lt;=EOMONTH(EOMONTH($J61,-1)+1,$K61-1)),IF(NOT(ISBLANK($N61)),$N61/$K61,$I61/$K61),0),0)</f>
        <v>0</v>
      </c>
      <c r="X61" s="569">
        <f>IFERROR(IF(AND(X$54&gt;=EOMONTH($J61,-1)+1,X$54&lt;=EOMONTH(EOMONTH($J61,-1)+1,$K61-1)),IF(NOT(ISBLANK($N61)),$N61/$K61,$I61/$K61),0),0)</f>
        <v>2500</v>
      </c>
      <c r="Y61" s="309">
        <f>IFERROR(IF(AND(Y$54&gt;=EOMONTH($J61,-1)+1,Y$54&lt;=EOMONTH(EOMONTH($J61,-1)+1,$K61-1)),IF(NOT(ISBLANK($N61)),$N61/$K61,$I61/$K61),0),0)</f>
        <v>2500</v>
      </c>
      <c r="Z61" s="89">
        <f t="shared" ref="Z61:Z118" si="30">SUM(W61:Y61)</f>
        <v>5000</v>
      </c>
      <c r="AA61" s="309">
        <f>IFERROR(IF(AND(AA$54&gt;=EOMONTH($J61,-1)+1,AA$54&lt;=EOMONTH(EOMONTH($J61,-1)+1,$K61-1)),IF(NOT(ISBLANK($N61)),$N61/$K61,$I61/$K61),0),0)</f>
        <v>2500</v>
      </c>
      <c r="AB61" s="309">
        <f>IFERROR(IF(AND(AB$54&gt;=EOMONTH($J61,-1)+1,AB$54&lt;=EOMONTH(EOMONTH($J61,-1)+1,$K61-1)),IF(NOT(ISBLANK($N61)),$N61/$K61,$I61/$K61),0),0)</f>
        <v>2500</v>
      </c>
      <c r="AC61" s="309">
        <f>IFERROR(IF(AND(AC$54&gt;=EOMONTH($J61,-1)+1,AC$54&lt;=EOMONTH(EOMONTH($J61,-1)+1,$K61-1)),IF(NOT(ISBLANK($N61)),$N61/$K61,$I61/$K61),0),0)</f>
        <v>2500</v>
      </c>
      <c r="AD61" s="89">
        <f t="shared" ref="AD61:AD118" si="31">SUM(AA61:AC61)</f>
        <v>7500</v>
      </c>
      <c r="AE61" s="309">
        <f>IFERROR(IF(AND(AE$54&gt;=EOMONTH($J61,-1)+1,AE$54&lt;=EOMONTH(EOMONTH($J61,-1)+1,$K61-1)),IF(NOT(ISBLANK($N61)),$N61/$K61,$I61/$K61),0),0)</f>
        <v>2500</v>
      </c>
      <c r="AF61" s="309">
        <f>IFERROR(IF(AND(AF$54&gt;=EOMONTH($J61,-1)+1,AF$54&lt;=EOMONTH(EOMONTH($J61,-1)+1,$K61-1)),IF(NOT(ISBLANK($N61)),$N61/$K61,$I61/$K61),0),0)</f>
        <v>2500</v>
      </c>
      <c r="AG61" s="309">
        <f>IFERROR(IF(AND(AG$54&gt;=EOMONTH($J61,-1)+1,AG$54&lt;=EOMONTH(EOMONTH($J61,-1)+1,$K61-1)),IF(NOT(ISBLANK($N61)),$N61/$K61,$I61/$K61),0),0)</f>
        <v>2500</v>
      </c>
      <c r="AH61" s="89">
        <f t="shared" si="17"/>
        <v>7500</v>
      </c>
      <c r="AI61" s="90">
        <f>SUM(V61,Z61,AD61,AH61)</f>
        <v>20000</v>
      </c>
      <c r="AJ61" s="98"/>
      <c r="AK61" s="1040"/>
      <c r="AL61" s="1048"/>
      <c r="AM61" s="1046">
        <f t="shared" ref="AM61" si="32">N61*AL61</f>
        <v>0</v>
      </c>
      <c r="AN61" s="62" t="str">
        <f>C61</f>
        <v>04 - Aluguel de corte plasma</v>
      </c>
      <c r="AO61" s="62" t="s">
        <v>289</v>
      </c>
      <c r="AP61" s="543" cm="1">
        <f t="array" aca="1" ref="AP61" ca="1">IF(OR(AN61="",AN61=0),"",IF(SUMPRODUCT(($C$55:$C$160=AN61)*(S$54:$AG$54&lt;EOMONTH(TODAY(),-1)+1)*(ISNUMBER(S$55:$AG$160)),S$55:$AG$160)=0,"",SUMPRODUCT(($C$55:$C$160=AN61)*(S$54:$AG$54&lt;EOMONTH(TODAY(),-1)+1)*(ISNUMBER(S$55:$AG$160)),S$55:$AG$160)))</f>
        <v>2500</v>
      </c>
    </row>
    <row r="62" spans="1:42" ht="29.1" customHeight="1" x14ac:dyDescent="0.3">
      <c r="A62" s="1036"/>
      <c r="B62" s="1039"/>
      <c r="C62" s="1113"/>
      <c r="D62" s="1115"/>
      <c r="E62" s="1303"/>
      <c r="F62" s="1040"/>
      <c r="G62" s="1117"/>
      <c r="H62" s="1117"/>
      <c r="I62" s="1439"/>
      <c r="J62" s="1158"/>
      <c r="K62" s="1121"/>
      <c r="L62" s="1074"/>
      <c r="M62" s="1119"/>
      <c r="N62" s="1053"/>
      <c r="O62" s="1057"/>
      <c r="P62" s="1057"/>
      <c r="Q62" s="87" t="s">
        <v>107</v>
      </c>
      <c r="R62" s="91">
        <f>AVERAGE([22]Estrutura!$J$5:$J$13)</f>
        <v>0.77777777777777779</v>
      </c>
      <c r="S62" s="309" t="s">
        <v>390</v>
      </c>
      <c r="T62" s="309" t="s">
        <v>390</v>
      </c>
      <c r="U62" s="309" t="s">
        <v>390</v>
      </c>
      <c r="V62" s="89">
        <f t="shared" si="29"/>
        <v>0</v>
      </c>
      <c r="W62" s="309" t="s">
        <v>390</v>
      </c>
      <c r="X62" s="309" t="s">
        <v>390</v>
      </c>
      <c r="Y62" s="309" t="s">
        <v>390</v>
      </c>
      <c r="Z62" s="89">
        <f t="shared" si="30"/>
        <v>0</v>
      </c>
      <c r="AA62" s="309" t="s">
        <v>390</v>
      </c>
      <c r="AB62" s="309" t="s">
        <v>390</v>
      </c>
      <c r="AC62" s="309" t="s">
        <v>390</v>
      </c>
      <c r="AD62" s="89">
        <f t="shared" si="31"/>
        <v>0</v>
      </c>
      <c r="AE62" s="309" t="s">
        <v>390</v>
      </c>
      <c r="AF62" s="309" t="s">
        <v>390</v>
      </c>
      <c r="AG62" s="309" t="s">
        <v>390</v>
      </c>
      <c r="AH62" s="89">
        <f t="shared" si="17"/>
        <v>0</v>
      </c>
      <c r="AI62" s="311">
        <f t="shared" ref="AI62:AI118" si="33">SUM(V62,Z62,AD62,AH62)</f>
        <v>0</v>
      </c>
      <c r="AJ62" s="360"/>
      <c r="AK62" s="1040"/>
      <c r="AL62" s="1048"/>
      <c r="AM62" s="1046"/>
      <c r="AN62" s="62" t="str">
        <f>C61</f>
        <v>04 - Aluguel de corte plasma</v>
      </c>
      <c r="AO62" s="62" t="s">
        <v>291</v>
      </c>
      <c r="AP62" s="543" t="str" cm="1">
        <f t="array" aca="1" ref="AP62" ca="1">IF(OR(AN62="",AN62=0),"",IF(SUMPRODUCT(($C$55:$C$160=AN62)*(S$54:$AG$54&lt;EOMONTH(TODAY(),-1)+1)*(ISNUMBER(S$56:$AG$161)),S$56:$AG$161)=0,"",SUMPRODUCT(($C$55:$C$160=AN62)*(S$54:$AG$54&lt;EOMONTH(TODAY(),-1)+1)*(ISNUMBER(S$56:$AG$161)),S$56:$AG$161)))</f>
        <v/>
      </c>
    </row>
    <row r="63" spans="1:42" ht="29.1" customHeight="1" x14ac:dyDescent="0.3">
      <c r="A63" s="1038" t="s">
        <v>85</v>
      </c>
      <c r="B63" s="1299" t="s">
        <v>90</v>
      </c>
      <c r="C63" s="1095" t="s">
        <v>1616</v>
      </c>
      <c r="D63" s="1097" t="s">
        <v>1617</v>
      </c>
      <c r="E63" s="1363" t="s">
        <v>1605</v>
      </c>
      <c r="F63" s="1099" t="s">
        <v>1606</v>
      </c>
      <c r="G63" s="1150">
        <v>46054</v>
      </c>
      <c r="H63" s="1150">
        <v>46143</v>
      </c>
      <c r="I63" s="1152">
        <v>92802.55</v>
      </c>
      <c r="J63" s="1109">
        <v>46143</v>
      </c>
      <c r="K63" s="1213">
        <f t="shared" ref="K63" si="34">IF(J63="", "", 12 - MONTH(J63) + 1)</f>
        <v>8</v>
      </c>
      <c r="L63" s="1076"/>
      <c r="M63" s="1091" t="s">
        <v>287</v>
      </c>
      <c r="N63" s="1331">
        <v>150372.36277166364</v>
      </c>
      <c r="O63" s="1042" t="s">
        <v>80</v>
      </c>
      <c r="P63" s="1042">
        <v>1</v>
      </c>
      <c r="Q63" s="93" t="s">
        <v>106</v>
      </c>
      <c r="R63" s="96">
        <f>AVERAGE([23]Estrutura!$I$5:$I$14)</f>
        <v>0.89452054794520541</v>
      </c>
      <c r="S63" s="532">
        <f>IFERROR(IF(AND(S$54&gt;=EOMONTH($J63,-1)+1,S$54&lt;=EOMONTH(EOMONTH($J63,-1)+1,$K63-1)),IF(NOT(ISBLANK($N63)),$N63/$K63,$I63/$K63),0),0)</f>
        <v>0</v>
      </c>
      <c r="T63" s="532">
        <f>IFERROR(IF(AND(T$54&gt;=EOMONTH($J63,-1)+1,T$54&lt;=EOMONTH(EOMONTH($J63,-1)+1,$K63-1)),IF(NOT(ISBLANK($N63)),$N63/$K63,$I63/$K63),0),0)</f>
        <v>0</v>
      </c>
      <c r="U63" s="532">
        <f>IFERROR(IF(AND(U$54&gt;=EOMONTH($J63,-1)+1,U$54&lt;=EOMONTH(EOMONTH($J63,-1)+1,$K63-1)),IF(NOT(ISBLANK($N63)),$N63/$K63,$I63/$K63),0),0)</f>
        <v>0</v>
      </c>
      <c r="V63" s="89">
        <f t="shared" si="29"/>
        <v>0</v>
      </c>
      <c r="W63" s="532">
        <f>IFERROR(IF(AND(W$54&gt;=EOMONTH($J63,-1)+1,W$54&lt;=EOMONTH(EOMONTH($J63,-1)+1,$K63-1)),IF(NOT(ISBLANK($N63)),$N63/$K63,$I63/$K63),0),0)</f>
        <v>0</v>
      </c>
      <c r="X63" s="1030">
        <f>IFERROR(IF(AND(X$54&gt;=EOMONTH($J63,-1)+1,X$54&lt;=EOMONTH(EOMONTH($J63,-1)+1,$K63-1)),IF(NOT(ISBLANK($N63)),$N63/$K63,$I63/$K63),0),0)</f>
        <v>18796.545346457955</v>
      </c>
      <c r="Y63" s="532">
        <f>IFERROR(IF(AND(Y$54&gt;=EOMONTH($J63,-1)+1,Y$54&lt;=EOMONTH(EOMONTH($J63,-1)+1,$K63-1)),IF(NOT(ISBLANK($N63)),$N63/$K63,$I63/$K63),0),0)</f>
        <v>18796.545346457955</v>
      </c>
      <c r="Z63" s="89">
        <f t="shared" si="30"/>
        <v>37593.09069291591</v>
      </c>
      <c r="AA63" s="532">
        <f>IFERROR(IF(AND(AA$54&gt;=EOMONTH($J63,-1)+1,AA$54&lt;=EOMONTH(EOMONTH($J63,-1)+1,$K63-1)),IF(NOT(ISBLANK($N63)),$N63/$K63,$I63/$K63),0),0)</f>
        <v>18796.545346457955</v>
      </c>
      <c r="AB63" s="532">
        <f>IFERROR(IF(AND(AB$54&gt;=EOMONTH($J63,-1)+1,AB$54&lt;=EOMONTH(EOMONTH($J63,-1)+1,$K63-1)),IF(NOT(ISBLANK($N63)),$N63/$K63,$I63/$K63),0),0)</f>
        <v>18796.545346457955</v>
      </c>
      <c r="AC63" s="532">
        <f>IFERROR(IF(AND(AC$54&gt;=EOMONTH($J63,-1)+1,AC$54&lt;=EOMONTH(EOMONTH($J63,-1)+1,$K63-1)),IF(NOT(ISBLANK($N63)),$N63/$K63,$I63/$K63),0),0)</f>
        <v>18796.545346457955</v>
      </c>
      <c r="AD63" s="89">
        <f t="shared" si="31"/>
        <v>56389.636039373865</v>
      </c>
      <c r="AE63" s="532">
        <f>IFERROR(IF(AND(AE$54&gt;=EOMONTH($J63,-1)+1,AE$54&lt;=EOMONTH(EOMONTH($J63,-1)+1,$K63-1)),IF(NOT(ISBLANK($N63)),$N63/$K63,$I63/$K63),0),0)</f>
        <v>18796.545346457955</v>
      </c>
      <c r="AF63" s="532">
        <f>IFERROR(IF(AND(AF$54&gt;=EOMONTH($J63,-1)+1,AF$54&lt;=EOMONTH(EOMONTH($J63,-1)+1,$K63-1)),IF(NOT(ISBLANK($N63)),$N63/$K63,$I63/$K63),0),0)</f>
        <v>18796.545346457955</v>
      </c>
      <c r="AG63" s="532">
        <f>IFERROR(IF(AND(AG$54&gt;=EOMONTH($J63,-1)+1,AG$54&lt;=EOMONTH(EOMONTH($J63,-1)+1,$K63-1)),IF(NOT(ISBLANK($N63)),$N63/$K63,$I63/$K63),0),0)</f>
        <v>18796.545346457955</v>
      </c>
      <c r="AH63" s="89">
        <f t="shared" si="17"/>
        <v>56389.636039373865</v>
      </c>
      <c r="AI63" s="95">
        <f t="shared" si="33"/>
        <v>150372.36277166364</v>
      </c>
      <c r="AJ63" s="97"/>
      <c r="AK63" s="1038"/>
      <c r="AL63" s="1042"/>
      <c r="AM63" s="1044">
        <f t="shared" ref="AM63" si="35">N63*AL63</f>
        <v>0</v>
      </c>
      <c r="AN63" s="62" t="str">
        <f>C63</f>
        <v>05 -  REDUÇÃO DE PESO BRUTO DD000502/503Z</v>
      </c>
      <c r="AO63" s="62" t="s">
        <v>289</v>
      </c>
      <c r="AP63" s="543" cm="1">
        <f t="array" aca="1" ref="AP63" ca="1">IF(OR(AN63="",AN63=0),"",IF(SUMPRODUCT(($C$55:$C$160=AN63)*(S$54:$AG$54&lt;EOMONTH(TODAY(),-1)+1)*(ISNUMBER(S$55:$AG$160)),S$55:$AG$160)=0,"",SUMPRODUCT(($C$55:$C$160=AN63)*(S$54:$AG$54&lt;EOMONTH(TODAY(),-1)+1)*(ISNUMBER(S$55:$AG$160)),S$55:$AG$160)))</f>
        <v>18796.545346457955</v>
      </c>
    </row>
    <row r="64" spans="1:42" ht="35.85" customHeight="1" x14ac:dyDescent="0.3">
      <c r="A64" s="1038"/>
      <c r="B64" s="1300"/>
      <c r="C64" s="1095"/>
      <c r="D64" s="1097"/>
      <c r="E64" s="1363"/>
      <c r="F64" s="1099"/>
      <c r="G64" s="1150"/>
      <c r="H64" s="1150"/>
      <c r="I64" s="1152"/>
      <c r="J64" s="1109"/>
      <c r="K64" s="1213"/>
      <c r="L64" s="1076"/>
      <c r="M64" s="1091"/>
      <c r="N64" s="1331"/>
      <c r="O64" s="1042"/>
      <c r="P64" s="1042"/>
      <c r="Q64" s="93" t="s">
        <v>107</v>
      </c>
      <c r="R64" s="96">
        <f>AVERAGE([23]Estrutura!$J$5:$J$14)</f>
        <v>0.89900000000000002</v>
      </c>
      <c r="S64" s="312" t="s">
        <v>390</v>
      </c>
      <c r="T64" s="312" t="s">
        <v>390</v>
      </c>
      <c r="U64" s="312" t="s">
        <v>390</v>
      </c>
      <c r="V64" s="89">
        <f t="shared" si="29"/>
        <v>0</v>
      </c>
      <c r="W64" s="312" t="s">
        <v>390</v>
      </c>
      <c r="X64" s="312" t="s">
        <v>390</v>
      </c>
      <c r="Y64" s="312" t="s">
        <v>390</v>
      </c>
      <c r="Z64" s="89">
        <f t="shared" si="30"/>
        <v>0</v>
      </c>
      <c r="AA64" s="312" t="s">
        <v>390</v>
      </c>
      <c r="AB64" s="312" t="s">
        <v>390</v>
      </c>
      <c r="AC64" s="312" t="s">
        <v>390</v>
      </c>
      <c r="AD64" s="89">
        <f t="shared" si="31"/>
        <v>0</v>
      </c>
      <c r="AE64" s="312" t="s">
        <v>390</v>
      </c>
      <c r="AF64" s="312" t="s">
        <v>390</v>
      </c>
      <c r="AG64" s="312" t="s">
        <v>390</v>
      </c>
      <c r="AH64" s="89">
        <f t="shared" si="17"/>
        <v>0</v>
      </c>
      <c r="AI64" s="313">
        <f t="shared" si="33"/>
        <v>0</v>
      </c>
      <c r="AJ64" s="97"/>
      <c r="AK64" s="1038"/>
      <c r="AL64" s="1042"/>
      <c r="AM64" s="1044"/>
      <c r="AN64" s="62" t="str">
        <f>C63</f>
        <v>05 -  REDUÇÃO DE PESO BRUTO DD000502/503Z</v>
      </c>
      <c r="AO64" s="62" t="s">
        <v>291</v>
      </c>
      <c r="AP64" s="543" t="str" cm="1">
        <f t="array" aca="1" ref="AP64" ca="1">IF(OR(AN64="",AN64=0),"",IF(SUMPRODUCT(($C$55:$C$160=AN64)*(S$54:$AG$54&lt;EOMONTH(TODAY(),-1)+1)*(ISNUMBER(S$56:$AG$161)),S$56:$AG$161)=0,"",SUMPRODUCT(($C$55:$C$160=AN64)*(S$54:$AG$54&lt;EOMONTH(TODAY(),-1)+1)*(ISNUMBER(S$56:$AG$161)),S$56:$AG$161)))</f>
        <v/>
      </c>
    </row>
    <row r="65" spans="1:42" ht="40.35" customHeight="1" x14ac:dyDescent="0.3">
      <c r="A65" s="1036" t="s">
        <v>76</v>
      </c>
      <c r="B65" s="1038" t="s">
        <v>91</v>
      </c>
      <c r="C65" s="1113" t="s">
        <v>1618</v>
      </c>
      <c r="D65" s="1528" t="s">
        <v>1619</v>
      </c>
      <c r="E65" s="1303" t="s">
        <v>1620</v>
      </c>
      <c r="F65" s="1040" t="s">
        <v>1610</v>
      </c>
      <c r="G65" s="1117">
        <v>46055</v>
      </c>
      <c r="H65" s="1117">
        <v>46136</v>
      </c>
      <c r="I65" s="1439">
        <v>40500</v>
      </c>
      <c r="J65" s="1158">
        <v>46113</v>
      </c>
      <c r="K65" s="1121">
        <f t="shared" ref="K65" si="36">IF(J65="", "", 12 - MONTH(J65) + 1)</f>
        <v>9</v>
      </c>
      <c r="L65" s="1074"/>
      <c r="M65" s="1119" t="s">
        <v>287</v>
      </c>
      <c r="N65" s="1540">
        <v>61023.6</v>
      </c>
      <c r="O65" s="1057" t="s">
        <v>80</v>
      </c>
      <c r="P65" s="1057">
        <v>1</v>
      </c>
      <c r="Q65" s="87" t="s">
        <v>106</v>
      </c>
      <c r="R65" s="91">
        <f>AVERAGE([24]Estrutura!$I$5:$I$13)</f>
        <v>0.88888888888888884</v>
      </c>
      <c r="S65" s="309">
        <f>IFERROR(IF(AND(S$54&gt;=EOMONTH($J65,-1)+1,S$54&lt;=EOMONTH(EOMONTH($J65,-1)+1,$K65-1)),IF(NOT(ISBLANK($N65)),$N65/$K65,$I65/$K65),0),0)</f>
        <v>0</v>
      </c>
      <c r="T65" s="309">
        <f>IFERROR(IF(AND(T$54&gt;=EOMONTH($J65,-1)+1,T$54&lt;=EOMONTH(EOMONTH($J65,-1)+1,$K65-1)),IF(NOT(ISBLANK($N65)),$N65/$K65,$I65/$K65),0),0)</f>
        <v>0</v>
      </c>
      <c r="U65" s="309">
        <f>IFERROR(IF(AND(U$54&gt;=EOMONTH($J65,-1)+1,U$54&lt;=EOMONTH(EOMONTH($J65,-1)+1,$K65-1)),IF(NOT(ISBLANK($N65)),$N65/$K65,$I65/$K65),0),0)</f>
        <v>0</v>
      </c>
      <c r="V65" s="89">
        <f t="shared" si="29"/>
        <v>0</v>
      </c>
      <c r="W65" s="309">
        <f>IFERROR(IF(AND(W$54&gt;=EOMONTH($J65,-1)+1,W$54&lt;=EOMONTH(EOMONTH($J65,-1)+1,$K65-1)),IF(NOT(ISBLANK($N65)),$N65/$K65,$I65/$K65),0),0)</f>
        <v>6780.4</v>
      </c>
      <c r="X65" s="309">
        <f>IFERROR(IF(AND(X$54&gt;=EOMONTH($J65,-1)+1,X$54&lt;=EOMONTH(EOMONTH($J65,-1)+1,$K65-1)),IF(NOT(ISBLANK($N65)),$N65/$K65,$I65/$K65),0),0)</f>
        <v>6780.4</v>
      </c>
      <c r="Y65" s="309">
        <f>IFERROR(IF(AND(Y$54&gt;=EOMONTH($J65,-1)+1,Y$54&lt;=EOMONTH(EOMONTH($J65,-1)+1,$K65-1)),IF(NOT(ISBLANK($N65)),$N65/$K65,$I65/$K65),0),0)</f>
        <v>6780.4</v>
      </c>
      <c r="Z65" s="89">
        <f t="shared" si="30"/>
        <v>20341.199999999997</v>
      </c>
      <c r="AA65" s="309">
        <f>IFERROR(IF(AND(AA$54&gt;=EOMONTH($J65,-1)+1,AA$54&lt;=EOMONTH(EOMONTH($J65,-1)+1,$K65-1)),IF(NOT(ISBLANK($N65)),$N65/$K65,$I65/$K65),0),0)</f>
        <v>6780.4</v>
      </c>
      <c r="AB65" s="309">
        <f>IFERROR(IF(AND(AB$54&gt;=EOMONTH($J65,-1)+1,AB$54&lt;=EOMONTH(EOMONTH($J65,-1)+1,$K65-1)),IF(NOT(ISBLANK($N65)),$N65/$K65,$I65/$K65),0),0)</f>
        <v>6780.4</v>
      </c>
      <c r="AC65" s="309">
        <f>IFERROR(IF(AND(AC$54&gt;=EOMONTH($J65,-1)+1,AC$54&lt;=EOMONTH(EOMONTH($J65,-1)+1,$K65-1)),IF(NOT(ISBLANK($N65)),$N65/$K65,$I65/$K65),0),0)</f>
        <v>6780.4</v>
      </c>
      <c r="AD65" s="89">
        <f t="shared" si="31"/>
        <v>20341.199999999997</v>
      </c>
      <c r="AE65" s="309">
        <f>IFERROR(IF(AND(AE$54&gt;=EOMONTH($J65,-1)+1,AE$54&lt;=EOMONTH(EOMONTH($J65,-1)+1,$K65-1)),IF(NOT(ISBLANK($N65)),$N65/$K65,$I65/$K65),0),0)</f>
        <v>6780.4</v>
      </c>
      <c r="AF65" s="309">
        <f>IFERROR(IF(AND(AF$54&gt;=EOMONTH($J65,-1)+1,AF$54&lt;=EOMONTH(EOMONTH($J65,-1)+1,$K65-1)),IF(NOT(ISBLANK($N65)),$N65/$K65,$I65/$K65),0),0)</f>
        <v>6780.4</v>
      </c>
      <c r="AG65" s="309">
        <f>IFERROR(IF(AND(AG$54&gt;=EOMONTH($J65,-1)+1,AG$54&lt;=EOMONTH(EOMONTH($J65,-1)+1,$K65-1)),IF(NOT(ISBLANK($N65)),$N65/$K65,$I65/$K65),0),0)</f>
        <v>6780.4</v>
      </c>
      <c r="AH65" s="89">
        <f t="shared" si="17"/>
        <v>20341.199999999997</v>
      </c>
      <c r="AI65" s="90">
        <f>SUM(V65,Z65,AD65,AH65)</f>
        <v>61023.599999999991</v>
      </c>
      <c r="AJ65" s="98"/>
      <c r="AK65" s="1040"/>
      <c r="AL65" s="1048"/>
      <c r="AM65" s="1046">
        <f t="shared" ref="AM65" si="37">N65*AL65</f>
        <v>0</v>
      </c>
      <c r="AN65" s="62" t="str">
        <f>C65</f>
        <v>06 - Acabamento capo CN13</v>
      </c>
      <c r="AO65" s="62" t="s">
        <v>289</v>
      </c>
      <c r="AP65" s="543" cm="1">
        <f t="array" aca="1" ref="AP65" ca="1">IF(OR(AN65="",AN65=0),"",IF(SUMPRODUCT(($C$55:$C$160=AN65)*(S$54:$AG$54&lt;EOMONTH(TODAY(),-1)+1)*(ISNUMBER(S$55:$AG$160)),S$55:$AG$160)=0,"",SUMPRODUCT(($C$55:$C$160=AN65)*(S$54:$AG$54&lt;EOMONTH(TODAY(),-1)+1)*(ISNUMBER(S$55:$AG$160)),S$55:$AG$160)))</f>
        <v>13560.8</v>
      </c>
    </row>
    <row r="66" spans="1:42" ht="29.1" customHeight="1" x14ac:dyDescent="0.3">
      <c r="A66" s="1036"/>
      <c r="B66" s="1039"/>
      <c r="C66" s="1113"/>
      <c r="D66" s="1528"/>
      <c r="E66" s="1303"/>
      <c r="F66" s="1040"/>
      <c r="G66" s="1117"/>
      <c r="H66" s="1117"/>
      <c r="I66" s="1439"/>
      <c r="J66" s="1158"/>
      <c r="K66" s="1121"/>
      <c r="L66" s="1074"/>
      <c r="M66" s="1119"/>
      <c r="N66" s="1540"/>
      <c r="O66" s="1057"/>
      <c r="P66" s="1057"/>
      <c r="Q66" s="87" t="s">
        <v>107</v>
      </c>
      <c r="R66" s="91">
        <f>AVERAGE([24]Estrutura!$J$5:$J$13)</f>
        <v>0.91111111111111098</v>
      </c>
      <c r="S66" s="309" t="s">
        <v>390</v>
      </c>
      <c r="T66" s="309" t="s">
        <v>390</v>
      </c>
      <c r="U66" s="309" t="s">
        <v>390</v>
      </c>
      <c r="V66" s="89">
        <f t="shared" si="29"/>
        <v>0</v>
      </c>
      <c r="W66" s="309">
        <v>6780.4</v>
      </c>
      <c r="X66" s="309">
        <v>6780.4</v>
      </c>
      <c r="Y66" s="309" t="s">
        <v>390</v>
      </c>
      <c r="Z66" s="89">
        <f t="shared" si="30"/>
        <v>13560.8</v>
      </c>
      <c r="AA66" s="309" t="s">
        <v>390</v>
      </c>
      <c r="AB66" s="309" t="s">
        <v>390</v>
      </c>
      <c r="AC66" s="309" t="s">
        <v>390</v>
      </c>
      <c r="AD66" s="89">
        <f t="shared" si="31"/>
        <v>0</v>
      </c>
      <c r="AE66" s="309" t="s">
        <v>390</v>
      </c>
      <c r="AF66" s="309" t="s">
        <v>390</v>
      </c>
      <c r="AG66" s="309" t="s">
        <v>390</v>
      </c>
      <c r="AH66" s="89">
        <f t="shared" si="17"/>
        <v>0</v>
      </c>
      <c r="AI66" s="311">
        <f t="shared" si="33"/>
        <v>13560.8</v>
      </c>
      <c r="AJ66" s="360"/>
      <c r="AK66" s="1040"/>
      <c r="AL66" s="1048"/>
      <c r="AM66" s="1046"/>
      <c r="AN66" s="62" t="str">
        <f>C65</f>
        <v>06 - Acabamento capo CN13</v>
      </c>
      <c r="AO66" s="62" t="s">
        <v>291</v>
      </c>
      <c r="AP66" s="543" cm="1">
        <f t="array" aca="1" ref="AP66" ca="1">IF(OR(AN66="",AN66=0),"",IF(SUMPRODUCT(($C$55:$C$160=AN66)*(S$54:$AG$54&lt;EOMONTH(TODAY(),-1)+1)*(ISNUMBER(S$56:$AG$161)),S$56:$AG$161)=0,"",SUMPRODUCT(($C$55:$C$160=AN66)*(S$54:$AG$54&lt;EOMONTH(TODAY(),-1)+1)*(ISNUMBER(S$56:$AG$161)),S$56:$AG$161)))</f>
        <v>13560.8</v>
      </c>
    </row>
    <row r="67" spans="1:42" ht="40.35" customHeight="1" x14ac:dyDescent="0.3">
      <c r="A67" s="1038" t="s">
        <v>310</v>
      </c>
      <c r="B67" s="1299" t="s">
        <v>91</v>
      </c>
      <c r="C67" s="1532" t="s">
        <v>1621</v>
      </c>
      <c r="D67" s="1097" t="s">
        <v>1622</v>
      </c>
      <c r="E67" s="1363" t="s">
        <v>1623</v>
      </c>
      <c r="F67" s="1099" t="s">
        <v>1615</v>
      </c>
      <c r="G67" s="1150">
        <v>46069</v>
      </c>
      <c r="H67" s="1150">
        <v>46137</v>
      </c>
      <c r="I67" s="1152">
        <v>110000</v>
      </c>
      <c r="J67" s="1163"/>
      <c r="K67" s="1213">
        <v>11</v>
      </c>
      <c r="L67" s="1076"/>
      <c r="M67" s="1072"/>
      <c r="N67" s="1055"/>
      <c r="O67" s="1042" t="s">
        <v>80</v>
      </c>
      <c r="P67" s="1042">
        <v>1</v>
      </c>
      <c r="Q67" s="93" t="s">
        <v>106</v>
      </c>
      <c r="R67" s="96">
        <f>AVERAGE([25]Estrutura!$I$5:$I$11)</f>
        <v>0.80519480519480524</v>
      </c>
      <c r="S67" s="532">
        <f>IFERROR(IF(AND(S$54&gt;=EOMONTH($J67,-1)+1,S$54&lt;=EOMONTH(EOMONTH($J67,-1)+1,$K67-1)),IF(NOT(ISBLANK($N67)),$N67/$K67,$I67/$K67),0),0)</f>
        <v>0</v>
      </c>
      <c r="T67" s="532">
        <f>IFERROR(IF(AND(T$54&gt;=EOMONTH($J67,-1)+1,T$54&lt;=EOMONTH(EOMONTH($J67,-1)+1,$K67-1)),IF(NOT(ISBLANK($N67)),$N67/$K67,$I67/$K67),0),0)</f>
        <v>0</v>
      </c>
      <c r="U67" s="532">
        <f>IFERROR(IF(AND(U$54&gt;=EOMONTH($J67,-1)+1,U$54&lt;=EOMONTH(EOMONTH($J67,-1)+1,$K67-1)),IF(NOT(ISBLANK($N67)),$N67/$K67,$I67/$K67),0),0)</f>
        <v>0</v>
      </c>
      <c r="V67" s="89">
        <f t="shared" si="29"/>
        <v>0</v>
      </c>
      <c r="W67" s="532">
        <f>IFERROR(IF(AND(W$54&gt;=EOMONTH($J67,-1)+1,W$54&lt;=EOMONTH(EOMONTH($J67,-1)+1,$K67-1)),IF(NOT(ISBLANK($N67)),$N67/$K67,$I67/$K67),0),0)</f>
        <v>0</v>
      </c>
      <c r="X67" s="532">
        <f>IFERROR(IF(AND(X$54&gt;=EOMONTH($J67,-1)+1,X$54&lt;=EOMONTH(EOMONTH($J67,-1)+1,$K67-1)),IF(NOT(ISBLANK($N67)),$N67/$K67,$I67/$K67),0),0)</f>
        <v>0</v>
      </c>
      <c r="Y67" s="532">
        <f>IFERROR(IF(AND(Y$54&gt;=EOMONTH($J67,-1)+1,Y$54&lt;=EOMONTH(EOMONTH($J67,-1)+1,$K67-1)),IF(NOT(ISBLANK($N67)),$N67/$K67,$I67/$K67),0),0)</f>
        <v>0</v>
      </c>
      <c r="Z67" s="89">
        <f t="shared" si="30"/>
        <v>0</v>
      </c>
      <c r="AA67" s="532">
        <f>IFERROR(IF(AND(AA$54&gt;=EOMONTH($J67,-1)+1,AA$54&lt;=EOMONTH(EOMONTH($J67,-1)+1,$K67-1)),IF(NOT(ISBLANK($N67)),$N67/$K67,$I67/$K67),0),0)</f>
        <v>0</v>
      </c>
      <c r="AB67" s="532">
        <f>IFERROR(IF(AND(AB$54&gt;=EOMONTH($J67,-1)+1,AB$54&lt;=EOMONTH(EOMONTH($J67,-1)+1,$K67-1)),IF(NOT(ISBLANK($N67)),$N67/$K67,$I67/$K67),0),0)</f>
        <v>0</v>
      </c>
      <c r="AC67" s="532">
        <f>IFERROR(IF(AND(AC$54&gt;=EOMONTH($J67,-1)+1,AC$54&lt;=EOMONTH(EOMONTH($J67,-1)+1,$K67-1)),IF(NOT(ISBLANK($N67)),$N67/$K67,$I67/$K67),0),0)</f>
        <v>0</v>
      </c>
      <c r="AD67" s="89">
        <f t="shared" si="31"/>
        <v>0</v>
      </c>
      <c r="AE67" s="532">
        <f>IFERROR(IF(AND(AE$54&gt;=EOMONTH($J67,-1)+1,AE$54&lt;=EOMONTH(EOMONTH($J67,-1)+1,$K67-1)),IF(NOT(ISBLANK($N67)),$N67/$K67,$I67/$K67),0),0)</f>
        <v>0</v>
      </c>
      <c r="AF67" s="532">
        <f>IFERROR(IF(AND(AF$54&gt;=EOMONTH($J67,-1)+1,AF$54&lt;=EOMONTH(EOMONTH($J67,-1)+1,$K67-1)),IF(NOT(ISBLANK($N67)),$N67/$K67,$I67/$K67),0),0)</f>
        <v>0</v>
      </c>
      <c r="AG67" s="532">
        <f>IFERROR(IF(AND(AG$54&gt;=EOMONTH($J67,-1)+1,AG$54&lt;=EOMONTH(EOMONTH($J67,-1)+1,$K67-1)),IF(NOT(ISBLANK($N67)),$N67/$K67,$I67/$K67),0),0)</f>
        <v>0</v>
      </c>
      <c r="AH67" s="89">
        <f t="shared" si="17"/>
        <v>0</v>
      </c>
      <c r="AI67" s="95">
        <f t="shared" si="33"/>
        <v>0</v>
      </c>
      <c r="AJ67" s="97"/>
      <c r="AK67" s="1038"/>
      <c r="AL67" s="1042"/>
      <c r="AM67" s="1044">
        <f t="shared" ref="AM67" si="38">N67*AL67</f>
        <v>0</v>
      </c>
      <c r="AN67" s="62" t="str">
        <f>C67</f>
        <v>07 - Troca dos fornecedores de tubo do Capo CNH CN-13</v>
      </c>
      <c r="AO67" s="62" t="s">
        <v>289</v>
      </c>
      <c r="AP67" s="543" t="str" cm="1">
        <f t="array" aca="1" ref="AP67" ca="1">IF(OR(AN67="",AN67=0),"",IF(SUMPRODUCT(($C$55:$C$160=AN67)*(S$54:$AG$54&lt;EOMONTH(TODAY(),-1)+1)*(ISNUMBER(S$55:$AG$160)),S$55:$AG$160)=0,"",SUMPRODUCT(($C$55:$C$160=AN67)*(S$54:$AG$54&lt;EOMONTH(TODAY(),-1)+1)*(ISNUMBER(S$55:$AG$160)),S$55:$AG$160)))</f>
        <v/>
      </c>
    </row>
    <row r="68" spans="1:42" ht="35.85" customHeight="1" x14ac:dyDescent="0.3">
      <c r="A68" s="1038"/>
      <c r="B68" s="1300"/>
      <c r="C68" s="1532"/>
      <c r="D68" s="1097"/>
      <c r="E68" s="1363"/>
      <c r="F68" s="1099"/>
      <c r="G68" s="1150"/>
      <c r="H68" s="1150"/>
      <c r="I68" s="1152"/>
      <c r="J68" s="1163"/>
      <c r="K68" s="1213"/>
      <c r="L68" s="1076"/>
      <c r="M68" s="1072"/>
      <c r="N68" s="1055"/>
      <c r="O68" s="1042"/>
      <c r="P68" s="1042"/>
      <c r="Q68" s="93" t="s">
        <v>107</v>
      </c>
      <c r="R68" s="96">
        <f>AVERAGE([25]Estrutura!$J$5:$J$11)</f>
        <v>0.82857142857142851</v>
      </c>
      <c r="S68" s="312" t="s">
        <v>390</v>
      </c>
      <c r="T68" s="312" t="s">
        <v>390</v>
      </c>
      <c r="U68" s="312" t="s">
        <v>390</v>
      </c>
      <c r="V68" s="89">
        <f t="shared" si="29"/>
        <v>0</v>
      </c>
      <c r="W68" s="312" t="s">
        <v>390</v>
      </c>
      <c r="X68" s="312" t="s">
        <v>390</v>
      </c>
      <c r="Y68" s="312" t="s">
        <v>390</v>
      </c>
      <c r="Z68" s="89">
        <f t="shared" si="30"/>
        <v>0</v>
      </c>
      <c r="AA68" s="312" t="s">
        <v>390</v>
      </c>
      <c r="AB68" s="312" t="s">
        <v>390</v>
      </c>
      <c r="AC68" s="312" t="s">
        <v>390</v>
      </c>
      <c r="AD68" s="89">
        <f t="shared" si="31"/>
        <v>0</v>
      </c>
      <c r="AE68" s="312" t="s">
        <v>390</v>
      </c>
      <c r="AF68" s="312" t="s">
        <v>390</v>
      </c>
      <c r="AG68" s="312" t="s">
        <v>390</v>
      </c>
      <c r="AH68" s="89">
        <f t="shared" si="17"/>
        <v>0</v>
      </c>
      <c r="AI68" s="313">
        <f t="shared" si="33"/>
        <v>0</v>
      </c>
      <c r="AJ68" s="97"/>
      <c r="AK68" s="1038"/>
      <c r="AL68" s="1042"/>
      <c r="AM68" s="1044"/>
      <c r="AN68" s="62" t="str">
        <f>C67</f>
        <v>07 - Troca dos fornecedores de tubo do Capo CNH CN-13</v>
      </c>
      <c r="AO68" s="62" t="s">
        <v>291</v>
      </c>
      <c r="AP68" s="543" t="str" cm="1">
        <f t="array" aca="1" ref="AP68" ca="1">IF(OR(AN68="",AN68=0),"",IF(SUMPRODUCT(($C$55:$C$160=AN68)*(S$54:$AG$54&lt;EOMONTH(TODAY(),-1)+1)*(ISNUMBER(S$56:$AG$161)),S$56:$AG$161)=0,"",SUMPRODUCT(($C$55:$C$160=AN68)*(S$54:$AG$54&lt;EOMONTH(TODAY(),-1)+1)*(ISNUMBER(S$56:$AG$161)),S$56:$AG$161)))</f>
        <v/>
      </c>
    </row>
    <row r="69" spans="1:42" ht="40.35" customHeight="1" x14ac:dyDescent="0.3">
      <c r="A69" s="1036" t="s">
        <v>76</v>
      </c>
      <c r="B69" s="1038" t="s">
        <v>91</v>
      </c>
      <c r="C69" s="1113" t="s">
        <v>1624</v>
      </c>
      <c r="D69" s="1528" t="s">
        <v>1625</v>
      </c>
      <c r="E69" s="1303" t="s">
        <v>1626</v>
      </c>
      <c r="F69" s="1040" t="s">
        <v>1627</v>
      </c>
      <c r="G69" s="1117">
        <v>46063</v>
      </c>
      <c r="H69" s="1117">
        <v>46076</v>
      </c>
      <c r="I69" s="1439">
        <v>733701.49999999988</v>
      </c>
      <c r="J69" s="1158">
        <v>46082</v>
      </c>
      <c r="K69" s="1121">
        <f t="shared" ref="K69" si="39">IF(J69="", "", 12 - MONTH(J69) + 1)</f>
        <v>10</v>
      </c>
      <c r="L69" s="1074"/>
      <c r="M69" s="1119" t="s">
        <v>287</v>
      </c>
      <c r="N69" s="1053">
        <v>1736617.43</v>
      </c>
      <c r="O69" s="1057" t="s">
        <v>77</v>
      </c>
      <c r="P69" s="1057">
        <v>1</v>
      </c>
      <c r="Q69" s="87" t="s">
        <v>106</v>
      </c>
      <c r="R69" s="91">
        <f ca="1">IF(OR(G69="", H69=""), "", IF(TODAY()&lt;G69, 0, IF(TODAY()&gt;H69, 1, (TODAY()-G69+1)/(H69-G69+1))))</f>
        <v>1</v>
      </c>
      <c r="S69" s="309">
        <f>IFERROR(IF(AND(S$54&gt;=EOMONTH($J69,-1)+1,S$54&lt;=EOMONTH(EOMONTH($J69,-1)+1,$K69-1)),IF(NOT(ISBLANK($N69)),$N69/$K69,$I69/$K69),0),0)</f>
        <v>0</v>
      </c>
      <c r="T69" s="309">
        <f>IFERROR(IF(AND(T$54&gt;=EOMONTH($J69,-1)+1,T$54&lt;=EOMONTH(EOMONTH($J69,-1)+1,$K69-1)),IF(NOT(ISBLANK($N69)),$N69/$K69,$I69/$K69),0),0)</f>
        <v>0</v>
      </c>
      <c r="U69" s="309">
        <f>IFERROR(IF(AND(U$54&gt;=EOMONTH($J69,-1)+1,U$54&lt;=EOMONTH(EOMONTH($J69,-1)+1,$K69-1)),IF(NOT(ISBLANK($N69)),$N69/$K69,$I69/$K69),0),0)</f>
        <v>173661.74299999999</v>
      </c>
      <c r="V69" s="89">
        <f t="shared" si="29"/>
        <v>173661.74299999999</v>
      </c>
      <c r="W69" s="589">
        <f>IFERROR(IF(AND(W$54&gt;=EOMONTH($J69,-1)+1,W$54&lt;=EOMONTH(EOMONTH($J69,-1)+1,$K69-1)),IF(NOT(ISBLANK($N69)),$N69/$K69,$I69/$K69),0),0)</f>
        <v>173661.74299999999</v>
      </c>
      <c r="X69" s="309">
        <f>IFERROR(IF(AND(X$54&gt;=EOMONTH($J69,-1)+1,X$54&lt;=EOMONTH(EOMONTH($J69,-1)+1,$K69-1)),IF(NOT(ISBLANK($N69)),$N69/$K69,$I69/$K69),0),0)</f>
        <v>173661.74299999999</v>
      </c>
      <c r="Y69" s="309">
        <f>IFERROR(IF(AND(Y$54&gt;=EOMONTH($J69,-1)+1,Y$54&lt;=EOMONTH(EOMONTH($J69,-1)+1,$K69-1)),IF(NOT(ISBLANK($N69)),$N69/$K69,$I69/$K69),0),0)</f>
        <v>173661.74299999999</v>
      </c>
      <c r="Z69" s="89">
        <f t="shared" si="30"/>
        <v>520985.22899999993</v>
      </c>
      <c r="AA69" s="309">
        <f>IFERROR(IF(AND(AA$54&gt;=EOMONTH($J69,-1)+1,AA$54&lt;=EOMONTH(EOMONTH($J69,-1)+1,$K69-1)),IF(NOT(ISBLANK($N69)),$N69/$K69,$I69/$K69),0),0)</f>
        <v>173661.74299999999</v>
      </c>
      <c r="AB69" s="309">
        <f>IFERROR(IF(AND(AB$54&gt;=EOMONTH($J69,-1)+1,AB$54&lt;=EOMONTH(EOMONTH($J69,-1)+1,$K69-1)),IF(NOT(ISBLANK($N69)),$N69/$K69,$I69/$K69),0),0)</f>
        <v>173661.74299999999</v>
      </c>
      <c r="AC69" s="309">
        <f>IFERROR(IF(AND(AC$54&gt;=EOMONTH($J69,-1)+1,AC$54&lt;=EOMONTH(EOMONTH($J69,-1)+1,$K69-1)),IF(NOT(ISBLANK($N69)),$N69/$K69,$I69/$K69),0),0)</f>
        <v>173661.74299999999</v>
      </c>
      <c r="AD69" s="89">
        <f t="shared" si="31"/>
        <v>520985.22899999993</v>
      </c>
      <c r="AE69" s="309">
        <f>IFERROR(IF(AND(AE$54&gt;=EOMONTH($J69,-1)+1,AE$54&lt;=EOMONTH(EOMONTH($J69,-1)+1,$K69-1)),IF(NOT(ISBLANK($N69)),$N69/$K69,$I69/$K69),0),0)</f>
        <v>173661.74299999999</v>
      </c>
      <c r="AF69" s="309">
        <f>IFERROR(IF(AND(AF$54&gt;=EOMONTH($J69,-1)+1,AF$54&lt;=EOMONTH(EOMONTH($J69,-1)+1,$K69-1)),IF(NOT(ISBLANK($N69)),$N69/$K69,$I69/$K69),0),0)</f>
        <v>173661.74299999999</v>
      </c>
      <c r="AG69" s="309">
        <f>IFERROR(IF(AND(AG$54&gt;=EOMONTH($J69,-1)+1,AG$54&lt;=EOMONTH(EOMONTH($J69,-1)+1,$K69-1)),IF(NOT(ISBLANK($N69)),$N69/$K69,$I69/$K69),0),0)</f>
        <v>173661.74299999999</v>
      </c>
      <c r="AH69" s="89">
        <f t="shared" si="17"/>
        <v>520985.22899999993</v>
      </c>
      <c r="AI69" s="90">
        <f>SUM(V69,Z69,AD69,AH69)</f>
        <v>1736617.4299999997</v>
      </c>
      <c r="AJ69" s="98"/>
      <c r="AK69" s="1040"/>
      <c r="AL69" s="1048"/>
      <c r="AM69" s="1046">
        <f t="shared" ref="AM69" si="40">N69*AL69</f>
        <v>0</v>
      </c>
      <c r="AN69" s="62" t="str">
        <f>C69</f>
        <v>08 - Reestruturação</v>
      </c>
      <c r="AO69" s="62" t="s">
        <v>289</v>
      </c>
      <c r="AP69" s="543" cm="1">
        <f t="array" aca="1" ref="AP69" ca="1">IF(OR(AN69="",AN69=0),"",IF(SUMPRODUCT(($C$55:$C$160=AN69)*(S$54:$AG$54&lt;EOMONTH(TODAY(),-1)+1)*(ISNUMBER(S$55:$AG$160)),S$55:$AG$160)=0,"",SUMPRODUCT(($C$55:$C$160=AN69)*(S$54:$AG$54&lt;EOMONTH(TODAY(),-1)+1)*(ISNUMBER(S$55:$AG$160)),S$55:$AG$160)))</f>
        <v>520985.22899999993</v>
      </c>
    </row>
    <row r="70" spans="1:42" ht="29.1" customHeight="1" x14ac:dyDescent="0.3">
      <c r="A70" s="1036"/>
      <c r="B70" s="1039"/>
      <c r="C70" s="1113"/>
      <c r="D70" s="1528"/>
      <c r="E70" s="1303"/>
      <c r="F70" s="1040"/>
      <c r="G70" s="1117"/>
      <c r="H70" s="1117"/>
      <c r="I70" s="1439"/>
      <c r="J70" s="1158"/>
      <c r="K70" s="1121"/>
      <c r="L70" s="1074"/>
      <c r="M70" s="1119"/>
      <c r="N70" s="1053"/>
      <c r="O70" s="1057"/>
      <c r="P70" s="1057"/>
      <c r="Q70" s="87" t="s">
        <v>107</v>
      </c>
      <c r="R70" s="91">
        <v>1</v>
      </c>
      <c r="S70" s="309" t="s">
        <v>390</v>
      </c>
      <c r="T70" s="309"/>
      <c r="U70" s="589">
        <v>233271</v>
      </c>
      <c r="V70" s="89">
        <f t="shared" si="29"/>
        <v>233271</v>
      </c>
      <c r="W70" s="589">
        <v>233271</v>
      </c>
      <c r="X70" s="589">
        <v>233271</v>
      </c>
      <c r="Y70" s="309" t="s">
        <v>390</v>
      </c>
      <c r="Z70" s="89">
        <f t="shared" si="30"/>
        <v>466542</v>
      </c>
      <c r="AA70" s="309" t="s">
        <v>390</v>
      </c>
      <c r="AB70" s="309" t="s">
        <v>390</v>
      </c>
      <c r="AC70" s="309" t="s">
        <v>390</v>
      </c>
      <c r="AD70" s="89">
        <f t="shared" si="31"/>
        <v>0</v>
      </c>
      <c r="AE70" s="309" t="s">
        <v>390</v>
      </c>
      <c r="AF70" s="309" t="s">
        <v>390</v>
      </c>
      <c r="AG70" s="309" t="s">
        <v>390</v>
      </c>
      <c r="AH70" s="89">
        <f t="shared" si="17"/>
        <v>0</v>
      </c>
      <c r="AI70" s="311">
        <f t="shared" si="33"/>
        <v>699813</v>
      </c>
      <c r="AJ70" s="360"/>
      <c r="AK70" s="1040"/>
      <c r="AL70" s="1048"/>
      <c r="AM70" s="1046"/>
      <c r="AN70" s="62" t="str">
        <f>C69</f>
        <v>08 - Reestruturação</v>
      </c>
      <c r="AO70" s="62" t="s">
        <v>291</v>
      </c>
      <c r="AP70" s="543" cm="1">
        <f t="array" aca="1" ref="AP70" ca="1">IF(OR(AN70="",AN70=0),"",IF(SUMPRODUCT(($C$55:$C$160=AN70)*(S$54:$AG$54&lt;EOMONTH(TODAY(),-1)+1)*(ISNUMBER(S$56:$AG$161)),S$56:$AG$161)=0,"",SUMPRODUCT(($C$55:$C$160=AN70)*(S$54:$AG$54&lt;EOMONTH(TODAY(),-1)+1)*(ISNUMBER(S$56:$AG$161)),S$56:$AG$161)))</f>
        <v>699813</v>
      </c>
    </row>
    <row r="71" spans="1:42" ht="40.35" customHeight="1" x14ac:dyDescent="0.3">
      <c r="A71" s="1038" t="s">
        <v>310</v>
      </c>
      <c r="B71" s="1299" t="s">
        <v>91</v>
      </c>
      <c r="C71" s="1095" t="s">
        <v>1628</v>
      </c>
      <c r="D71" s="1097" t="s">
        <v>1629</v>
      </c>
      <c r="E71" s="1363" t="s">
        <v>1630</v>
      </c>
      <c r="F71" s="1099" t="s">
        <v>1631</v>
      </c>
      <c r="G71" s="1150">
        <v>46062</v>
      </c>
      <c r="H71" s="1150">
        <v>46112</v>
      </c>
      <c r="I71" s="1152">
        <v>6975</v>
      </c>
      <c r="J71" s="1109">
        <v>46113</v>
      </c>
      <c r="K71" s="1213">
        <f t="shared" ref="K71" si="41">IF(J71="", "", 12 - MONTH(J71) + 1)</f>
        <v>9</v>
      </c>
      <c r="L71" s="1076"/>
      <c r="M71" s="1091" t="s">
        <v>287</v>
      </c>
      <c r="N71" s="1509">
        <v>6272.73</v>
      </c>
      <c r="O71" s="1042" t="s">
        <v>80</v>
      </c>
      <c r="P71" s="1042">
        <v>1</v>
      </c>
      <c r="Q71" s="93" t="s">
        <v>106</v>
      </c>
      <c r="R71" s="96">
        <f>AVERAGE([26]Estrutura!$I$5:$I$11)</f>
        <v>0.70521541950113387</v>
      </c>
      <c r="S71" s="532">
        <f>IFERROR(IF(AND(S$54&gt;=EOMONTH($J71,-1)+1,S$54&lt;=EOMONTH(EOMONTH($J71,-1)+1,$K71-1)),IF(NOT(ISBLANK($N71)),$N71/$K71,$I71/$K71),0),0)</f>
        <v>0</v>
      </c>
      <c r="T71" s="532">
        <f>IFERROR(IF(AND(T$54&gt;=EOMONTH($J71,-1)+1,T$54&lt;=EOMONTH(EOMONTH($J71,-1)+1,$K71-1)),IF(NOT(ISBLANK($N71)),$N71/$K71,$I71/$K71),0),0)</f>
        <v>0</v>
      </c>
      <c r="U71" s="532">
        <f>IFERROR(IF(AND(U$54&gt;=EOMONTH($J71,-1)+1,U$54&lt;=EOMONTH(EOMONTH($J71,-1)+1,$K71-1)),IF(NOT(ISBLANK($N71)),$N71/$K71,$I71/$K71),0),0)</f>
        <v>0</v>
      </c>
      <c r="V71" s="89">
        <f t="shared" si="29"/>
        <v>0</v>
      </c>
      <c r="W71" s="802">
        <f>IFERROR(IF(AND(W$54&gt;=EOMONTH($J71,-1)+1,W$54&lt;=EOMONTH(EOMONTH($J71,-1)+1,$K71-1)),IF(NOT(ISBLANK($N71)),$N71/$K71,$I71/$K71),0),0)</f>
        <v>696.96999999999991</v>
      </c>
      <c r="X71" s="532">
        <f>IFERROR(IF(AND(X$54&gt;=EOMONTH($J71,-1)+1,X$54&lt;=EOMONTH(EOMONTH($J71,-1)+1,$K71-1)),IF(NOT(ISBLANK($N71)),$N71/$K71,$I71/$K71),0),0)</f>
        <v>696.96999999999991</v>
      </c>
      <c r="Y71" s="532">
        <f>IFERROR(IF(AND(Y$54&gt;=EOMONTH($J71,-1)+1,Y$54&lt;=EOMONTH(EOMONTH($J71,-1)+1,$K71-1)),IF(NOT(ISBLANK($N71)),$N71/$K71,$I71/$K71),0),0)</f>
        <v>696.96999999999991</v>
      </c>
      <c r="Z71" s="89">
        <f t="shared" si="30"/>
        <v>2090.91</v>
      </c>
      <c r="AA71" s="532">
        <f>IFERROR(IF(AND(AA$54&gt;=EOMONTH($J71,-1)+1,AA$54&lt;=EOMONTH(EOMONTH($J71,-1)+1,$K71-1)),IF(NOT(ISBLANK($N71)),$N71/$K71,$I71/$K71),0),0)</f>
        <v>696.96999999999991</v>
      </c>
      <c r="AB71" s="532">
        <f>IFERROR(IF(AND(AB$54&gt;=EOMONTH($J71,-1)+1,AB$54&lt;=EOMONTH(EOMONTH($J71,-1)+1,$K71-1)),IF(NOT(ISBLANK($N71)),$N71/$K71,$I71/$K71),0),0)</f>
        <v>696.96999999999991</v>
      </c>
      <c r="AC71" s="532">
        <f>IFERROR(IF(AND(AC$54&gt;=EOMONTH($J71,-1)+1,AC$54&lt;=EOMONTH(EOMONTH($J71,-1)+1,$K71-1)),IF(NOT(ISBLANK($N71)),$N71/$K71,$I71/$K71),0),0)</f>
        <v>696.96999999999991</v>
      </c>
      <c r="AD71" s="89">
        <f t="shared" si="31"/>
        <v>2090.91</v>
      </c>
      <c r="AE71" s="532">
        <f>IFERROR(IF(AND(AE$54&gt;=EOMONTH($J71,-1)+1,AE$54&lt;=EOMONTH(EOMONTH($J71,-1)+1,$K71-1)),IF(NOT(ISBLANK($N71)),$N71/$K71,$I71/$K71),0),0)</f>
        <v>696.96999999999991</v>
      </c>
      <c r="AF71" s="532">
        <f>IFERROR(IF(AND(AF$54&gt;=EOMONTH($J71,-1)+1,AF$54&lt;=EOMONTH(EOMONTH($J71,-1)+1,$K71-1)),IF(NOT(ISBLANK($N71)),$N71/$K71,$I71/$K71),0),0)</f>
        <v>696.96999999999991</v>
      </c>
      <c r="AG71" s="532">
        <f>IFERROR(IF(AND(AG$54&gt;=EOMONTH($J71,-1)+1,AG$54&lt;=EOMONTH(EOMONTH($J71,-1)+1,$K71-1)),IF(NOT(ISBLANK($N71)),$N71/$K71,$I71/$K71),0),0)</f>
        <v>696.96999999999991</v>
      </c>
      <c r="AH71" s="89">
        <f t="shared" si="17"/>
        <v>2090.91</v>
      </c>
      <c r="AI71" s="95">
        <f t="shared" si="33"/>
        <v>6272.73</v>
      </c>
      <c r="AJ71" s="97"/>
      <c r="AK71" s="1038"/>
      <c r="AL71" s="1042"/>
      <c r="AM71" s="1044">
        <f t="shared" ref="AM71" si="42">N71*AL71</f>
        <v>0</v>
      </c>
      <c r="AN71" s="62" t="str">
        <f>C71</f>
        <v>09 - REDUÇÃO DE CUSTO LOCAÇÃO DE PTA (12METROS)</v>
      </c>
      <c r="AO71" s="62" t="s">
        <v>289</v>
      </c>
      <c r="AP71" s="543" cm="1">
        <f t="array" aca="1" ref="AP71" ca="1">IF(OR(AN71="",AN71=0),"",IF(SUMPRODUCT(($C$55:$C$160=AN71)*(S$54:$AG$54&lt;EOMONTH(TODAY(),-1)+1)*(ISNUMBER(S$55:$AG$160)),S$55:$AG$160)=0,"",SUMPRODUCT(($C$55:$C$160=AN71)*(S$54:$AG$54&lt;EOMONTH(TODAY(),-1)+1)*(ISNUMBER(S$55:$AG$160)),S$55:$AG$160)))</f>
        <v>1393.9399999999998</v>
      </c>
    </row>
    <row r="72" spans="1:42" ht="38.1" customHeight="1" x14ac:dyDescent="0.3">
      <c r="A72" s="1038"/>
      <c r="B72" s="1300"/>
      <c r="C72" s="1095"/>
      <c r="D72" s="1097"/>
      <c r="E72" s="1363"/>
      <c r="F72" s="1099"/>
      <c r="G72" s="1150"/>
      <c r="H72" s="1150"/>
      <c r="I72" s="1152"/>
      <c r="J72" s="1109"/>
      <c r="K72" s="1213"/>
      <c r="L72" s="1076"/>
      <c r="M72" s="1091"/>
      <c r="N72" s="1509"/>
      <c r="O72" s="1042"/>
      <c r="P72" s="1042"/>
      <c r="Q72" s="93" t="s">
        <v>107</v>
      </c>
      <c r="R72" s="96">
        <f>AVERAGE([26]Estrutura!$J$5:$J$11)</f>
        <v>0.77142857142857146</v>
      </c>
      <c r="S72" s="312">
        <v>0</v>
      </c>
      <c r="T72" s="312">
        <v>0</v>
      </c>
      <c r="U72" s="312">
        <v>0</v>
      </c>
      <c r="V72" s="89">
        <f t="shared" si="29"/>
        <v>0</v>
      </c>
      <c r="W72" s="1008">
        <v>-645.38</v>
      </c>
      <c r="X72" s="802">
        <v>789.07</v>
      </c>
      <c r="Y72" s="312" t="s">
        <v>390</v>
      </c>
      <c r="Z72" s="89">
        <f t="shared" si="30"/>
        <v>143.69000000000005</v>
      </c>
      <c r="AA72" s="312" t="s">
        <v>390</v>
      </c>
      <c r="AB72" s="312" t="s">
        <v>390</v>
      </c>
      <c r="AC72" s="312" t="s">
        <v>390</v>
      </c>
      <c r="AD72" s="89">
        <f t="shared" si="31"/>
        <v>0</v>
      </c>
      <c r="AE72" s="312" t="s">
        <v>390</v>
      </c>
      <c r="AF72" s="312" t="s">
        <v>390</v>
      </c>
      <c r="AG72" s="312" t="s">
        <v>390</v>
      </c>
      <c r="AH72" s="89">
        <f t="shared" si="17"/>
        <v>0</v>
      </c>
      <c r="AI72" s="313">
        <f t="shared" si="33"/>
        <v>143.69000000000005</v>
      </c>
      <c r="AJ72" s="97"/>
      <c r="AK72" s="1038"/>
      <c r="AL72" s="1042"/>
      <c r="AM72" s="1044"/>
      <c r="AN72" s="62" t="str">
        <f>C71</f>
        <v>09 - REDUÇÃO DE CUSTO LOCAÇÃO DE PTA (12METROS)</v>
      </c>
      <c r="AO72" s="62" t="s">
        <v>291</v>
      </c>
      <c r="AP72" s="543" cm="1">
        <f t="array" aca="1" ref="AP72" ca="1">IF(OR(AN72="",AN72=0),"",IF(SUMPRODUCT(($C$55:$C$160=AN72)*(S$54:$AG$54&lt;EOMONTH(TODAY(),-1)+1)*(ISNUMBER(S$56:$AG$161)),S$56:$AG$161)=0,"",SUMPRODUCT(($C$55:$C$160=AN72)*(S$54:$AG$54&lt;EOMONTH(TODAY(),-1)+1)*(ISNUMBER(S$56:$AG$161)),S$56:$AG$161)))</f>
        <v>143.69000000000005</v>
      </c>
    </row>
    <row r="73" spans="1:42" ht="40.35" customHeight="1" x14ac:dyDescent="0.3">
      <c r="A73" s="1036" t="s">
        <v>310</v>
      </c>
      <c r="B73" s="1038" t="s">
        <v>91</v>
      </c>
      <c r="C73" s="1535" t="s">
        <v>1632</v>
      </c>
      <c r="D73" s="1115" t="s">
        <v>1633</v>
      </c>
      <c r="E73" s="1303" t="s">
        <v>1634</v>
      </c>
      <c r="F73" s="1040" t="s">
        <v>1631</v>
      </c>
      <c r="G73" s="1117">
        <v>46054</v>
      </c>
      <c r="H73" s="1117">
        <v>46204</v>
      </c>
      <c r="I73" s="1074">
        <v>24000</v>
      </c>
      <c r="J73" s="1158">
        <v>46204</v>
      </c>
      <c r="K73" s="1121">
        <f t="shared" ref="K73" si="43">IF(J73="", "", 12 - MONTH(J73) + 1)</f>
        <v>6</v>
      </c>
      <c r="L73" s="1074"/>
      <c r="M73" s="1119"/>
      <c r="N73" s="1053"/>
      <c r="O73" s="1057" t="s">
        <v>80</v>
      </c>
      <c r="P73" s="1057">
        <v>1</v>
      </c>
      <c r="Q73" s="87" t="s">
        <v>106</v>
      </c>
      <c r="R73" s="91">
        <f>AVERAGE([27]Estrutura!$I$5:$I$11)</f>
        <v>0.84729064039408875</v>
      </c>
      <c r="S73" s="309">
        <f>IFERROR(IF(AND(S$54&gt;=EOMONTH($J73,-1)+1,S$54&lt;=EOMONTH(EOMONTH($J73,-1)+1,$K73-1)),IF(NOT(ISBLANK($N73)),$N73/$K73,$I73/$K73),0),0)</f>
        <v>0</v>
      </c>
      <c r="T73" s="309">
        <f>IFERROR(IF(AND(T$54&gt;=EOMONTH($J73,-1)+1,T$54&lt;=EOMONTH(EOMONTH($J73,-1)+1,$K73-1)),IF(NOT(ISBLANK($N73)),$N73/$K73,$I73/$K73),0),0)</f>
        <v>0</v>
      </c>
      <c r="U73" s="309">
        <f>IFERROR(IF(AND(U$54&gt;=EOMONTH($J73,-1)+1,U$54&lt;=EOMONTH(EOMONTH($J73,-1)+1,$K73-1)),IF(NOT(ISBLANK($N73)),$N73/$K73,$I73/$K73),0),0)</f>
        <v>0</v>
      </c>
      <c r="V73" s="89">
        <f t="shared" si="29"/>
        <v>0</v>
      </c>
      <c r="W73" s="309">
        <f>IFERROR(IF(AND(W$54&gt;=EOMONTH($J73,-1)+1,W$54&lt;=EOMONTH(EOMONTH($J73,-1)+1,$K73-1)),IF(NOT(ISBLANK($N73)),$N73/$K73,$I73/$K73),0),0)</f>
        <v>0</v>
      </c>
      <c r="X73" s="309">
        <f>IFERROR(IF(AND(X$54&gt;=EOMONTH($J73,-1)+1,X$54&lt;=EOMONTH(EOMONTH($J73,-1)+1,$K73-1)),IF(NOT(ISBLANK($N73)),$N73/$K73,$I73/$K73),0),0)</f>
        <v>0</v>
      </c>
      <c r="Y73" s="309">
        <f>IFERROR(IF(AND(Y$54&gt;=EOMONTH($J73,-1)+1,Y$54&lt;=EOMONTH(EOMONTH($J73,-1)+1,$K73-1)),IF(NOT(ISBLANK($N73)),$N73/$K73,$I73/$K73),0),0)</f>
        <v>0</v>
      </c>
      <c r="Z73" s="89">
        <f t="shared" si="30"/>
        <v>0</v>
      </c>
      <c r="AA73" s="309">
        <f>IFERROR(IF(AND(AA$54&gt;=EOMONTH($J73,-1)+1,AA$54&lt;=EOMONTH(EOMONTH($J73,-1)+1,$K73-1)),IF(NOT(ISBLANK($N73)),$N73/$K73,$I73/$K73),0),0)</f>
        <v>4000</v>
      </c>
      <c r="AB73" s="309">
        <f>IFERROR(IF(AND(AB$54&gt;=EOMONTH($J73,-1)+1,AB$54&lt;=EOMONTH(EOMONTH($J73,-1)+1,$K73-1)),IF(NOT(ISBLANK($N73)),$N73/$K73,$I73/$K73),0),0)</f>
        <v>4000</v>
      </c>
      <c r="AC73" s="309">
        <f>IFERROR(IF(AND(AC$54&gt;=EOMONTH($J73,-1)+1,AC$54&lt;=EOMONTH(EOMONTH($J73,-1)+1,$K73-1)),IF(NOT(ISBLANK($N73)),$N73/$K73,$I73/$K73),0),0)</f>
        <v>4000</v>
      </c>
      <c r="AD73" s="89">
        <f t="shared" si="31"/>
        <v>12000</v>
      </c>
      <c r="AE73" s="309">
        <f>IFERROR(IF(AND(AE$54&gt;=EOMONTH($J73,-1)+1,AE$54&lt;=EOMONTH(EOMONTH($J73,-1)+1,$K73-1)),IF(NOT(ISBLANK($N73)),$N73/$K73,$I73/$K73),0),0)</f>
        <v>4000</v>
      </c>
      <c r="AF73" s="309">
        <f>IFERROR(IF(AND(AF$54&gt;=EOMONTH($J73,-1)+1,AF$54&lt;=EOMONTH(EOMONTH($J73,-1)+1,$K73-1)),IF(NOT(ISBLANK($N73)),$N73/$K73,$I73/$K73),0),0)</f>
        <v>4000</v>
      </c>
      <c r="AG73" s="309">
        <f>IFERROR(IF(AND(AG$54&gt;=EOMONTH($J73,-1)+1,AG$54&lt;=EOMONTH(EOMONTH($J73,-1)+1,$K73-1)),IF(NOT(ISBLANK($N73)),$N73/$K73,$I73/$K73),0),0)</f>
        <v>4000</v>
      </c>
      <c r="AH73" s="89">
        <f t="shared" si="17"/>
        <v>12000</v>
      </c>
      <c r="AI73" s="90">
        <f>SUM(V73,Z73,AD73,AH73)</f>
        <v>24000</v>
      </c>
      <c r="AJ73" s="98"/>
      <c r="AK73" s="1040"/>
      <c r="AL73" s="1048"/>
      <c r="AM73" s="1046">
        <f t="shared" ref="AM73" si="44">N73*AL73</f>
        <v>0</v>
      </c>
      <c r="AN73" s="62" t="str">
        <f>C73</f>
        <v>10 - Vazamentos de Ar Comprimido</v>
      </c>
      <c r="AO73" s="62" t="s">
        <v>289</v>
      </c>
      <c r="AP73" s="543" t="str" cm="1">
        <f t="array" aca="1" ref="AP73" ca="1">IF(OR(AN73="",AN73=0),"",IF(SUMPRODUCT(($C$55:$C$160=AN73)*(S$54:$AG$54&lt;EOMONTH(TODAY(),-1)+1)*(ISNUMBER(S$55:$AG$160)),S$55:$AG$160)=0,"",SUMPRODUCT(($C$55:$C$160=AN73)*(S$54:$AG$54&lt;EOMONTH(TODAY(),-1)+1)*(ISNUMBER(S$55:$AG$160)),S$55:$AG$160)))</f>
        <v/>
      </c>
    </row>
    <row r="74" spans="1:42" ht="29.1" customHeight="1" x14ac:dyDescent="0.3">
      <c r="A74" s="1036"/>
      <c r="B74" s="1039"/>
      <c r="C74" s="1535"/>
      <c r="D74" s="1115"/>
      <c r="E74" s="1303"/>
      <c r="F74" s="1040"/>
      <c r="G74" s="1117"/>
      <c r="H74" s="1117"/>
      <c r="I74" s="1074"/>
      <c r="J74" s="1158"/>
      <c r="K74" s="1121"/>
      <c r="L74" s="1074"/>
      <c r="M74" s="1119"/>
      <c r="N74" s="1053"/>
      <c r="O74" s="1057"/>
      <c r="P74" s="1057"/>
      <c r="Q74" s="87" t="s">
        <v>107</v>
      </c>
      <c r="R74" s="91">
        <f>AVERAGE([27]Estrutura!$J$5:$J$11)</f>
        <v>0.85</v>
      </c>
      <c r="S74" s="309" t="s">
        <v>390</v>
      </c>
      <c r="T74" s="309" t="s">
        <v>390</v>
      </c>
      <c r="U74" s="309" t="s">
        <v>390</v>
      </c>
      <c r="V74" s="89">
        <f t="shared" si="29"/>
        <v>0</v>
      </c>
      <c r="W74" s="309" t="s">
        <v>390</v>
      </c>
      <c r="X74" s="309" t="s">
        <v>390</v>
      </c>
      <c r="Y74" s="309" t="s">
        <v>390</v>
      </c>
      <c r="Z74" s="89">
        <f t="shared" si="30"/>
        <v>0</v>
      </c>
      <c r="AA74" s="309" t="s">
        <v>390</v>
      </c>
      <c r="AB74" s="309" t="s">
        <v>390</v>
      </c>
      <c r="AC74" s="309" t="s">
        <v>390</v>
      </c>
      <c r="AD74" s="89">
        <f t="shared" si="31"/>
        <v>0</v>
      </c>
      <c r="AE74" s="309" t="s">
        <v>390</v>
      </c>
      <c r="AF74" s="309" t="s">
        <v>390</v>
      </c>
      <c r="AG74" s="309" t="s">
        <v>390</v>
      </c>
      <c r="AH74" s="89">
        <f t="shared" si="17"/>
        <v>0</v>
      </c>
      <c r="AI74" s="311">
        <f t="shared" si="33"/>
        <v>0</v>
      </c>
      <c r="AJ74" s="360"/>
      <c r="AK74" s="1040"/>
      <c r="AL74" s="1048"/>
      <c r="AM74" s="1046"/>
      <c r="AN74" s="62" t="str">
        <f>C73</f>
        <v>10 - Vazamentos de Ar Comprimido</v>
      </c>
      <c r="AO74" s="62" t="s">
        <v>291</v>
      </c>
      <c r="AP74" s="543" t="str" cm="1">
        <f t="array" aca="1" ref="AP74" ca="1">IF(OR(AN74="",AN74=0),"",IF(SUMPRODUCT(($C$55:$C$160=AN74)*(S$54:$AG$54&lt;EOMONTH(TODAY(),-1)+1)*(ISNUMBER(S$56:$AG$161)),S$56:$AG$161)=0,"",SUMPRODUCT(($C$55:$C$160=AN74)*(S$54:$AG$54&lt;EOMONTH(TODAY(),-1)+1)*(ISNUMBER(S$56:$AG$161)),S$56:$AG$161)))</f>
        <v/>
      </c>
    </row>
    <row r="75" spans="1:42" ht="40.35" customHeight="1" x14ac:dyDescent="0.3">
      <c r="A75" s="1038" t="s">
        <v>76</v>
      </c>
      <c r="B75" s="1299" t="s">
        <v>91</v>
      </c>
      <c r="C75" s="1531" t="s">
        <v>1635</v>
      </c>
      <c r="D75" s="1097" t="s">
        <v>1636</v>
      </c>
      <c r="E75" s="1363" t="s">
        <v>1637</v>
      </c>
      <c r="F75" s="1099" t="s">
        <v>1638</v>
      </c>
      <c r="G75" s="1150">
        <v>46064</v>
      </c>
      <c r="H75" s="1150">
        <v>46118</v>
      </c>
      <c r="I75" s="1527">
        <v>22050</v>
      </c>
      <c r="J75" s="1109"/>
      <c r="K75" s="1213" t="str">
        <f t="shared" ref="K75" si="45">IF(J75="", "", 12 - MONTH(J75) + 1)</f>
        <v/>
      </c>
      <c r="L75" s="1076"/>
      <c r="M75" s="1072"/>
      <c r="N75" s="1055"/>
      <c r="O75" s="1042" t="s">
        <v>80</v>
      </c>
      <c r="P75" s="1042">
        <v>1</v>
      </c>
      <c r="Q75" s="93" t="s">
        <v>106</v>
      </c>
      <c r="R75" s="96">
        <f>AVERAGE([28]Estrutura!$I$5:$I$12)</f>
        <v>0.4925373134328358</v>
      </c>
      <c r="S75" s="532">
        <f>IFERROR(IF(AND(S$54&gt;=EOMONTH($J75,-1)+1,S$54&lt;=EOMONTH(EOMONTH($J75,-1)+1,$K75-1)),IF(NOT(ISBLANK($N75)),$N75/$K75,$I75/$K75),0),0)</f>
        <v>0</v>
      </c>
      <c r="T75" s="532">
        <f>IFERROR(IF(AND(T$54&gt;=EOMONTH($J75,-1)+1,T$54&lt;=EOMONTH(EOMONTH($J75,-1)+1,$K75-1)),IF(NOT(ISBLANK($N75)),$N75/$K75,$I75/$K75),0),0)</f>
        <v>0</v>
      </c>
      <c r="U75" s="532">
        <f>IFERROR(IF(AND(U$54&gt;=EOMONTH($J75,-1)+1,U$54&lt;=EOMONTH(EOMONTH($J75,-1)+1,$K75-1)),IF(NOT(ISBLANK($N75)),$N75/$K75,$I75/$K75),0),0)</f>
        <v>0</v>
      </c>
      <c r="V75" s="89">
        <f t="shared" si="29"/>
        <v>0</v>
      </c>
      <c r="W75" s="717">
        <f>IFERROR(IF(AND(W$54&gt;=EOMONTH($J75,-1)+1,W$54&lt;=EOMONTH(EOMONTH($J75,-1)+1,$K75-1)),IF(NOT(ISBLANK($N75)),$N75/$K75,$I75/$K75),0),0)</f>
        <v>0</v>
      </c>
      <c r="X75" s="532">
        <f>IFERROR(IF(AND(X$54&gt;=EOMONTH($J75,-1)+1,X$54&lt;=EOMONTH(EOMONTH($J75,-1)+1,$K75-1)),IF(NOT(ISBLANK($N75)),$N75/$K75,$I75/$K75),0),0)</f>
        <v>0</v>
      </c>
      <c r="Y75" s="532">
        <f>IFERROR(IF(AND(Y$54&gt;=EOMONTH($J75,-1)+1,Y$54&lt;=EOMONTH(EOMONTH($J75,-1)+1,$K75-1)),IF(NOT(ISBLANK($N75)),$N75/$K75,$I75/$K75),0),0)</f>
        <v>0</v>
      </c>
      <c r="Z75" s="89">
        <f t="shared" si="30"/>
        <v>0</v>
      </c>
      <c r="AA75" s="532">
        <f>IFERROR(IF(AND(AA$54&gt;=EOMONTH($J75,-1)+1,AA$54&lt;=EOMONTH(EOMONTH($J75,-1)+1,$K75-1)),IF(NOT(ISBLANK($N75)),$N75/$K75,$I75/$K75),0),0)</f>
        <v>0</v>
      </c>
      <c r="AB75" s="532">
        <f>IFERROR(IF(AND(AB$54&gt;=EOMONTH($J75,-1)+1,AB$54&lt;=EOMONTH(EOMONTH($J75,-1)+1,$K75-1)),IF(NOT(ISBLANK($N75)),$N75/$K75,$I75/$K75),0),0)</f>
        <v>0</v>
      </c>
      <c r="AC75" s="532">
        <f>IFERROR(IF(AND(AC$54&gt;=EOMONTH($J75,-1)+1,AC$54&lt;=EOMONTH(EOMONTH($J75,-1)+1,$K75-1)),IF(NOT(ISBLANK($N75)),$N75/$K75,$I75/$K75),0),0)</f>
        <v>0</v>
      </c>
      <c r="AD75" s="89">
        <f t="shared" si="31"/>
        <v>0</v>
      </c>
      <c r="AE75" s="532">
        <f>IFERROR(IF(AND(AE$54&gt;=EOMONTH($J75,-1)+1,AE$54&lt;=EOMONTH(EOMONTH($J75,-1)+1,$K75-1)),IF(NOT(ISBLANK($N75)),$N75/$K75,$I75/$K75),0),0)</f>
        <v>0</v>
      </c>
      <c r="AF75" s="532">
        <f>IFERROR(IF(AND(AF$54&gt;=EOMONTH($J75,-1)+1,AF$54&lt;=EOMONTH(EOMONTH($J75,-1)+1,$K75-1)),IF(NOT(ISBLANK($N75)),$N75/$K75,$I75/$K75),0),0)</f>
        <v>0</v>
      </c>
      <c r="AG75" s="532">
        <f>IFERROR(IF(AND(AG$54&gt;=EOMONTH($J75,-1)+1,AG$54&lt;=EOMONTH(EOMONTH($J75,-1)+1,$K75-1)),IF(NOT(ISBLANK($N75)),$N75/$K75,$I75/$K75),0),0)</f>
        <v>0</v>
      </c>
      <c r="AH75" s="89">
        <f t="shared" si="17"/>
        <v>0</v>
      </c>
      <c r="AI75" s="95">
        <f t="shared" si="33"/>
        <v>0</v>
      </c>
      <c r="AJ75" s="125" t="s">
        <v>1639</v>
      </c>
      <c r="AK75" s="1038"/>
      <c r="AL75" s="1042"/>
      <c r="AM75" s="1044">
        <f t="shared" ref="AM75" si="46">N75*AL75</f>
        <v>0</v>
      </c>
      <c r="AN75" s="62" t="str">
        <f>C75</f>
        <v>11- Substituíção de Empilhadeiras GPL.</v>
      </c>
      <c r="AO75" s="62" t="s">
        <v>289</v>
      </c>
      <c r="AP75" s="543" t="str" cm="1">
        <f t="array" aca="1" ref="AP75" ca="1">IF(OR(AN75="",AN75=0),"",IF(SUMPRODUCT(($C$55:$C$160=AN75)*(S$54:$AG$54&lt;EOMONTH(TODAY(),-1)+1)*(ISNUMBER(S$55:$AG$160)),S$55:$AG$160)=0,"",SUMPRODUCT(($C$55:$C$160=AN75)*(S$54:$AG$54&lt;EOMONTH(TODAY(),-1)+1)*(ISNUMBER(S$55:$AG$160)),S$55:$AG$160)))</f>
        <v/>
      </c>
    </row>
    <row r="76" spans="1:42" ht="29.1" customHeight="1" x14ac:dyDescent="0.3">
      <c r="A76" s="1038"/>
      <c r="B76" s="1300"/>
      <c r="C76" s="1531"/>
      <c r="D76" s="1097"/>
      <c r="E76" s="1363"/>
      <c r="F76" s="1099"/>
      <c r="G76" s="1150"/>
      <c r="H76" s="1150"/>
      <c r="I76" s="1527"/>
      <c r="J76" s="1109"/>
      <c r="K76" s="1213"/>
      <c r="L76" s="1076"/>
      <c r="M76" s="1072"/>
      <c r="N76" s="1055"/>
      <c r="O76" s="1042"/>
      <c r="P76" s="1042"/>
      <c r="Q76" s="93" t="s">
        <v>107</v>
      </c>
      <c r="R76" s="96">
        <f>AVERAGE([28]Estrutura!$J$5:$J$12)</f>
        <v>0.49375000000000002</v>
      </c>
      <c r="S76" s="312" t="s">
        <v>390</v>
      </c>
      <c r="T76" s="312" t="s">
        <v>390</v>
      </c>
      <c r="U76" s="312" t="s">
        <v>390</v>
      </c>
      <c r="V76" s="89">
        <f t="shared" si="29"/>
        <v>0</v>
      </c>
      <c r="W76" s="742" t="s">
        <v>390</v>
      </c>
      <c r="X76" s="312" t="s">
        <v>390</v>
      </c>
      <c r="Y76" s="312" t="s">
        <v>390</v>
      </c>
      <c r="Z76" s="89">
        <f t="shared" si="30"/>
        <v>0</v>
      </c>
      <c r="AA76" s="312" t="s">
        <v>390</v>
      </c>
      <c r="AB76" s="312" t="s">
        <v>390</v>
      </c>
      <c r="AC76" s="312" t="s">
        <v>390</v>
      </c>
      <c r="AD76" s="89">
        <f t="shared" si="31"/>
        <v>0</v>
      </c>
      <c r="AE76" s="312" t="s">
        <v>390</v>
      </c>
      <c r="AF76" s="312" t="s">
        <v>390</v>
      </c>
      <c r="AG76" s="312" t="s">
        <v>390</v>
      </c>
      <c r="AH76" s="89">
        <f t="shared" si="17"/>
        <v>0</v>
      </c>
      <c r="AI76" s="313">
        <f t="shared" si="33"/>
        <v>0</v>
      </c>
      <c r="AJ76" s="97"/>
      <c r="AK76" s="1038"/>
      <c r="AL76" s="1042"/>
      <c r="AM76" s="1044"/>
      <c r="AN76" s="62" t="str">
        <f>C75</f>
        <v>11- Substituíção de Empilhadeiras GPL.</v>
      </c>
      <c r="AO76" s="62" t="s">
        <v>291</v>
      </c>
      <c r="AP76" s="543" t="str" cm="1">
        <f t="array" aca="1" ref="AP76" ca="1">IF(OR(AN76="",AN76=0),"",IF(SUMPRODUCT(($C$55:$C$160=AN76)*(S$54:$AG$54&lt;EOMONTH(TODAY(),-1)+1)*(ISNUMBER(S$56:$AG$161)),S$56:$AG$161)=0,"",SUMPRODUCT(($C$55:$C$160=AN76)*(S$54:$AG$54&lt;EOMONTH(TODAY(),-1)+1)*(ISNUMBER(S$56:$AG$161)),S$56:$AG$161)))</f>
        <v/>
      </c>
    </row>
    <row r="77" spans="1:42" ht="29.1" customHeight="1" x14ac:dyDescent="0.3">
      <c r="A77" s="1036" t="s">
        <v>85</v>
      </c>
      <c r="B77" s="1038" t="s">
        <v>90</v>
      </c>
      <c r="C77" s="1113" t="s">
        <v>1640</v>
      </c>
      <c r="D77" s="1115" t="s">
        <v>1641</v>
      </c>
      <c r="E77" s="1303" t="s">
        <v>1642</v>
      </c>
      <c r="F77" s="1040" t="s">
        <v>1606</v>
      </c>
      <c r="G77" s="1117">
        <v>46054</v>
      </c>
      <c r="H77" s="1117">
        <v>46143</v>
      </c>
      <c r="I77" s="1074">
        <v>48730.19</v>
      </c>
      <c r="J77" s="1158">
        <v>46143</v>
      </c>
      <c r="K77" s="1121">
        <f t="shared" ref="K77" si="47">IF(J77="", "", 12 - MONTH(J77) + 1)</f>
        <v>8</v>
      </c>
      <c r="L77" s="1074"/>
      <c r="M77" s="1119" t="s">
        <v>287</v>
      </c>
      <c r="N77" s="1053">
        <v>79062.146070720046</v>
      </c>
      <c r="O77" s="1057" t="s">
        <v>80</v>
      </c>
      <c r="P77" s="1057">
        <v>1</v>
      </c>
      <c r="Q77" s="87" t="s">
        <v>106</v>
      </c>
      <c r="R77" s="91">
        <f>AVERAGE([29]Estrutura!$I$5:$I$14)</f>
        <v>0.88961038961038952</v>
      </c>
      <c r="S77" s="309">
        <f>IFERROR(IF(AND(S$54&gt;=EOMONTH($J77,-1)+1,S$54&lt;=EOMONTH(EOMONTH($J77,-1)+1,$K77-1)),IF(NOT(ISBLANK($N77)),$N77/$K77,$I77/$K77),0),0)</f>
        <v>0</v>
      </c>
      <c r="T77" s="309">
        <f>IFERROR(IF(AND(T$54&gt;=EOMONTH($J77,-1)+1,T$54&lt;=EOMONTH(EOMONTH($J77,-1)+1,$K77-1)),IF(NOT(ISBLANK($N77)),$N77/$K77,$I77/$K77),0),0)</f>
        <v>0</v>
      </c>
      <c r="U77" s="309">
        <f>IFERROR(IF(AND(U$54&gt;=EOMONTH($J77,-1)+1,U$54&lt;=EOMONTH(EOMONTH($J77,-1)+1,$K77-1)),IF(NOT(ISBLANK($N77)),$N77/$K77,$I77/$K77),0),0)</f>
        <v>0</v>
      </c>
      <c r="V77" s="89">
        <f t="shared" si="29"/>
        <v>0</v>
      </c>
      <c r="W77" s="309">
        <f>IFERROR(IF(AND(W$54&gt;=EOMONTH($J77,-1)+1,W$54&lt;=EOMONTH(EOMONTH($J77,-1)+1,$K77-1)),IF(NOT(ISBLANK($N77)),$N77/$K77,$I77/$K77),0),0)</f>
        <v>0</v>
      </c>
      <c r="X77" s="1029">
        <f>IFERROR(IF(AND(X$54&gt;=EOMONTH($J77,-1)+1,X$54&lt;=EOMONTH(EOMONTH($J77,-1)+1,$K77-1)),IF(NOT(ISBLANK($N77)),$N77/$K77,$I77/$K77),0),0)</f>
        <v>9882.7682588400057</v>
      </c>
      <c r="Y77" s="309">
        <f>IFERROR(IF(AND(Y$54&gt;=EOMONTH($J77,-1)+1,Y$54&lt;=EOMONTH(EOMONTH($J77,-1)+1,$K77-1)),IF(NOT(ISBLANK($N77)),$N77/$K77,$I77/$K77),0),0)</f>
        <v>9882.7682588400057</v>
      </c>
      <c r="Z77" s="89">
        <f t="shared" si="30"/>
        <v>19765.536517680011</v>
      </c>
      <c r="AA77" s="309">
        <f>IFERROR(IF(AND(AA$54&gt;=EOMONTH($J77,-1)+1,AA$54&lt;=EOMONTH(EOMONTH($J77,-1)+1,$K77-1)),IF(NOT(ISBLANK($N77)),$N77/$K77,$I77/$K77),0),0)</f>
        <v>9882.7682588400057</v>
      </c>
      <c r="AB77" s="309">
        <f>IFERROR(IF(AND(AB$54&gt;=EOMONTH($J77,-1)+1,AB$54&lt;=EOMONTH(EOMONTH($J77,-1)+1,$K77-1)),IF(NOT(ISBLANK($N77)),$N77/$K77,$I77/$K77),0),0)</f>
        <v>9882.7682588400057</v>
      </c>
      <c r="AC77" s="309">
        <f>IFERROR(IF(AND(AC$54&gt;=EOMONTH($J77,-1)+1,AC$54&lt;=EOMONTH(EOMONTH($J77,-1)+1,$K77-1)),IF(NOT(ISBLANK($N77)),$N77/$K77,$I77/$K77),0),0)</f>
        <v>9882.7682588400057</v>
      </c>
      <c r="AD77" s="89">
        <f t="shared" si="31"/>
        <v>29648.304776520017</v>
      </c>
      <c r="AE77" s="309">
        <f>IFERROR(IF(AND(AE$54&gt;=EOMONTH($J77,-1)+1,AE$54&lt;=EOMONTH(EOMONTH($J77,-1)+1,$K77-1)),IF(NOT(ISBLANK($N77)),$N77/$K77,$I77/$K77),0),0)</f>
        <v>9882.7682588400057</v>
      </c>
      <c r="AF77" s="309">
        <f>IFERROR(IF(AND(AF$54&gt;=EOMONTH($J77,-1)+1,AF$54&lt;=EOMONTH(EOMONTH($J77,-1)+1,$K77-1)),IF(NOT(ISBLANK($N77)),$N77/$K77,$I77/$K77),0),0)</f>
        <v>9882.7682588400057</v>
      </c>
      <c r="AG77" s="309">
        <f>IFERROR(IF(AND(AG$54&gt;=EOMONTH($J77,-1)+1,AG$54&lt;=EOMONTH(EOMONTH($J77,-1)+1,$K77-1)),IF(NOT(ISBLANK($N77)),$N77/$K77,$I77/$K77),0),0)</f>
        <v>9882.7682588400057</v>
      </c>
      <c r="AH77" s="89">
        <f t="shared" si="17"/>
        <v>29648.304776520017</v>
      </c>
      <c r="AI77" s="90">
        <f>SUM(V77,Z77,AD77,AH77)</f>
        <v>79062.146070720046</v>
      </c>
      <c r="AJ77" s="98"/>
      <c r="AK77" s="1040"/>
      <c r="AL77" s="1048"/>
      <c r="AM77" s="1046">
        <f t="shared" ref="AM77" si="48">N77*AL77</f>
        <v>0</v>
      </c>
      <c r="AN77" s="62" t="str">
        <f>C77</f>
        <v xml:space="preserve">12 -  REDUÇÃO DE PESO BRUTO DD000504/505Z
</v>
      </c>
      <c r="AO77" s="62" t="s">
        <v>289</v>
      </c>
      <c r="AP77" s="543" cm="1">
        <f t="array" aca="1" ref="AP77" ca="1">IF(OR(AN77="",AN77=0),"",IF(SUMPRODUCT(($C$55:$C$160=AN77)*(S$54:$AG$54&lt;EOMONTH(TODAY(),-1)+1)*(ISNUMBER(S$55:$AG$160)),S$55:$AG$160)=0,"",SUMPRODUCT(($C$55:$C$160=AN77)*(S$54:$AG$54&lt;EOMONTH(TODAY(),-1)+1)*(ISNUMBER(S$55:$AG$160)),S$55:$AG$160)))</f>
        <v>9882.7682588400057</v>
      </c>
    </row>
    <row r="78" spans="1:42" ht="38.1" customHeight="1" x14ac:dyDescent="0.3">
      <c r="A78" s="1036"/>
      <c r="B78" s="1039"/>
      <c r="C78" s="1113"/>
      <c r="D78" s="1115"/>
      <c r="E78" s="1303"/>
      <c r="F78" s="1040"/>
      <c r="G78" s="1117"/>
      <c r="H78" s="1117"/>
      <c r="I78" s="1074"/>
      <c r="J78" s="1158"/>
      <c r="K78" s="1121"/>
      <c r="L78" s="1074"/>
      <c r="M78" s="1119"/>
      <c r="N78" s="1053"/>
      <c r="O78" s="1057"/>
      <c r="P78" s="1057"/>
      <c r="Q78" s="87" t="s">
        <v>107</v>
      </c>
      <c r="R78" s="91">
        <f>AVERAGE([29]Estrutura!$J$5:$J$14)</f>
        <v>0.89499999999999991</v>
      </c>
      <c r="S78" s="309" t="s">
        <v>390</v>
      </c>
      <c r="T78" s="309" t="s">
        <v>390</v>
      </c>
      <c r="U78" s="309" t="s">
        <v>390</v>
      </c>
      <c r="V78" s="89">
        <f t="shared" si="29"/>
        <v>0</v>
      </c>
      <c r="W78" s="309" t="s">
        <v>390</v>
      </c>
      <c r="X78" s="309" t="s">
        <v>390</v>
      </c>
      <c r="Y78" s="309" t="s">
        <v>390</v>
      </c>
      <c r="Z78" s="89">
        <f t="shared" si="30"/>
        <v>0</v>
      </c>
      <c r="AA78" s="309" t="s">
        <v>390</v>
      </c>
      <c r="AB78" s="309" t="s">
        <v>390</v>
      </c>
      <c r="AC78" s="309" t="s">
        <v>390</v>
      </c>
      <c r="AD78" s="89">
        <f t="shared" si="31"/>
        <v>0</v>
      </c>
      <c r="AE78" s="309" t="s">
        <v>390</v>
      </c>
      <c r="AF78" s="309" t="s">
        <v>390</v>
      </c>
      <c r="AG78" s="309" t="s">
        <v>390</v>
      </c>
      <c r="AH78" s="89">
        <f t="shared" si="17"/>
        <v>0</v>
      </c>
      <c r="AI78" s="311">
        <f t="shared" si="33"/>
        <v>0</v>
      </c>
      <c r="AJ78" s="360"/>
      <c r="AK78" s="1040"/>
      <c r="AL78" s="1048"/>
      <c r="AM78" s="1046"/>
      <c r="AN78" s="62" t="str">
        <f>C77</f>
        <v xml:space="preserve">12 -  REDUÇÃO DE PESO BRUTO DD000504/505Z
</v>
      </c>
      <c r="AO78" s="62" t="s">
        <v>291</v>
      </c>
      <c r="AP78" s="543" t="str" cm="1">
        <f t="array" aca="1" ref="AP78" ca="1">IF(OR(AN78="",AN78=0),"",IF(SUMPRODUCT(($C$55:$C$160=AN78)*(S$54:$AG$54&lt;EOMONTH(TODAY(),-1)+1)*(ISNUMBER(S$56:$AG$161)),S$56:$AG$161)=0,"",SUMPRODUCT(($C$55:$C$160=AN78)*(S$54:$AG$54&lt;EOMONTH(TODAY(),-1)+1)*(ISNUMBER(S$56:$AG$161)),S$56:$AG$161)))</f>
        <v/>
      </c>
    </row>
    <row r="79" spans="1:42" ht="40.35" customHeight="1" x14ac:dyDescent="0.3">
      <c r="A79" s="1038" t="s">
        <v>76</v>
      </c>
      <c r="B79" s="1299" t="s">
        <v>91</v>
      </c>
      <c r="C79" s="1534" t="s">
        <v>1643</v>
      </c>
      <c r="D79" s="1115" t="s">
        <v>1644</v>
      </c>
      <c r="E79" s="1424" t="s">
        <v>1645</v>
      </c>
      <c r="F79" s="1142" t="s">
        <v>1631</v>
      </c>
      <c r="G79" s="1144">
        <v>46087</v>
      </c>
      <c r="H79" s="1144">
        <v>46171</v>
      </c>
      <c r="I79" s="1076">
        <v>26400</v>
      </c>
      <c r="J79" s="1154">
        <v>46144</v>
      </c>
      <c r="K79" s="1213">
        <f t="shared" ref="K79" si="49">IF(J79="", "", 12 - MONTH(J79) + 1)</f>
        <v>8</v>
      </c>
      <c r="L79" s="1076"/>
      <c r="M79" s="1072"/>
      <c r="N79" s="1055"/>
      <c r="O79" s="1323" t="s">
        <v>80</v>
      </c>
      <c r="P79" s="1042">
        <v>1</v>
      </c>
      <c r="Q79" s="87" t="s">
        <v>106</v>
      </c>
      <c r="R79" s="91">
        <f>AVERAGE([30]Estrutura!$I$5:$I$6)</f>
        <v>0.67500000000000004</v>
      </c>
      <c r="S79" s="532">
        <f>IFERROR(IF(AND(S$54&gt;=EOMONTH($J79,-1)+1,S$54&lt;=EOMONTH(EOMONTH($J79,-1)+1,$K79-1)),IF(NOT(ISBLANK($N79)),$N79/$K79,$I79/$K79),0),0)</f>
        <v>0</v>
      </c>
      <c r="T79" s="532">
        <f>IFERROR(IF(AND(T$54&gt;=EOMONTH($J79,-1)+1,T$54&lt;=EOMONTH(EOMONTH($J79,-1)+1,$K79-1)),IF(NOT(ISBLANK($N79)),$N79/$K79,$I79/$K79),0),0)</f>
        <v>0</v>
      </c>
      <c r="U79" s="532">
        <f>IFERROR(IF(AND(U$54&gt;=EOMONTH($J79,-1)+1,U$54&lt;=EOMONTH(EOMONTH($J79,-1)+1,$K79-1)),IF(NOT(ISBLANK($N79)),$N79/$K79,$I79/$K79),0),0)</f>
        <v>0</v>
      </c>
      <c r="V79" s="89">
        <f t="shared" si="29"/>
        <v>0</v>
      </c>
      <c r="W79" s="532">
        <f>IFERROR(IF(AND(W$54&gt;=EOMONTH($J79,-1)+1,W$54&lt;=EOMONTH(EOMONTH($J79,-1)+1,$K79-1)),IF(NOT(ISBLANK($N79)),$N79/$K79,$I79/$K79),0),0)</f>
        <v>0</v>
      </c>
      <c r="X79" s="641">
        <f>IFERROR(IF(AND(X$54&gt;=EOMONTH($J79,-1)+1,X$54&lt;=EOMONTH(EOMONTH($J79,-1)+1,$K79-1)),IF(NOT(ISBLANK($N79)),$N79/$K79,$I79/$K79),0),0)</f>
        <v>3300</v>
      </c>
      <c r="Y79" s="532">
        <f>IFERROR(IF(AND(Y$54&gt;=EOMONTH($J79,-1)+1,Y$54&lt;=EOMONTH(EOMONTH($J79,-1)+1,$K79-1)),IF(NOT(ISBLANK($N79)),$N79/$K79,$I79/$K79),0),0)</f>
        <v>3300</v>
      </c>
      <c r="Z79" s="89">
        <f t="shared" si="30"/>
        <v>6600</v>
      </c>
      <c r="AA79" s="532">
        <f>IFERROR(IF(AND(AA$54&gt;=EOMONTH($J79,-1)+1,AA$54&lt;=EOMONTH(EOMONTH($J79,-1)+1,$K79-1)),IF(NOT(ISBLANK($N79)),$N79/$K79,$I79/$K79),0),0)</f>
        <v>3300</v>
      </c>
      <c r="AB79" s="532">
        <f>IFERROR(IF(AND(AB$54&gt;=EOMONTH($J79,-1)+1,AB$54&lt;=EOMONTH(EOMONTH($J79,-1)+1,$K79-1)),IF(NOT(ISBLANK($N79)),$N79/$K79,$I79/$K79),0),0)</f>
        <v>3300</v>
      </c>
      <c r="AC79" s="532">
        <f>IFERROR(IF(AND(AC$54&gt;=EOMONTH($J79,-1)+1,AC$54&lt;=EOMONTH(EOMONTH($J79,-1)+1,$K79-1)),IF(NOT(ISBLANK($N79)),$N79/$K79,$I79/$K79),0),0)</f>
        <v>3300</v>
      </c>
      <c r="AD79" s="89">
        <f t="shared" si="31"/>
        <v>9900</v>
      </c>
      <c r="AE79" s="532">
        <f>IFERROR(IF(AND(AE$54&gt;=EOMONTH($J79,-1)+1,AE$54&lt;=EOMONTH(EOMONTH($J79,-1)+1,$K79-1)),IF(NOT(ISBLANK($N79)),$N79/$K79,$I79/$K79),0),0)</f>
        <v>3300</v>
      </c>
      <c r="AF79" s="532">
        <f>IFERROR(IF(AND(AF$54&gt;=EOMONTH($J79,-1)+1,AF$54&lt;=EOMONTH(EOMONTH($J79,-1)+1,$K79-1)),IF(NOT(ISBLANK($N79)),$N79/$K79,$I79/$K79),0),0)</f>
        <v>3300</v>
      </c>
      <c r="AG79" s="532">
        <f>IFERROR(IF(AND(AG$54&gt;=EOMONTH($J79,-1)+1,AG$54&lt;=EOMONTH(EOMONTH($J79,-1)+1,$K79-1)),IF(NOT(ISBLANK($N79)),$N79/$K79,$I79/$K79),0),0)</f>
        <v>3300</v>
      </c>
      <c r="AH79" s="89">
        <f t="shared" si="17"/>
        <v>9900</v>
      </c>
      <c r="AI79" s="95">
        <f t="shared" si="33"/>
        <v>26400</v>
      </c>
      <c r="AJ79" s="97"/>
      <c r="AK79" s="1038"/>
      <c r="AL79" s="1042"/>
      <c r="AM79" s="1044">
        <f t="shared" ref="AM79" si="50">N79*AL79</f>
        <v>0</v>
      </c>
      <c r="AN79" s="62" t="str">
        <f>C79</f>
        <v>13- REDUZIR A QUANTIDADE DE MÁQUINAS DE SOLDA MIG/MAG LOCADAS</v>
      </c>
      <c r="AO79" s="62" t="s">
        <v>289</v>
      </c>
      <c r="AP79" s="543" cm="1">
        <f t="array" aca="1" ref="AP79" ca="1">IF(OR(AN79="",AN79=0),"",IF(SUMPRODUCT(($C$55:$C$160=AN79)*(S$54:$AG$54&lt;EOMONTH(TODAY(),-1)+1)*(ISNUMBER(S$55:$AG$160)),S$55:$AG$160)=0,"",SUMPRODUCT(($C$55:$C$160=AN79)*(S$54:$AG$54&lt;EOMONTH(TODAY(),-1)+1)*(ISNUMBER(S$55:$AG$160)),S$55:$AG$160)))</f>
        <v>3300</v>
      </c>
    </row>
    <row r="80" spans="1:42" ht="42" customHeight="1" x14ac:dyDescent="0.3">
      <c r="A80" s="1038"/>
      <c r="B80" s="1300"/>
      <c r="C80" s="1534"/>
      <c r="D80" s="1115"/>
      <c r="E80" s="1424"/>
      <c r="F80" s="1142"/>
      <c r="G80" s="1144"/>
      <c r="H80" s="1144"/>
      <c r="I80" s="1076"/>
      <c r="J80" s="1154"/>
      <c r="K80" s="1213"/>
      <c r="L80" s="1076"/>
      <c r="M80" s="1072"/>
      <c r="N80" s="1055"/>
      <c r="O80" s="1323"/>
      <c r="P80" s="1042"/>
      <c r="Q80" s="87" t="s">
        <v>107</v>
      </c>
      <c r="R80" s="96">
        <f>AVERAGE([30]Estrutura!$J$5:$J$6)</f>
        <v>0.7</v>
      </c>
      <c r="S80" s="312" t="s">
        <v>390</v>
      </c>
      <c r="T80" s="312" t="s">
        <v>390</v>
      </c>
      <c r="U80" s="312" t="s">
        <v>390</v>
      </c>
      <c r="V80" s="89">
        <f t="shared" si="29"/>
        <v>0</v>
      </c>
      <c r="W80" s="312" t="s">
        <v>390</v>
      </c>
      <c r="X80" s="312" t="s">
        <v>390</v>
      </c>
      <c r="Y80" s="312" t="s">
        <v>390</v>
      </c>
      <c r="Z80" s="89">
        <f t="shared" si="30"/>
        <v>0</v>
      </c>
      <c r="AA80" s="312" t="s">
        <v>390</v>
      </c>
      <c r="AB80" s="312" t="s">
        <v>390</v>
      </c>
      <c r="AC80" s="312" t="s">
        <v>390</v>
      </c>
      <c r="AD80" s="89">
        <f t="shared" si="31"/>
        <v>0</v>
      </c>
      <c r="AE80" s="312" t="s">
        <v>390</v>
      </c>
      <c r="AF80" s="312" t="s">
        <v>390</v>
      </c>
      <c r="AG80" s="312" t="s">
        <v>390</v>
      </c>
      <c r="AH80" s="89">
        <f t="shared" si="17"/>
        <v>0</v>
      </c>
      <c r="AI80" s="313">
        <f t="shared" si="33"/>
        <v>0</v>
      </c>
      <c r="AJ80" s="97"/>
      <c r="AK80" s="1038"/>
      <c r="AL80" s="1042"/>
      <c r="AM80" s="1044"/>
      <c r="AN80" s="62" t="str">
        <f>C79</f>
        <v>13- REDUZIR A QUANTIDADE DE MÁQUINAS DE SOLDA MIG/MAG LOCADAS</v>
      </c>
      <c r="AO80" s="62" t="s">
        <v>291</v>
      </c>
      <c r="AP80" s="543" t="str" cm="1">
        <f t="array" aca="1" ref="AP80" ca="1">IF(OR(AN80="",AN80=0),"",IF(SUMPRODUCT(($C$55:$C$160=AN80)*(S$54:$AG$54&lt;EOMONTH(TODAY(),-1)+1)*(ISNUMBER(S$56:$AG$161)),S$56:$AG$161)=0,"",SUMPRODUCT(($C$55:$C$160=AN80)*(S$54:$AG$54&lt;EOMONTH(TODAY(),-1)+1)*(ISNUMBER(S$56:$AG$161)),S$56:$AG$161)))</f>
        <v/>
      </c>
    </row>
    <row r="81" spans="1:42" ht="40.35" customHeight="1" x14ac:dyDescent="0.3">
      <c r="A81" s="1036" t="s">
        <v>310</v>
      </c>
      <c r="B81" s="1038" t="s">
        <v>91</v>
      </c>
      <c r="C81" s="1533" t="s">
        <v>1646</v>
      </c>
      <c r="D81" s="1115" t="s">
        <v>1647</v>
      </c>
      <c r="E81" s="1303" t="s">
        <v>1648</v>
      </c>
      <c r="F81" s="1040" t="s">
        <v>1649</v>
      </c>
      <c r="G81" s="1117">
        <v>46027</v>
      </c>
      <c r="H81" s="1117">
        <v>46087</v>
      </c>
      <c r="I81" s="1074">
        <v>18000</v>
      </c>
      <c r="J81" s="1158">
        <v>46143</v>
      </c>
      <c r="K81" s="1121">
        <v>12</v>
      </c>
      <c r="L81" s="1074"/>
      <c r="M81" s="1119"/>
      <c r="N81" s="1053"/>
      <c r="O81" s="1057" t="s">
        <v>80</v>
      </c>
      <c r="P81" s="1057">
        <v>1</v>
      </c>
      <c r="Q81" s="87" t="s">
        <v>106</v>
      </c>
      <c r="R81" s="91">
        <f>AVERAGE([31]Estrutura!$I$5:$I$6)</f>
        <v>1</v>
      </c>
      <c r="S81" s="309">
        <f>IFERROR(IF(AND(S$54&gt;=EOMONTH($J81,-1)+1,S$54&lt;=EOMONTH(EOMONTH($J81,-1)+1,$K81-1)),IF(NOT(ISBLANK($N81)),$N81/$K81,$I81/$K81),0),0)</f>
        <v>0</v>
      </c>
      <c r="T81" s="309">
        <f>IFERROR(IF(AND(T$54&gt;=EOMONTH($J81,-1)+1,T$54&lt;=EOMONTH(EOMONTH($J81,-1)+1,$K81-1)),IF(NOT(ISBLANK($N81)),$N81/$K81,$I81/$K81),0),0)</f>
        <v>0</v>
      </c>
      <c r="U81" s="309">
        <f>IFERROR(IF(AND(U$54&gt;=EOMONTH($J81,-1)+1,U$54&lt;=EOMONTH(EOMONTH($J81,-1)+1,$K81-1)),IF(NOT(ISBLANK($N81)),$N81/$K81,$I81/$K81),0),0)</f>
        <v>0</v>
      </c>
      <c r="V81" s="89">
        <f t="shared" si="29"/>
        <v>0</v>
      </c>
      <c r="W81" s="309">
        <f>IFERROR(IF(AND(W$54&gt;=EOMONTH($J81,-1)+1,W$54&lt;=EOMONTH(EOMONTH($J81,-1)+1,$K81-1)),IF(NOT(ISBLANK($N81)),$N81/$K81,$I81/$K81),0),0)</f>
        <v>0</v>
      </c>
      <c r="X81" s="569">
        <f>IFERROR(IF(AND(X$54&gt;=EOMONTH($J81,-1)+1,X$54&lt;=EOMONTH(EOMONTH($J81,-1)+1,$K81-1)),IF(NOT(ISBLANK($N81)),$N81/$K81,$I81/$K81),0),0)</f>
        <v>1500</v>
      </c>
      <c r="Y81" s="309">
        <f>IFERROR(IF(AND(Y$54&gt;=EOMONTH($J81,-1)+1,Y$54&lt;=EOMONTH(EOMONTH($J81,-1)+1,$K81-1)),IF(NOT(ISBLANK($N81)),$N81/$K81,$I81/$K81),0),0)</f>
        <v>1500</v>
      </c>
      <c r="Z81" s="89">
        <f t="shared" si="30"/>
        <v>3000</v>
      </c>
      <c r="AA81" s="309">
        <f>IFERROR(IF(AND(AA$54&gt;=EOMONTH($J81,-1)+1,AA$54&lt;=EOMONTH(EOMONTH($J81,-1)+1,$K81-1)),IF(NOT(ISBLANK($N81)),$N81/$K81,$I81/$K81),0),0)</f>
        <v>1500</v>
      </c>
      <c r="AB81" s="309">
        <f>IFERROR(IF(AND(AB$54&gt;=EOMONTH($J81,-1)+1,AB$54&lt;=EOMONTH(EOMONTH($J81,-1)+1,$K81-1)),IF(NOT(ISBLANK($N81)),$N81/$K81,$I81/$K81),0),0)</f>
        <v>1500</v>
      </c>
      <c r="AC81" s="309">
        <f>IFERROR(IF(AND(AC$54&gt;=EOMONTH($J81,-1)+1,AC$54&lt;=EOMONTH(EOMONTH($J81,-1)+1,$K81-1)),IF(NOT(ISBLANK($N81)),$N81/$K81,$I81/$K81),0),0)</f>
        <v>1500</v>
      </c>
      <c r="AD81" s="89">
        <f t="shared" si="31"/>
        <v>4500</v>
      </c>
      <c r="AE81" s="309">
        <f>IFERROR(IF(AND(AE$54&gt;=EOMONTH($J81,-1)+1,AE$54&lt;=EOMONTH(EOMONTH($J81,-1)+1,$K81-1)),IF(NOT(ISBLANK($N81)),$N81/$K81,$I81/$K81),0),0)</f>
        <v>1500</v>
      </c>
      <c r="AF81" s="309">
        <f>IFERROR(IF(AND(AF$54&gt;=EOMONTH($J81,-1)+1,AF$54&lt;=EOMONTH(EOMONTH($J81,-1)+1,$K81-1)),IF(NOT(ISBLANK($N81)),$N81/$K81,$I81/$K81),0),0)</f>
        <v>1500</v>
      </c>
      <c r="AG81" s="309">
        <f>IFERROR(IF(AND(AG$54&gt;=EOMONTH($J81,-1)+1,AG$54&lt;=EOMONTH(EOMONTH($J81,-1)+1,$K81-1)),IF(NOT(ISBLANK($N81)),$N81/$K81,$I81/$K81),0),0)</f>
        <v>1500</v>
      </c>
      <c r="AH81" s="89">
        <f t="shared" si="17"/>
        <v>4500</v>
      </c>
      <c r="AI81" s="90">
        <f>SUM(V81,Z81,AD81,AH81)</f>
        <v>12000</v>
      </c>
      <c r="AJ81" s="98"/>
      <c r="AK81" s="1040"/>
      <c r="AL81" s="1048"/>
      <c r="AM81" s="1046">
        <f t="shared" ref="AM81" si="51">N81*AL81</f>
        <v>0</v>
      </c>
      <c r="AN81" s="62" t="str">
        <f>C81</f>
        <v>14-Adicionar serviços de portaria e limpeza em um único prestador terceirizado com serviços gerais.</v>
      </c>
      <c r="AO81" s="62" t="s">
        <v>289</v>
      </c>
      <c r="AP81" s="543" cm="1">
        <f t="array" aca="1" ref="AP81" ca="1">IF(OR(AN81="",AN81=0),"",IF(SUMPRODUCT(($C$55:$C$160=AN81)*(S$54:$AG$54&lt;EOMONTH(TODAY(),-1)+1)*(ISNUMBER(S$55:$AG$160)),S$55:$AG$160)=0,"",SUMPRODUCT(($C$55:$C$160=AN81)*(S$54:$AG$54&lt;EOMONTH(TODAY(),-1)+1)*(ISNUMBER(S$55:$AG$160)),S$55:$AG$160)))</f>
        <v>1500</v>
      </c>
    </row>
    <row r="82" spans="1:42" ht="46.35" customHeight="1" x14ac:dyDescent="0.3">
      <c r="A82" s="1036"/>
      <c r="B82" s="1039"/>
      <c r="C82" s="1533"/>
      <c r="D82" s="1115"/>
      <c r="E82" s="1303"/>
      <c r="F82" s="1040"/>
      <c r="G82" s="1117"/>
      <c r="H82" s="1117"/>
      <c r="I82" s="1074"/>
      <c r="J82" s="1158"/>
      <c r="K82" s="1121"/>
      <c r="L82" s="1074"/>
      <c r="M82" s="1119"/>
      <c r="N82" s="1053"/>
      <c r="O82" s="1057"/>
      <c r="P82" s="1057"/>
      <c r="Q82" s="87" t="s">
        <v>107</v>
      </c>
      <c r="R82" s="91">
        <f>AVERAGE([31]Estrutura!$J$5:$J$6)</f>
        <v>1</v>
      </c>
      <c r="S82" s="309" t="s">
        <v>390</v>
      </c>
      <c r="T82" s="309" t="s">
        <v>390</v>
      </c>
      <c r="U82" s="309" t="s">
        <v>390</v>
      </c>
      <c r="V82" s="89">
        <f t="shared" si="29"/>
        <v>0</v>
      </c>
      <c r="W82" s="309" t="s">
        <v>390</v>
      </c>
      <c r="X82" s="309" t="s">
        <v>390</v>
      </c>
      <c r="Y82" s="309" t="s">
        <v>390</v>
      </c>
      <c r="Z82" s="89">
        <f t="shared" si="30"/>
        <v>0</v>
      </c>
      <c r="AA82" s="309" t="s">
        <v>390</v>
      </c>
      <c r="AB82" s="309" t="s">
        <v>390</v>
      </c>
      <c r="AC82" s="309" t="s">
        <v>390</v>
      </c>
      <c r="AD82" s="89">
        <f t="shared" si="31"/>
        <v>0</v>
      </c>
      <c r="AE82" s="309" t="s">
        <v>390</v>
      </c>
      <c r="AF82" s="309" t="s">
        <v>390</v>
      </c>
      <c r="AG82" s="309" t="s">
        <v>390</v>
      </c>
      <c r="AH82" s="89">
        <f t="shared" si="17"/>
        <v>0</v>
      </c>
      <c r="AI82" s="311">
        <f t="shared" si="33"/>
        <v>0</v>
      </c>
      <c r="AJ82" s="360"/>
      <c r="AK82" s="1040"/>
      <c r="AL82" s="1048"/>
      <c r="AM82" s="1046"/>
      <c r="AN82" s="62" t="str">
        <f>C81</f>
        <v>14-Adicionar serviços de portaria e limpeza em um único prestador terceirizado com serviços gerais.</v>
      </c>
      <c r="AO82" s="62" t="s">
        <v>291</v>
      </c>
      <c r="AP82" s="543" t="str" cm="1">
        <f t="array" aca="1" ref="AP82" ca="1">IF(OR(AN82="",AN82=0),"",IF(SUMPRODUCT(($C$55:$C$160=AN82)*(S$54:$AG$54&lt;EOMONTH(TODAY(),-1)+1)*(ISNUMBER(S$56:$AG$161)),S$56:$AG$161)=0,"",SUMPRODUCT(($C$55:$C$160=AN82)*(S$54:$AG$54&lt;EOMONTH(TODAY(),-1)+1)*(ISNUMBER(S$56:$AG$161)),S$56:$AG$161)))</f>
        <v/>
      </c>
    </row>
    <row r="83" spans="1:42" ht="40.35" customHeight="1" x14ac:dyDescent="0.3">
      <c r="A83" s="1038" t="s">
        <v>76</v>
      </c>
      <c r="B83" s="1299" t="s">
        <v>91</v>
      </c>
      <c r="C83" s="1095" t="s">
        <v>1650</v>
      </c>
      <c r="D83" s="1097" t="s">
        <v>1651</v>
      </c>
      <c r="E83" s="1363" t="s">
        <v>1652</v>
      </c>
      <c r="F83" s="1099" t="s">
        <v>1606</v>
      </c>
      <c r="G83" s="1150">
        <v>46104</v>
      </c>
      <c r="H83" s="1150">
        <v>46127</v>
      </c>
      <c r="I83" s="1152">
        <v>82981.320000000007</v>
      </c>
      <c r="J83" s="1109">
        <v>46113</v>
      </c>
      <c r="K83" s="1213">
        <v>12</v>
      </c>
      <c r="L83" s="1076"/>
      <c r="M83" s="1091" t="s">
        <v>287</v>
      </c>
      <c r="N83" s="1509">
        <v>53213.38</v>
      </c>
      <c r="O83" s="1323" t="s">
        <v>80</v>
      </c>
      <c r="P83" s="1042">
        <v>1</v>
      </c>
      <c r="Q83" s="93" t="s">
        <v>106</v>
      </c>
      <c r="R83" s="96">
        <f>AVERAGE([32]Estrutura!$I$5:$I$7)</f>
        <v>1</v>
      </c>
      <c r="S83" s="532">
        <f>IFERROR(IF(AND(S$54&gt;=EOMONTH($J83,-1)+1,S$54&lt;=EOMONTH(EOMONTH($J83,-1)+1,$K83-1)),IF(NOT(ISBLANK($N83)),$N83/$K83,$I83/$K83),0),0)</f>
        <v>0</v>
      </c>
      <c r="T83" s="532">
        <f>IFERROR(IF(AND(T$54&gt;=EOMONTH($J83,-1)+1,T$54&lt;=EOMONTH(EOMONTH($J83,-1)+1,$K83-1)),IF(NOT(ISBLANK($N83)),$N83/$K83,$I83/$K83),0),0)</f>
        <v>0</v>
      </c>
      <c r="U83" s="532">
        <f>IFERROR(IF(AND(U$54&gt;=EOMONTH($J83,-1)+1,U$54&lt;=EOMONTH(EOMONTH($J83,-1)+1,$K83-1)),IF(NOT(ISBLANK($N83)),$N83/$K83,$I83/$K83),0),0)</f>
        <v>0</v>
      </c>
      <c r="V83" s="89">
        <f t="shared" si="29"/>
        <v>0</v>
      </c>
      <c r="W83" s="532">
        <f>IFERROR(IF(AND(W$54&gt;=EOMONTH($J83,-1)+1,W$54&lt;=EOMONTH(EOMONTH($J83,-1)+1,$K83-1)),IF(NOT(ISBLANK($N83)),$N83/$K83,$I83/$K83),0),0)</f>
        <v>4434.4483333333328</v>
      </c>
      <c r="X83" s="532">
        <f>IFERROR(IF(AND(X$54&gt;=EOMONTH($J83,-1)+1,X$54&lt;=EOMONTH(EOMONTH($J83,-1)+1,$K83-1)),IF(NOT(ISBLANK($N83)),$N83/$K83,$I83/$K83),0),0)</f>
        <v>4434.4483333333328</v>
      </c>
      <c r="Y83" s="532">
        <f>IFERROR(IF(AND(Y$54&gt;=EOMONTH($J83,-1)+1,Y$54&lt;=EOMONTH(EOMONTH($J83,-1)+1,$K83-1)),IF(NOT(ISBLANK($N83)),$N83/$K83,$I83/$K83),0),0)</f>
        <v>4434.4483333333328</v>
      </c>
      <c r="Z83" s="89">
        <f t="shared" si="30"/>
        <v>13303.344999999998</v>
      </c>
      <c r="AA83" s="532">
        <f>IFERROR(IF(AND(AA$54&gt;=EOMONTH($J83,-1)+1,AA$54&lt;=EOMONTH(EOMONTH($J83,-1)+1,$K83-1)),IF(NOT(ISBLANK($N83)),$N83/$K83,$I83/$K83),0),0)</f>
        <v>4434.4483333333328</v>
      </c>
      <c r="AB83" s="532">
        <f>IFERROR(IF(AND(AB$54&gt;=EOMONTH($J83,-1)+1,AB$54&lt;=EOMONTH(EOMONTH($J83,-1)+1,$K83-1)),IF(NOT(ISBLANK($N83)),$N83/$K83,$I83/$K83),0),0)</f>
        <v>4434.4483333333328</v>
      </c>
      <c r="AC83" s="532">
        <f>IFERROR(IF(AND(AC$54&gt;=EOMONTH($J83,-1)+1,AC$54&lt;=EOMONTH(EOMONTH($J83,-1)+1,$K83-1)),IF(NOT(ISBLANK($N83)),$N83/$K83,$I83/$K83),0),0)</f>
        <v>4434.4483333333328</v>
      </c>
      <c r="AD83" s="89">
        <f t="shared" si="31"/>
        <v>13303.344999999998</v>
      </c>
      <c r="AE83" s="532">
        <f>IFERROR(IF(AND(AE$54&gt;=EOMONTH($J83,-1)+1,AE$54&lt;=EOMONTH(EOMONTH($J83,-1)+1,$K83-1)),IF(NOT(ISBLANK($N83)),$N83/$K83,$I83/$K83),0),0)</f>
        <v>4434.4483333333328</v>
      </c>
      <c r="AF83" s="532">
        <f>IFERROR(IF(AND(AF$54&gt;=EOMONTH($J83,-1)+1,AF$54&lt;=EOMONTH(EOMONTH($J83,-1)+1,$K83-1)),IF(NOT(ISBLANK($N83)),$N83/$K83,$I83/$K83),0),0)</f>
        <v>4434.4483333333328</v>
      </c>
      <c r="AG83" s="532">
        <f>IFERROR(IF(AND(AG$54&gt;=EOMONTH($J83,-1)+1,AG$54&lt;=EOMONTH(EOMONTH($J83,-1)+1,$K83-1)),IF(NOT(ISBLANK($N83)),$N83/$K83,$I83/$K83),0),0)</f>
        <v>4434.4483333333328</v>
      </c>
      <c r="AH83" s="89">
        <f t="shared" si="17"/>
        <v>13303.344999999998</v>
      </c>
      <c r="AI83" s="95">
        <f t="shared" si="33"/>
        <v>39910.034999999989</v>
      </c>
      <c r="AJ83" s="97"/>
      <c r="AK83" s="1038"/>
      <c r="AL83" s="1042"/>
      <c r="AM83" s="1044">
        <f t="shared" ref="AM83" si="52">N83*AL83</f>
        <v>0</v>
      </c>
      <c r="AN83" s="62" t="str">
        <f>C83</f>
        <v>15- Redução do custo mensal de empilhadeira locada (LOCAPEX).</v>
      </c>
      <c r="AO83" s="62" t="s">
        <v>289</v>
      </c>
      <c r="AP83" s="543" cm="1">
        <f t="array" aca="1" ref="AP83" ca="1">IF(OR(AN83="",AN83=0),"",IF(SUMPRODUCT(($C$55:$C$160=AN83)*(S$54:$AG$54&lt;EOMONTH(TODAY(),-1)+1)*(ISNUMBER(S$55:$AG$160)),S$55:$AG$160)=0,"",SUMPRODUCT(($C$55:$C$160=AN83)*(S$54:$AG$54&lt;EOMONTH(TODAY(),-1)+1)*(ISNUMBER(S$55:$AG$160)),S$55:$AG$160)))</f>
        <v>8868.8966666666656</v>
      </c>
    </row>
    <row r="84" spans="1:42" ht="40.35" customHeight="1" x14ac:dyDescent="0.3">
      <c r="A84" s="1038"/>
      <c r="B84" s="1300"/>
      <c r="C84" s="1095"/>
      <c r="D84" s="1097"/>
      <c r="E84" s="1363"/>
      <c r="F84" s="1099"/>
      <c r="G84" s="1150"/>
      <c r="H84" s="1150"/>
      <c r="I84" s="1152"/>
      <c r="J84" s="1109"/>
      <c r="K84" s="1213"/>
      <c r="L84" s="1076"/>
      <c r="M84" s="1091"/>
      <c r="N84" s="1509"/>
      <c r="O84" s="1323"/>
      <c r="P84" s="1042"/>
      <c r="Q84" s="93" t="s">
        <v>107</v>
      </c>
      <c r="R84" s="96">
        <f>AVERAGE([32]Estrutura!$J$5:$J$7)</f>
        <v>1</v>
      </c>
      <c r="S84" s="312" t="s">
        <v>390</v>
      </c>
      <c r="T84" s="312" t="s">
        <v>390</v>
      </c>
      <c r="U84" s="312" t="s">
        <v>390</v>
      </c>
      <c r="V84" s="89">
        <f t="shared" si="29"/>
        <v>0</v>
      </c>
      <c r="W84" s="312">
        <v>3050.01</v>
      </c>
      <c r="X84" s="486">
        <v>6915.11</v>
      </c>
      <c r="Y84" s="312" t="s">
        <v>390</v>
      </c>
      <c r="Z84" s="89">
        <f t="shared" si="30"/>
        <v>9965.119999999999</v>
      </c>
      <c r="AA84" s="312" t="s">
        <v>390</v>
      </c>
      <c r="AB84" s="312" t="s">
        <v>390</v>
      </c>
      <c r="AC84" s="312" t="s">
        <v>390</v>
      </c>
      <c r="AD84" s="89">
        <f t="shared" si="31"/>
        <v>0</v>
      </c>
      <c r="AE84" s="312" t="s">
        <v>390</v>
      </c>
      <c r="AF84" s="312" t="s">
        <v>390</v>
      </c>
      <c r="AG84" s="312" t="s">
        <v>390</v>
      </c>
      <c r="AH84" s="89">
        <f t="shared" si="17"/>
        <v>0</v>
      </c>
      <c r="AI84" s="313">
        <f t="shared" si="33"/>
        <v>9965.119999999999</v>
      </c>
      <c r="AJ84" s="97"/>
      <c r="AK84" s="1038"/>
      <c r="AL84" s="1042"/>
      <c r="AM84" s="1044"/>
      <c r="AN84" s="62" t="str">
        <f>C83</f>
        <v>15- Redução do custo mensal de empilhadeira locada (LOCAPEX).</v>
      </c>
      <c r="AO84" s="62" t="s">
        <v>291</v>
      </c>
      <c r="AP84" s="543" cm="1">
        <f t="array" aca="1" ref="AP84" ca="1">IF(OR(AN84="",AN84=0),"",IF(SUMPRODUCT(($C$55:$C$160=AN84)*(S$54:$AG$54&lt;EOMONTH(TODAY(),-1)+1)*(ISNUMBER(S$56:$AG$161)),S$56:$AG$161)=0,"",SUMPRODUCT(($C$55:$C$160=AN84)*(S$54:$AG$54&lt;EOMONTH(TODAY(),-1)+1)*(ISNUMBER(S$56:$AG$161)),S$56:$AG$161)))</f>
        <v>9965.119999999999</v>
      </c>
    </row>
    <row r="85" spans="1:42" ht="40.35" customHeight="1" x14ac:dyDescent="0.3">
      <c r="A85" s="1036" t="s">
        <v>310</v>
      </c>
      <c r="B85" s="1038" t="s">
        <v>91</v>
      </c>
      <c r="C85" s="1536" t="s">
        <v>1653</v>
      </c>
      <c r="D85" s="1115" t="s">
        <v>1654</v>
      </c>
      <c r="E85" s="1303" t="s">
        <v>1655</v>
      </c>
      <c r="F85" s="1040" t="s">
        <v>1631</v>
      </c>
      <c r="G85" s="1150">
        <v>46135</v>
      </c>
      <c r="H85" s="1150">
        <v>46157</v>
      </c>
      <c r="I85" s="1074">
        <v>120860.88</v>
      </c>
      <c r="J85" s="1158"/>
      <c r="K85" s="1121">
        <v>12</v>
      </c>
      <c r="L85" s="1074"/>
      <c r="M85" s="1545"/>
      <c r="N85" s="1053"/>
      <c r="O85" s="1057" t="s">
        <v>80</v>
      </c>
      <c r="P85" s="1057">
        <v>1</v>
      </c>
      <c r="Q85" s="87" t="s">
        <v>106</v>
      </c>
      <c r="R85" s="96">
        <f>AVERAGE([33]Estrutura!$I$5:$I$7)</f>
        <v>0.90133333333333321</v>
      </c>
      <c r="S85" s="532">
        <f>IFERROR(IF(AND(S$54&gt;=EOMONTH($J85,-1)+1,S$54&lt;=EOMONTH(EOMONTH($J85,-1)+1,$K85-1)),IF(NOT(ISBLANK($N85)),$N85/$K85,$I85/$K85),0),0)</f>
        <v>0</v>
      </c>
      <c r="T85" s="532">
        <f>IFERROR(IF(AND(T$54&gt;=EOMONTH($J85,-1)+1,T$54&lt;=EOMONTH(EOMONTH($J85,-1)+1,$K85-1)),IF(NOT(ISBLANK($N85)),$N85/$K85,$I85/$K85),0),0)</f>
        <v>0</v>
      </c>
      <c r="U85" s="532">
        <f>IFERROR(IF(AND(U$54&gt;=EOMONTH($J85,-1)+1,U$54&lt;=EOMONTH(EOMONTH($J85,-1)+1,$K85-1)),IF(NOT(ISBLANK($N85)),$N85/$K85,$I85/$K85),0),0)</f>
        <v>0</v>
      </c>
      <c r="V85" s="89">
        <f t="shared" si="29"/>
        <v>0</v>
      </c>
      <c r="W85" s="309">
        <f>IFERROR(IF(AND(W$54&gt;=EOMONTH($J85,-1)+1,W$54&lt;=EOMONTH(EOMONTH($J85,-1)+1,$K85-1)),IF(NOT(ISBLANK($N85)),$N85/$K85,$I85/$K85),0),0)</f>
        <v>0</v>
      </c>
      <c r="X85" s="309">
        <f>IFERROR(IF(AND(X$54&gt;=EOMONTH($J85,-1)+1,X$54&lt;=EOMONTH(EOMONTH($J85,-1)+1,$K85-1)),IF(NOT(ISBLANK($N85)),$N85/$K85,$I85/$K85),0),0)</f>
        <v>0</v>
      </c>
      <c r="Y85" s="309">
        <f>IFERROR(IF(AND(Y$54&gt;=EOMONTH($J85,-1)+1,Y$54&lt;=EOMONTH(EOMONTH($J85,-1)+1,$K85-1)),IF(NOT(ISBLANK($N85)),$N85/$K85,$I85/$K85),0),0)</f>
        <v>0</v>
      </c>
      <c r="Z85" s="89">
        <f t="shared" si="30"/>
        <v>0</v>
      </c>
      <c r="AA85" s="309">
        <f>IFERROR(IF(AND(AA$54&gt;=EOMONTH($J85,-1)+1,AA$54&lt;=EOMONTH(EOMONTH($J85,-1)+1,$K85-1)),IF(NOT(ISBLANK($N85)),$N85/$K85,$I85/$K85),0),0)</f>
        <v>0</v>
      </c>
      <c r="AB85" s="309">
        <f>IFERROR(IF(AND(AB$54&gt;=EOMONTH($J85,-1)+1,AB$54&lt;=EOMONTH(EOMONTH($J85,-1)+1,$K85-1)),IF(NOT(ISBLANK($N85)),$N85/$K85,$I85/$K85),0),0)</f>
        <v>0</v>
      </c>
      <c r="AC85" s="309">
        <f>IFERROR(IF(AND(AC$54&gt;=EOMONTH($J85,-1)+1,AC$54&lt;=EOMONTH(EOMONTH($J85,-1)+1,$K85-1)),IF(NOT(ISBLANK($N85)),$N85/$K85,$I85/$K85),0),0)</f>
        <v>0</v>
      </c>
      <c r="AD85" s="89">
        <f t="shared" si="31"/>
        <v>0</v>
      </c>
      <c r="AE85" s="309">
        <f>IFERROR(IF(AND(AE$54&gt;=EOMONTH($J85,-1)+1,AE$54&lt;=EOMONTH(EOMONTH($J85,-1)+1,$K85-1)),IF(NOT(ISBLANK($N85)),$N85/$K85,$I85/$K85),0),0)</f>
        <v>0</v>
      </c>
      <c r="AF85" s="309">
        <f>IFERROR(IF(AND(AF$54&gt;=EOMONTH($J85,-1)+1,AF$54&lt;=EOMONTH(EOMONTH($J85,-1)+1,$K85-1)),IF(NOT(ISBLANK($N85)),$N85/$K85,$I85/$K85),0),0)</f>
        <v>0</v>
      </c>
      <c r="AG85" s="309">
        <f>IFERROR(IF(AND(AG$54&gt;=EOMONTH($J85,-1)+1,AG$54&lt;=EOMONTH(EOMONTH($J85,-1)+1,$K85-1)),IF(NOT(ISBLANK($N85)),$N85/$K85,$I85/$K85),0),0)</f>
        <v>0</v>
      </c>
      <c r="AH85" s="89">
        <f t="shared" si="17"/>
        <v>0</v>
      </c>
      <c r="AI85" s="90">
        <f>SUM(V85,Z85,AD85,AH85)</f>
        <v>0</v>
      </c>
      <c r="AJ85" s="98"/>
      <c r="AK85" s="1040"/>
      <c r="AL85" s="1048"/>
      <c r="AM85" s="1046">
        <f t="shared" ref="AM85" si="53">N85*AL85</f>
        <v>0</v>
      </c>
      <c r="AN85" s="62" t="str">
        <f>C85</f>
        <v>16- Redução de gastos com energia elétrica.</v>
      </c>
      <c r="AO85" s="62" t="s">
        <v>289</v>
      </c>
      <c r="AP85" s="543" t="str" cm="1">
        <f t="array" aca="1" ref="AP85" ca="1">IF(OR(AN85="",AN85=0),"",IF(SUMPRODUCT(($C$55:$C$160=AN85)*(S$54:$AG$54&lt;EOMONTH(TODAY(),-1)+1)*(ISNUMBER(S$55:$AG$160)),S$55:$AG$160)=0,"",SUMPRODUCT(($C$55:$C$160=AN85)*(S$54:$AG$54&lt;EOMONTH(TODAY(),-1)+1)*(ISNUMBER(S$55:$AG$160)),S$55:$AG$160)))</f>
        <v/>
      </c>
    </row>
    <row r="86" spans="1:42" ht="35.85" customHeight="1" x14ac:dyDescent="0.3">
      <c r="A86" s="1037"/>
      <c r="B86" s="1039"/>
      <c r="C86" s="1537"/>
      <c r="D86" s="1539"/>
      <c r="E86" s="1304"/>
      <c r="F86" s="1041"/>
      <c r="G86" s="1547"/>
      <c r="H86" s="1547"/>
      <c r="I86" s="1075"/>
      <c r="J86" s="1159"/>
      <c r="K86" s="1122"/>
      <c r="L86" s="1075"/>
      <c r="M86" s="1546"/>
      <c r="N86" s="1417"/>
      <c r="O86" s="1058"/>
      <c r="P86" s="1058"/>
      <c r="Q86" s="87" t="s">
        <v>107</v>
      </c>
      <c r="R86" s="91">
        <f>AVERAGE([33]Estrutura!$J$5:$J$7)</f>
        <v>0.95000000000000007</v>
      </c>
      <c r="S86" s="309" t="s">
        <v>390</v>
      </c>
      <c r="T86" s="309" t="s">
        <v>390</v>
      </c>
      <c r="U86" s="309" t="s">
        <v>390</v>
      </c>
      <c r="V86" s="89">
        <f t="shared" si="29"/>
        <v>0</v>
      </c>
      <c r="W86" s="309" t="s">
        <v>390</v>
      </c>
      <c r="X86" s="309" t="s">
        <v>390</v>
      </c>
      <c r="Y86" s="309" t="s">
        <v>390</v>
      </c>
      <c r="Z86" s="89">
        <f t="shared" si="30"/>
        <v>0</v>
      </c>
      <c r="AA86" s="309" t="s">
        <v>390</v>
      </c>
      <c r="AB86" s="309" t="s">
        <v>390</v>
      </c>
      <c r="AC86" s="309" t="s">
        <v>390</v>
      </c>
      <c r="AD86" s="89">
        <f t="shared" si="31"/>
        <v>0</v>
      </c>
      <c r="AE86" s="309" t="s">
        <v>390</v>
      </c>
      <c r="AF86" s="309" t="s">
        <v>390</v>
      </c>
      <c r="AG86" s="309" t="s">
        <v>390</v>
      </c>
      <c r="AH86" s="89">
        <f t="shared" si="17"/>
        <v>0</v>
      </c>
      <c r="AI86" s="311">
        <f t="shared" si="33"/>
        <v>0</v>
      </c>
      <c r="AJ86" s="360"/>
      <c r="AK86" s="1041"/>
      <c r="AL86" s="1049"/>
      <c r="AM86" s="1047"/>
      <c r="AN86" s="62" t="str">
        <f>C85</f>
        <v>16- Redução de gastos com energia elétrica.</v>
      </c>
      <c r="AO86" s="62" t="s">
        <v>291</v>
      </c>
      <c r="AP86" s="543" t="str" cm="1">
        <f t="array" aca="1" ref="AP86" ca="1">IF(OR(AN86="",AN86=0),"",IF(SUMPRODUCT(($C$55:$C$160=AN86)*(S$54:$AG$54&lt;EOMONTH(TODAY(),-1)+1)*(ISNUMBER(S$56:$AG$161)),S$56:$AG$161)=0,"",SUMPRODUCT(($C$55:$C$160=AN86)*(S$54:$AG$54&lt;EOMONTH(TODAY(),-1)+1)*(ISNUMBER(S$56:$AG$161)),S$56:$AG$161)))</f>
        <v/>
      </c>
    </row>
    <row r="87" spans="1:42" ht="40.35" customHeight="1" x14ac:dyDescent="0.3">
      <c r="A87" s="1093" t="s">
        <v>310</v>
      </c>
      <c r="B87" s="1299" t="s">
        <v>94</v>
      </c>
      <c r="C87" s="1095" t="s">
        <v>1656</v>
      </c>
      <c r="D87" s="1097" t="s">
        <v>1657</v>
      </c>
      <c r="E87" s="1363" t="s">
        <v>1658</v>
      </c>
      <c r="F87" s="1099" t="s">
        <v>1659</v>
      </c>
      <c r="G87" s="1150">
        <v>46135</v>
      </c>
      <c r="H87" s="1150">
        <v>46157</v>
      </c>
      <c r="I87" s="1152"/>
      <c r="J87" s="1109"/>
      <c r="K87" s="1213">
        <v>12</v>
      </c>
      <c r="L87" s="1076"/>
      <c r="M87" s="1072"/>
      <c r="N87" s="1055"/>
      <c r="O87" s="1323" t="s">
        <v>80</v>
      </c>
      <c r="P87" s="1042"/>
      <c r="Q87" s="93" t="s">
        <v>106</v>
      </c>
      <c r="R87" s="96">
        <f>AVERAGE([34]Estrutura!$I$5:$I$8)</f>
        <v>1</v>
      </c>
      <c r="S87" s="532">
        <f>IFERROR(IF(AND(S$54&gt;=EOMONTH($J87,-1)+1,S$54&lt;=EOMONTH(EOMONTH($J87,-1)+1,$K87-1)),IF(NOT(ISBLANK($N87)),$N87/$K87,$I87/$K87),0),0)</f>
        <v>0</v>
      </c>
      <c r="T87" s="532">
        <f>IFERROR(IF(AND(T$54&gt;=EOMONTH($J87,-1)+1,T$54&lt;=EOMONTH(EOMONTH($J87,-1)+1,$K87-1)),IF(NOT(ISBLANK($N87)),$N87/$K87,$I87/$K87),0),0)</f>
        <v>0</v>
      </c>
      <c r="U87" s="532">
        <f>IFERROR(IF(AND(U$54&gt;=EOMONTH($J87,-1)+1,U$54&lt;=EOMONTH(EOMONTH($J87,-1)+1,$K87-1)),IF(NOT(ISBLANK($N87)),$N87/$K87,$I87/$K87),0),0)</f>
        <v>0</v>
      </c>
      <c r="V87" s="89">
        <f t="shared" si="29"/>
        <v>0</v>
      </c>
      <c r="W87" s="532">
        <f>IFERROR(IF(AND(W$54&gt;=EOMONTH($J87,-1)+1,W$54&lt;=EOMONTH(EOMONTH($J87,-1)+1,$K87-1)),IF(NOT(ISBLANK($N87)),$N87/$K87,$I87/$K87),0),0)</f>
        <v>0</v>
      </c>
      <c r="X87" s="532">
        <f>IFERROR(IF(AND(X$54&gt;=EOMONTH($J87,-1)+1,X$54&lt;=EOMONTH(EOMONTH($J87,-1)+1,$K87-1)),IF(NOT(ISBLANK($N87)),$N87/$K87,$I87/$K87),0),0)</f>
        <v>0</v>
      </c>
      <c r="Y87" s="532">
        <f>IFERROR(IF(AND(Y$54&gt;=EOMONTH($J87,-1)+1,Y$54&lt;=EOMONTH(EOMONTH($J87,-1)+1,$K87-1)),IF(NOT(ISBLANK($N87)),$N87/$K87,$I87/$K87),0),0)</f>
        <v>0</v>
      </c>
      <c r="Z87" s="89">
        <f t="shared" si="30"/>
        <v>0</v>
      </c>
      <c r="AA87" s="532">
        <f>IFERROR(IF(AND(AA$54&gt;=EOMONTH($J87,-1)+1,AA$54&lt;=EOMONTH(EOMONTH($J87,-1)+1,$K87-1)),IF(NOT(ISBLANK($N87)),$N87/$K87,$I87/$K87),0),0)</f>
        <v>0</v>
      </c>
      <c r="AB87" s="532">
        <f>IFERROR(IF(AND(AB$54&gt;=EOMONTH($J87,-1)+1,AB$54&lt;=EOMONTH(EOMONTH($J87,-1)+1,$K87-1)),IF(NOT(ISBLANK($N87)),$N87/$K87,$I87/$K87),0),0)</f>
        <v>0</v>
      </c>
      <c r="AC87" s="532">
        <f>IFERROR(IF(AND(AC$54&gt;=EOMONTH($J87,-1)+1,AC$54&lt;=EOMONTH(EOMONTH($J87,-1)+1,$K87-1)),IF(NOT(ISBLANK($N87)),$N87/$K87,$I87/$K87),0),0)</f>
        <v>0</v>
      </c>
      <c r="AD87" s="89">
        <f t="shared" si="31"/>
        <v>0</v>
      </c>
      <c r="AE87" s="532">
        <f>IFERROR(IF(AND(AE$54&gt;=EOMONTH($J87,-1)+1,AE$54&lt;=EOMONTH(EOMONTH($J87,-1)+1,$K87-1)),IF(NOT(ISBLANK($N87)),$N87/$K87,$I87/$K87),0),0)</f>
        <v>0</v>
      </c>
      <c r="AF87" s="532">
        <f>IFERROR(IF(AND(AF$54&gt;=EOMONTH($J87,-1)+1,AF$54&lt;=EOMONTH(EOMONTH($J87,-1)+1,$K87-1)),IF(NOT(ISBLANK($N87)),$N87/$K87,$I87/$K87),0),0)</f>
        <v>0</v>
      </c>
      <c r="AG87" s="532">
        <f>IFERROR(IF(AND(AG$54&gt;=EOMONTH($J87,-1)+1,AG$54&lt;=EOMONTH(EOMONTH($J87,-1)+1,$K87-1)),IF(NOT(ISBLANK($N87)),$N87/$K87,$I87/$K87),0),0)</f>
        <v>0</v>
      </c>
      <c r="AH87" s="89">
        <f t="shared" si="17"/>
        <v>0</v>
      </c>
      <c r="AI87" s="95">
        <f t="shared" si="33"/>
        <v>0</v>
      </c>
      <c r="AJ87" s="97"/>
      <c r="AK87" s="1038"/>
      <c r="AL87" s="1042"/>
      <c r="AM87" s="1044">
        <f t="shared" ref="AM87" si="54">N87*AL87</f>
        <v>0</v>
      </c>
      <c r="AN87" s="62" t="str">
        <f>C87</f>
        <v>17- Redução de gasto com copo plásticos descartáveis.</v>
      </c>
      <c r="AO87" s="62" t="s">
        <v>289</v>
      </c>
      <c r="AP87" s="543" t="str" cm="1">
        <f t="array" aca="1" ref="AP87" ca="1">IF(OR(AN87="",AN87=0),"",IF(SUMPRODUCT(($C$55:$C$160=AN87)*(S$54:$AG$54&lt;EOMONTH(TODAY(),-1)+1)*(ISNUMBER(S$55:$AG$160)),S$55:$AG$160)=0,"",SUMPRODUCT(($C$55:$C$160=AN87)*(S$54:$AG$54&lt;EOMONTH(TODAY(),-1)+1)*(ISNUMBER(S$55:$AG$160)),S$55:$AG$160)))</f>
        <v/>
      </c>
    </row>
    <row r="88" spans="1:42" ht="29.85" customHeight="1" x14ac:dyDescent="0.3">
      <c r="A88" s="1093"/>
      <c r="B88" s="1300"/>
      <c r="C88" s="1095"/>
      <c r="D88" s="1097"/>
      <c r="E88" s="1363"/>
      <c r="F88" s="1099"/>
      <c r="G88" s="1150"/>
      <c r="H88" s="1150"/>
      <c r="I88" s="1152"/>
      <c r="J88" s="1109"/>
      <c r="K88" s="1213"/>
      <c r="L88" s="1076"/>
      <c r="M88" s="1072"/>
      <c r="N88" s="1055"/>
      <c r="O88" s="1323"/>
      <c r="P88" s="1042"/>
      <c r="Q88" s="93" t="s">
        <v>107</v>
      </c>
      <c r="R88" s="96">
        <f>AVERAGE([34]Estrutura!$J$5:$J$8)</f>
        <v>1</v>
      </c>
      <c r="S88" s="312" t="s">
        <v>390</v>
      </c>
      <c r="T88" s="312" t="s">
        <v>390</v>
      </c>
      <c r="U88" s="312" t="s">
        <v>390</v>
      </c>
      <c r="V88" s="89">
        <f t="shared" si="29"/>
        <v>0</v>
      </c>
      <c r="W88" s="312" t="s">
        <v>390</v>
      </c>
      <c r="X88" s="312" t="s">
        <v>390</v>
      </c>
      <c r="Y88" s="312" t="s">
        <v>390</v>
      </c>
      <c r="Z88" s="89">
        <f t="shared" si="30"/>
        <v>0</v>
      </c>
      <c r="AA88" s="312" t="s">
        <v>390</v>
      </c>
      <c r="AB88" s="312" t="s">
        <v>390</v>
      </c>
      <c r="AC88" s="312" t="s">
        <v>390</v>
      </c>
      <c r="AD88" s="89">
        <f t="shared" si="31"/>
        <v>0</v>
      </c>
      <c r="AE88" s="312" t="s">
        <v>390</v>
      </c>
      <c r="AF88" s="312" t="s">
        <v>390</v>
      </c>
      <c r="AG88" s="312" t="s">
        <v>390</v>
      </c>
      <c r="AH88" s="89">
        <f t="shared" si="17"/>
        <v>0</v>
      </c>
      <c r="AI88" s="313">
        <f t="shared" si="33"/>
        <v>0</v>
      </c>
      <c r="AJ88" s="97"/>
      <c r="AK88" s="1038"/>
      <c r="AL88" s="1042"/>
      <c r="AM88" s="1044"/>
      <c r="AN88" s="62" t="str">
        <f>C87</f>
        <v>17- Redução de gasto com copo plásticos descartáveis.</v>
      </c>
      <c r="AO88" s="62" t="s">
        <v>291</v>
      </c>
      <c r="AP88" s="543" t="str" cm="1">
        <f t="array" aca="1" ref="AP88" ca="1">IF(OR(AN88="",AN88=0),"",IF(SUMPRODUCT(($C$55:$C$160=AN88)*(S$54:$AG$54&lt;EOMONTH(TODAY(),-1)+1)*(ISNUMBER(S$56:$AG$161)),S$56:$AG$161)=0,"",SUMPRODUCT(($C$55:$C$160=AN88)*(S$54:$AG$54&lt;EOMONTH(TODAY(),-1)+1)*(ISNUMBER(S$56:$AG$161)),S$56:$AG$161)))</f>
        <v/>
      </c>
    </row>
    <row r="89" spans="1:42" ht="35.85" customHeight="1" x14ac:dyDescent="0.3">
      <c r="A89" s="1036" t="s">
        <v>85</v>
      </c>
      <c r="B89" s="1038" t="s">
        <v>90</v>
      </c>
      <c r="C89" s="1113" t="s">
        <v>1660</v>
      </c>
      <c r="D89" s="1097" t="s">
        <v>1661</v>
      </c>
      <c r="E89" s="1303" t="s">
        <v>1642</v>
      </c>
      <c r="F89" s="1099" t="s">
        <v>1606</v>
      </c>
      <c r="G89" s="1150">
        <v>46165</v>
      </c>
      <c r="H89" s="1150">
        <v>46188</v>
      </c>
      <c r="I89" s="1074"/>
      <c r="J89" s="1109"/>
      <c r="K89" s="1121">
        <v>12</v>
      </c>
      <c r="L89" s="1074"/>
      <c r="M89" s="1119"/>
      <c r="N89" s="1053"/>
      <c r="O89" s="1057" t="s">
        <v>80</v>
      </c>
      <c r="P89" s="1057"/>
      <c r="Q89" s="87" t="s">
        <v>106</v>
      </c>
      <c r="R89" s="91">
        <f>AVERAGE([35]Estrutura!$I$5:$I$14)</f>
        <v>0.66521739130434787</v>
      </c>
      <c r="S89" s="309">
        <f>IFERROR(IF(AND(S$54&gt;=EOMONTH($J89,-1)+1,S$54&lt;=EOMONTH(EOMONTH($J89,-1)+1,$K89-1)),IF(NOT(ISBLANK($N89)),$N89/$K89,$I89/$K89),0),0)</f>
        <v>0</v>
      </c>
      <c r="T89" s="309">
        <f>IFERROR(IF(AND(T$54&gt;=EOMONTH($J89,-1)+1,T$54&lt;=EOMONTH(EOMONTH($J89,-1)+1,$K89-1)),IF(NOT(ISBLANK($N89)),$N89/$K89,$I89/$K89),0),0)</f>
        <v>0</v>
      </c>
      <c r="U89" s="309">
        <f>IFERROR(IF(AND(U$54&gt;=EOMONTH($J89,-1)+1,U$54&lt;=EOMONTH(EOMONTH($J89,-1)+1,$K89-1)),IF(NOT(ISBLANK($N89)),$N89/$K89,$I89/$K89),0),0)</f>
        <v>0</v>
      </c>
      <c r="V89" s="89">
        <f t="shared" si="29"/>
        <v>0</v>
      </c>
      <c r="W89" s="309">
        <f>IFERROR(IF(AND(W$54&gt;=EOMONTH($J89,-1)+1,W$54&lt;=EOMONTH(EOMONTH($J89,-1)+1,$K89-1)),IF(NOT(ISBLANK($N89)),$N89/$K89,$I89/$K89),0),0)</f>
        <v>0</v>
      </c>
      <c r="X89" s="309">
        <f>IFERROR(IF(AND(X$54&gt;=EOMONTH($J89,-1)+1,X$54&lt;=EOMONTH(EOMONTH($J89,-1)+1,$K89-1)),IF(NOT(ISBLANK($N89)),$N89/$K89,$I89/$K89),0),0)</f>
        <v>0</v>
      </c>
      <c r="Y89" s="309">
        <f>IFERROR(IF(AND(Y$54&gt;=EOMONTH($J89,-1)+1,Y$54&lt;=EOMONTH(EOMONTH($J89,-1)+1,$K89-1)),IF(NOT(ISBLANK($N89)),$N89/$K89,$I89/$K89),0),0)</f>
        <v>0</v>
      </c>
      <c r="Z89" s="89">
        <f t="shared" si="30"/>
        <v>0</v>
      </c>
      <c r="AA89" s="309">
        <f>IFERROR(IF(AND(AA$54&gt;=EOMONTH($J89,-1)+1,AA$54&lt;=EOMONTH(EOMONTH($J89,-1)+1,$K89-1)),IF(NOT(ISBLANK($N89)),$N89/$K89,$I89/$K89),0),0)</f>
        <v>0</v>
      </c>
      <c r="AB89" s="309">
        <f>IFERROR(IF(AND(AB$54&gt;=EOMONTH($J89,-1)+1,AB$54&lt;=EOMONTH(EOMONTH($J89,-1)+1,$K89-1)),IF(NOT(ISBLANK($N89)),$N89/$K89,$I89/$K89),0),0)</f>
        <v>0</v>
      </c>
      <c r="AC89" s="309">
        <f>IFERROR(IF(AND(AC$54&gt;=EOMONTH($J89,-1)+1,AC$54&lt;=EOMONTH(EOMONTH($J89,-1)+1,$K89-1)),IF(NOT(ISBLANK($N89)),$N89/$K89,$I89/$K89),0),0)</f>
        <v>0</v>
      </c>
      <c r="AD89" s="89">
        <f t="shared" si="31"/>
        <v>0</v>
      </c>
      <c r="AE89" s="309">
        <f>IFERROR(IF(AND(AE$54&gt;=EOMONTH($J89,-1)+1,AE$54&lt;=EOMONTH(EOMONTH($J89,-1)+1,$K89-1)),IF(NOT(ISBLANK($N89)),$N89/$K89,$I89/$K89),0),0)</f>
        <v>0</v>
      </c>
      <c r="AF89" s="309">
        <f>IFERROR(IF(AND(AF$54&gt;=EOMONTH($J89,-1)+1,AF$54&lt;=EOMONTH(EOMONTH($J89,-1)+1,$K89-1)),IF(NOT(ISBLANK($N89)),$N89/$K89,$I89/$K89),0),0)</f>
        <v>0</v>
      </c>
      <c r="AG89" s="309">
        <f>IFERROR(IF(AND(AG$54&gt;=EOMONTH($J89,-1)+1,AG$54&lt;=EOMONTH(EOMONTH($J89,-1)+1,$K89-1)),IF(NOT(ISBLANK($N89)),$N89/$K89,$I89/$K89),0),0)</f>
        <v>0</v>
      </c>
      <c r="AH89" s="89">
        <f t="shared" si="17"/>
        <v>0</v>
      </c>
      <c r="AI89" s="90">
        <f>SUM(V89,Z89,AD89,AH89)</f>
        <v>0</v>
      </c>
      <c r="AJ89" s="98"/>
      <c r="AK89" s="1040"/>
      <c r="AL89" s="1048"/>
      <c r="AM89" s="1046">
        <f t="shared" ref="AM89" si="55">N89*AL89</f>
        <v>0</v>
      </c>
      <c r="AN89" s="62" t="str">
        <f>C89</f>
        <v xml:space="preserve">18 -  REDUÇÃO DE PESO BRUTO DD000507z
</v>
      </c>
      <c r="AO89" s="62" t="s">
        <v>289</v>
      </c>
      <c r="AP89" s="543" t="str" cm="1">
        <f t="array" aca="1" ref="AP89" ca="1">IF(OR(AN89="",AN89=0),"",IF(SUMPRODUCT(($C$55:$C$160=AN89)*(S$54:$AG$54&lt;EOMONTH(TODAY(),-1)+1)*(ISNUMBER(S$55:$AG$160)),S$55:$AG$160)=0,"",SUMPRODUCT(($C$55:$C$160=AN89)*(S$54:$AG$54&lt;EOMONTH(TODAY(),-1)+1)*(ISNUMBER(S$55:$AG$160)),S$55:$AG$160)))</f>
        <v/>
      </c>
    </row>
    <row r="90" spans="1:42" ht="38.1" customHeight="1" x14ac:dyDescent="0.3">
      <c r="A90" s="1036"/>
      <c r="B90" s="1039"/>
      <c r="C90" s="1113"/>
      <c r="D90" s="1097"/>
      <c r="E90" s="1303"/>
      <c r="F90" s="1099"/>
      <c r="G90" s="1150"/>
      <c r="H90" s="1150"/>
      <c r="I90" s="1074"/>
      <c r="J90" s="1109"/>
      <c r="K90" s="1121"/>
      <c r="L90" s="1074"/>
      <c r="M90" s="1119"/>
      <c r="N90" s="1053"/>
      <c r="O90" s="1057"/>
      <c r="P90" s="1057"/>
      <c r="Q90" s="87" t="s">
        <v>107</v>
      </c>
      <c r="R90" s="91">
        <f>AVERAGE([35]Estrutura!$J$5:$J$14)</f>
        <v>0.67999999999999994</v>
      </c>
      <c r="S90" s="309" t="s">
        <v>390</v>
      </c>
      <c r="T90" s="309" t="s">
        <v>390</v>
      </c>
      <c r="U90" s="309" t="s">
        <v>390</v>
      </c>
      <c r="V90" s="89">
        <f t="shared" si="29"/>
        <v>0</v>
      </c>
      <c r="W90" s="309" t="s">
        <v>390</v>
      </c>
      <c r="X90" s="309" t="s">
        <v>390</v>
      </c>
      <c r="Y90" s="309" t="s">
        <v>390</v>
      </c>
      <c r="Z90" s="89">
        <f t="shared" si="30"/>
        <v>0</v>
      </c>
      <c r="AA90" s="309" t="s">
        <v>390</v>
      </c>
      <c r="AB90" s="309" t="s">
        <v>390</v>
      </c>
      <c r="AC90" s="309" t="s">
        <v>390</v>
      </c>
      <c r="AD90" s="89">
        <f t="shared" si="31"/>
        <v>0</v>
      </c>
      <c r="AE90" s="309" t="s">
        <v>390</v>
      </c>
      <c r="AF90" s="309" t="s">
        <v>390</v>
      </c>
      <c r="AG90" s="309" t="s">
        <v>390</v>
      </c>
      <c r="AH90" s="89">
        <f t="shared" si="17"/>
        <v>0</v>
      </c>
      <c r="AI90" s="311">
        <f t="shared" si="33"/>
        <v>0</v>
      </c>
      <c r="AJ90" s="360"/>
      <c r="AK90" s="1040"/>
      <c r="AL90" s="1048"/>
      <c r="AM90" s="1046"/>
      <c r="AN90" s="62" t="str">
        <f>C89</f>
        <v xml:space="preserve">18 -  REDUÇÃO DE PESO BRUTO DD000507z
</v>
      </c>
      <c r="AO90" s="62" t="s">
        <v>291</v>
      </c>
      <c r="AP90" s="543" t="str" cm="1">
        <f t="array" aca="1" ref="AP90" ca="1">IF(OR(AN90="",AN90=0),"",IF(SUMPRODUCT(($C$55:$C$160=AN90)*(S$54:$AG$54&lt;EOMONTH(TODAY(),-1)+1)*(ISNUMBER(S$56:$AG$161)),S$56:$AG$161)=0,"",SUMPRODUCT(($C$55:$C$160=AN90)*(S$54:$AG$54&lt;EOMONTH(TODAY(),-1)+1)*(ISNUMBER(S$56:$AG$161)),S$56:$AG$161)))</f>
        <v/>
      </c>
    </row>
    <row r="91" spans="1:42" ht="56.1" customHeight="1" x14ac:dyDescent="0.3">
      <c r="A91" s="1093" t="s">
        <v>310</v>
      </c>
      <c r="B91" s="1299" t="s">
        <v>94</v>
      </c>
      <c r="C91" s="1536" t="s">
        <v>1662</v>
      </c>
      <c r="D91" s="1097"/>
      <c r="E91" s="1363" t="s">
        <v>1663</v>
      </c>
      <c r="F91" s="1099" t="s">
        <v>1664</v>
      </c>
      <c r="G91" s="1150">
        <v>46146</v>
      </c>
      <c r="H91" s="1150">
        <v>46188</v>
      </c>
      <c r="I91" s="1152"/>
      <c r="J91" s="1109"/>
      <c r="K91" s="1213">
        <v>12</v>
      </c>
      <c r="L91" s="1076"/>
      <c r="M91" s="1072"/>
      <c r="N91" s="1055"/>
      <c r="O91" s="1323" t="s">
        <v>80</v>
      </c>
      <c r="P91" s="1042"/>
      <c r="Q91" s="93" t="s">
        <v>106</v>
      </c>
      <c r="R91" s="96"/>
      <c r="S91" s="532">
        <f>IFERROR(IF(AND(S$54&gt;=EOMONTH($J91,-1)+1,S$54&lt;=EOMONTH(EOMONTH($J91,-1)+1,$K91-1)),IF(NOT(ISBLANK($N91)),$N91/$K91,$I91/$K91),0),0)</f>
        <v>0</v>
      </c>
      <c r="T91" s="532">
        <f>IFERROR(IF(AND(T$54&gt;=EOMONTH($J91,-1)+1,T$54&lt;=EOMONTH(EOMONTH($J91,-1)+1,$K91-1)),IF(NOT(ISBLANK($N91)),$N91/$K91,$I91/$K91),0),0)</f>
        <v>0</v>
      </c>
      <c r="U91" s="532">
        <f>IFERROR(IF(AND(U$54&gt;=EOMONTH($J91,-1)+1,U$54&lt;=EOMONTH(EOMONTH($J91,-1)+1,$K91-1)),IF(NOT(ISBLANK($N91)),$N91/$K91,$I91/$K91),0),0)</f>
        <v>0</v>
      </c>
      <c r="V91" s="89">
        <f t="shared" si="29"/>
        <v>0</v>
      </c>
      <c r="W91" s="532">
        <f>IFERROR(IF(AND(W$54&gt;=EOMONTH($J91,-1)+1,W$54&lt;=EOMONTH(EOMONTH($J91,-1)+1,$K91-1)),IF(NOT(ISBLANK($N91)),$N91/$K91,$I91/$K91),0),0)</f>
        <v>0</v>
      </c>
      <c r="X91" s="532">
        <f>IFERROR(IF(AND(X$54&gt;=EOMONTH($J91,-1)+1,X$54&lt;=EOMONTH(EOMONTH($J91,-1)+1,$K91-1)),IF(NOT(ISBLANK($N91)),$N91/$K91,$I91/$K91),0),0)</f>
        <v>0</v>
      </c>
      <c r="Y91" s="532">
        <f>IFERROR(IF(AND(Y$54&gt;=EOMONTH($J91,-1)+1,Y$54&lt;=EOMONTH(EOMONTH($J91,-1)+1,$K91-1)),IF(NOT(ISBLANK($N91)),$N91/$K91,$I91/$K91),0),0)</f>
        <v>0</v>
      </c>
      <c r="Z91" s="89">
        <f t="shared" si="30"/>
        <v>0</v>
      </c>
      <c r="AA91" s="532">
        <f>IFERROR(IF(AND(AA$54&gt;=EOMONTH($J91,-1)+1,AA$54&lt;=EOMONTH(EOMONTH($J91,-1)+1,$K91-1)),IF(NOT(ISBLANK($N91)),$N91/$K91,$I91/$K91),0),0)</f>
        <v>0</v>
      </c>
      <c r="AB91" s="532">
        <f>IFERROR(IF(AND(AB$54&gt;=EOMONTH($J91,-1)+1,AB$54&lt;=EOMONTH(EOMONTH($J91,-1)+1,$K91-1)),IF(NOT(ISBLANK($N91)),$N91/$K91,$I91/$K91),0),0)</f>
        <v>0</v>
      </c>
      <c r="AC91" s="532">
        <f>IFERROR(IF(AND(AC$54&gt;=EOMONTH($J91,-1)+1,AC$54&lt;=EOMONTH(EOMONTH($J91,-1)+1,$K91-1)),IF(NOT(ISBLANK($N91)),$N91/$K91,$I91/$K91),0),0)</f>
        <v>0</v>
      </c>
      <c r="AD91" s="89">
        <f t="shared" si="31"/>
        <v>0</v>
      </c>
      <c r="AE91" s="532">
        <f>IFERROR(IF(AND(AE$54&gt;=EOMONTH($J91,-1)+1,AE$54&lt;=EOMONTH(EOMONTH($J91,-1)+1,$K91-1)),IF(NOT(ISBLANK($N91)),$N91/$K91,$I91/$K91),0),0)</f>
        <v>0</v>
      </c>
      <c r="AF91" s="532">
        <f>IFERROR(IF(AND(AF$54&gt;=EOMONTH($J91,-1)+1,AF$54&lt;=EOMONTH(EOMONTH($J91,-1)+1,$K91-1)),IF(NOT(ISBLANK($N91)),$N91/$K91,$I91/$K91),0),0)</f>
        <v>0</v>
      </c>
      <c r="AG91" s="532">
        <f>IFERROR(IF(AND(AG$54&gt;=EOMONTH($J91,-1)+1,AG$54&lt;=EOMONTH(EOMONTH($J91,-1)+1,$K91-1)),IF(NOT(ISBLANK($N91)),$N91/$K91,$I91/$K91),0),0)</f>
        <v>0</v>
      </c>
      <c r="AH91" s="89">
        <f t="shared" si="17"/>
        <v>0</v>
      </c>
      <c r="AI91" s="95">
        <f t="shared" si="33"/>
        <v>0</v>
      </c>
      <c r="AJ91" s="97"/>
      <c r="AK91" s="1038"/>
      <c r="AL91" s="1042"/>
      <c r="AM91" s="1044">
        <f t="shared" ref="AM91" si="56">N91*AL91</f>
        <v>0</v>
      </c>
      <c r="AN91" s="62" t="str">
        <f>C91</f>
        <v xml:space="preserve">19 - Troca de Plano Médico, custo beneficio </v>
      </c>
      <c r="AO91" s="62" t="s">
        <v>289</v>
      </c>
      <c r="AP91" s="543" t="str" cm="1">
        <f t="array" aca="1" ref="AP91" ca="1">IF(OR(AN91="",AN91=0),"",IF(SUMPRODUCT(($C$55:$C$160=AN91)*(S$54:$AG$54&lt;EOMONTH(TODAY(),-1)+1)*(ISNUMBER(S$55:$AG$160)),S$55:$AG$160)=0,"",SUMPRODUCT(($C$55:$C$160=AN91)*(S$54:$AG$54&lt;EOMONTH(TODAY(),-1)+1)*(ISNUMBER(S$55:$AG$160)),S$55:$AG$160)))</f>
        <v/>
      </c>
    </row>
    <row r="92" spans="1:42" ht="29.1" customHeight="1" x14ac:dyDescent="0.3">
      <c r="A92" s="1093"/>
      <c r="B92" s="1300"/>
      <c r="C92" s="1537"/>
      <c r="D92" s="1097"/>
      <c r="E92" s="1363"/>
      <c r="F92" s="1099"/>
      <c r="G92" s="1150"/>
      <c r="H92" s="1150"/>
      <c r="I92" s="1152"/>
      <c r="J92" s="1109"/>
      <c r="K92" s="1213"/>
      <c r="L92" s="1076"/>
      <c r="M92" s="1072"/>
      <c r="N92" s="1055"/>
      <c r="O92" s="1323"/>
      <c r="P92" s="1042"/>
      <c r="Q92" s="93" t="s">
        <v>107</v>
      </c>
      <c r="R92" s="96"/>
      <c r="S92" s="312" t="s">
        <v>390</v>
      </c>
      <c r="T92" s="312" t="s">
        <v>390</v>
      </c>
      <c r="U92" s="312" t="s">
        <v>390</v>
      </c>
      <c r="V92" s="89">
        <f t="shared" si="29"/>
        <v>0</v>
      </c>
      <c r="W92" s="312" t="s">
        <v>390</v>
      </c>
      <c r="X92" s="312" t="s">
        <v>390</v>
      </c>
      <c r="Y92" s="312" t="s">
        <v>390</v>
      </c>
      <c r="Z92" s="89">
        <f t="shared" si="30"/>
        <v>0</v>
      </c>
      <c r="AA92" s="312" t="s">
        <v>390</v>
      </c>
      <c r="AB92" s="312" t="s">
        <v>390</v>
      </c>
      <c r="AC92" s="312" t="s">
        <v>390</v>
      </c>
      <c r="AD92" s="89">
        <f t="shared" si="31"/>
        <v>0</v>
      </c>
      <c r="AE92" s="312" t="s">
        <v>390</v>
      </c>
      <c r="AF92" s="312" t="s">
        <v>390</v>
      </c>
      <c r="AG92" s="312" t="s">
        <v>390</v>
      </c>
      <c r="AH92" s="89">
        <f t="shared" si="17"/>
        <v>0</v>
      </c>
      <c r="AI92" s="313">
        <f t="shared" si="33"/>
        <v>0</v>
      </c>
      <c r="AJ92" s="97"/>
      <c r="AK92" s="1038"/>
      <c r="AL92" s="1042"/>
      <c r="AM92" s="1044"/>
      <c r="AN92" s="62" t="str">
        <f>C91</f>
        <v xml:space="preserve">19 - Troca de Plano Médico, custo beneficio </v>
      </c>
      <c r="AO92" s="62" t="s">
        <v>291</v>
      </c>
      <c r="AP92" s="543" t="str" cm="1">
        <f t="array" aca="1" ref="AP92" ca="1">IF(OR(AN92="",AN92=0),"",IF(SUMPRODUCT(($C$55:$C$160=AN92)*(S$54:$AG$54&lt;EOMONTH(TODAY(),-1)+1)*(ISNUMBER(S$56:$AG$161)),S$56:$AG$161)=0,"",SUMPRODUCT(($C$55:$C$160=AN92)*(S$54:$AG$54&lt;EOMONTH(TODAY(),-1)+1)*(ISNUMBER(S$56:$AG$161)),S$56:$AG$161)))</f>
        <v/>
      </c>
    </row>
    <row r="93" spans="1:42" ht="40.35" customHeight="1" x14ac:dyDescent="0.3">
      <c r="A93" s="1036" t="s">
        <v>76</v>
      </c>
      <c r="B93" s="1038" t="s">
        <v>91</v>
      </c>
      <c r="C93" s="1113" t="s">
        <v>1665</v>
      </c>
      <c r="D93" s="1115"/>
      <c r="E93" s="1303" t="s">
        <v>1666</v>
      </c>
      <c r="F93" s="1040" t="s">
        <v>1638</v>
      </c>
      <c r="G93" s="1117">
        <v>46146</v>
      </c>
      <c r="H93" s="1117">
        <v>46188</v>
      </c>
      <c r="I93" s="1074"/>
      <c r="J93" s="1158"/>
      <c r="K93" s="1121">
        <v>12</v>
      </c>
      <c r="L93" s="1074"/>
      <c r="M93" s="1119"/>
      <c r="N93" s="1053"/>
      <c r="O93" s="1057" t="s">
        <v>80</v>
      </c>
      <c r="P93" s="1057"/>
      <c r="Q93" s="87" t="s">
        <v>106</v>
      </c>
      <c r="R93" s="91"/>
      <c r="S93" s="309">
        <f>IFERROR(IF(AND(S$54&gt;=EOMONTH($J93,-1)+1,S$54&lt;=EOMONTH(EOMONTH($J93,-1)+1,$K93-1)),IF(NOT(ISBLANK($N93)),$N93/$K93,$I93/$K93),0),0)</f>
        <v>0</v>
      </c>
      <c r="T93" s="309">
        <f>IFERROR(IF(AND(T$54&gt;=EOMONTH($J93,-1)+1,T$54&lt;=EOMONTH(EOMONTH($J93,-1)+1,$K93-1)),IF(NOT(ISBLANK($N93)),$N93/$K93,$I93/$K93),0),0)</f>
        <v>0</v>
      </c>
      <c r="U93" s="309">
        <f>IFERROR(IF(AND(U$54&gt;=EOMONTH($J93,-1)+1,U$54&lt;=EOMONTH(EOMONTH($J93,-1)+1,$K93-1)),IF(NOT(ISBLANK($N93)),$N93/$K93,$I93/$K93),0),0)</f>
        <v>0</v>
      </c>
      <c r="V93" s="89">
        <f t="shared" si="29"/>
        <v>0</v>
      </c>
      <c r="W93" s="309">
        <f>IFERROR(IF(AND(W$54&gt;=EOMONTH($J93,-1)+1,W$54&lt;=EOMONTH(EOMONTH($J93,-1)+1,$K93-1)),IF(NOT(ISBLANK($N93)),$N93/$K93,$I93/$K93),0),0)</f>
        <v>0</v>
      </c>
      <c r="X93" s="309">
        <f>IFERROR(IF(AND(X$54&gt;=EOMONTH($J93,-1)+1,X$54&lt;=EOMONTH(EOMONTH($J93,-1)+1,$K93-1)),IF(NOT(ISBLANK($N93)),$N93/$K93,$I93/$K93),0),0)</f>
        <v>0</v>
      </c>
      <c r="Y93" s="309">
        <f>IFERROR(IF(AND(Y$54&gt;=EOMONTH($J93,-1)+1,Y$54&lt;=EOMONTH(EOMONTH($J93,-1)+1,$K93-1)),IF(NOT(ISBLANK($N93)),$N93/$K93,$I93/$K93),0),0)</f>
        <v>0</v>
      </c>
      <c r="Z93" s="89">
        <f t="shared" si="30"/>
        <v>0</v>
      </c>
      <c r="AA93" s="309">
        <f>IFERROR(IF(AND(AA$54&gt;=EOMONTH($J93,-1)+1,AA$54&lt;=EOMONTH(EOMONTH($J93,-1)+1,$K93-1)),IF(NOT(ISBLANK($N93)),$N93/$K93,$I93/$K93),0),0)</f>
        <v>0</v>
      </c>
      <c r="AB93" s="309">
        <f>IFERROR(IF(AND(AB$54&gt;=EOMONTH($J93,-1)+1,AB$54&lt;=EOMONTH(EOMONTH($J93,-1)+1,$K93-1)),IF(NOT(ISBLANK($N93)),$N93/$K93,$I93/$K93),0),0)</f>
        <v>0</v>
      </c>
      <c r="AC93" s="309">
        <f>IFERROR(IF(AND(AC$54&gt;=EOMONTH($J93,-1)+1,AC$54&lt;=EOMONTH(EOMONTH($J93,-1)+1,$K93-1)),IF(NOT(ISBLANK($N93)),$N93/$K93,$I93/$K93),0),0)</f>
        <v>0</v>
      </c>
      <c r="AD93" s="89">
        <f t="shared" si="31"/>
        <v>0</v>
      </c>
      <c r="AE93" s="309">
        <f>IFERROR(IF(AND(AE$54&gt;=EOMONTH($J93,-1)+1,AE$54&lt;=EOMONTH(EOMONTH($J93,-1)+1,$K93-1)),IF(NOT(ISBLANK($N93)),$N93/$K93,$I93/$K93),0),0)</f>
        <v>0</v>
      </c>
      <c r="AF93" s="309">
        <f>IFERROR(IF(AND(AF$54&gt;=EOMONTH($J93,-1)+1,AF$54&lt;=EOMONTH(EOMONTH($J93,-1)+1,$K93-1)),IF(NOT(ISBLANK($N93)),$N93/$K93,$I93/$K93),0),0)</f>
        <v>0</v>
      </c>
      <c r="AG93" s="309">
        <f>IFERROR(IF(AND(AG$54&gt;=EOMONTH($J93,-1)+1,AG$54&lt;=EOMONTH(EOMONTH($J93,-1)+1,$K93-1)),IF(NOT(ISBLANK($N93)),$N93/$K93,$I93/$K93),0),0)</f>
        <v>0</v>
      </c>
      <c r="AH93" s="89">
        <f t="shared" si="17"/>
        <v>0</v>
      </c>
      <c r="AI93" s="90">
        <f>SUM(V93,Z93,AD93,AH93)</f>
        <v>0</v>
      </c>
      <c r="AJ93" s="98"/>
      <c r="AK93" s="1040"/>
      <c r="AL93" s="1048"/>
      <c r="AM93" s="1046">
        <f t="shared" ref="AM93" si="57">N93*AL93</f>
        <v>0</v>
      </c>
      <c r="AN93" s="62" t="str">
        <f>C93</f>
        <v>20 - Redução com gasto com transporte de peças  DELGA X  FORNECEDOR.</v>
      </c>
      <c r="AO93" s="62" t="s">
        <v>289</v>
      </c>
      <c r="AP93" s="543" t="str" cm="1">
        <f t="array" aca="1" ref="AP93" ca="1">IF(OR(AN93="",AN93=0),"",IF(SUMPRODUCT(($C$55:$C$160=AN93)*(S$54:$AG$54&lt;EOMONTH(TODAY(),-1)+1)*(ISNUMBER(S$55:$AG$160)),S$55:$AG$160)=0,"",SUMPRODUCT(($C$55:$C$160=AN93)*(S$54:$AG$54&lt;EOMONTH(TODAY(),-1)+1)*(ISNUMBER(S$55:$AG$160)),S$55:$AG$160)))</f>
        <v/>
      </c>
    </row>
    <row r="94" spans="1:42" ht="29.1" customHeight="1" x14ac:dyDescent="0.3">
      <c r="A94" s="1036"/>
      <c r="B94" s="1039"/>
      <c r="C94" s="1113"/>
      <c r="D94" s="1115"/>
      <c r="E94" s="1303"/>
      <c r="F94" s="1040"/>
      <c r="G94" s="1117"/>
      <c r="H94" s="1117"/>
      <c r="I94" s="1074"/>
      <c r="J94" s="1158"/>
      <c r="K94" s="1121"/>
      <c r="L94" s="1074"/>
      <c r="M94" s="1119"/>
      <c r="N94" s="1053"/>
      <c r="O94" s="1057"/>
      <c r="P94" s="1057"/>
      <c r="Q94" s="87" t="s">
        <v>107</v>
      </c>
      <c r="R94" s="91"/>
      <c r="S94" s="309" t="s">
        <v>390</v>
      </c>
      <c r="T94" s="309" t="s">
        <v>390</v>
      </c>
      <c r="U94" s="309" t="s">
        <v>390</v>
      </c>
      <c r="V94" s="89">
        <f t="shared" si="29"/>
        <v>0</v>
      </c>
      <c r="W94" s="309" t="s">
        <v>390</v>
      </c>
      <c r="X94" s="309" t="s">
        <v>390</v>
      </c>
      <c r="Y94" s="309" t="s">
        <v>390</v>
      </c>
      <c r="Z94" s="89">
        <f t="shared" si="30"/>
        <v>0</v>
      </c>
      <c r="AA94" s="309" t="s">
        <v>390</v>
      </c>
      <c r="AB94" s="309" t="s">
        <v>390</v>
      </c>
      <c r="AC94" s="309" t="s">
        <v>390</v>
      </c>
      <c r="AD94" s="89">
        <f t="shared" si="31"/>
        <v>0</v>
      </c>
      <c r="AE94" s="309" t="s">
        <v>390</v>
      </c>
      <c r="AF94" s="309" t="s">
        <v>390</v>
      </c>
      <c r="AG94" s="309" t="s">
        <v>390</v>
      </c>
      <c r="AH94" s="89">
        <f t="shared" si="17"/>
        <v>0</v>
      </c>
      <c r="AI94" s="311">
        <f t="shared" si="33"/>
        <v>0</v>
      </c>
      <c r="AJ94" s="360"/>
      <c r="AK94" s="1040"/>
      <c r="AL94" s="1048"/>
      <c r="AM94" s="1046"/>
      <c r="AN94" s="62" t="str">
        <f>C93</f>
        <v>20 - Redução com gasto com transporte de peças  DELGA X  FORNECEDOR.</v>
      </c>
      <c r="AO94" s="62" t="s">
        <v>291</v>
      </c>
      <c r="AP94" s="543" t="str" cm="1">
        <f t="array" aca="1" ref="AP94" ca="1">IF(OR(AN94="",AN94=0),"",IF(SUMPRODUCT(($C$55:$C$160=AN94)*(S$54:$AG$54&lt;EOMONTH(TODAY(),-1)+1)*(ISNUMBER(S$56:$AG$161)),S$56:$AG$161)=0,"",SUMPRODUCT(($C$55:$C$160=AN94)*(S$54:$AG$54&lt;EOMONTH(TODAY(),-1)+1)*(ISNUMBER(S$56:$AG$161)),S$56:$AG$161)))</f>
        <v/>
      </c>
    </row>
    <row r="95" spans="1:42" ht="56.1" customHeight="1" x14ac:dyDescent="0.3">
      <c r="A95" s="1093" t="s">
        <v>310</v>
      </c>
      <c r="B95" s="1299" t="s">
        <v>94</v>
      </c>
      <c r="C95" s="1095" t="s">
        <v>1667</v>
      </c>
      <c r="D95" s="1097"/>
      <c r="E95" s="1363" t="s">
        <v>1668</v>
      </c>
      <c r="F95" s="1099" t="s">
        <v>1631</v>
      </c>
      <c r="G95" s="1150">
        <v>46146</v>
      </c>
      <c r="H95" s="1150">
        <v>46188</v>
      </c>
      <c r="I95" s="1152"/>
      <c r="J95" s="1109"/>
      <c r="K95" s="1213">
        <v>12</v>
      </c>
      <c r="L95" s="1076"/>
      <c r="M95" s="1072"/>
      <c r="N95" s="1055"/>
      <c r="O95" s="1057" t="s">
        <v>80</v>
      </c>
      <c r="P95" s="1042"/>
      <c r="Q95" s="93" t="s">
        <v>106</v>
      </c>
      <c r="R95" s="96"/>
      <c r="S95" s="532">
        <f>IFERROR(IF(AND(S$54&gt;=EOMONTH($J95,-1)+1,S$54&lt;=EOMONTH(EOMONTH($J95,-1)+1,$K95-1)),IF(NOT(ISBLANK($N95)),$N95/$K95,$I95/$K95),0),0)</f>
        <v>0</v>
      </c>
      <c r="T95" s="532">
        <f>IFERROR(IF(AND(T$54&gt;=EOMONTH($J95,-1)+1,T$54&lt;=EOMONTH(EOMONTH($J95,-1)+1,$K95-1)),IF(NOT(ISBLANK($N95)),$N95/$K95,$I95/$K95),0),0)</f>
        <v>0</v>
      </c>
      <c r="U95" s="532">
        <f>IFERROR(IF(AND(U$54&gt;=EOMONTH($J95,-1)+1,U$54&lt;=EOMONTH(EOMONTH($J95,-1)+1,$K95-1)),IF(NOT(ISBLANK($N95)),$N95/$K95,$I95/$K95),0),0)</f>
        <v>0</v>
      </c>
      <c r="V95" s="89">
        <f t="shared" ref="V95:V106" si="58">SUM(S95:U95)</f>
        <v>0</v>
      </c>
      <c r="W95" s="532">
        <f>IFERROR(IF(AND(W$54&gt;=EOMONTH($J95,-1)+1,W$54&lt;=EOMONTH(EOMONTH($J95,-1)+1,$K95-1)),IF(NOT(ISBLANK($N95)),$N95/$K95,$I95/$K95),0),0)</f>
        <v>0</v>
      </c>
      <c r="X95" s="532">
        <f>IFERROR(IF(AND(X$54&gt;=EOMONTH($J95,-1)+1,X$54&lt;=EOMONTH(EOMONTH($J95,-1)+1,$K95-1)),IF(NOT(ISBLANK($N95)),$N95/$K95,$I95/$K95),0),0)</f>
        <v>0</v>
      </c>
      <c r="Y95" s="532">
        <f>IFERROR(IF(AND(Y$54&gt;=EOMONTH($J95,-1)+1,Y$54&lt;=EOMONTH(EOMONTH($J95,-1)+1,$K95-1)),IF(NOT(ISBLANK($N95)),$N95/$K95,$I95/$K95),0),0)</f>
        <v>0</v>
      </c>
      <c r="Z95" s="89">
        <f t="shared" ref="Z95:Z106" si="59">SUM(W95:Y95)</f>
        <v>0</v>
      </c>
      <c r="AA95" s="532">
        <f>IFERROR(IF(AND(AA$54&gt;=EOMONTH($J95,-1)+1,AA$54&lt;=EOMONTH(EOMONTH($J95,-1)+1,$K95-1)),IF(NOT(ISBLANK($N95)),$N95/$K95,$I95/$K95),0),0)</f>
        <v>0</v>
      </c>
      <c r="AB95" s="532">
        <f>IFERROR(IF(AND(AB$54&gt;=EOMONTH($J95,-1)+1,AB$54&lt;=EOMONTH(EOMONTH($J95,-1)+1,$K95-1)),IF(NOT(ISBLANK($N95)),$N95/$K95,$I95/$K95),0),0)</f>
        <v>0</v>
      </c>
      <c r="AC95" s="532">
        <f>IFERROR(IF(AND(AC$54&gt;=EOMONTH($J95,-1)+1,AC$54&lt;=EOMONTH(EOMONTH($J95,-1)+1,$K95-1)),IF(NOT(ISBLANK($N95)),$N95/$K95,$I95/$K95),0),0)</f>
        <v>0</v>
      </c>
      <c r="AD95" s="89">
        <f t="shared" ref="AD95:AD106" si="60">SUM(AA95:AC95)</f>
        <v>0</v>
      </c>
      <c r="AE95" s="532">
        <f>IFERROR(IF(AND(AE$54&gt;=EOMONTH($J95,-1)+1,AE$54&lt;=EOMONTH(EOMONTH($J95,-1)+1,$K95-1)),IF(NOT(ISBLANK($N95)),$N95/$K95,$I95/$K95),0),0)</f>
        <v>0</v>
      </c>
      <c r="AF95" s="532">
        <f>IFERROR(IF(AND(AF$54&gt;=EOMONTH($J95,-1)+1,AF$54&lt;=EOMONTH(EOMONTH($J95,-1)+1,$K95-1)),IF(NOT(ISBLANK($N95)),$N95/$K95,$I95/$K95),0),0)</f>
        <v>0</v>
      </c>
      <c r="AG95" s="532">
        <f>IFERROR(IF(AND(AG$54&gt;=EOMONTH($J95,-1)+1,AG$54&lt;=EOMONTH(EOMONTH($J95,-1)+1,$K95-1)),IF(NOT(ISBLANK($N95)),$N95/$K95,$I95/$K95),0),0)</f>
        <v>0</v>
      </c>
      <c r="AH95" s="89">
        <f t="shared" ref="AH95:AH106" si="61">SUM(AE95:AG95)</f>
        <v>0</v>
      </c>
      <c r="AI95" s="95">
        <f t="shared" ref="AI95:AI96" si="62">SUM(V95,Z95,AD95,AH95)</f>
        <v>0</v>
      </c>
      <c r="AJ95" s="97"/>
      <c r="AK95" s="1038"/>
      <c r="AL95" s="1042"/>
      <c r="AM95" s="1044"/>
      <c r="AN95" s="62" t="str">
        <f t="shared" ref="AN95" si="63">C95</f>
        <v>21- Venda de ATIVOS</v>
      </c>
      <c r="AO95" s="62" t="s">
        <v>289</v>
      </c>
      <c r="AP95" s="543" t="str" cm="1">
        <f t="array" aca="1" ref="AP95" ca="1">IF(OR(AN95="",AN95=0),"",IF(SUMPRODUCT(($C$55:$C$160=AN95)*(S$54:$AG$54&lt;EOMONTH(TODAY(),-1)+1)*(ISNUMBER(S$55:$AG$160)),S$55:$AG$160)=0,"",SUMPRODUCT(($C$55:$C$160=AN95)*(S$54:$AG$54&lt;EOMONTH(TODAY(),-1)+1)*(ISNUMBER(S$55:$AG$160)),S$55:$AG$160)))</f>
        <v/>
      </c>
    </row>
    <row r="96" spans="1:42" ht="29.1" customHeight="1" x14ac:dyDescent="0.3">
      <c r="A96" s="1093"/>
      <c r="B96" s="1300"/>
      <c r="C96" s="1095"/>
      <c r="D96" s="1097"/>
      <c r="E96" s="1363"/>
      <c r="F96" s="1099"/>
      <c r="G96" s="1150"/>
      <c r="H96" s="1150"/>
      <c r="I96" s="1152"/>
      <c r="J96" s="1109"/>
      <c r="K96" s="1213"/>
      <c r="L96" s="1076"/>
      <c r="M96" s="1072"/>
      <c r="N96" s="1055"/>
      <c r="O96" s="1057"/>
      <c r="P96" s="1042"/>
      <c r="Q96" s="93" t="s">
        <v>107</v>
      </c>
      <c r="R96" s="96"/>
      <c r="S96" s="312" t="s">
        <v>390</v>
      </c>
      <c r="T96" s="312" t="s">
        <v>390</v>
      </c>
      <c r="U96" s="312" t="s">
        <v>390</v>
      </c>
      <c r="V96" s="89">
        <f t="shared" si="58"/>
        <v>0</v>
      </c>
      <c r="W96" s="312" t="s">
        <v>390</v>
      </c>
      <c r="X96" s="312" t="s">
        <v>390</v>
      </c>
      <c r="Y96" s="312" t="s">
        <v>390</v>
      </c>
      <c r="Z96" s="89">
        <f t="shared" si="59"/>
        <v>0</v>
      </c>
      <c r="AA96" s="312" t="s">
        <v>390</v>
      </c>
      <c r="AB96" s="312" t="s">
        <v>390</v>
      </c>
      <c r="AC96" s="312" t="s">
        <v>390</v>
      </c>
      <c r="AD96" s="89">
        <f t="shared" si="60"/>
        <v>0</v>
      </c>
      <c r="AE96" s="312" t="s">
        <v>390</v>
      </c>
      <c r="AF96" s="312" t="s">
        <v>390</v>
      </c>
      <c r="AG96" s="312" t="s">
        <v>390</v>
      </c>
      <c r="AH96" s="89">
        <f t="shared" si="61"/>
        <v>0</v>
      </c>
      <c r="AI96" s="313">
        <f t="shared" si="62"/>
        <v>0</v>
      </c>
      <c r="AJ96" s="97"/>
      <c r="AK96" s="1038"/>
      <c r="AL96" s="1042"/>
      <c r="AM96" s="1044"/>
      <c r="AN96" s="62" t="str">
        <f t="shared" ref="AN96" si="64">C95</f>
        <v>21- Venda de ATIVOS</v>
      </c>
      <c r="AO96" s="62" t="s">
        <v>291</v>
      </c>
      <c r="AP96" s="543" t="str" cm="1">
        <f t="array" aca="1" ref="AP96" ca="1">IF(OR(AN96="",AN96=0),"",IF(SUMPRODUCT(($C$55:$C$160=AN96)*(S$54:$AG$54&lt;EOMONTH(TODAY(),-1)+1)*(ISNUMBER(S$56:$AG$161)),S$56:$AG$161)=0,"",SUMPRODUCT(($C$55:$C$160=AN96)*(S$54:$AG$54&lt;EOMONTH(TODAY(),-1)+1)*(ISNUMBER(S$56:$AG$161)),S$56:$AG$161)))</f>
        <v/>
      </c>
    </row>
    <row r="97" spans="1:42" ht="40.35" customHeight="1" x14ac:dyDescent="0.3">
      <c r="A97" s="1036" t="s">
        <v>76</v>
      </c>
      <c r="B97" s="1038" t="s">
        <v>91</v>
      </c>
      <c r="C97" s="1538" t="s">
        <v>1669</v>
      </c>
      <c r="D97" s="1115" t="s">
        <v>1670</v>
      </c>
      <c r="E97" s="1303" t="s">
        <v>1671</v>
      </c>
      <c r="F97" s="1040" t="s">
        <v>1672</v>
      </c>
      <c r="G97" s="1117">
        <v>46146</v>
      </c>
      <c r="H97" s="1117">
        <v>46188</v>
      </c>
      <c r="I97" s="1074">
        <v>33214.550000000003</v>
      </c>
      <c r="J97" s="1158">
        <v>46143</v>
      </c>
      <c r="K97" s="1121">
        <v>12</v>
      </c>
      <c r="L97" s="1074"/>
      <c r="M97" s="1135"/>
      <c r="N97" s="1053"/>
      <c r="O97" s="1057" t="s">
        <v>80</v>
      </c>
      <c r="P97" s="1057"/>
      <c r="Q97" s="87" t="s">
        <v>106</v>
      </c>
      <c r="R97" s="91">
        <f>AVERAGE([36]Estrutura!$I$5:$I$11)</f>
        <v>0.69841269841269848</v>
      </c>
      <c r="S97" s="309">
        <f>IFERROR(IF(AND(S$54&gt;=EOMONTH($J97,-1)+1,S$54&lt;=EOMONTH(EOMONTH($J97,-1)+1,$K97-1)),IF(NOT(ISBLANK($N97)),$N97/$K97,$I97/$K97),0),0)</f>
        <v>0</v>
      </c>
      <c r="T97" s="309">
        <f>IFERROR(IF(AND(T$54&gt;=EOMONTH($J97,-1)+1,T$54&lt;=EOMONTH(EOMONTH($J97,-1)+1,$K97-1)),IF(NOT(ISBLANK($N97)),$N97/$K97,$I97/$K97),0),0)</f>
        <v>0</v>
      </c>
      <c r="U97" s="309">
        <f>IFERROR(IF(AND(U$54&gt;=EOMONTH($J97,-1)+1,U$54&lt;=EOMONTH(EOMONTH($J97,-1)+1,$K97-1)),IF(NOT(ISBLANK($N97)),$N97/$K97,$I97/$K97),0),0)</f>
        <v>0</v>
      </c>
      <c r="V97" s="89">
        <f t="shared" si="58"/>
        <v>0</v>
      </c>
      <c r="W97" s="309">
        <f>IFERROR(IF(AND(W$54&gt;=EOMONTH($J97,-1)+1,W$54&lt;=EOMONTH(EOMONTH($J97,-1)+1,$K97-1)),IF(NOT(ISBLANK($N97)),$N97/$K97,$I97/$K97),0),0)</f>
        <v>0</v>
      </c>
      <c r="X97" s="569">
        <f>IFERROR(IF(AND(X$54&gt;=EOMONTH($J97,-1)+1,X$54&lt;=EOMONTH(EOMONTH($J97,-1)+1,$K97-1)),IF(NOT(ISBLANK($N97)),$N97/$K97,$I97/$K97),0),0)</f>
        <v>2767.8791666666671</v>
      </c>
      <c r="Y97" s="309">
        <f>IFERROR(IF(AND(Y$54&gt;=EOMONTH($J97,-1)+1,Y$54&lt;=EOMONTH(EOMONTH($J97,-1)+1,$K97-1)),IF(NOT(ISBLANK($N97)),$N97/$K97,$I97/$K97),0),0)</f>
        <v>2767.8791666666671</v>
      </c>
      <c r="Z97" s="89">
        <f t="shared" si="59"/>
        <v>5535.7583333333341</v>
      </c>
      <c r="AA97" s="309">
        <f>IFERROR(IF(AND(AA$54&gt;=EOMONTH($J97,-1)+1,AA$54&lt;=EOMONTH(EOMONTH($J97,-1)+1,$K97-1)),IF(NOT(ISBLANK($N97)),$N97/$K97,$I97/$K97),0),0)</f>
        <v>2767.8791666666671</v>
      </c>
      <c r="AB97" s="309">
        <f>IFERROR(IF(AND(AB$54&gt;=EOMONTH($J97,-1)+1,AB$54&lt;=EOMONTH(EOMONTH($J97,-1)+1,$K97-1)),IF(NOT(ISBLANK($N97)),$N97/$K97,$I97/$K97),0),0)</f>
        <v>2767.8791666666671</v>
      </c>
      <c r="AC97" s="309">
        <f>IFERROR(IF(AND(AC$54&gt;=EOMONTH($J97,-1)+1,AC$54&lt;=EOMONTH(EOMONTH($J97,-1)+1,$K97-1)),IF(NOT(ISBLANK($N97)),$N97/$K97,$I97/$K97),0),0)</f>
        <v>2767.8791666666671</v>
      </c>
      <c r="AD97" s="89">
        <f t="shared" si="60"/>
        <v>8303.6375000000007</v>
      </c>
      <c r="AE97" s="309">
        <f>IFERROR(IF(AND(AE$54&gt;=EOMONTH($J97,-1)+1,AE$54&lt;=EOMONTH(EOMONTH($J97,-1)+1,$K97-1)),IF(NOT(ISBLANK($N97)),$N97/$K97,$I97/$K97),0),0)</f>
        <v>2767.8791666666671</v>
      </c>
      <c r="AF97" s="309">
        <f>IFERROR(IF(AND(AF$54&gt;=EOMONTH($J97,-1)+1,AF$54&lt;=EOMONTH(EOMONTH($J97,-1)+1,$K97-1)),IF(NOT(ISBLANK($N97)),$N97/$K97,$I97/$K97),0),0)</f>
        <v>2767.8791666666671</v>
      </c>
      <c r="AG97" s="309">
        <f>IFERROR(IF(AND(AG$54&gt;=EOMONTH($J97,-1)+1,AG$54&lt;=EOMONTH(EOMONTH($J97,-1)+1,$K97-1)),IF(NOT(ISBLANK($N97)),$N97/$K97,$I97/$K97),0),0)</f>
        <v>2767.8791666666671</v>
      </c>
      <c r="AH97" s="89">
        <f t="shared" si="61"/>
        <v>8303.6375000000007</v>
      </c>
      <c r="AI97" s="90">
        <f>SUM(V97,Z97,AD97,AH97)</f>
        <v>22143.033333333336</v>
      </c>
      <c r="AJ97" s="98"/>
      <c r="AK97" s="1040"/>
      <c r="AL97" s="1048"/>
      <c r="AM97" s="1046"/>
      <c r="AN97" s="62" t="str">
        <f t="shared" ref="AN97" si="65">C97</f>
        <v>22- Eliminar custo com usinagem externa CN 00016/17</v>
      </c>
      <c r="AO97" s="62" t="s">
        <v>289</v>
      </c>
      <c r="AP97" s="543" cm="1">
        <f t="array" aca="1" ref="AP97" ca="1">IF(OR(AN97="",AN97=0),"",IF(SUMPRODUCT(($C$55:$C$160=AN97)*(S$54:$AG$54&lt;EOMONTH(TODAY(),-1)+1)*(ISNUMBER(S$55:$AG$160)),S$55:$AG$160)=0,"",SUMPRODUCT(($C$55:$C$160=AN97)*(S$54:$AG$54&lt;EOMONTH(TODAY(),-1)+1)*(ISNUMBER(S$55:$AG$160)),S$55:$AG$160)))</f>
        <v>2767.8791666666671</v>
      </c>
    </row>
    <row r="98" spans="1:42" ht="29.1" customHeight="1" x14ac:dyDescent="0.3">
      <c r="A98" s="1036"/>
      <c r="B98" s="1039"/>
      <c r="C98" s="1538"/>
      <c r="D98" s="1115"/>
      <c r="E98" s="1303"/>
      <c r="F98" s="1040"/>
      <c r="G98" s="1117"/>
      <c r="H98" s="1117"/>
      <c r="I98" s="1074"/>
      <c r="J98" s="1158"/>
      <c r="K98" s="1121"/>
      <c r="L98" s="1074"/>
      <c r="M98" s="1135"/>
      <c r="N98" s="1053"/>
      <c r="O98" s="1057"/>
      <c r="P98" s="1057"/>
      <c r="Q98" s="87" t="s">
        <v>107</v>
      </c>
      <c r="R98" s="91">
        <f>AVERAGE([36]Estrutura!$J$5:$J$11)</f>
        <v>0.70714285714285718</v>
      </c>
      <c r="S98" s="309" t="s">
        <v>390</v>
      </c>
      <c r="T98" s="309" t="s">
        <v>390</v>
      </c>
      <c r="U98" s="309" t="s">
        <v>390</v>
      </c>
      <c r="V98" s="89">
        <f t="shared" si="58"/>
        <v>0</v>
      </c>
      <c r="W98" s="309" t="s">
        <v>390</v>
      </c>
      <c r="X98" s="309" t="s">
        <v>390</v>
      </c>
      <c r="Y98" s="309" t="s">
        <v>390</v>
      </c>
      <c r="Z98" s="89">
        <f t="shared" si="59"/>
        <v>0</v>
      </c>
      <c r="AA98" s="309" t="s">
        <v>390</v>
      </c>
      <c r="AB98" s="309" t="s">
        <v>390</v>
      </c>
      <c r="AC98" s="309" t="s">
        <v>390</v>
      </c>
      <c r="AD98" s="89">
        <f t="shared" si="60"/>
        <v>0</v>
      </c>
      <c r="AE98" s="309" t="s">
        <v>390</v>
      </c>
      <c r="AF98" s="309" t="s">
        <v>390</v>
      </c>
      <c r="AG98" s="309" t="s">
        <v>390</v>
      </c>
      <c r="AH98" s="89">
        <f t="shared" si="61"/>
        <v>0</v>
      </c>
      <c r="AI98" s="311">
        <f t="shared" ref="AI98:AI100" si="66">SUM(V98,Z98,AD98,AH98)</f>
        <v>0</v>
      </c>
      <c r="AJ98" s="360"/>
      <c r="AK98" s="1040"/>
      <c r="AL98" s="1048"/>
      <c r="AM98" s="1046"/>
      <c r="AN98" s="62" t="str">
        <f t="shared" ref="AN98" si="67">C97</f>
        <v>22- Eliminar custo com usinagem externa CN 00016/17</v>
      </c>
      <c r="AO98" s="62" t="s">
        <v>291</v>
      </c>
      <c r="AP98" s="543" t="str" cm="1">
        <f t="array" aca="1" ref="AP98" ca="1">IF(OR(AN98="",AN98=0),"",IF(SUMPRODUCT(($C$55:$C$160=AN98)*(S$54:$AG$54&lt;EOMONTH(TODAY(),-1)+1)*(ISNUMBER(S$56:$AG$161)),S$56:$AG$161)=0,"",SUMPRODUCT(($C$55:$C$160=AN98)*(S$54:$AG$54&lt;EOMONTH(TODAY(),-1)+1)*(ISNUMBER(S$56:$AG$161)),S$56:$AG$161)))</f>
        <v/>
      </c>
    </row>
    <row r="99" spans="1:42" ht="56.1" customHeight="1" x14ac:dyDescent="0.3">
      <c r="A99" s="1038" t="s">
        <v>310</v>
      </c>
      <c r="B99" s="1299" t="s">
        <v>94</v>
      </c>
      <c r="C99" s="1531" t="s">
        <v>1673</v>
      </c>
      <c r="D99" s="1097"/>
      <c r="E99" s="1363" t="s">
        <v>1674</v>
      </c>
      <c r="F99" s="1099" t="s">
        <v>1675</v>
      </c>
      <c r="G99" s="1150">
        <v>46174</v>
      </c>
      <c r="H99" s="1150">
        <v>46234</v>
      </c>
      <c r="I99" s="1527"/>
      <c r="J99" s="1109"/>
      <c r="K99" s="1213">
        <v>12</v>
      </c>
      <c r="L99" s="1076"/>
      <c r="M99" s="1072"/>
      <c r="N99" s="1055"/>
      <c r="O99" s="1057" t="s">
        <v>80</v>
      </c>
      <c r="P99" s="1042"/>
      <c r="Q99" s="93" t="s">
        <v>106</v>
      </c>
      <c r="R99" s="96"/>
      <c r="S99" s="532">
        <f>IFERROR(IF(AND(S$54&gt;=EOMONTH($J99,-1)+1,S$54&lt;=EOMONTH(EOMONTH($J99,-1)+1,$K99-1)),IF(NOT(ISBLANK($N99)),$N99/$K99,$I99/$K99),0),0)</f>
        <v>0</v>
      </c>
      <c r="T99" s="532">
        <f>IFERROR(IF(AND(T$54&gt;=EOMONTH($J99,-1)+1,T$54&lt;=EOMONTH(EOMONTH($J99,-1)+1,$K99-1)),IF(NOT(ISBLANK($N99)),$N99/$K99,$I99/$K99),0),0)</f>
        <v>0</v>
      </c>
      <c r="U99" s="532">
        <f>IFERROR(IF(AND(U$54&gt;=EOMONTH($J99,-1)+1,U$54&lt;=EOMONTH(EOMONTH($J99,-1)+1,$K99-1)),IF(NOT(ISBLANK($N99)),$N99/$K99,$I99/$K99),0),0)</f>
        <v>0</v>
      </c>
      <c r="V99" s="89">
        <f t="shared" si="58"/>
        <v>0</v>
      </c>
      <c r="W99" s="532">
        <f>IFERROR(IF(AND(W$54&gt;=EOMONTH($J99,-1)+1,W$54&lt;=EOMONTH(EOMONTH($J99,-1)+1,$K99-1)),IF(NOT(ISBLANK($N99)),$N99/$K99,$I99/$K99),0),0)</f>
        <v>0</v>
      </c>
      <c r="X99" s="532">
        <f>IFERROR(IF(AND(X$54&gt;=EOMONTH($J99,-1)+1,X$54&lt;=EOMONTH(EOMONTH($J99,-1)+1,$K99-1)),IF(NOT(ISBLANK($N99)),$N99/$K99,$I99/$K99),0),0)</f>
        <v>0</v>
      </c>
      <c r="Y99" s="532">
        <f>IFERROR(IF(AND(Y$54&gt;=EOMONTH($J99,-1)+1,Y$54&lt;=EOMONTH(EOMONTH($J99,-1)+1,$K99-1)),IF(NOT(ISBLANK($N99)),$N99/$K99,$I99/$K99),0),0)</f>
        <v>0</v>
      </c>
      <c r="Z99" s="89">
        <f t="shared" si="59"/>
        <v>0</v>
      </c>
      <c r="AA99" s="532">
        <f>IFERROR(IF(AND(AA$54&gt;=EOMONTH($J99,-1)+1,AA$54&lt;=EOMONTH(EOMONTH($J99,-1)+1,$K99-1)),IF(NOT(ISBLANK($N99)),$N99/$K99,$I99/$K99),0),0)</f>
        <v>0</v>
      </c>
      <c r="AB99" s="532">
        <f>IFERROR(IF(AND(AB$54&gt;=EOMONTH($J99,-1)+1,AB$54&lt;=EOMONTH(EOMONTH($J99,-1)+1,$K99-1)),IF(NOT(ISBLANK($N99)),$N99/$K99,$I99/$K99),0),0)</f>
        <v>0</v>
      </c>
      <c r="AC99" s="532">
        <f>IFERROR(IF(AND(AC$54&gt;=EOMONTH($J99,-1)+1,AC$54&lt;=EOMONTH(EOMONTH($J99,-1)+1,$K99-1)),IF(NOT(ISBLANK($N99)),$N99/$K99,$I99/$K99),0),0)</f>
        <v>0</v>
      </c>
      <c r="AD99" s="89">
        <f t="shared" si="60"/>
        <v>0</v>
      </c>
      <c r="AE99" s="532">
        <f>IFERROR(IF(AND(AE$54&gt;=EOMONTH($J99,-1)+1,AE$54&lt;=EOMONTH(EOMONTH($J99,-1)+1,$K99-1)),IF(NOT(ISBLANK($N99)),$N99/$K99,$I99/$K99),0),0)</f>
        <v>0</v>
      </c>
      <c r="AF99" s="532">
        <f>IFERROR(IF(AND(AF$54&gt;=EOMONTH($J99,-1)+1,AF$54&lt;=EOMONTH(EOMONTH($J99,-1)+1,$K99-1)),IF(NOT(ISBLANK($N99)),$N99/$K99,$I99/$K99),0),0)</f>
        <v>0</v>
      </c>
      <c r="AG99" s="532">
        <f>IFERROR(IF(AND(AG$54&gt;=EOMONTH($J99,-1)+1,AG$54&lt;=EOMONTH(EOMONTH($J99,-1)+1,$K99-1)),IF(NOT(ISBLANK($N99)),$N99/$K99,$I99/$K99),0),0)</f>
        <v>0</v>
      </c>
      <c r="AH99" s="89">
        <f t="shared" si="61"/>
        <v>0</v>
      </c>
      <c r="AI99" s="95">
        <f t="shared" si="66"/>
        <v>0</v>
      </c>
      <c r="AJ99" s="97"/>
      <c r="AK99" s="1038"/>
      <c r="AL99" s="1042"/>
      <c r="AM99" s="1044"/>
      <c r="AN99" s="62" t="str">
        <f t="shared" ref="AN99" si="68">C99</f>
        <v>23- Reduzir o valor pago de aluguel de Pavilhão Antigo.</v>
      </c>
      <c r="AO99" s="62" t="s">
        <v>289</v>
      </c>
      <c r="AP99" s="543" t="str" cm="1">
        <f t="array" aca="1" ref="AP99" ca="1">IF(OR(AN99="",AN99=0),"",IF(SUMPRODUCT(($C$55:$C$160=AN99)*(S$54:$AG$54&lt;EOMONTH(TODAY(),-1)+1)*(ISNUMBER(S$55:$AG$160)),S$55:$AG$160)=0,"",SUMPRODUCT(($C$55:$C$160=AN99)*(S$54:$AG$54&lt;EOMONTH(TODAY(),-1)+1)*(ISNUMBER(S$55:$AG$160)),S$55:$AG$160)))</f>
        <v/>
      </c>
    </row>
    <row r="100" spans="1:42" ht="29.1" customHeight="1" x14ac:dyDescent="0.3">
      <c r="A100" s="1038"/>
      <c r="B100" s="1300"/>
      <c r="C100" s="1531"/>
      <c r="D100" s="1097"/>
      <c r="E100" s="1363"/>
      <c r="F100" s="1099"/>
      <c r="G100" s="1150"/>
      <c r="H100" s="1150"/>
      <c r="I100" s="1527"/>
      <c r="J100" s="1109"/>
      <c r="K100" s="1213"/>
      <c r="L100" s="1076"/>
      <c r="M100" s="1072"/>
      <c r="N100" s="1055"/>
      <c r="O100" s="1057"/>
      <c r="P100" s="1042"/>
      <c r="Q100" s="93" t="s">
        <v>107</v>
      </c>
      <c r="R100" s="96"/>
      <c r="S100" s="312" t="s">
        <v>390</v>
      </c>
      <c r="T100" s="312" t="s">
        <v>390</v>
      </c>
      <c r="U100" s="312" t="s">
        <v>390</v>
      </c>
      <c r="V100" s="89">
        <f t="shared" si="58"/>
        <v>0</v>
      </c>
      <c r="W100" s="312" t="s">
        <v>390</v>
      </c>
      <c r="X100" s="312" t="s">
        <v>390</v>
      </c>
      <c r="Y100" s="312" t="s">
        <v>390</v>
      </c>
      <c r="Z100" s="89">
        <f t="shared" si="59"/>
        <v>0</v>
      </c>
      <c r="AA100" s="312" t="s">
        <v>390</v>
      </c>
      <c r="AB100" s="312" t="s">
        <v>390</v>
      </c>
      <c r="AC100" s="312" t="s">
        <v>390</v>
      </c>
      <c r="AD100" s="89">
        <f t="shared" si="60"/>
        <v>0</v>
      </c>
      <c r="AE100" s="312" t="s">
        <v>390</v>
      </c>
      <c r="AF100" s="312" t="s">
        <v>390</v>
      </c>
      <c r="AG100" s="312" t="s">
        <v>390</v>
      </c>
      <c r="AH100" s="89">
        <f t="shared" si="61"/>
        <v>0</v>
      </c>
      <c r="AI100" s="313">
        <f t="shared" si="66"/>
        <v>0</v>
      </c>
      <c r="AJ100" s="97"/>
      <c r="AK100" s="1038"/>
      <c r="AL100" s="1042"/>
      <c r="AM100" s="1044"/>
      <c r="AN100" s="62" t="str">
        <f t="shared" ref="AN100" si="69">C99</f>
        <v>23- Reduzir o valor pago de aluguel de Pavilhão Antigo.</v>
      </c>
      <c r="AO100" s="62" t="s">
        <v>291</v>
      </c>
      <c r="AP100" s="543" t="str" cm="1">
        <f t="array" aca="1" ref="AP100" ca="1">IF(OR(AN100="",AN100=0),"",IF(SUMPRODUCT(($C$55:$C$160=AN100)*(S$54:$AG$54&lt;EOMONTH(TODAY(),-1)+1)*(ISNUMBER(S$56:$AG$161)),S$56:$AG$161)=0,"",SUMPRODUCT(($C$55:$C$160=AN100)*(S$54:$AG$54&lt;EOMONTH(TODAY(),-1)+1)*(ISNUMBER(S$56:$AG$161)),S$56:$AG$161)))</f>
        <v/>
      </c>
    </row>
    <row r="101" spans="1:42" ht="40.35" customHeight="1" x14ac:dyDescent="0.3">
      <c r="A101" s="1036" t="s">
        <v>76</v>
      </c>
      <c r="B101" s="1038" t="s">
        <v>91</v>
      </c>
      <c r="C101" s="1113" t="s">
        <v>1676</v>
      </c>
      <c r="D101" s="1115"/>
      <c r="E101" s="1303" t="s">
        <v>1677</v>
      </c>
      <c r="F101" s="1040" t="s">
        <v>1678</v>
      </c>
      <c r="G101" s="1117">
        <v>46146</v>
      </c>
      <c r="H101" s="1117">
        <v>46143</v>
      </c>
      <c r="I101" s="1074"/>
      <c r="J101" s="1158"/>
      <c r="K101" s="1121">
        <v>12</v>
      </c>
      <c r="L101" s="1074"/>
      <c r="M101" s="1119"/>
      <c r="N101" s="1053"/>
      <c r="O101" s="1057" t="s">
        <v>80</v>
      </c>
      <c r="P101" s="1057"/>
      <c r="Q101" s="87" t="s">
        <v>106</v>
      </c>
      <c r="R101" s="91"/>
      <c r="S101" s="309">
        <f>IFERROR(IF(AND(S$54&gt;=EOMONTH($J101,-1)+1,S$54&lt;=EOMONTH(EOMONTH($J101,-1)+1,$K101-1)),IF(NOT(ISBLANK($N101)),$N101/$K101,$I101/$K101),0),0)</f>
        <v>0</v>
      </c>
      <c r="T101" s="309">
        <f>IFERROR(IF(AND(T$54&gt;=EOMONTH($J101,-1)+1,T$54&lt;=EOMONTH(EOMONTH($J101,-1)+1,$K101-1)),IF(NOT(ISBLANK($N101)),$N101/$K101,$I101/$K101),0),0)</f>
        <v>0</v>
      </c>
      <c r="U101" s="309">
        <f>IFERROR(IF(AND(U$54&gt;=EOMONTH($J101,-1)+1,U$54&lt;=EOMONTH(EOMONTH($J101,-1)+1,$K101-1)),IF(NOT(ISBLANK($N101)),$N101/$K101,$I101/$K101),0),0)</f>
        <v>0</v>
      </c>
      <c r="V101" s="89">
        <f t="shared" si="58"/>
        <v>0</v>
      </c>
      <c r="W101" s="309">
        <f>IFERROR(IF(AND(W$54&gt;=EOMONTH($J101,-1)+1,W$54&lt;=EOMONTH(EOMONTH($J101,-1)+1,$K101-1)),IF(NOT(ISBLANK($N101)),$N101/$K101,$I101/$K101),0),0)</f>
        <v>0</v>
      </c>
      <c r="X101" s="309">
        <f>IFERROR(IF(AND(X$54&gt;=EOMONTH($J101,-1)+1,X$54&lt;=EOMONTH(EOMONTH($J101,-1)+1,$K101-1)),IF(NOT(ISBLANK($N101)),$N101/$K101,$I101/$K101),0),0)</f>
        <v>0</v>
      </c>
      <c r="Y101" s="309">
        <f>IFERROR(IF(AND(Y$54&gt;=EOMONTH($J101,-1)+1,Y$54&lt;=EOMONTH(EOMONTH($J101,-1)+1,$K101-1)),IF(NOT(ISBLANK($N101)),$N101/$K101,$I101/$K101),0),0)</f>
        <v>0</v>
      </c>
      <c r="Z101" s="89">
        <f t="shared" si="59"/>
        <v>0</v>
      </c>
      <c r="AA101" s="309">
        <f>IFERROR(IF(AND(AA$54&gt;=EOMONTH($J101,-1)+1,AA$54&lt;=EOMONTH(EOMONTH($J101,-1)+1,$K101-1)),IF(NOT(ISBLANK($N101)),$N101/$K101,$I101/$K101),0),0)</f>
        <v>0</v>
      </c>
      <c r="AB101" s="309">
        <f>IFERROR(IF(AND(AB$54&gt;=EOMONTH($J101,-1)+1,AB$54&lt;=EOMONTH(EOMONTH($J101,-1)+1,$K101-1)),IF(NOT(ISBLANK($N101)),$N101/$K101,$I101/$K101),0),0)</f>
        <v>0</v>
      </c>
      <c r="AC101" s="309">
        <f>IFERROR(IF(AND(AC$54&gt;=EOMONTH($J101,-1)+1,AC$54&lt;=EOMONTH(EOMONTH($J101,-1)+1,$K101-1)),IF(NOT(ISBLANK($N101)),$N101/$K101,$I101/$K101),0),0)</f>
        <v>0</v>
      </c>
      <c r="AD101" s="89">
        <f t="shared" si="60"/>
        <v>0</v>
      </c>
      <c r="AE101" s="309">
        <f>IFERROR(IF(AND(AE$54&gt;=EOMONTH($J101,-1)+1,AE$54&lt;=EOMONTH(EOMONTH($J101,-1)+1,$K101-1)),IF(NOT(ISBLANK($N101)),$N101/$K101,$I101/$K101),0),0)</f>
        <v>0</v>
      </c>
      <c r="AF101" s="309">
        <f>IFERROR(IF(AND(AF$54&gt;=EOMONTH($J101,-1)+1,AF$54&lt;=EOMONTH(EOMONTH($J101,-1)+1,$K101-1)),IF(NOT(ISBLANK($N101)),$N101/$K101,$I101/$K101),0),0)</f>
        <v>0</v>
      </c>
      <c r="AG101" s="309">
        <f>IFERROR(IF(AND(AG$54&gt;=EOMONTH($J101,-1)+1,AG$54&lt;=EOMONTH(EOMONTH($J101,-1)+1,$K101-1)),IF(NOT(ISBLANK($N101)),$N101/$K101,$I101/$K101),0),0)</f>
        <v>0</v>
      </c>
      <c r="AH101" s="89">
        <f t="shared" si="61"/>
        <v>0</v>
      </c>
      <c r="AI101" s="90">
        <f>SUM(V101,Z101,AD101,AH101)</f>
        <v>0</v>
      </c>
      <c r="AJ101" s="98"/>
      <c r="AK101" s="1040"/>
      <c r="AL101" s="1048"/>
      <c r="AM101" s="1046"/>
      <c r="AN101" s="62" t="str">
        <f t="shared" ref="AN101" si="70">C101</f>
        <v xml:space="preserve">24-Aumento de produtividade do KART - PN </v>
      </c>
      <c r="AO101" s="62" t="s">
        <v>289</v>
      </c>
      <c r="AP101" s="543" t="str" cm="1">
        <f t="array" aca="1" ref="AP101" ca="1">IF(OR(AN101="",AN101=0),"",IF(SUMPRODUCT(($C$55:$C$160=AN101)*(S$54:$AG$54&lt;EOMONTH(TODAY(),-1)+1)*(ISNUMBER(S$55:$AG$160)),S$55:$AG$160)=0,"",SUMPRODUCT(($C$55:$C$160=AN101)*(S$54:$AG$54&lt;EOMONTH(TODAY(),-1)+1)*(ISNUMBER(S$55:$AG$160)),S$55:$AG$160)))</f>
        <v/>
      </c>
    </row>
    <row r="102" spans="1:42" ht="29.1" customHeight="1" x14ac:dyDescent="0.3">
      <c r="A102" s="1036"/>
      <c r="B102" s="1039"/>
      <c r="C102" s="1113"/>
      <c r="D102" s="1115"/>
      <c r="E102" s="1303"/>
      <c r="F102" s="1040"/>
      <c r="G102" s="1117"/>
      <c r="H102" s="1117"/>
      <c r="I102" s="1074"/>
      <c r="J102" s="1158"/>
      <c r="K102" s="1121"/>
      <c r="L102" s="1074"/>
      <c r="M102" s="1119"/>
      <c r="N102" s="1053"/>
      <c r="O102" s="1057"/>
      <c r="P102" s="1057"/>
      <c r="Q102" s="87" t="s">
        <v>107</v>
      </c>
      <c r="R102" s="91"/>
      <c r="S102" s="309" t="s">
        <v>390</v>
      </c>
      <c r="T102" s="309" t="s">
        <v>390</v>
      </c>
      <c r="U102" s="309" t="s">
        <v>390</v>
      </c>
      <c r="V102" s="89">
        <f t="shared" si="58"/>
        <v>0</v>
      </c>
      <c r="W102" s="309" t="s">
        <v>390</v>
      </c>
      <c r="X102" s="309" t="s">
        <v>390</v>
      </c>
      <c r="Y102" s="309" t="s">
        <v>390</v>
      </c>
      <c r="Z102" s="89">
        <f t="shared" si="59"/>
        <v>0</v>
      </c>
      <c r="AA102" s="309" t="s">
        <v>390</v>
      </c>
      <c r="AB102" s="309" t="s">
        <v>390</v>
      </c>
      <c r="AC102" s="309" t="s">
        <v>390</v>
      </c>
      <c r="AD102" s="89">
        <f t="shared" si="60"/>
        <v>0</v>
      </c>
      <c r="AE102" s="309" t="s">
        <v>390</v>
      </c>
      <c r="AF102" s="309" t="s">
        <v>390</v>
      </c>
      <c r="AG102" s="309" t="s">
        <v>390</v>
      </c>
      <c r="AH102" s="89">
        <f t="shared" si="61"/>
        <v>0</v>
      </c>
      <c r="AI102" s="311">
        <f t="shared" ref="AI102:AI104" si="71">SUM(V102,Z102,AD102,AH102)</f>
        <v>0</v>
      </c>
      <c r="AJ102" s="360"/>
      <c r="AK102" s="1040"/>
      <c r="AL102" s="1048"/>
      <c r="AM102" s="1046"/>
      <c r="AN102" s="62" t="str">
        <f t="shared" ref="AN102" si="72">C101</f>
        <v xml:space="preserve">24-Aumento de produtividade do KART - PN </v>
      </c>
      <c r="AO102" s="62" t="s">
        <v>291</v>
      </c>
      <c r="AP102" s="543" t="str" cm="1">
        <f t="array" aca="1" ref="AP102" ca="1">IF(OR(AN102="",AN102=0),"",IF(SUMPRODUCT(($C$55:$C$160=AN102)*(S$54:$AG$54&lt;EOMONTH(TODAY(),-1)+1)*(ISNUMBER(S$56:$AG$161)),S$56:$AG$161)=0,"",SUMPRODUCT(($C$55:$C$160=AN102)*(S$54:$AG$54&lt;EOMONTH(TODAY(),-1)+1)*(ISNUMBER(S$56:$AG$161)),S$56:$AG$161)))</f>
        <v/>
      </c>
    </row>
    <row r="103" spans="1:42" ht="56.1" customHeight="1" x14ac:dyDescent="0.3">
      <c r="A103" s="1038" t="s">
        <v>76</v>
      </c>
      <c r="B103" s="1299" t="s">
        <v>91</v>
      </c>
      <c r="C103" s="1138" t="s">
        <v>1679</v>
      </c>
      <c r="D103" s="1115"/>
      <c r="E103" s="1424" t="s">
        <v>1680</v>
      </c>
      <c r="F103" s="1142" t="s">
        <v>1606</v>
      </c>
      <c r="G103" s="1117">
        <v>46146</v>
      </c>
      <c r="H103" s="1117">
        <v>46204</v>
      </c>
      <c r="I103" s="1076"/>
      <c r="J103" s="1154"/>
      <c r="K103" s="1213">
        <v>12</v>
      </c>
      <c r="L103" s="1076"/>
      <c r="M103" s="1072"/>
      <c r="N103" s="1055"/>
      <c r="O103" s="1057" t="s">
        <v>80</v>
      </c>
      <c r="P103" s="1042"/>
      <c r="Q103" s="93" t="s">
        <v>106</v>
      </c>
      <c r="R103" s="96"/>
      <c r="S103" s="532">
        <f>IFERROR(IF(AND(S$54&gt;=EOMONTH($J103,-1)+1,S$54&lt;=EOMONTH(EOMONTH($J103,-1)+1,$K103-1)),IF(NOT(ISBLANK($N103)),$N103/$K103,$I103/$K103),0),0)</f>
        <v>0</v>
      </c>
      <c r="T103" s="532">
        <f>IFERROR(IF(AND(T$54&gt;=EOMONTH($J103,-1)+1,T$54&lt;=EOMONTH(EOMONTH($J103,-1)+1,$K103-1)),IF(NOT(ISBLANK($N103)),$N103/$K103,$I103/$K103),0),0)</f>
        <v>0</v>
      </c>
      <c r="U103" s="532">
        <f>IFERROR(IF(AND(U$54&gt;=EOMONTH($J103,-1)+1,U$54&lt;=EOMONTH(EOMONTH($J103,-1)+1,$K103-1)),IF(NOT(ISBLANK($N103)),$N103/$K103,$I103/$K103),0),0)</f>
        <v>0</v>
      </c>
      <c r="V103" s="89">
        <f t="shared" si="58"/>
        <v>0</v>
      </c>
      <c r="W103" s="532">
        <f>IFERROR(IF(AND(W$54&gt;=EOMONTH($J103,-1)+1,W$54&lt;=EOMONTH(EOMONTH($J103,-1)+1,$K103-1)),IF(NOT(ISBLANK($N103)),$N103/$K103,$I103/$K103),0),0)</f>
        <v>0</v>
      </c>
      <c r="X103" s="532">
        <f>IFERROR(IF(AND(X$54&gt;=EOMONTH($J103,-1)+1,X$54&lt;=EOMONTH(EOMONTH($J103,-1)+1,$K103-1)),IF(NOT(ISBLANK($N103)),$N103/$K103,$I103/$K103),0),0)</f>
        <v>0</v>
      </c>
      <c r="Y103" s="532">
        <f>IFERROR(IF(AND(Y$54&gt;=EOMONTH($J103,-1)+1,Y$54&lt;=EOMONTH(EOMONTH($J103,-1)+1,$K103-1)),IF(NOT(ISBLANK($N103)),$N103/$K103,$I103/$K103),0),0)</f>
        <v>0</v>
      </c>
      <c r="Z103" s="89">
        <f t="shared" si="59"/>
        <v>0</v>
      </c>
      <c r="AA103" s="532">
        <f>IFERROR(IF(AND(AA$54&gt;=EOMONTH($J103,-1)+1,AA$54&lt;=EOMONTH(EOMONTH($J103,-1)+1,$K103-1)),IF(NOT(ISBLANK($N103)),$N103/$K103,$I103/$K103),0),0)</f>
        <v>0</v>
      </c>
      <c r="AB103" s="532">
        <f>IFERROR(IF(AND(AB$54&gt;=EOMONTH($J103,-1)+1,AB$54&lt;=EOMONTH(EOMONTH($J103,-1)+1,$K103-1)),IF(NOT(ISBLANK($N103)),$N103/$K103,$I103/$K103),0),0)</f>
        <v>0</v>
      </c>
      <c r="AC103" s="532">
        <f>IFERROR(IF(AND(AC$54&gt;=EOMONTH($J103,-1)+1,AC$54&lt;=EOMONTH(EOMONTH($J103,-1)+1,$K103-1)),IF(NOT(ISBLANK($N103)),$N103/$K103,$I103/$K103),0),0)</f>
        <v>0</v>
      </c>
      <c r="AD103" s="89">
        <f t="shared" si="60"/>
        <v>0</v>
      </c>
      <c r="AE103" s="532">
        <f>IFERROR(IF(AND(AE$54&gt;=EOMONTH($J103,-1)+1,AE$54&lt;=EOMONTH(EOMONTH($J103,-1)+1,$K103-1)),IF(NOT(ISBLANK($N103)),$N103/$K103,$I103/$K103),0),0)</f>
        <v>0</v>
      </c>
      <c r="AF103" s="532">
        <f>IFERROR(IF(AND(AF$54&gt;=EOMONTH($J103,-1)+1,AF$54&lt;=EOMONTH(EOMONTH($J103,-1)+1,$K103-1)),IF(NOT(ISBLANK($N103)),$N103/$K103,$I103/$K103),0),0)</f>
        <v>0</v>
      </c>
      <c r="AG103" s="532">
        <f>IFERROR(IF(AND(AG$54&gt;=EOMONTH($J103,-1)+1,AG$54&lt;=EOMONTH(EOMONTH($J103,-1)+1,$K103-1)),IF(NOT(ISBLANK($N103)),$N103/$K103,$I103/$K103),0),0)</f>
        <v>0</v>
      </c>
      <c r="AH103" s="89">
        <f t="shared" si="61"/>
        <v>0</v>
      </c>
      <c r="AI103" s="95">
        <f t="shared" si="71"/>
        <v>0</v>
      </c>
      <c r="AJ103" s="97"/>
      <c r="AK103" s="1038"/>
      <c r="AL103" s="1042"/>
      <c r="AM103" s="1044"/>
      <c r="AN103" s="62" t="str">
        <f t="shared" ref="AN103" si="73">C103</f>
        <v>25-REDUÇÃO DE CUSTOS DO PROCESSO DE LIMPEZA DE GRELHAS DA LASER</v>
      </c>
      <c r="AO103" s="62" t="s">
        <v>289</v>
      </c>
      <c r="AP103" s="543" t="str" cm="1">
        <f t="array" aca="1" ref="AP103" ca="1">IF(OR(AN103="",AN103=0),"",IF(SUMPRODUCT(($C$55:$C$160=AN103)*(S$54:$AG$54&lt;EOMONTH(TODAY(),-1)+1)*(ISNUMBER(S$55:$AG$160)),S$55:$AG$160)=0,"",SUMPRODUCT(($C$55:$C$160=AN103)*(S$54:$AG$54&lt;EOMONTH(TODAY(),-1)+1)*(ISNUMBER(S$55:$AG$160)),S$55:$AG$160)))</f>
        <v/>
      </c>
    </row>
    <row r="104" spans="1:42" ht="29.1" customHeight="1" x14ac:dyDescent="0.3">
      <c r="A104" s="1038"/>
      <c r="B104" s="1300"/>
      <c r="C104" s="1138"/>
      <c r="D104" s="1115"/>
      <c r="E104" s="1424"/>
      <c r="F104" s="1142"/>
      <c r="G104" s="1117"/>
      <c r="H104" s="1117"/>
      <c r="I104" s="1076"/>
      <c r="J104" s="1154"/>
      <c r="K104" s="1213"/>
      <c r="L104" s="1076"/>
      <c r="M104" s="1072"/>
      <c r="N104" s="1055"/>
      <c r="O104" s="1057"/>
      <c r="P104" s="1042"/>
      <c r="Q104" s="93" t="s">
        <v>107</v>
      </c>
      <c r="R104" s="96"/>
      <c r="S104" s="312" t="s">
        <v>390</v>
      </c>
      <c r="T104" s="312" t="s">
        <v>390</v>
      </c>
      <c r="U104" s="312" t="s">
        <v>390</v>
      </c>
      <c r="V104" s="89">
        <f t="shared" si="58"/>
        <v>0</v>
      </c>
      <c r="W104" s="312" t="s">
        <v>390</v>
      </c>
      <c r="X104" s="312" t="s">
        <v>390</v>
      </c>
      <c r="Y104" s="312" t="s">
        <v>390</v>
      </c>
      <c r="Z104" s="89">
        <f t="shared" si="59"/>
        <v>0</v>
      </c>
      <c r="AA104" s="312" t="s">
        <v>390</v>
      </c>
      <c r="AB104" s="312" t="s">
        <v>390</v>
      </c>
      <c r="AC104" s="312" t="s">
        <v>390</v>
      </c>
      <c r="AD104" s="89">
        <f t="shared" si="60"/>
        <v>0</v>
      </c>
      <c r="AE104" s="312" t="s">
        <v>390</v>
      </c>
      <c r="AF104" s="312" t="s">
        <v>390</v>
      </c>
      <c r="AG104" s="312" t="s">
        <v>390</v>
      </c>
      <c r="AH104" s="89">
        <f t="shared" si="61"/>
        <v>0</v>
      </c>
      <c r="AI104" s="313">
        <f t="shared" si="71"/>
        <v>0</v>
      </c>
      <c r="AJ104" s="97"/>
      <c r="AK104" s="1038"/>
      <c r="AL104" s="1042"/>
      <c r="AM104" s="1044"/>
      <c r="AN104" s="62" t="str">
        <f t="shared" ref="AN104" si="74">C103</f>
        <v>25-REDUÇÃO DE CUSTOS DO PROCESSO DE LIMPEZA DE GRELHAS DA LASER</v>
      </c>
      <c r="AO104" s="62" t="s">
        <v>291</v>
      </c>
      <c r="AP104" s="543" t="str" cm="1">
        <f t="array" aca="1" ref="AP104" ca="1">IF(OR(AN104="",AN104=0),"",IF(SUMPRODUCT(($C$55:$C$160=AN104)*(S$54:$AG$54&lt;EOMONTH(TODAY(),-1)+1)*(ISNUMBER(S$56:$AG$161)),S$56:$AG$161)=0,"",SUMPRODUCT(($C$55:$C$160=AN104)*(S$54:$AG$54&lt;EOMONTH(TODAY(),-1)+1)*(ISNUMBER(S$56:$AG$161)),S$56:$AG$161)))</f>
        <v/>
      </c>
    </row>
    <row r="105" spans="1:42" ht="40.35" customHeight="1" x14ac:dyDescent="0.3">
      <c r="A105" s="1036" t="s">
        <v>76</v>
      </c>
      <c r="B105" s="1038" t="s">
        <v>91</v>
      </c>
      <c r="C105" s="1113" t="s">
        <v>2593</v>
      </c>
      <c r="D105" s="1115"/>
      <c r="E105" s="1303" t="s">
        <v>2594</v>
      </c>
      <c r="F105" s="1040" t="s">
        <v>1627</v>
      </c>
      <c r="G105" s="1117">
        <v>46209</v>
      </c>
      <c r="H105" s="1117">
        <v>46235</v>
      </c>
      <c r="I105" s="1074"/>
      <c r="J105" s="1158"/>
      <c r="K105" s="1121">
        <v>12</v>
      </c>
      <c r="L105" s="1076"/>
      <c r="M105" s="1119"/>
      <c r="N105" s="1053"/>
      <c r="O105" s="1057" t="s">
        <v>80</v>
      </c>
      <c r="P105" s="1057"/>
      <c r="Q105" s="87" t="s">
        <v>106</v>
      </c>
      <c r="R105" s="91">
        <f ca="1">IF(OR(G105="", H105=""), "", IF(TODAY()&lt;G105, 0, IF(TODAY()&gt;H105, 1, (TODAY()-G105+1)/(H105-G105+1))))</f>
        <v>0</v>
      </c>
      <c r="S105" s="309">
        <f>IFERROR(IF(AND(S$54&gt;=EOMONTH($J105,-1)+1,S$54&lt;=EOMONTH(EOMONTH($J105,-1)+1,$K105-1)),IF(NOT(ISBLANK($N105)),$N105/$K105,$I105/$K105),0),0)</f>
        <v>0</v>
      </c>
      <c r="T105" s="309">
        <f>IFERROR(IF(AND(T$54&gt;=EOMONTH($J105,-1)+1,T$54&lt;=EOMONTH(EOMONTH($J105,-1)+1,$K105-1)),IF(NOT(ISBLANK($N105)),$N105/$K105,$I105/$K105),0),0)</f>
        <v>0</v>
      </c>
      <c r="U105" s="309">
        <f>IFERROR(IF(AND(U$54&gt;=EOMONTH($J105,-1)+1,U$54&lt;=EOMONTH(EOMONTH($J105,-1)+1,$K105-1)),IF(NOT(ISBLANK($N105)),$N105/$K105,$I105/$K105),0),0)</f>
        <v>0</v>
      </c>
      <c r="V105" s="89">
        <f t="shared" si="58"/>
        <v>0</v>
      </c>
      <c r="W105" s="309">
        <f>IFERROR(IF(AND(W$54&gt;=EOMONTH($J105,-1)+1,W$54&lt;=EOMONTH(EOMONTH($J105,-1)+1,$K105-1)),IF(NOT(ISBLANK($N105)),$N105/$K105,$I105/$K105),0),0)</f>
        <v>0</v>
      </c>
      <c r="X105" s="309">
        <f>IFERROR(IF(AND(X$54&gt;=EOMONTH($J105,-1)+1,X$54&lt;=EOMONTH(EOMONTH($J105,-1)+1,$K105-1)),IF(NOT(ISBLANK($N105)),$N105/$K105,$I105/$K105),0),0)</f>
        <v>0</v>
      </c>
      <c r="Y105" s="309">
        <f>IFERROR(IF(AND(Y$54&gt;=EOMONTH($J105,-1)+1,Y$54&lt;=EOMONTH(EOMONTH($J105,-1)+1,$K105-1)),IF(NOT(ISBLANK($N105)),$N105/$K105,$I105/$K105),0),0)</f>
        <v>0</v>
      </c>
      <c r="Z105" s="89">
        <f t="shared" si="59"/>
        <v>0</v>
      </c>
      <c r="AA105" s="309">
        <f>IFERROR(IF(AND(AA$54&gt;=EOMONTH($J105,-1)+1,AA$54&lt;=EOMONTH(EOMONTH($J105,-1)+1,$K105-1)),IF(NOT(ISBLANK($N105)),$N105/$K105,$I105/$K105),0),0)</f>
        <v>0</v>
      </c>
      <c r="AB105" s="309">
        <f>IFERROR(IF(AND(AB$54&gt;=EOMONTH($J105,-1)+1,AB$54&lt;=EOMONTH(EOMONTH($J105,-1)+1,$K105-1)),IF(NOT(ISBLANK($N105)),$N105/$K105,$I105/$K105),0),0)</f>
        <v>0</v>
      </c>
      <c r="AC105" s="309">
        <f>IFERROR(IF(AND(AC$54&gt;=EOMONTH($J105,-1)+1,AC$54&lt;=EOMONTH(EOMONTH($J105,-1)+1,$K105-1)),IF(NOT(ISBLANK($N105)),$N105/$K105,$I105/$K105),0),0)</f>
        <v>0</v>
      </c>
      <c r="AD105" s="89">
        <f t="shared" si="60"/>
        <v>0</v>
      </c>
      <c r="AE105" s="309">
        <f>IFERROR(IF(AND(AE$54&gt;=EOMONTH($J105,-1)+1,AE$54&lt;=EOMONTH(EOMONTH($J105,-1)+1,$K105-1)),IF(NOT(ISBLANK($N105)),$N105/$K105,$I105/$K105),0),0)</f>
        <v>0</v>
      </c>
      <c r="AF105" s="309">
        <f>IFERROR(IF(AND(AF$54&gt;=EOMONTH($J105,-1)+1,AF$54&lt;=EOMONTH(EOMONTH($J105,-1)+1,$K105-1)),IF(NOT(ISBLANK($N105)),$N105/$K105,$I105/$K105),0),0)</f>
        <v>0</v>
      </c>
      <c r="AG105" s="309">
        <f>IFERROR(IF(AND(AG$54&gt;=EOMONTH($J105,-1)+1,AG$54&lt;=EOMONTH(EOMONTH($J105,-1)+1,$K105-1)),IF(NOT(ISBLANK($N105)),$N105/$K105,$I105/$K105),0),0)</f>
        <v>0</v>
      </c>
      <c r="AH105" s="89">
        <f t="shared" si="61"/>
        <v>0</v>
      </c>
      <c r="AI105" s="90">
        <f>SUM(V105,Z105,AD105,AH105)</f>
        <v>0</v>
      </c>
      <c r="AJ105" s="98"/>
      <c r="AK105" s="1040"/>
      <c r="AL105" s="1048"/>
      <c r="AM105" s="1046"/>
      <c r="AN105" s="62" t="str">
        <f t="shared" ref="AN105" si="75">C105</f>
        <v>26-Aumento de produtividade na LINHA SCHULER</v>
      </c>
      <c r="AO105" s="62" t="s">
        <v>289</v>
      </c>
      <c r="AP105" s="543" t="str" cm="1">
        <f t="array" aca="1" ref="AP105" ca="1">IF(OR(AN105="",AN105=0),"",IF(SUMPRODUCT(($C$55:$C$160=AN105)*(S$54:$AG$54&lt;EOMONTH(TODAY(),-1)+1)*(ISNUMBER(S$55:$AG$160)),S$55:$AG$160)=0,"",SUMPRODUCT(($C$55:$C$160=AN105)*(S$54:$AG$54&lt;EOMONTH(TODAY(),-1)+1)*(ISNUMBER(S$55:$AG$160)),S$55:$AG$160)))</f>
        <v/>
      </c>
    </row>
    <row r="106" spans="1:42" ht="29.1" customHeight="1" x14ac:dyDescent="0.3">
      <c r="A106" s="1036"/>
      <c r="B106" s="1039"/>
      <c r="C106" s="1113"/>
      <c r="D106" s="1115"/>
      <c r="E106" s="1303"/>
      <c r="F106" s="1040"/>
      <c r="G106" s="1117"/>
      <c r="H106" s="1117"/>
      <c r="I106" s="1074"/>
      <c r="J106" s="1158"/>
      <c r="K106" s="1121"/>
      <c r="L106" s="1076"/>
      <c r="M106" s="1119"/>
      <c r="N106" s="1053"/>
      <c r="O106" s="1057"/>
      <c r="P106" s="1057"/>
      <c r="Q106" s="87" t="s">
        <v>107</v>
      </c>
      <c r="R106" s="91"/>
      <c r="S106" s="309" t="s">
        <v>390</v>
      </c>
      <c r="T106" s="309" t="s">
        <v>390</v>
      </c>
      <c r="U106" s="309" t="s">
        <v>390</v>
      </c>
      <c r="V106" s="89">
        <f t="shared" si="58"/>
        <v>0</v>
      </c>
      <c r="W106" s="309" t="s">
        <v>390</v>
      </c>
      <c r="X106" s="309" t="s">
        <v>390</v>
      </c>
      <c r="Y106" s="309" t="s">
        <v>390</v>
      </c>
      <c r="Z106" s="89">
        <f t="shared" si="59"/>
        <v>0</v>
      </c>
      <c r="AA106" s="309" t="s">
        <v>390</v>
      </c>
      <c r="AB106" s="309" t="s">
        <v>390</v>
      </c>
      <c r="AC106" s="309" t="s">
        <v>390</v>
      </c>
      <c r="AD106" s="89">
        <f t="shared" si="60"/>
        <v>0</v>
      </c>
      <c r="AE106" s="309" t="s">
        <v>390</v>
      </c>
      <c r="AF106" s="309" t="s">
        <v>390</v>
      </c>
      <c r="AG106" s="309" t="s">
        <v>390</v>
      </c>
      <c r="AH106" s="89">
        <f t="shared" si="61"/>
        <v>0</v>
      </c>
      <c r="AI106" s="311">
        <f t="shared" ref="AI106:AI108" si="76">SUM(V106,Z106,AD106,AH106)</f>
        <v>0</v>
      </c>
      <c r="AJ106" s="360"/>
      <c r="AK106" s="1040"/>
      <c r="AL106" s="1048"/>
      <c r="AM106" s="1046"/>
      <c r="AN106" s="62" t="str">
        <f t="shared" ref="AN106" si="77">C105</f>
        <v>26-Aumento de produtividade na LINHA SCHULER</v>
      </c>
      <c r="AO106" s="62" t="s">
        <v>291</v>
      </c>
      <c r="AP106" s="543" t="str" cm="1">
        <f t="array" aca="1" ref="AP106" ca="1">IF(OR(AN106="",AN106=0),"",IF(SUMPRODUCT(($C$55:$C$160=AN106)*(S$54:$AG$54&lt;EOMONTH(TODAY(),-1)+1)*(ISNUMBER(S$56:$AG$161)),S$56:$AG$161)=0,"",SUMPRODUCT(($C$55:$C$160=AN106)*(S$54:$AG$54&lt;EOMONTH(TODAY(),-1)+1)*(ISNUMBER(S$56:$AG$161)),S$56:$AG$161)))</f>
        <v/>
      </c>
    </row>
    <row r="107" spans="1:42" ht="56.1" customHeight="1" x14ac:dyDescent="0.3">
      <c r="A107" s="1093"/>
      <c r="B107" s="1299"/>
      <c r="C107" s="1095"/>
      <c r="D107" s="1097"/>
      <c r="E107" s="1363"/>
      <c r="F107" s="1099"/>
      <c r="G107" s="1150"/>
      <c r="H107" s="1150"/>
      <c r="I107" s="1152"/>
      <c r="J107" s="1109"/>
      <c r="K107" s="1213"/>
      <c r="L107" s="1074"/>
      <c r="M107" s="1072"/>
      <c r="N107" s="1055"/>
      <c r="O107" s="1323"/>
      <c r="P107" s="1042"/>
      <c r="Q107" s="93" t="s">
        <v>106</v>
      </c>
      <c r="R107" s="96">
        <v>0</v>
      </c>
      <c r="S107" s="532">
        <f>IFERROR(IF(AND(S$54&gt;=EOMONTH($J107,-1)+1,S$54&lt;=EOMONTH(EOMONTH($J107,-1)+1,$K107-1)),IF(NOT(ISBLANK($N107)),$N107/$K107,$I107/$K107),0),0)</f>
        <v>0</v>
      </c>
      <c r="T107" s="532">
        <f>IFERROR(IF(AND(T$54&gt;=EOMONTH($J107,-1)+1,T$54&lt;=EOMONTH(EOMONTH($J107,-1)+1,$K107-1)),IF(NOT(ISBLANK($N107)),$N107/$K107,$I107/$K107),0),0)</f>
        <v>0</v>
      </c>
      <c r="U107" s="532">
        <f>IFERROR(IF(AND(U$54&gt;=EOMONTH($J107,-1)+1,U$54&lt;=EOMONTH(EOMONTH($J107,-1)+1,$K107-1)),IF(NOT(ISBLANK($N107)),$N107/$K107,$I107/$K107),0),0)</f>
        <v>0</v>
      </c>
      <c r="V107" s="89">
        <f t="shared" ref="V107:V114" si="78">SUM(S107:U107)</f>
        <v>0</v>
      </c>
      <c r="W107" s="532">
        <f>IFERROR(IF(AND(W$54&gt;=EOMONTH($J107,-1)+1,W$54&lt;=EOMONTH(EOMONTH($J107,-1)+1,$K107-1)),IF(NOT(ISBLANK($N107)),$N107/$K107,$I107/$K107),0),0)</f>
        <v>0</v>
      </c>
      <c r="X107" s="532">
        <f>IFERROR(IF(AND(X$54&gt;=EOMONTH($J107,-1)+1,X$54&lt;=EOMONTH(EOMONTH($J107,-1)+1,$K107-1)),IF(NOT(ISBLANK($N107)),$N107/$K107,$I107/$K107),0),0)</f>
        <v>0</v>
      </c>
      <c r="Y107" s="532">
        <f>IFERROR(IF(AND(Y$54&gt;=EOMONTH($J107,-1)+1,Y$54&lt;=EOMONTH(EOMONTH($J107,-1)+1,$K107-1)),IF(NOT(ISBLANK($N107)),$N107/$K107,$I107/$K107),0),0)</f>
        <v>0</v>
      </c>
      <c r="Z107" s="89">
        <f t="shared" ref="Z107:Z114" si="79">SUM(W107:Y107)</f>
        <v>0</v>
      </c>
      <c r="AA107" s="532">
        <f>IFERROR(IF(AND(AA$54&gt;=EOMONTH($J107,-1)+1,AA$54&lt;=EOMONTH(EOMONTH($J107,-1)+1,$K107-1)),IF(NOT(ISBLANK($N107)),$N107/$K107,$I107/$K107),0),0)</f>
        <v>0</v>
      </c>
      <c r="AB107" s="532">
        <f>IFERROR(IF(AND(AB$54&gt;=EOMONTH($J107,-1)+1,AB$54&lt;=EOMONTH(EOMONTH($J107,-1)+1,$K107-1)),IF(NOT(ISBLANK($N107)),$N107/$K107,$I107/$K107),0),0)</f>
        <v>0</v>
      </c>
      <c r="AC107" s="532">
        <f>IFERROR(IF(AND(AC$54&gt;=EOMONTH($J107,-1)+1,AC$54&lt;=EOMONTH(EOMONTH($J107,-1)+1,$K107-1)),IF(NOT(ISBLANK($N107)),$N107/$K107,$I107/$K107),0),0)</f>
        <v>0</v>
      </c>
      <c r="AD107" s="89">
        <f t="shared" ref="AD107:AD114" si="80">SUM(AA107:AC107)</f>
        <v>0</v>
      </c>
      <c r="AE107" s="532">
        <f>IFERROR(IF(AND(AE$54&gt;=EOMONTH($J107,-1)+1,AE$54&lt;=EOMONTH(EOMONTH($J107,-1)+1,$K107-1)),IF(NOT(ISBLANK($N107)),$N107/$K107,$I107/$K107),0),0)</f>
        <v>0</v>
      </c>
      <c r="AF107" s="532">
        <f>IFERROR(IF(AND(AF$54&gt;=EOMONTH($J107,-1)+1,AF$54&lt;=EOMONTH(EOMONTH($J107,-1)+1,$K107-1)),IF(NOT(ISBLANK($N107)),$N107/$K107,$I107/$K107),0),0)</f>
        <v>0</v>
      </c>
      <c r="AG107" s="532">
        <f>IFERROR(IF(AND(AG$54&gt;=EOMONTH($J107,-1)+1,AG$54&lt;=EOMONTH(EOMONTH($J107,-1)+1,$K107-1)),IF(NOT(ISBLANK($N107)),$N107/$K107,$I107/$K107),0),0)</f>
        <v>0</v>
      </c>
      <c r="AH107" s="89">
        <f t="shared" ref="AH107:AH114" si="81">SUM(AE107:AG107)</f>
        <v>0</v>
      </c>
      <c r="AI107" s="95">
        <f t="shared" si="76"/>
        <v>0</v>
      </c>
      <c r="AJ107" s="97"/>
      <c r="AK107" s="1038"/>
      <c r="AL107" s="1042"/>
      <c r="AM107" s="1044"/>
      <c r="AN107" s="62">
        <f t="shared" ref="AN107" si="82">C107</f>
        <v>0</v>
      </c>
      <c r="AO107" s="62" t="s">
        <v>289</v>
      </c>
      <c r="AP107" s="543" t="str" cm="1">
        <f t="array" aca="1" ref="AP107" ca="1">IF(OR(AN107="",AN107=0),"",IF(SUMPRODUCT(($C$55:$C$160=AN107)*(S$54:$AG$54&lt;EOMONTH(TODAY(),-1)+1)*(ISNUMBER(S$55:$AG$160)),S$55:$AG$160)=0,"",SUMPRODUCT(($C$55:$C$160=AN107)*(S$54:$AG$54&lt;EOMONTH(TODAY(),-1)+1)*(ISNUMBER(S$55:$AG$160)),S$55:$AG$160)))</f>
        <v/>
      </c>
    </row>
    <row r="108" spans="1:42" ht="29.1" customHeight="1" x14ac:dyDescent="0.3">
      <c r="A108" s="1093"/>
      <c r="B108" s="1300"/>
      <c r="C108" s="1095"/>
      <c r="D108" s="1097"/>
      <c r="E108" s="1363"/>
      <c r="F108" s="1099"/>
      <c r="G108" s="1150"/>
      <c r="H108" s="1150"/>
      <c r="I108" s="1152"/>
      <c r="J108" s="1109"/>
      <c r="K108" s="1213"/>
      <c r="L108" s="1074"/>
      <c r="M108" s="1072"/>
      <c r="N108" s="1055"/>
      <c r="O108" s="1323"/>
      <c r="P108" s="1042"/>
      <c r="Q108" s="93" t="s">
        <v>107</v>
      </c>
      <c r="R108" s="96"/>
      <c r="S108" s="312" t="s">
        <v>390</v>
      </c>
      <c r="T108" s="312" t="s">
        <v>390</v>
      </c>
      <c r="U108" s="312" t="s">
        <v>390</v>
      </c>
      <c r="V108" s="89">
        <f t="shared" si="78"/>
        <v>0</v>
      </c>
      <c r="W108" s="312" t="s">
        <v>390</v>
      </c>
      <c r="X108" s="312" t="s">
        <v>390</v>
      </c>
      <c r="Y108" s="312" t="s">
        <v>390</v>
      </c>
      <c r="Z108" s="89">
        <f t="shared" si="79"/>
        <v>0</v>
      </c>
      <c r="AA108" s="312" t="s">
        <v>390</v>
      </c>
      <c r="AB108" s="312" t="s">
        <v>390</v>
      </c>
      <c r="AC108" s="312" t="s">
        <v>390</v>
      </c>
      <c r="AD108" s="89">
        <f t="shared" si="80"/>
        <v>0</v>
      </c>
      <c r="AE108" s="312" t="s">
        <v>390</v>
      </c>
      <c r="AF108" s="312" t="s">
        <v>390</v>
      </c>
      <c r="AG108" s="312" t="s">
        <v>390</v>
      </c>
      <c r="AH108" s="89">
        <f t="shared" si="81"/>
        <v>0</v>
      </c>
      <c r="AI108" s="313">
        <f t="shared" si="76"/>
        <v>0</v>
      </c>
      <c r="AJ108" s="97"/>
      <c r="AK108" s="1038"/>
      <c r="AL108" s="1042"/>
      <c r="AM108" s="1044"/>
      <c r="AN108" s="62">
        <f t="shared" ref="AN108" si="83">C107</f>
        <v>0</v>
      </c>
      <c r="AO108" s="62" t="s">
        <v>291</v>
      </c>
      <c r="AP108" s="543" t="str" cm="1">
        <f t="array" aca="1" ref="AP108" ca="1">IF(OR(AN108="",AN108=0),"",IF(SUMPRODUCT(($C$55:$C$160=AN108)*(S$54:$AG$54&lt;EOMONTH(TODAY(),-1)+1)*(ISNUMBER(S$56:$AG$161)),S$56:$AG$161)=0,"",SUMPRODUCT(($C$55:$C$160=AN108)*(S$54:$AG$54&lt;EOMONTH(TODAY(),-1)+1)*(ISNUMBER(S$56:$AG$161)),S$56:$AG$161)))</f>
        <v/>
      </c>
    </row>
    <row r="109" spans="1:42" ht="40.35" customHeight="1" x14ac:dyDescent="0.3">
      <c r="A109" s="1036"/>
      <c r="B109" s="1038"/>
      <c r="C109" s="1113"/>
      <c r="D109" s="1115"/>
      <c r="E109" s="1303"/>
      <c r="F109" s="1040"/>
      <c r="G109" s="1117"/>
      <c r="H109" s="1117"/>
      <c r="I109" s="1074"/>
      <c r="J109" s="1158"/>
      <c r="K109" s="1121"/>
      <c r="L109" s="1076"/>
      <c r="M109" s="1119"/>
      <c r="N109" s="1053"/>
      <c r="O109" s="1057"/>
      <c r="P109" s="1057"/>
      <c r="Q109" s="87" t="s">
        <v>106</v>
      </c>
      <c r="R109" s="91" t="str">
        <f ca="1">IF(OR(G109="", H109=""), "", IF(TODAY()&lt;G109, 0, IF(TODAY()&gt;H109, 1, (TODAY()-G109+1)/(H109-G109+1))))</f>
        <v/>
      </c>
      <c r="S109" s="309">
        <f>IFERROR(IF(AND(S$54&gt;=EOMONTH($J109,-1)+1,S$54&lt;=EOMONTH(EOMONTH($J109,-1)+1,$K109-1)),IF(NOT(ISBLANK($N109)),$N109/$K109,$I109/$K109),0),0)</f>
        <v>0</v>
      </c>
      <c r="T109" s="309">
        <f>IFERROR(IF(AND(T$54&gt;=EOMONTH($J109,-1)+1,T$54&lt;=EOMONTH(EOMONTH($J109,-1)+1,$K109-1)),IF(NOT(ISBLANK($N109)),$N109/$K109,$I109/$K109),0),0)</f>
        <v>0</v>
      </c>
      <c r="U109" s="309">
        <f>IFERROR(IF(AND(U$54&gt;=EOMONTH($J109,-1)+1,U$54&lt;=EOMONTH(EOMONTH($J109,-1)+1,$K109-1)),IF(NOT(ISBLANK($N109)),$N109/$K109,$I109/$K109),0),0)</f>
        <v>0</v>
      </c>
      <c r="V109" s="89">
        <f t="shared" si="78"/>
        <v>0</v>
      </c>
      <c r="W109" s="309">
        <f>IFERROR(IF(AND(W$54&gt;=EOMONTH($J109,-1)+1,W$54&lt;=EOMONTH(EOMONTH($J109,-1)+1,$K109-1)),IF(NOT(ISBLANK($N109)),$N109/$K109,$I109/$K109),0),0)</f>
        <v>0</v>
      </c>
      <c r="X109" s="309">
        <f>IFERROR(IF(AND(X$54&gt;=EOMONTH($J109,-1)+1,X$54&lt;=EOMONTH(EOMONTH($J109,-1)+1,$K109-1)),IF(NOT(ISBLANK($N109)),$N109/$K109,$I109/$K109),0),0)</f>
        <v>0</v>
      </c>
      <c r="Y109" s="309">
        <f>IFERROR(IF(AND(Y$54&gt;=EOMONTH($J109,-1)+1,Y$54&lt;=EOMONTH(EOMONTH($J109,-1)+1,$K109-1)),IF(NOT(ISBLANK($N109)),$N109/$K109,$I109/$K109),0),0)</f>
        <v>0</v>
      </c>
      <c r="Z109" s="89">
        <f t="shared" si="79"/>
        <v>0</v>
      </c>
      <c r="AA109" s="309">
        <f>IFERROR(IF(AND(AA$54&gt;=EOMONTH($J109,-1)+1,AA$54&lt;=EOMONTH(EOMONTH($J109,-1)+1,$K109-1)),IF(NOT(ISBLANK($N109)),$N109/$K109,$I109/$K109),0),0)</f>
        <v>0</v>
      </c>
      <c r="AB109" s="309">
        <f>IFERROR(IF(AND(AB$54&gt;=EOMONTH($J109,-1)+1,AB$54&lt;=EOMONTH(EOMONTH($J109,-1)+1,$K109-1)),IF(NOT(ISBLANK($N109)),$N109/$K109,$I109/$K109),0),0)</f>
        <v>0</v>
      </c>
      <c r="AC109" s="309">
        <f>IFERROR(IF(AND(AC$54&gt;=EOMONTH($J109,-1)+1,AC$54&lt;=EOMONTH(EOMONTH($J109,-1)+1,$K109-1)),IF(NOT(ISBLANK($N109)),$N109/$K109,$I109/$K109),0),0)</f>
        <v>0</v>
      </c>
      <c r="AD109" s="89">
        <f t="shared" si="80"/>
        <v>0</v>
      </c>
      <c r="AE109" s="309">
        <f>IFERROR(IF(AND(AE$54&gt;=EOMONTH($J109,-1)+1,AE$54&lt;=EOMONTH(EOMONTH($J109,-1)+1,$K109-1)),IF(NOT(ISBLANK($N109)),$N109/$K109,$I109/$K109),0),0)</f>
        <v>0</v>
      </c>
      <c r="AF109" s="309">
        <f>IFERROR(IF(AND(AF$54&gt;=EOMONTH($J109,-1)+1,AF$54&lt;=EOMONTH(EOMONTH($J109,-1)+1,$K109-1)),IF(NOT(ISBLANK($N109)),$N109/$K109,$I109/$K109),0),0)</f>
        <v>0</v>
      </c>
      <c r="AG109" s="309">
        <f>IFERROR(IF(AND(AG$54&gt;=EOMONTH($J109,-1)+1,AG$54&lt;=EOMONTH(EOMONTH($J109,-1)+1,$K109-1)),IF(NOT(ISBLANK($N109)),$N109/$K109,$I109/$K109),0),0)</f>
        <v>0</v>
      </c>
      <c r="AH109" s="89">
        <f t="shared" si="81"/>
        <v>0</v>
      </c>
      <c r="AI109" s="90">
        <f>SUM(V109,Z109,AD109,AH109)</f>
        <v>0</v>
      </c>
      <c r="AJ109" s="98"/>
      <c r="AK109" s="1040"/>
      <c r="AL109" s="1048"/>
      <c r="AM109" s="1046"/>
      <c r="AN109" s="62">
        <f t="shared" ref="AN109" si="84">C109</f>
        <v>0</v>
      </c>
      <c r="AO109" s="62" t="s">
        <v>289</v>
      </c>
      <c r="AP109" s="543" t="str" cm="1">
        <f t="array" aca="1" ref="AP109" ca="1">IF(OR(AN109="",AN109=0),"",IF(SUMPRODUCT(($C$55:$C$160=AN109)*(S$54:$AG$54&lt;EOMONTH(TODAY(),-1)+1)*(ISNUMBER(S$55:$AG$160)),S$55:$AG$160)=0,"",SUMPRODUCT(($C$55:$C$160=AN109)*(S$54:$AG$54&lt;EOMONTH(TODAY(),-1)+1)*(ISNUMBER(S$55:$AG$160)),S$55:$AG$160)))</f>
        <v/>
      </c>
    </row>
    <row r="110" spans="1:42" ht="29.1" customHeight="1" x14ac:dyDescent="0.3">
      <c r="A110" s="1036"/>
      <c r="B110" s="1039"/>
      <c r="C110" s="1113"/>
      <c r="D110" s="1115"/>
      <c r="E110" s="1303"/>
      <c r="F110" s="1040"/>
      <c r="G110" s="1117"/>
      <c r="H110" s="1117"/>
      <c r="I110" s="1074"/>
      <c r="J110" s="1158"/>
      <c r="K110" s="1121"/>
      <c r="L110" s="1076"/>
      <c r="M110" s="1119"/>
      <c r="N110" s="1053"/>
      <c r="O110" s="1057"/>
      <c r="P110" s="1057"/>
      <c r="Q110" s="87" t="s">
        <v>107</v>
      </c>
      <c r="R110" s="91"/>
      <c r="S110" s="309" t="s">
        <v>390</v>
      </c>
      <c r="T110" s="309" t="s">
        <v>390</v>
      </c>
      <c r="U110" s="309" t="s">
        <v>390</v>
      </c>
      <c r="V110" s="89">
        <f t="shared" si="78"/>
        <v>0</v>
      </c>
      <c r="W110" s="309" t="s">
        <v>390</v>
      </c>
      <c r="X110" s="309" t="s">
        <v>390</v>
      </c>
      <c r="Y110" s="309" t="s">
        <v>390</v>
      </c>
      <c r="Z110" s="89">
        <f t="shared" si="79"/>
        <v>0</v>
      </c>
      <c r="AA110" s="309" t="s">
        <v>390</v>
      </c>
      <c r="AB110" s="309" t="s">
        <v>390</v>
      </c>
      <c r="AC110" s="309" t="s">
        <v>390</v>
      </c>
      <c r="AD110" s="89">
        <f t="shared" si="80"/>
        <v>0</v>
      </c>
      <c r="AE110" s="309" t="s">
        <v>390</v>
      </c>
      <c r="AF110" s="309" t="s">
        <v>390</v>
      </c>
      <c r="AG110" s="309" t="s">
        <v>390</v>
      </c>
      <c r="AH110" s="89">
        <f t="shared" si="81"/>
        <v>0</v>
      </c>
      <c r="AI110" s="311">
        <f t="shared" ref="AI110:AI112" si="85">SUM(V110,Z110,AD110,AH110)</f>
        <v>0</v>
      </c>
      <c r="AJ110" s="360"/>
      <c r="AK110" s="1040"/>
      <c r="AL110" s="1048"/>
      <c r="AM110" s="1046"/>
      <c r="AN110" s="62">
        <f t="shared" ref="AN110" si="86">C109</f>
        <v>0</v>
      </c>
      <c r="AO110" s="62" t="s">
        <v>291</v>
      </c>
      <c r="AP110" s="543" t="str" cm="1">
        <f t="array" aca="1" ref="AP110" ca="1">IF(OR(AN110="",AN110=0),"",IF(SUMPRODUCT(($C$55:$C$160=AN110)*(S$54:$AG$54&lt;EOMONTH(TODAY(),-1)+1)*(ISNUMBER(S$56:$AG$161)),S$56:$AG$161)=0,"",SUMPRODUCT(($C$55:$C$160=AN110)*(S$54:$AG$54&lt;EOMONTH(TODAY(),-1)+1)*(ISNUMBER(S$56:$AG$161)),S$56:$AG$161)))</f>
        <v/>
      </c>
    </row>
    <row r="111" spans="1:42" ht="56.1" customHeight="1" x14ac:dyDescent="0.3">
      <c r="A111" s="1093"/>
      <c r="B111" s="1299"/>
      <c r="C111" s="1095"/>
      <c r="D111" s="1097"/>
      <c r="E111" s="1363"/>
      <c r="F111" s="1099"/>
      <c r="G111" s="1150"/>
      <c r="H111" s="1150"/>
      <c r="I111" s="1152"/>
      <c r="J111" s="1109"/>
      <c r="K111" s="1213"/>
      <c r="L111" s="1074"/>
      <c r="M111" s="1072"/>
      <c r="N111" s="1055"/>
      <c r="O111" s="1323"/>
      <c r="P111" s="1042"/>
      <c r="Q111" s="93" t="s">
        <v>106</v>
      </c>
      <c r="R111" s="96"/>
      <c r="S111" s="532">
        <f>IFERROR(IF(AND(S$54&gt;=EOMONTH($J111,-1)+1,S$54&lt;=EOMONTH(EOMONTH($J111,-1)+1,$K111-1)),IF(NOT(ISBLANK($N111)),$N111/$K111,$I111/$K111),0),0)</f>
        <v>0</v>
      </c>
      <c r="T111" s="532">
        <f>IFERROR(IF(AND(T$54&gt;=EOMONTH($J111,-1)+1,T$54&lt;=EOMONTH(EOMONTH($J111,-1)+1,$K111-1)),IF(NOT(ISBLANK($N111)),$N111/$K111,$I111/$K111),0),0)</f>
        <v>0</v>
      </c>
      <c r="U111" s="532">
        <f>IFERROR(IF(AND(U$54&gt;=EOMONTH($J111,-1)+1,U$54&lt;=EOMONTH(EOMONTH($J111,-1)+1,$K111-1)),IF(NOT(ISBLANK($N111)),$N111/$K111,$I111/$K111),0),0)</f>
        <v>0</v>
      </c>
      <c r="V111" s="89">
        <f t="shared" si="78"/>
        <v>0</v>
      </c>
      <c r="W111" s="532">
        <f>IFERROR(IF(AND(W$54&gt;=EOMONTH($J111,-1)+1,W$54&lt;=EOMONTH(EOMONTH($J111,-1)+1,$K111-1)),IF(NOT(ISBLANK($N111)),$N111/$K111,$I111/$K111),0),0)</f>
        <v>0</v>
      </c>
      <c r="X111" s="532">
        <f>IFERROR(IF(AND(X$54&gt;=EOMONTH($J111,-1)+1,X$54&lt;=EOMONTH(EOMONTH($J111,-1)+1,$K111-1)),IF(NOT(ISBLANK($N111)),$N111/$K111,$I111/$K111),0),0)</f>
        <v>0</v>
      </c>
      <c r="Y111" s="532">
        <f>IFERROR(IF(AND(Y$54&gt;=EOMONTH($J111,-1)+1,Y$54&lt;=EOMONTH(EOMONTH($J111,-1)+1,$K111-1)),IF(NOT(ISBLANK($N111)),$N111/$K111,$I111/$K111),0),0)</f>
        <v>0</v>
      </c>
      <c r="Z111" s="89">
        <f t="shared" si="79"/>
        <v>0</v>
      </c>
      <c r="AA111" s="532">
        <f>IFERROR(IF(AND(AA$54&gt;=EOMONTH($J111,-1)+1,AA$54&lt;=EOMONTH(EOMONTH($J111,-1)+1,$K111-1)),IF(NOT(ISBLANK($N111)),$N111/$K111,$I111/$K111),0),0)</f>
        <v>0</v>
      </c>
      <c r="AB111" s="532">
        <f>IFERROR(IF(AND(AB$54&gt;=EOMONTH($J111,-1)+1,AB$54&lt;=EOMONTH(EOMONTH($J111,-1)+1,$K111-1)),IF(NOT(ISBLANK($N111)),$N111/$K111,$I111/$K111),0),0)</f>
        <v>0</v>
      </c>
      <c r="AC111" s="532">
        <f>IFERROR(IF(AND(AC$54&gt;=EOMONTH($J111,-1)+1,AC$54&lt;=EOMONTH(EOMONTH($J111,-1)+1,$K111-1)),IF(NOT(ISBLANK($N111)),$N111/$K111,$I111/$K111),0),0)</f>
        <v>0</v>
      </c>
      <c r="AD111" s="89">
        <f t="shared" si="80"/>
        <v>0</v>
      </c>
      <c r="AE111" s="532">
        <f>IFERROR(IF(AND(AE$54&gt;=EOMONTH($J111,-1)+1,AE$54&lt;=EOMONTH(EOMONTH($J111,-1)+1,$K111-1)),IF(NOT(ISBLANK($N111)),$N111/$K111,$I111/$K111),0),0)</f>
        <v>0</v>
      </c>
      <c r="AF111" s="532">
        <f>IFERROR(IF(AND(AF$54&gt;=EOMONTH($J111,-1)+1,AF$54&lt;=EOMONTH(EOMONTH($J111,-1)+1,$K111-1)),IF(NOT(ISBLANK($N111)),$N111/$K111,$I111/$K111),0),0)</f>
        <v>0</v>
      </c>
      <c r="AG111" s="532">
        <f>IFERROR(IF(AND(AG$54&gt;=EOMONTH($J111,-1)+1,AG$54&lt;=EOMONTH(EOMONTH($J111,-1)+1,$K111-1)),IF(NOT(ISBLANK($N111)),$N111/$K111,$I111/$K111),0),0)</f>
        <v>0</v>
      </c>
      <c r="AH111" s="89">
        <f t="shared" si="81"/>
        <v>0</v>
      </c>
      <c r="AI111" s="95">
        <f t="shared" si="85"/>
        <v>0</v>
      </c>
      <c r="AJ111" s="97"/>
      <c r="AK111" s="1038"/>
      <c r="AL111" s="1042"/>
      <c r="AM111" s="1044"/>
      <c r="AN111" s="62">
        <f t="shared" ref="AN111" si="87">C111</f>
        <v>0</v>
      </c>
      <c r="AO111" s="62" t="s">
        <v>289</v>
      </c>
      <c r="AP111" s="543" t="str" cm="1">
        <f t="array" aca="1" ref="AP111" ca="1">IF(OR(AN111="",AN111=0),"",IF(SUMPRODUCT(($C$55:$C$160=AN111)*(S$54:$AG$54&lt;EOMONTH(TODAY(),-1)+1)*(ISNUMBER(S$55:$AG$160)),S$55:$AG$160)=0,"",SUMPRODUCT(($C$55:$C$160=AN111)*(S$54:$AG$54&lt;EOMONTH(TODAY(),-1)+1)*(ISNUMBER(S$55:$AG$160)),S$55:$AG$160)))</f>
        <v/>
      </c>
    </row>
    <row r="112" spans="1:42" ht="29.1" customHeight="1" x14ac:dyDescent="0.3">
      <c r="A112" s="1093"/>
      <c r="B112" s="1300"/>
      <c r="C112" s="1095"/>
      <c r="D112" s="1097"/>
      <c r="E112" s="1363"/>
      <c r="F112" s="1099"/>
      <c r="G112" s="1150"/>
      <c r="H112" s="1150"/>
      <c r="I112" s="1152"/>
      <c r="J112" s="1109"/>
      <c r="K112" s="1213"/>
      <c r="L112" s="1074"/>
      <c r="M112" s="1072"/>
      <c r="N112" s="1055"/>
      <c r="O112" s="1323"/>
      <c r="P112" s="1042"/>
      <c r="Q112" s="93" t="s">
        <v>107</v>
      </c>
      <c r="R112" s="96"/>
      <c r="S112" s="312" t="s">
        <v>390</v>
      </c>
      <c r="T112" s="312" t="s">
        <v>390</v>
      </c>
      <c r="U112" s="312" t="s">
        <v>390</v>
      </c>
      <c r="V112" s="89">
        <f t="shared" si="78"/>
        <v>0</v>
      </c>
      <c r="W112" s="312" t="s">
        <v>390</v>
      </c>
      <c r="X112" s="312" t="s">
        <v>390</v>
      </c>
      <c r="Y112" s="312" t="s">
        <v>390</v>
      </c>
      <c r="Z112" s="89">
        <f t="shared" si="79"/>
        <v>0</v>
      </c>
      <c r="AA112" s="312" t="s">
        <v>390</v>
      </c>
      <c r="AB112" s="312" t="s">
        <v>390</v>
      </c>
      <c r="AC112" s="312" t="s">
        <v>390</v>
      </c>
      <c r="AD112" s="89">
        <f t="shared" si="80"/>
        <v>0</v>
      </c>
      <c r="AE112" s="312" t="s">
        <v>390</v>
      </c>
      <c r="AF112" s="312" t="s">
        <v>390</v>
      </c>
      <c r="AG112" s="312" t="s">
        <v>390</v>
      </c>
      <c r="AH112" s="89">
        <f t="shared" si="81"/>
        <v>0</v>
      </c>
      <c r="AI112" s="313">
        <f t="shared" si="85"/>
        <v>0</v>
      </c>
      <c r="AJ112" s="97"/>
      <c r="AK112" s="1038"/>
      <c r="AL112" s="1042"/>
      <c r="AM112" s="1044"/>
      <c r="AN112" s="62">
        <f t="shared" ref="AN112" si="88">C111</f>
        <v>0</v>
      </c>
      <c r="AO112" s="62" t="s">
        <v>291</v>
      </c>
      <c r="AP112" s="543" t="str" cm="1">
        <f t="array" aca="1" ref="AP112" ca="1">IF(OR(AN112="",AN112=0),"",IF(SUMPRODUCT(($C$55:$C$160=AN112)*(S$54:$AG$54&lt;EOMONTH(TODAY(),-1)+1)*(ISNUMBER(S$56:$AG$161)),S$56:$AG$161)=0,"",SUMPRODUCT(($C$55:$C$160=AN112)*(S$54:$AG$54&lt;EOMONTH(TODAY(),-1)+1)*(ISNUMBER(S$56:$AG$161)),S$56:$AG$161)))</f>
        <v/>
      </c>
    </row>
    <row r="113" spans="1:42" ht="40.35" customHeight="1" x14ac:dyDescent="0.3">
      <c r="A113" s="1036"/>
      <c r="B113" s="1038"/>
      <c r="C113" s="1113"/>
      <c r="D113" s="1115"/>
      <c r="E113" s="1303"/>
      <c r="F113" s="1040"/>
      <c r="G113" s="1117"/>
      <c r="H113" s="1117"/>
      <c r="I113" s="1074"/>
      <c r="J113" s="1158"/>
      <c r="K113" s="1121"/>
      <c r="L113" s="1076"/>
      <c r="M113" s="1119"/>
      <c r="N113" s="1053"/>
      <c r="O113" s="1057"/>
      <c r="P113" s="1057"/>
      <c r="Q113" s="87" t="s">
        <v>106</v>
      </c>
      <c r="R113" s="91" t="str">
        <f ca="1">IF(OR(G113="", H113=""), "", IF(TODAY()&lt;G113, 0, IF(TODAY()&gt;H113, 1, (TODAY()-G113+1)/(H113-G113+1))))</f>
        <v/>
      </c>
      <c r="S113" s="309">
        <f>IFERROR(IF(AND(S$54&gt;=EOMONTH($J113,-1)+1,S$54&lt;=EOMONTH(EOMONTH($J113,-1)+1,$K113-1)),IF(NOT(ISBLANK($N113)),$N113/$K113,$I113/$K113),0),0)</f>
        <v>0</v>
      </c>
      <c r="T113" s="309">
        <f>IFERROR(IF(AND(T$54&gt;=EOMONTH($J113,-1)+1,T$54&lt;=EOMONTH(EOMONTH($J113,-1)+1,$K113-1)),IF(NOT(ISBLANK($N113)),$N113/$K113,$I113/$K113),0),0)</f>
        <v>0</v>
      </c>
      <c r="U113" s="309">
        <f>IFERROR(IF(AND(U$54&gt;=EOMONTH($J113,-1)+1,U$54&lt;=EOMONTH(EOMONTH($J113,-1)+1,$K113-1)),IF(NOT(ISBLANK($N113)),$N113/$K113,$I113/$K113),0),0)</f>
        <v>0</v>
      </c>
      <c r="V113" s="89">
        <f t="shared" si="78"/>
        <v>0</v>
      </c>
      <c r="W113" s="309">
        <f>IFERROR(IF(AND(W$54&gt;=EOMONTH($J113,-1)+1,W$54&lt;=EOMONTH(EOMONTH($J113,-1)+1,$K113-1)),IF(NOT(ISBLANK($N113)),$N113/$K113,$I113/$K113),0),0)</f>
        <v>0</v>
      </c>
      <c r="X113" s="309">
        <f>IFERROR(IF(AND(X$54&gt;=EOMONTH($J113,-1)+1,X$54&lt;=EOMONTH(EOMONTH($J113,-1)+1,$K113-1)),IF(NOT(ISBLANK($N113)),$N113/$K113,$I113/$K113),0),0)</f>
        <v>0</v>
      </c>
      <c r="Y113" s="309">
        <f>IFERROR(IF(AND(Y$54&gt;=EOMONTH($J113,-1)+1,Y$54&lt;=EOMONTH(EOMONTH($J113,-1)+1,$K113-1)),IF(NOT(ISBLANK($N113)),$N113/$K113,$I113/$K113),0),0)</f>
        <v>0</v>
      </c>
      <c r="Z113" s="89">
        <f t="shared" si="79"/>
        <v>0</v>
      </c>
      <c r="AA113" s="309">
        <f>IFERROR(IF(AND(AA$54&gt;=EOMONTH($J113,-1)+1,AA$54&lt;=EOMONTH(EOMONTH($J113,-1)+1,$K113-1)),IF(NOT(ISBLANK($N113)),$N113/$K113,$I113/$K113),0),0)</f>
        <v>0</v>
      </c>
      <c r="AB113" s="309">
        <f>IFERROR(IF(AND(AB$54&gt;=EOMONTH($J113,-1)+1,AB$54&lt;=EOMONTH(EOMONTH($J113,-1)+1,$K113-1)),IF(NOT(ISBLANK($N113)),$N113/$K113,$I113/$K113),0),0)</f>
        <v>0</v>
      </c>
      <c r="AC113" s="309">
        <f>IFERROR(IF(AND(AC$54&gt;=EOMONTH($J113,-1)+1,AC$54&lt;=EOMONTH(EOMONTH($J113,-1)+1,$K113-1)),IF(NOT(ISBLANK($N113)),$N113/$K113,$I113/$K113),0),0)</f>
        <v>0</v>
      </c>
      <c r="AD113" s="89">
        <f t="shared" si="80"/>
        <v>0</v>
      </c>
      <c r="AE113" s="309">
        <f>IFERROR(IF(AND(AE$54&gt;=EOMONTH($J113,-1)+1,AE$54&lt;=EOMONTH(EOMONTH($J113,-1)+1,$K113-1)),IF(NOT(ISBLANK($N113)),$N113/$K113,$I113/$K113),0),0)</f>
        <v>0</v>
      </c>
      <c r="AF113" s="309">
        <f>IFERROR(IF(AND(AF$54&gt;=EOMONTH($J113,-1)+1,AF$54&lt;=EOMONTH(EOMONTH($J113,-1)+1,$K113-1)),IF(NOT(ISBLANK($N113)),$N113/$K113,$I113/$K113),0),0)</f>
        <v>0</v>
      </c>
      <c r="AG113" s="309">
        <f>IFERROR(IF(AND(AG$54&gt;=EOMONTH($J113,-1)+1,AG$54&lt;=EOMONTH(EOMONTH($J113,-1)+1,$K113-1)),IF(NOT(ISBLANK($N113)),$N113/$K113,$I113/$K113),0),0)</f>
        <v>0</v>
      </c>
      <c r="AH113" s="89">
        <f t="shared" si="81"/>
        <v>0</v>
      </c>
      <c r="AI113" s="90">
        <f>SUM(V113,Z113,AD113,AH113)</f>
        <v>0</v>
      </c>
      <c r="AJ113" s="98"/>
      <c r="AK113" s="1040"/>
      <c r="AL113" s="1048"/>
      <c r="AM113" s="1046"/>
      <c r="AN113" s="62">
        <f t="shared" ref="AN113" si="89">C113</f>
        <v>0</v>
      </c>
      <c r="AO113" s="62" t="s">
        <v>289</v>
      </c>
      <c r="AP113" s="543" t="str" cm="1">
        <f t="array" aca="1" ref="AP113" ca="1">IF(OR(AN113="",AN113=0),"",IF(SUMPRODUCT(($C$55:$C$160=AN113)*(S$54:$AG$54&lt;EOMONTH(TODAY(),-1)+1)*(ISNUMBER(S$55:$AG$160)),S$55:$AG$160)=0,"",SUMPRODUCT(($C$55:$C$160=AN113)*(S$54:$AG$54&lt;EOMONTH(TODAY(),-1)+1)*(ISNUMBER(S$55:$AG$160)),S$55:$AG$160)))</f>
        <v/>
      </c>
    </row>
    <row r="114" spans="1:42" ht="29.1" customHeight="1" x14ac:dyDescent="0.3">
      <c r="A114" s="1036"/>
      <c r="B114" s="1039"/>
      <c r="C114" s="1113"/>
      <c r="D114" s="1115"/>
      <c r="E114" s="1303"/>
      <c r="F114" s="1040"/>
      <c r="G114" s="1117"/>
      <c r="H114" s="1117"/>
      <c r="I114" s="1074"/>
      <c r="J114" s="1158"/>
      <c r="K114" s="1121"/>
      <c r="L114" s="1076"/>
      <c r="M114" s="1119"/>
      <c r="N114" s="1053"/>
      <c r="O114" s="1057"/>
      <c r="P114" s="1057"/>
      <c r="Q114" s="87" t="s">
        <v>107</v>
      </c>
      <c r="R114" s="91"/>
      <c r="S114" s="309" t="s">
        <v>390</v>
      </c>
      <c r="T114" s="309" t="s">
        <v>390</v>
      </c>
      <c r="U114" s="309" t="s">
        <v>390</v>
      </c>
      <c r="V114" s="89">
        <f t="shared" si="78"/>
        <v>0</v>
      </c>
      <c r="W114" s="309" t="s">
        <v>390</v>
      </c>
      <c r="X114" s="309" t="s">
        <v>390</v>
      </c>
      <c r="Y114" s="309" t="s">
        <v>390</v>
      </c>
      <c r="Z114" s="89">
        <f t="shared" si="79"/>
        <v>0</v>
      </c>
      <c r="AA114" s="309" t="s">
        <v>390</v>
      </c>
      <c r="AB114" s="309" t="s">
        <v>390</v>
      </c>
      <c r="AC114" s="309" t="s">
        <v>390</v>
      </c>
      <c r="AD114" s="89">
        <f t="shared" si="80"/>
        <v>0</v>
      </c>
      <c r="AE114" s="309" t="s">
        <v>390</v>
      </c>
      <c r="AF114" s="309" t="s">
        <v>390</v>
      </c>
      <c r="AG114" s="309" t="s">
        <v>390</v>
      </c>
      <c r="AH114" s="89">
        <f t="shared" si="81"/>
        <v>0</v>
      </c>
      <c r="AI114" s="311">
        <f t="shared" ref="AI114" si="90">SUM(V114,Z114,AD114,AH114)</f>
        <v>0</v>
      </c>
      <c r="AJ114" s="360"/>
      <c r="AK114" s="1040"/>
      <c r="AL114" s="1048"/>
      <c r="AM114" s="1046"/>
      <c r="AN114" s="62">
        <f t="shared" ref="AN114" si="91">C113</f>
        <v>0</v>
      </c>
      <c r="AO114" s="62" t="s">
        <v>291</v>
      </c>
      <c r="AP114" s="543" t="str" cm="1">
        <f t="array" aca="1" ref="AP114" ca="1">IF(OR(AN114="",AN114=0),"",IF(SUMPRODUCT(($C$55:$C$160=AN114)*(S$54:$AG$54&lt;EOMONTH(TODAY(),-1)+1)*(ISNUMBER(S$56:$AG$161)),S$56:$AG$161)=0,"",SUMPRODUCT(($C$55:$C$160=AN114)*(S$54:$AG$54&lt;EOMONTH(TODAY(),-1)+1)*(ISNUMBER(S$56:$AG$161)),S$56:$AG$161)))</f>
        <v/>
      </c>
    </row>
    <row r="115" spans="1:42" ht="40.35" customHeight="1" x14ac:dyDescent="0.3">
      <c r="A115" s="1093"/>
      <c r="B115" s="1299"/>
      <c r="C115" s="1095"/>
      <c r="D115" s="1097"/>
      <c r="E115" s="1363"/>
      <c r="F115" s="1099"/>
      <c r="G115" s="1150"/>
      <c r="H115" s="1150"/>
      <c r="I115" s="1152"/>
      <c r="J115" s="1109"/>
      <c r="K115" s="1213"/>
      <c r="L115" s="1076"/>
      <c r="M115" s="1072"/>
      <c r="N115" s="1055"/>
      <c r="O115" s="1323"/>
      <c r="P115" s="1042"/>
      <c r="Q115" s="93" t="s">
        <v>106</v>
      </c>
      <c r="R115" s="96" t="str">
        <f ca="1">IF(OR(G115="", H115=""), "", IF(TODAY()&lt;G115, 0, IF(TODAY()&gt;H115, 1, (TODAY()-G115+1)/(H115-G115+1))))</f>
        <v/>
      </c>
      <c r="S115" s="532">
        <f>IFERROR(IF(AND(S$54&gt;=EOMONTH($J115,-1)+1,S$54&lt;=EOMONTH(EOMONTH($J115,-1)+1,$K115-1)),IF(NOT(ISBLANK($N115)),$N115/$K115,$I115/$K115),0),0)</f>
        <v>0</v>
      </c>
      <c r="T115" s="532">
        <f>IFERROR(IF(AND(T$54&gt;=EOMONTH($J115,-1)+1,T$54&lt;=EOMONTH(EOMONTH($J115,-1)+1,$K115-1)),IF(NOT(ISBLANK($N115)),$N115/$K115,$I115/$K115),0),0)</f>
        <v>0</v>
      </c>
      <c r="U115" s="532">
        <f>IFERROR(IF(AND(U$54&gt;=EOMONTH($J115,-1)+1,U$54&lt;=EOMONTH(EOMONTH($J115,-1)+1,$K115-1)),IF(NOT(ISBLANK($N115)),$N115/$K115,$I115/$K115),0),0)</f>
        <v>0</v>
      </c>
      <c r="V115" s="89">
        <f t="shared" si="29"/>
        <v>0</v>
      </c>
      <c r="W115" s="532">
        <f>IFERROR(IF(AND(W$54&gt;=EOMONTH($J115,-1)+1,W$54&lt;=EOMONTH(EOMONTH($J115,-1)+1,$K115-1)),IF(NOT(ISBLANK($N115)),$N115/$K115,$I115/$K115),0),0)</f>
        <v>0</v>
      </c>
      <c r="X115" s="532">
        <f>IFERROR(IF(AND(X$54&gt;=EOMONTH($J115,-1)+1,X$54&lt;=EOMONTH(EOMONTH($J115,-1)+1,$K115-1)),IF(NOT(ISBLANK($N115)),$N115/$K115,$I115/$K115),0),0)</f>
        <v>0</v>
      </c>
      <c r="Y115" s="532">
        <f>IFERROR(IF(AND(Y$54&gt;=EOMONTH($J115,-1)+1,Y$54&lt;=EOMONTH(EOMONTH($J115,-1)+1,$K115-1)),IF(NOT(ISBLANK($N115)),$N115/$K115,$I115/$K115),0),0)</f>
        <v>0</v>
      </c>
      <c r="Z115" s="89">
        <f t="shared" si="30"/>
        <v>0</v>
      </c>
      <c r="AA115" s="532">
        <f>IFERROR(IF(AND(AA$54&gt;=EOMONTH($J115,-1)+1,AA$54&lt;=EOMONTH(EOMONTH($J115,-1)+1,$K115-1)),IF(NOT(ISBLANK($N115)),$N115/$K115,$I115/$K115),0),0)</f>
        <v>0</v>
      </c>
      <c r="AB115" s="532">
        <f>IFERROR(IF(AND(AB$54&gt;=EOMONTH($J115,-1)+1,AB$54&lt;=EOMONTH(EOMONTH($J115,-1)+1,$K115-1)),IF(NOT(ISBLANK($N115)),$N115/$K115,$I115/$K115),0),0)</f>
        <v>0</v>
      </c>
      <c r="AC115" s="532">
        <f>IFERROR(IF(AND(AC$54&gt;=EOMONTH($J115,-1)+1,AC$54&lt;=EOMONTH(EOMONTH($J115,-1)+1,$K115-1)),IF(NOT(ISBLANK($N115)),$N115/$K115,$I115/$K115),0),0)</f>
        <v>0</v>
      </c>
      <c r="AD115" s="89">
        <f t="shared" si="31"/>
        <v>0</v>
      </c>
      <c r="AE115" s="532">
        <f>IFERROR(IF(AND(AE$54&gt;=EOMONTH($J115,-1)+1,AE$54&lt;=EOMONTH(EOMONTH($J115,-1)+1,$K115-1)),IF(NOT(ISBLANK($N115)),$N115/$K115,$I115/$K115),0),0)</f>
        <v>0</v>
      </c>
      <c r="AF115" s="532">
        <f>IFERROR(IF(AND(AF$54&gt;=EOMONTH($J115,-1)+1,AF$54&lt;=EOMONTH(EOMONTH($J115,-1)+1,$K115-1)),IF(NOT(ISBLANK($N115)),$N115/$K115,$I115/$K115),0),0)</f>
        <v>0</v>
      </c>
      <c r="AG115" s="532">
        <f>IFERROR(IF(AND(AG$54&gt;=EOMONTH($J115,-1)+1,AG$54&lt;=EOMONTH(EOMONTH($J115,-1)+1,$K115-1)),IF(NOT(ISBLANK($N115)),$N115/$K115,$I115/$K115),0),0)</f>
        <v>0</v>
      </c>
      <c r="AH115" s="89">
        <f t="shared" si="17"/>
        <v>0</v>
      </c>
      <c r="AI115" s="95">
        <f t="shared" si="33"/>
        <v>0</v>
      </c>
      <c r="AJ115" s="97"/>
      <c r="AK115" s="1038"/>
      <c r="AL115" s="1042"/>
      <c r="AM115" s="1044">
        <f t="shared" ref="AM115" si="92">N115*AL115</f>
        <v>0</v>
      </c>
      <c r="AN115" s="62">
        <f>C115</f>
        <v>0</v>
      </c>
      <c r="AO115" s="62" t="s">
        <v>289</v>
      </c>
      <c r="AP115" s="543" t="str" cm="1">
        <f t="array" aca="1" ref="AP115" ca="1">IF(OR(AN115="",AN115=0),"",IF(SUMPRODUCT(($B$55:$B$160=AN115)*(S$54:$AG$54&lt;EOMONTH(TODAY(),-1)+1)*(ISNUMBER(R$55:$AF$160)),R$55:$AF$160)=0,"",SUMPRODUCT(($B$55:$B$160=AN115)*(S$54:$AG$54&lt;EOMONTH(TODAY(),-1)+1)*(ISNUMBER(R$55:$AF$160)),R$55:$AF$160)))</f>
        <v/>
      </c>
    </row>
    <row r="116" spans="1:42" ht="29.1" customHeight="1" x14ac:dyDescent="0.3">
      <c r="A116" s="1093"/>
      <c r="B116" s="1300"/>
      <c r="C116" s="1095"/>
      <c r="D116" s="1097"/>
      <c r="E116" s="1363"/>
      <c r="F116" s="1099"/>
      <c r="G116" s="1150"/>
      <c r="H116" s="1150"/>
      <c r="I116" s="1152"/>
      <c r="J116" s="1109"/>
      <c r="K116" s="1213"/>
      <c r="L116" s="1076"/>
      <c r="M116" s="1072"/>
      <c r="N116" s="1055"/>
      <c r="O116" s="1323"/>
      <c r="P116" s="1042"/>
      <c r="Q116" s="93" t="s">
        <v>107</v>
      </c>
      <c r="R116" s="96"/>
      <c r="S116" s="312" t="s">
        <v>390</v>
      </c>
      <c r="T116" s="312" t="s">
        <v>390</v>
      </c>
      <c r="U116" s="312" t="s">
        <v>390</v>
      </c>
      <c r="V116" s="89">
        <f t="shared" si="29"/>
        <v>0</v>
      </c>
      <c r="W116" s="312" t="s">
        <v>390</v>
      </c>
      <c r="X116" s="312" t="s">
        <v>390</v>
      </c>
      <c r="Y116" s="312" t="s">
        <v>390</v>
      </c>
      <c r="Z116" s="89">
        <f t="shared" si="30"/>
        <v>0</v>
      </c>
      <c r="AA116" s="312" t="s">
        <v>390</v>
      </c>
      <c r="AB116" s="312" t="s">
        <v>390</v>
      </c>
      <c r="AC116" s="312" t="s">
        <v>390</v>
      </c>
      <c r="AD116" s="89">
        <f t="shared" si="31"/>
        <v>0</v>
      </c>
      <c r="AE116" s="312" t="s">
        <v>390</v>
      </c>
      <c r="AF116" s="312" t="s">
        <v>390</v>
      </c>
      <c r="AG116" s="312" t="s">
        <v>390</v>
      </c>
      <c r="AH116" s="89">
        <f t="shared" si="17"/>
        <v>0</v>
      </c>
      <c r="AI116" s="313">
        <f t="shared" si="33"/>
        <v>0</v>
      </c>
      <c r="AJ116" s="97"/>
      <c r="AK116" s="1038"/>
      <c r="AL116" s="1042"/>
      <c r="AM116" s="1044"/>
      <c r="AN116" s="62">
        <f>C115</f>
        <v>0</v>
      </c>
      <c r="AO116" s="62" t="s">
        <v>291</v>
      </c>
      <c r="AP116" s="543" t="str" cm="1">
        <f t="array" aca="1" ref="AP116" ca="1">IF(OR(AN116="",AN116=0),"",IF(SUMPRODUCT(($B$55:$B$160=AN116)*(S$54:$AG$54&lt;EOMONTH(TODAY(),-1)+1)*(ISNUMBER(R$56:$AF$161)),R$56:$AF$161)=0,"",SUMPRODUCT(($B$55:$B$160=AN116)*(S$54:$AG$54&lt;EOMONTH(TODAY(),-1)+1)*(ISNUMBER(R$56:$AF$161)),R$56:$AF$161)))</f>
        <v/>
      </c>
    </row>
    <row r="117" spans="1:42" ht="40.35" customHeight="1" x14ac:dyDescent="0.3">
      <c r="A117" s="1036"/>
      <c r="B117" s="1038"/>
      <c r="C117" s="1113"/>
      <c r="D117" s="1115"/>
      <c r="E117" s="1303"/>
      <c r="F117" s="1040"/>
      <c r="G117" s="1117"/>
      <c r="H117" s="1117"/>
      <c r="I117" s="1074"/>
      <c r="J117" s="1158"/>
      <c r="K117" s="1121"/>
      <c r="L117" s="1074"/>
      <c r="M117" s="1119"/>
      <c r="N117" s="1053"/>
      <c r="O117" s="1057"/>
      <c r="P117" s="1057"/>
      <c r="Q117" s="87" t="s">
        <v>106</v>
      </c>
      <c r="R117" s="91" t="e">
        <f>AVERAGE(#REF!)</f>
        <v>#REF!</v>
      </c>
      <c r="S117" s="309">
        <f>IFERROR(IF(AND(S$54&gt;=EOMONTH($J117,-1)+1,S$54&lt;=EOMONTH(EOMONTH($J117,-1)+1,$K117-1)),IF(NOT(ISBLANK($N117)),$N117/$K117,$I117/$K117),0),0)</f>
        <v>0</v>
      </c>
      <c r="T117" s="309">
        <f>IFERROR(IF(AND(T$54&gt;=EOMONTH($J117,-1)+1,T$54&lt;=EOMONTH(EOMONTH($J117,-1)+1,$K117-1)),IF(NOT(ISBLANK($N117)),$N117/$K117,$I117/$K117),0),0)</f>
        <v>0</v>
      </c>
      <c r="U117" s="309">
        <f>IFERROR(IF(AND(U$54&gt;=EOMONTH($J117,-1)+1,U$54&lt;=EOMONTH(EOMONTH($J117,-1)+1,$K117-1)),IF(NOT(ISBLANK($N117)),$N117/$K117,$I117/$K117),0),0)</f>
        <v>0</v>
      </c>
      <c r="V117" s="89">
        <f t="shared" si="29"/>
        <v>0</v>
      </c>
      <c r="W117" s="309">
        <f>IFERROR(IF(AND(W$54&gt;=EOMONTH($J117,-1)+1,W$54&lt;=EOMONTH(EOMONTH($J117,-1)+1,$K117-1)),IF(NOT(ISBLANK($N117)),$N117/$K117,$I117/$K117),0),0)</f>
        <v>0</v>
      </c>
      <c r="X117" s="309">
        <f>IFERROR(IF(AND(X$54&gt;=EOMONTH($J117,-1)+1,X$54&lt;=EOMONTH(EOMONTH($J117,-1)+1,$K117-1)),IF(NOT(ISBLANK($N117)),$N117/$K117,$I117/$K117),0),0)</f>
        <v>0</v>
      </c>
      <c r="Y117" s="309">
        <f>IFERROR(IF(AND(Y$54&gt;=EOMONTH($J117,-1)+1,Y$54&lt;=EOMONTH(EOMONTH($J117,-1)+1,$K117-1)),IF(NOT(ISBLANK($N117)),$N117/$K117,$I117/$K117),0),0)</f>
        <v>0</v>
      </c>
      <c r="Z117" s="89">
        <f t="shared" si="30"/>
        <v>0</v>
      </c>
      <c r="AA117" s="309">
        <f>IFERROR(IF(AND(AA$54&gt;=EOMONTH($J117,-1)+1,AA$54&lt;=EOMONTH(EOMONTH($J117,-1)+1,$K117-1)),IF(NOT(ISBLANK($N117)),$N117/$K117,$I117/$K117),0),0)</f>
        <v>0</v>
      </c>
      <c r="AB117" s="309">
        <f>IFERROR(IF(AND(AB$54&gt;=EOMONTH($J117,-1)+1,AB$54&lt;=EOMONTH(EOMONTH($J117,-1)+1,$K117-1)),IF(NOT(ISBLANK($N117)),$N117/$K117,$I117/$K117),0),0)</f>
        <v>0</v>
      </c>
      <c r="AC117" s="309">
        <f>IFERROR(IF(AND(AC$54&gt;=EOMONTH($J117,-1)+1,AC$54&lt;=EOMONTH(EOMONTH($J117,-1)+1,$K117-1)),IF(NOT(ISBLANK($N117)),$N117/$K117,$I117/$K117),0),0)</f>
        <v>0</v>
      </c>
      <c r="AD117" s="89">
        <f t="shared" si="31"/>
        <v>0</v>
      </c>
      <c r="AE117" s="309">
        <f>IFERROR(IF(AND(AE$54&gt;=EOMONTH($J117,-1)+1,AE$54&lt;=EOMONTH(EOMONTH($J117,-1)+1,$K117-1)),IF(NOT(ISBLANK($N117)),$N117/$K117,$I117/$K117),0),0)</f>
        <v>0</v>
      </c>
      <c r="AF117" s="309">
        <f>IFERROR(IF(AND(AF$54&gt;=EOMONTH($J117,-1)+1,AF$54&lt;=EOMONTH(EOMONTH($J117,-1)+1,$K117-1)),IF(NOT(ISBLANK($N117)),$N117/$K117,$I117/$K117),0),0)</f>
        <v>0</v>
      </c>
      <c r="AG117" s="309">
        <f>IFERROR(IF(AND(AG$54&gt;=EOMONTH($J117,-1)+1,AG$54&lt;=EOMONTH(EOMONTH($J117,-1)+1,$K117-1)),IF(NOT(ISBLANK($N117)),$N117/$K117,$I117/$K117),0),0)</f>
        <v>0</v>
      </c>
      <c r="AH117" s="89">
        <f t="shared" si="17"/>
        <v>0</v>
      </c>
      <c r="AI117" s="90">
        <f>SUM(V117,Z117,AD117,AH117)</f>
        <v>0</v>
      </c>
      <c r="AJ117" s="98"/>
      <c r="AK117" s="1040"/>
      <c r="AL117" s="1048"/>
      <c r="AM117" s="1046">
        <f t="shared" ref="AM117" si="93">N117*AL117</f>
        <v>0</v>
      </c>
      <c r="AO117" s="62" t="s">
        <v>289</v>
      </c>
      <c r="AP117" s="543" t="str" cm="1">
        <f t="array" aca="1" ref="AP117" ca="1">IF(OR(AN117="",AN117=0),"",IF(SUMPRODUCT(($B$55:$B$160=AN117)*(S$54:$AG$54&lt;EOMONTH(TODAY(),-1)+1)*(ISNUMBER(R$55:$AF$160)),R$55:$AF$160)=0,"",SUMPRODUCT(($B$55:$B$160=AN117)*(S$54:$AG$54&lt;EOMONTH(TODAY(),-1)+1)*(ISNUMBER(R$55:$AF$160)),R$55:$AF$160)))</f>
        <v/>
      </c>
    </row>
    <row r="118" spans="1:42" ht="29.1" customHeight="1" x14ac:dyDescent="0.3">
      <c r="A118" s="1036"/>
      <c r="B118" s="1039"/>
      <c r="C118" s="1113"/>
      <c r="D118" s="1115"/>
      <c r="E118" s="1303"/>
      <c r="F118" s="1040"/>
      <c r="G118" s="1117"/>
      <c r="H118" s="1117"/>
      <c r="I118" s="1074"/>
      <c r="J118" s="1158"/>
      <c r="K118" s="1121"/>
      <c r="L118" s="1074"/>
      <c r="M118" s="1119"/>
      <c r="N118" s="1053"/>
      <c r="O118" s="1057"/>
      <c r="P118" s="1057"/>
      <c r="Q118" s="87" t="s">
        <v>107</v>
      </c>
      <c r="R118" s="91"/>
      <c r="S118" s="309" t="s">
        <v>390</v>
      </c>
      <c r="T118" s="309" t="s">
        <v>390</v>
      </c>
      <c r="U118" s="309" t="s">
        <v>390</v>
      </c>
      <c r="V118" s="89">
        <f t="shared" si="29"/>
        <v>0</v>
      </c>
      <c r="W118" s="309" t="s">
        <v>390</v>
      </c>
      <c r="X118" s="309" t="s">
        <v>390</v>
      </c>
      <c r="Y118" s="309" t="s">
        <v>390</v>
      </c>
      <c r="Z118" s="89">
        <f t="shared" si="30"/>
        <v>0</v>
      </c>
      <c r="AA118" s="309" t="s">
        <v>390</v>
      </c>
      <c r="AB118" s="309" t="s">
        <v>390</v>
      </c>
      <c r="AC118" s="309" t="s">
        <v>390</v>
      </c>
      <c r="AD118" s="89">
        <f t="shared" si="31"/>
        <v>0</v>
      </c>
      <c r="AE118" s="309" t="s">
        <v>390</v>
      </c>
      <c r="AF118" s="309" t="s">
        <v>390</v>
      </c>
      <c r="AG118" s="309" t="s">
        <v>390</v>
      </c>
      <c r="AH118" s="89">
        <f t="shared" si="17"/>
        <v>0</v>
      </c>
      <c r="AI118" s="311">
        <f t="shared" si="33"/>
        <v>0</v>
      </c>
      <c r="AJ118" s="360"/>
      <c r="AK118" s="1040"/>
      <c r="AL118" s="1048"/>
      <c r="AM118" s="1046"/>
      <c r="AO118" s="62" t="s">
        <v>291</v>
      </c>
      <c r="AP118" s="543" t="str" cm="1">
        <f t="array" aca="1" ref="AP118" ca="1">IF(OR(AN118="",AN118=0),"",IF(SUMPRODUCT(($B$55:$B$160=AN118)*(S$54:$AG$54&lt;EOMONTH(TODAY(),-1)+1)*(ISNUMBER(R$56:$AF$161)),R$56:$AF$161)=0,"",SUMPRODUCT(($B$55:$B$160=AN118)*(S$54:$AG$54&lt;EOMONTH(TODAY(),-1)+1)*(ISNUMBER(R$56:$AF$161)),R$56:$AF$161)))</f>
        <v/>
      </c>
    </row>
    <row r="119" spans="1:42" ht="40.35" customHeight="1" x14ac:dyDescent="0.3">
      <c r="A119" s="1038"/>
      <c r="B119" s="1299"/>
      <c r="C119" s="1531"/>
      <c r="D119" s="1097"/>
      <c r="E119" s="1363"/>
      <c r="F119" s="1099"/>
      <c r="G119" s="1150"/>
      <c r="H119" s="1150"/>
      <c r="I119" s="1527"/>
      <c r="J119" s="1109"/>
      <c r="K119" s="1213"/>
      <c r="L119" s="1076"/>
      <c r="M119" s="1072"/>
      <c r="N119" s="1055"/>
      <c r="O119" s="1323"/>
      <c r="P119" s="1042"/>
      <c r="Q119" s="93" t="s">
        <v>106</v>
      </c>
      <c r="R119" s="96" t="e">
        <f>AVERAGE(#REF!)</f>
        <v>#REF!</v>
      </c>
      <c r="S119" s="532">
        <f>IFERROR(IF(AND(S$54&gt;=EOMONTH($J119,-1)+1,S$54&lt;=EOMONTH(EOMONTH($J119,-1)+1,$K119-1)),IF(NOT(ISBLANK($N119)),$N119/$K119,$I119/$K119),0),0)</f>
        <v>0</v>
      </c>
      <c r="T119" s="532">
        <f>IFERROR(IF(AND(T$54&gt;=EOMONTH($J119,-1)+1,T$54&lt;=EOMONTH(EOMONTH($J119,-1)+1,$K119-1)),IF(NOT(ISBLANK($N119)),$N119/$K119,$I119/$K119),0),0)</f>
        <v>0</v>
      </c>
      <c r="U119" s="532">
        <f>IFERROR(IF(AND(U$54&gt;=EOMONTH($J119,-1)+1,U$54&lt;=EOMONTH(EOMONTH($J119,-1)+1,$K119-1)),IF(NOT(ISBLANK($N119)),$N119/$K119,$I119/$K119),0),0)</f>
        <v>0</v>
      </c>
      <c r="V119" s="89">
        <f t="shared" ref="V119:V124" si="94">SUM(S119:U119)</f>
        <v>0</v>
      </c>
      <c r="W119" s="532">
        <f>IFERROR(IF(AND(W$54&gt;=EOMONTH($J119,-1)+1,W$54&lt;=EOMONTH(EOMONTH($J119,-1)+1,$K119-1)),IF(NOT(ISBLANK($N119)),$N119/$K119,$I119/$K119),0),0)</f>
        <v>0</v>
      </c>
      <c r="X119" s="532">
        <f>IFERROR(IF(AND(X$54&gt;=EOMONTH($J119,-1)+1,X$54&lt;=EOMONTH(EOMONTH($J119,-1)+1,$K119-1)),IF(NOT(ISBLANK($N119)),$N119/$K119,$I119/$K119),0),0)</f>
        <v>0</v>
      </c>
      <c r="Y119" s="532">
        <f>IFERROR(IF(AND(Y$54&gt;=EOMONTH($J119,-1)+1,Y$54&lt;=EOMONTH(EOMONTH($J119,-1)+1,$K119-1)),IF(NOT(ISBLANK($N119)),$N119/$K119,$I119/$K119),0),0)</f>
        <v>0</v>
      </c>
      <c r="Z119" s="89">
        <f t="shared" ref="Z119:Z124" si="95">SUM(W119:Y119)</f>
        <v>0</v>
      </c>
      <c r="AA119" s="532">
        <f>IFERROR(IF(AND(AA$54&gt;=EOMONTH($J119,-1)+1,AA$54&lt;=EOMONTH(EOMONTH($J119,-1)+1,$K119-1)),IF(NOT(ISBLANK($N119)),$N119/$K119,$I119/$K119),0),0)</f>
        <v>0</v>
      </c>
      <c r="AB119" s="532">
        <f>IFERROR(IF(AND(AB$54&gt;=EOMONTH($J119,-1)+1,AB$54&lt;=EOMONTH(EOMONTH($J119,-1)+1,$K119-1)),IF(NOT(ISBLANK($N119)),$N119/$K119,$I119/$K119),0),0)</f>
        <v>0</v>
      </c>
      <c r="AC119" s="532">
        <f>IFERROR(IF(AND(AC$54&gt;=EOMONTH($J119,-1)+1,AC$54&lt;=EOMONTH(EOMONTH($J119,-1)+1,$K119-1)),IF(NOT(ISBLANK($N119)),$N119/$K119,$I119/$K119),0),0)</f>
        <v>0</v>
      </c>
      <c r="AD119" s="89">
        <f t="shared" ref="AD119:AD124" si="96">SUM(AA119:AC119)</f>
        <v>0</v>
      </c>
      <c r="AE119" s="532">
        <f>IFERROR(IF(AND(AE$54&gt;=EOMONTH($J119,-1)+1,AE$54&lt;=EOMONTH(EOMONTH($J119,-1)+1,$K119-1)),IF(NOT(ISBLANK($N119)),$N119/$K119,$I119/$K119),0),0)</f>
        <v>0</v>
      </c>
      <c r="AF119" s="532">
        <f>IFERROR(IF(AND(AF$54&gt;=EOMONTH($J119,-1)+1,AF$54&lt;=EOMONTH(EOMONTH($J119,-1)+1,$K119-1)),IF(NOT(ISBLANK($N119)),$N119/$K119,$I119/$K119),0),0)</f>
        <v>0</v>
      </c>
      <c r="AG119" s="532">
        <f>IFERROR(IF(AND(AG$54&gt;=EOMONTH($J119,-1)+1,AG$54&lt;=EOMONTH(EOMONTH($J119,-1)+1,$K119-1)),IF(NOT(ISBLANK($N119)),$N119/$K119,$I119/$K119),0),0)</f>
        <v>0</v>
      </c>
      <c r="AH119" s="89">
        <f t="shared" ref="AH119:AH124" si="97">SUM(AE119:AG119)</f>
        <v>0</v>
      </c>
      <c r="AI119" s="95">
        <f t="shared" ref="AI119:AI120" si="98">SUM(V119,Z119,AD119,AH119)</f>
        <v>0</v>
      </c>
      <c r="AJ119" s="125" t="s">
        <v>1639</v>
      </c>
      <c r="AK119" s="1038"/>
      <c r="AL119" s="1042"/>
      <c r="AM119" s="1044">
        <f t="shared" ref="AM119" si="99">N119*AL119</f>
        <v>0</v>
      </c>
      <c r="AN119" s="62">
        <f>C119</f>
        <v>0</v>
      </c>
      <c r="AO119" s="62" t="s">
        <v>289</v>
      </c>
      <c r="AP119" s="543" t="str" cm="1">
        <f t="array" aca="1" ref="AP119" ca="1">IF(OR(AN119="",AN119=0),"",IF(SUMPRODUCT(($B$55:$B$160=AN119)*(S$54:$AG$54&lt;EOMONTH(TODAY(),-1)+1)*(ISNUMBER(R$55:$AF$160)),R$55:$AF$160)=0,"",SUMPRODUCT(($B$55:$B$160=AN119)*(S$54:$AG$54&lt;EOMONTH(TODAY(),-1)+1)*(ISNUMBER(R$55:$AF$160)),R$55:$AF$160)))</f>
        <v/>
      </c>
    </row>
    <row r="120" spans="1:42" ht="29.1" customHeight="1" x14ac:dyDescent="0.3">
      <c r="A120" s="1038"/>
      <c r="B120" s="1300"/>
      <c r="C120" s="1531"/>
      <c r="D120" s="1097"/>
      <c r="E120" s="1363"/>
      <c r="F120" s="1099"/>
      <c r="G120" s="1150"/>
      <c r="H120" s="1150"/>
      <c r="I120" s="1527"/>
      <c r="J120" s="1109"/>
      <c r="K120" s="1213"/>
      <c r="L120" s="1076"/>
      <c r="M120" s="1072"/>
      <c r="N120" s="1055"/>
      <c r="O120" s="1323"/>
      <c r="P120" s="1042"/>
      <c r="Q120" s="93" t="s">
        <v>107</v>
      </c>
      <c r="R120" s="96"/>
      <c r="S120" s="312" t="s">
        <v>390</v>
      </c>
      <c r="T120" s="312" t="s">
        <v>390</v>
      </c>
      <c r="U120" s="312" t="s">
        <v>390</v>
      </c>
      <c r="V120" s="89">
        <f t="shared" si="94"/>
        <v>0</v>
      </c>
      <c r="W120" s="312" t="s">
        <v>390</v>
      </c>
      <c r="X120" s="312" t="s">
        <v>390</v>
      </c>
      <c r="Y120" s="312" t="s">
        <v>390</v>
      </c>
      <c r="Z120" s="89">
        <f t="shared" si="95"/>
        <v>0</v>
      </c>
      <c r="AA120" s="312" t="s">
        <v>390</v>
      </c>
      <c r="AB120" s="312" t="s">
        <v>390</v>
      </c>
      <c r="AC120" s="312" t="s">
        <v>390</v>
      </c>
      <c r="AD120" s="89">
        <f t="shared" si="96"/>
        <v>0</v>
      </c>
      <c r="AE120" s="312" t="s">
        <v>390</v>
      </c>
      <c r="AF120" s="312" t="s">
        <v>390</v>
      </c>
      <c r="AG120" s="312" t="s">
        <v>390</v>
      </c>
      <c r="AH120" s="89">
        <f t="shared" si="97"/>
        <v>0</v>
      </c>
      <c r="AI120" s="313">
        <f t="shared" si="98"/>
        <v>0</v>
      </c>
      <c r="AJ120" s="97"/>
      <c r="AK120" s="1038"/>
      <c r="AL120" s="1042"/>
      <c r="AM120" s="1044"/>
      <c r="AN120" s="62">
        <f>C119</f>
        <v>0</v>
      </c>
      <c r="AO120" s="62" t="s">
        <v>291</v>
      </c>
      <c r="AP120" s="543" t="str" cm="1">
        <f t="array" aca="1" ref="AP120" ca="1">IF(OR(AN120="",AN120=0),"",IF(SUMPRODUCT(($B$55:$B$160=AN120)*(S$54:$AG$54&lt;EOMONTH(TODAY(),-1)+1)*(ISNUMBER(R$56:$AF$161)),R$56:$AF$161)=0,"",SUMPRODUCT(($B$55:$B$160=AN120)*(S$54:$AG$54&lt;EOMONTH(TODAY(),-1)+1)*(ISNUMBER(R$56:$AF$161)),R$56:$AF$161)))</f>
        <v/>
      </c>
    </row>
    <row r="121" spans="1:42" ht="40.35" customHeight="1" x14ac:dyDescent="0.3">
      <c r="A121" s="1036"/>
      <c r="B121" s="1038"/>
      <c r="C121" s="1113"/>
      <c r="D121" s="1115"/>
      <c r="E121" s="1303"/>
      <c r="F121" s="1040"/>
      <c r="G121" s="1117"/>
      <c r="H121" s="1117"/>
      <c r="I121" s="1074"/>
      <c r="J121" s="1158"/>
      <c r="K121" s="1121"/>
      <c r="L121" s="1074"/>
      <c r="M121" s="1119"/>
      <c r="N121" s="1053"/>
      <c r="O121" s="1057"/>
      <c r="P121" s="1057"/>
      <c r="Q121" s="87" t="s">
        <v>106</v>
      </c>
      <c r="R121" s="91"/>
      <c r="S121" s="309">
        <f>IFERROR(IF(AND(S$54&gt;=EOMONTH($J121,-1)+1,S$54&lt;=EOMONTH(EOMONTH($J121,-1)+1,$K121-1)),IF(NOT(ISBLANK($N121)),$N121/$K121,$I121/$K121),0),0)</f>
        <v>0</v>
      </c>
      <c r="T121" s="309">
        <f>IFERROR(IF(AND(T$54&gt;=EOMONTH($J121,-1)+1,T$54&lt;=EOMONTH(EOMONTH($J121,-1)+1,$K121-1)),IF(NOT(ISBLANK($N121)),$N121/$K121,$I121/$K121),0),0)</f>
        <v>0</v>
      </c>
      <c r="U121" s="309">
        <f>IFERROR(IF(AND(U$54&gt;=EOMONTH($J121,-1)+1,U$54&lt;=EOMONTH(EOMONTH($J121,-1)+1,$K121-1)),IF(NOT(ISBLANK($N121)),$N121/$K121,$I121/$K121),0),0)</f>
        <v>0</v>
      </c>
      <c r="V121" s="89">
        <f t="shared" si="94"/>
        <v>0</v>
      </c>
      <c r="W121" s="309">
        <f>IFERROR(IF(AND(W$54&gt;=EOMONTH($J121,-1)+1,W$54&lt;=EOMONTH(EOMONTH($J121,-1)+1,$K121-1)),IF(NOT(ISBLANK($N121)),$N121/$K121,$I121/$K121),0),0)</f>
        <v>0</v>
      </c>
      <c r="X121" s="309">
        <f>IFERROR(IF(AND(X$54&gt;=EOMONTH($J121,-1)+1,X$54&lt;=EOMONTH(EOMONTH($J121,-1)+1,$K121-1)),IF(NOT(ISBLANK($N121)),$N121/$K121,$I121/$K121),0),0)</f>
        <v>0</v>
      </c>
      <c r="Y121" s="309">
        <f>IFERROR(IF(AND(Y$54&gt;=EOMONTH($J121,-1)+1,Y$54&lt;=EOMONTH(EOMONTH($J121,-1)+1,$K121-1)),IF(NOT(ISBLANK($N121)),$N121/$K121,$I121/$K121),0),0)</f>
        <v>0</v>
      </c>
      <c r="Z121" s="89">
        <f t="shared" si="95"/>
        <v>0</v>
      </c>
      <c r="AA121" s="309">
        <f>IFERROR(IF(AND(AA$54&gt;=EOMONTH($J121,-1)+1,AA$54&lt;=EOMONTH(EOMONTH($J121,-1)+1,$K121-1)),IF(NOT(ISBLANK($N121)),$N121/$K121,$I121/$K121),0),0)</f>
        <v>0</v>
      </c>
      <c r="AB121" s="309">
        <f>IFERROR(IF(AND(AB$54&gt;=EOMONTH($J121,-1)+1,AB$54&lt;=EOMONTH(EOMONTH($J121,-1)+1,$K121-1)),IF(NOT(ISBLANK($N121)),$N121/$K121,$I121/$K121),0),0)</f>
        <v>0</v>
      </c>
      <c r="AC121" s="309">
        <f>IFERROR(IF(AND(AC$54&gt;=EOMONTH($J121,-1)+1,AC$54&lt;=EOMONTH(EOMONTH($J121,-1)+1,$K121-1)),IF(NOT(ISBLANK($N121)),$N121/$K121,$I121/$K121),0),0)</f>
        <v>0</v>
      </c>
      <c r="AD121" s="89">
        <f t="shared" si="96"/>
        <v>0</v>
      </c>
      <c r="AE121" s="309">
        <f>IFERROR(IF(AND(AE$54&gt;=EOMONTH($J121,-1)+1,AE$54&lt;=EOMONTH(EOMONTH($J121,-1)+1,$K121-1)),IF(NOT(ISBLANK($N121)),$N121/$K121,$I121/$K121),0),0)</f>
        <v>0</v>
      </c>
      <c r="AF121" s="309">
        <f>IFERROR(IF(AND(AF$54&gt;=EOMONTH($J121,-1)+1,AF$54&lt;=EOMONTH(EOMONTH($J121,-1)+1,$K121-1)),IF(NOT(ISBLANK($N121)),$N121/$K121,$I121/$K121),0),0)</f>
        <v>0</v>
      </c>
      <c r="AG121" s="309">
        <f>IFERROR(IF(AND(AG$54&gt;=EOMONTH($J121,-1)+1,AG$54&lt;=EOMONTH(EOMONTH($J121,-1)+1,$K121-1)),IF(NOT(ISBLANK($N121)),$N121/$K121,$I121/$K121),0),0)</f>
        <v>0</v>
      </c>
      <c r="AH121" s="89">
        <f t="shared" si="97"/>
        <v>0</v>
      </c>
      <c r="AI121" s="90">
        <f>SUM(V121,Z121,AD121,AH121)</f>
        <v>0</v>
      </c>
      <c r="AJ121" s="98"/>
      <c r="AK121" s="1040"/>
      <c r="AL121" s="1048"/>
      <c r="AM121" s="1046">
        <f t="shared" ref="AM121" si="100">N121*AL121</f>
        <v>0</v>
      </c>
      <c r="AN121" s="62">
        <f>C121</f>
        <v>0</v>
      </c>
      <c r="AO121" s="62" t="s">
        <v>289</v>
      </c>
      <c r="AP121" s="543" t="str" cm="1">
        <f t="array" aca="1" ref="AP121" ca="1">IF(OR(AN121="",AN121=0),"",IF(SUMPRODUCT(($B$55:$B$160=AN121)*(S$54:$AG$54&lt;EOMONTH(TODAY(),-1)+1)*(ISNUMBER(R$55:$AF$160)),R$55:$AF$160)=0,"",SUMPRODUCT(($B$55:$B$160=AN121)*(S$54:$AG$54&lt;EOMONTH(TODAY(),-1)+1)*(ISNUMBER(R$55:$AF$160)),R$55:$AF$160)))</f>
        <v/>
      </c>
    </row>
    <row r="122" spans="1:42" ht="38.1" customHeight="1" x14ac:dyDescent="0.3">
      <c r="A122" s="1036"/>
      <c r="B122" s="1039"/>
      <c r="C122" s="1113"/>
      <c r="D122" s="1115"/>
      <c r="E122" s="1303"/>
      <c r="F122" s="1040"/>
      <c r="G122" s="1117"/>
      <c r="H122" s="1117"/>
      <c r="I122" s="1074"/>
      <c r="J122" s="1158"/>
      <c r="K122" s="1121"/>
      <c r="L122" s="1074"/>
      <c r="M122" s="1119"/>
      <c r="N122" s="1053"/>
      <c r="O122" s="1057"/>
      <c r="P122" s="1057"/>
      <c r="Q122" s="87" t="s">
        <v>107</v>
      </c>
      <c r="R122" s="91"/>
      <c r="S122" s="309" t="s">
        <v>390</v>
      </c>
      <c r="T122" s="309" t="s">
        <v>390</v>
      </c>
      <c r="U122" s="309" t="s">
        <v>390</v>
      </c>
      <c r="V122" s="89">
        <f t="shared" si="94"/>
        <v>0</v>
      </c>
      <c r="W122" s="309" t="s">
        <v>390</v>
      </c>
      <c r="X122" s="309" t="s">
        <v>390</v>
      </c>
      <c r="Y122" s="309" t="s">
        <v>390</v>
      </c>
      <c r="Z122" s="89">
        <f t="shared" si="95"/>
        <v>0</v>
      </c>
      <c r="AA122" s="309" t="s">
        <v>390</v>
      </c>
      <c r="AB122" s="309" t="s">
        <v>390</v>
      </c>
      <c r="AC122" s="309" t="s">
        <v>390</v>
      </c>
      <c r="AD122" s="89">
        <f t="shared" si="96"/>
        <v>0</v>
      </c>
      <c r="AE122" s="309" t="s">
        <v>390</v>
      </c>
      <c r="AF122" s="309" t="s">
        <v>390</v>
      </c>
      <c r="AG122" s="309" t="s">
        <v>390</v>
      </c>
      <c r="AH122" s="89">
        <f t="shared" si="97"/>
        <v>0</v>
      </c>
      <c r="AI122" s="311">
        <f t="shared" ref="AI122:AI124" si="101">SUM(V122,Z122,AD122,AH122)</f>
        <v>0</v>
      </c>
      <c r="AJ122" s="360"/>
      <c r="AK122" s="1040"/>
      <c r="AL122" s="1048"/>
      <c r="AM122" s="1046"/>
      <c r="AN122" s="62">
        <f>C121</f>
        <v>0</v>
      </c>
      <c r="AO122" s="62" t="s">
        <v>291</v>
      </c>
      <c r="AP122" s="543" t="str" cm="1">
        <f t="array" aca="1" ref="AP122" ca="1">IF(OR(AN122="",AN122=0),"",IF(SUMPRODUCT(($B$55:$B$160=AN122)*(S$54:$AG$54&lt;EOMONTH(TODAY(),-1)+1)*(ISNUMBER(R$56:$AF$161)),R$56:$AF$161)=0,"",SUMPRODUCT(($B$55:$B$160=AN122)*(S$54:$AG$54&lt;EOMONTH(TODAY(),-1)+1)*(ISNUMBER(R$56:$AF$161)),R$56:$AF$161)))</f>
        <v/>
      </c>
    </row>
    <row r="123" spans="1:42" ht="40.35" customHeight="1" x14ac:dyDescent="0.3">
      <c r="A123" s="1038"/>
      <c r="B123" s="1299"/>
      <c r="C123" s="1138"/>
      <c r="D123" s="1115"/>
      <c r="E123" s="1424"/>
      <c r="F123" s="1142"/>
      <c r="G123" s="1117"/>
      <c r="H123" s="1117"/>
      <c r="I123" s="1076"/>
      <c r="J123" s="1154"/>
      <c r="K123" s="1213"/>
      <c r="L123" s="1076"/>
      <c r="M123" s="1072"/>
      <c r="N123" s="1055"/>
      <c r="O123" s="1057"/>
      <c r="P123" s="1042"/>
      <c r="Q123" s="87" t="s">
        <v>106</v>
      </c>
      <c r="R123" s="96"/>
      <c r="S123" s="532">
        <f>IFERROR(IF(AND(S$54&gt;=EOMONTH($J123,-1)+1,S$54&lt;=EOMONTH(EOMONTH($J123,-1)+1,$K123-1)),IF(NOT(ISBLANK($N123)),$N123/$K123,$I123/$K123),0),0)</f>
        <v>0</v>
      </c>
      <c r="T123" s="532">
        <f>IFERROR(IF(AND(T$54&gt;=EOMONTH($J123,-1)+1,T$54&lt;=EOMONTH(EOMONTH($J123,-1)+1,$K123-1)),IF(NOT(ISBLANK($N123)),$N123/$K123,$I123/$K123),0),0)</f>
        <v>0</v>
      </c>
      <c r="U123" s="532">
        <f>IFERROR(IF(AND(U$54&gt;=EOMONTH($J123,-1)+1,U$54&lt;=EOMONTH(EOMONTH($J123,-1)+1,$K123-1)),IF(NOT(ISBLANK($N123)),$N123/$K123,$I123/$K123),0),0)</f>
        <v>0</v>
      </c>
      <c r="V123" s="89">
        <f t="shared" si="94"/>
        <v>0</v>
      </c>
      <c r="W123" s="532">
        <f>IFERROR(IF(AND(W$54&gt;=EOMONTH($J123,-1)+1,W$54&lt;=EOMONTH(EOMONTH($J123,-1)+1,$K123-1)),IF(NOT(ISBLANK($N123)),$N123/$K123,$I123/$K123),0),0)</f>
        <v>0</v>
      </c>
      <c r="X123" s="532">
        <f>IFERROR(IF(AND(X$54&gt;=EOMONTH($J123,-1)+1,X$54&lt;=EOMONTH(EOMONTH($J123,-1)+1,$K123-1)),IF(NOT(ISBLANK($N123)),$N123/$K123,$I123/$K123),0),0)</f>
        <v>0</v>
      </c>
      <c r="Y123" s="532">
        <f>IFERROR(IF(AND(Y$54&gt;=EOMONTH($J123,-1)+1,Y$54&lt;=EOMONTH(EOMONTH($J123,-1)+1,$K123-1)),IF(NOT(ISBLANK($N123)),$N123/$K123,$I123/$K123),0),0)</f>
        <v>0</v>
      </c>
      <c r="Z123" s="89">
        <f t="shared" si="95"/>
        <v>0</v>
      </c>
      <c r="AA123" s="532">
        <f>IFERROR(IF(AND(AA$54&gt;=EOMONTH($J123,-1)+1,AA$54&lt;=EOMONTH(EOMONTH($J123,-1)+1,$K123-1)),IF(NOT(ISBLANK($N123)),$N123/$K123,$I123/$K123),0),0)</f>
        <v>0</v>
      </c>
      <c r="AB123" s="532">
        <f>IFERROR(IF(AND(AB$54&gt;=EOMONTH($J123,-1)+1,AB$54&lt;=EOMONTH(EOMONTH($J123,-1)+1,$K123-1)),IF(NOT(ISBLANK($N123)),$N123/$K123,$I123/$K123),0),0)</f>
        <v>0</v>
      </c>
      <c r="AC123" s="532">
        <f>IFERROR(IF(AND(AC$54&gt;=EOMONTH($J123,-1)+1,AC$54&lt;=EOMONTH(EOMONTH($J123,-1)+1,$K123-1)),IF(NOT(ISBLANK($N123)),$N123/$K123,$I123/$K123),0),0)</f>
        <v>0</v>
      </c>
      <c r="AD123" s="89">
        <f t="shared" si="96"/>
        <v>0</v>
      </c>
      <c r="AE123" s="532">
        <f>IFERROR(IF(AND(AE$54&gt;=EOMONTH($J123,-1)+1,AE$54&lt;=EOMONTH(EOMONTH($J123,-1)+1,$K123-1)),IF(NOT(ISBLANK($N123)),$N123/$K123,$I123/$K123),0),0)</f>
        <v>0</v>
      </c>
      <c r="AF123" s="532">
        <f>IFERROR(IF(AND(AF$54&gt;=EOMONTH($J123,-1)+1,AF$54&lt;=EOMONTH(EOMONTH($J123,-1)+1,$K123-1)),IF(NOT(ISBLANK($N123)),$N123/$K123,$I123/$K123),0),0)</f>
        <v>0</v>
      </c>
      <c r="AG123" s="532">
        <f>IFERROR(IF(AND(AG$54&gt;=EOMONTH($J123,-1)+1,AG$54&lt;=EOMONTH(EOMONTH($J123,-1)+1,$K123-1)),IF(NOT(ISBLANK($N123)),$N123/$K123,$I123/$K123),0),0)</f>
        <v>0</v>
      </c>
      <c r="AH123" s="89">
        <f t="shared" si="97"/>
        <v>0</v>
      </c>
      <c r="AI123" s="95">
        <f t="shared" si="101"/>
        <v>0</v>
      </c>
      <c r="AJ123" s="97"/>
      <c r="AK123" s="1038"/>
      <c r="AL123" s="1042"/>
      <c r="AM123" s="1044">
        <f t="shared" ref="AM123" si="102">N123*AL123</f>
        <v>0</v>
      </c>
      <c r="AN123" s="62">
        <f>C123</f>
        <v>0</v>
      </c>
      <c r="AO123" s="62" t="s">
        <v>289</v>
      </c>
      <c r="AP123" s="543" t="str" cm="1">
        <f t="array" aca="1" ref="AP123" ca="1">IF(OR(AN123="",AN123=0),"",IF(SUMPRODUCT(($B$55:$B$160=AN123)*(S$54:$AG$54&lt;EOMONTH(TODAY(),-1)+1)*(ISNUMBER(R$55:$AF$160)),R$55:$AF$160)=0,"",SUMPRODUCT(($B$55:$B$160=AN123)*(S$54:$AG$54&lt;EOMONTH(TODAY(),-1)+1)*(ISNUMBER(R$55:$AF$160)),R$55:$AF$160)))</f>
        <v/>
      </c>
    </row>
    <row r="124" spans="1:42" ht="42" customHeight="1" x14ac:dyDescent="0.3">
      <c r="A124" s="1038"/>
      <c r="B124" s="1300"/>
      <c r="C124" s="1138"/>
      <c r="D124" s="1115"/>
      <c r="E124" s="1424"/>
      <c r="F124" s="1142"/>
      <c r="G124" s="1117"/>
      <c r="H124" s="1117"/>
      <c r="I124" s="1076"/>
      <c r="J124" s="1154"/>
      <c r="K124" s="1213"/>
      <c r="L124" s="1076"/>
      <c r="M124" s="1072"/>
      <c r="N124" s="1055"/>
      <c r="O124" s="1057"/>
      <c r="P124" s="1042"/>
      <c r="Q124" s="87" t="s">
        <v>107</v>
      </c>
      <c r="R124" s="96"/>
      <c r="S124" s="312" t="s">
        <v>390</v>
      </c>
      <c r="T124" s="312" t="s">
        <v>390</v>
      </c>
      <c r="U124" s="312" t="s">
        <v>390</v>
      </c>
      <c r="V124" s="89">
        <f t="shared" si="94"/>
        <v>0</v>
      </c>
      <c r="W124" s="312" t="s">
        <v>390</v>
      </c>
      <c r="X124" s="312" t="s">
        <v>390</v>
      </c>
      <c r="Y124" s="312" t="s">
        <v>390</v>
      </c>
      <c r="Z124" s="89">
        <f t="shared" si="95"/>
        <v>0</v>
      </c>
      <c r="AA124" s="312" t="s">
        <v>390</v>
      </c>
      <c r="AB124" s="312" t="s">
        <v>390</v>
      </c>
      <c r="AC124" s="312" t="s">
        <v>390</v>
      </c>
      <c r="AD124" s="89">
        <f t="shared" si="96"/>
        <v>0</v>
      </c>
      <c r="AE124" s="312" t="s">
        <v>390</v>
      </c>
      <c r="AF124" s="312" t="s">
        <v>390</v>
      </c>
      <c r="AG124" s="312" t="s">
        <v>390</v>
      </c>
      <c r="AH124" s="89">
        <f t="shared" si="97"/>
        <v>0</v>
      </c>
      <c r="AI124" s="313">
        <f t="shared" si="101"/>
        <v>0</v>
      </c>
      <c r="AJ124" s="97"/>
      <c r="AK124" s="1038"/>
      <c r="AL124" s="1042"/>
      <c r="AM124" s="1044"/>
      <c r="AN124" s="62">
        <f>C123</f>
        <v>0</v>
      </c>
      <c r="AO124" s="62" t="s">
        <v>291</v>
      </c>
      <c r="AP124" s="543" t="str" cm="1">
        <f t="array" aca="1" ref="AP124" ca="1">IF(OR(AN124="",AN124=0),"",IF(SUMPRODUCT(($B$55:$B$160=AN124)*(S$54:$AG$54&lt;EOMONTH(TODAY(),-1)+1)*(ISNUMBER(R$56:$AF$161)),R$56:$AF$161)=0,"",SUMPRODUCT(($B$55:$B$160=AN124)*(S$54:$AG$54&lt;EOMONTH(TODAY(),-1)+1)*(ISNUMBER(R$56:$AF$161)),R$56:$AF$161)))</f>
        <v/>
      </c>
    </row>
    <row r="125" spans="1:42" x14ac:dyDescent="0.3">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row>
    <row r="126" spans="1:42" ht="15.6" x14ac:dyDescent="0.3">
      <c r="A126" s="100" t="s">
        <v>547</v>
      </c>
      <c r="B126" s="100"/>
      <c r="C126" s="100"/>
      <c r="D126" s="99" t="s">
        <v>548</v>
      </c>
      <c r="E126" s="99" t="s">
        <v>73</v>
      </c>
      <c r="F126" s="99" t="s">
        <v>74</v>
      </c>
      <c r="G126" s="47"/>
      <c r="H126" s="1414" t="s">
        <v>1038</v>
      </c>
      <c r="I126" s="1414"/>
      <c r="J126" s="1414"/>
      <c r="K126" s="1414"/>
      <c r="L126" s="1414"/>
      <c r="M126" s="590"/>
      <c r="N126" s="590"/>
      <c r="O126" s="904"/>
      <c r="P126" s="904"/>
      <c r="Q126" s="47"/>
      <c r="R126" s="151"/>
      <c r="S126" s="85">
        <v>46023</v>
      </c>
      <c r="T126" s="151">
        <v>46054</v>
      </c>
      <c r="U126" s="151">
        <v>46082</v>
      </c>
      <c r="V126" s="151">
        <v>46113</v>
      </c>
      <c r="W126" s="151">
        <v>46143</v>
      </c>
      <c r="X126" s="151">
        <v>46174</v>
      </c>
      <c r="Y126" s="151">
        <v>46204</v>
      </c>
      <c r="Z126" s="151">
        <v>46235</v>
      </c>
      <c r="AA126" s="151">
        <v>46266</v>
      </c>
      <c r="AB126" s="151">
        <v>46296</v>
      </c>
      <c r="AC126" s="151">
        <v>46327</v>
      </c>
      <c r="AD126" s="151">
        <v>46357</v>
      </c>
      <c r="AE126" s="151" t="s">
        <v>550</v>
      </c>
      <c r="AF126" s="47"/>
      <c r="AG126" s="47"/>
      <c r="AH126" s="47"/>
    </row>
    <row r="127" spans="1:42" ht="15.6" x14ac:dyDescent="0.3">
      <c r="A127" s="112" t="s">
        <v>78</v>
      </c>
      <c r="B127" s="112" t="s">
        <v>551</v>
      </c>
      <c r="C127" s="333"/>
      <c r="D127" s="721">
        <v>1</v>
      </c>
      <c r="E127" s="109" t="s">
        <v>287</v>
      </c>
      <c r="F127" s="109" t="str">
        <f t="shared" ref="F127:F154" si="103">_xlfn.XLOOKUP(B127,$B$258:$B$304,$F$258:$F$304)</f>
        <v>Não Ok</v>
      </c>
      <c r="G127" s="47"/>
      <c r="H127" s="102" t="s">
        <v>552</v>
      </c>
      <c r="I127" s="102" t="s">
        <v>553</v>
      </c>
      <c r="J127" s="102" t="s">
        <v>554</v>
      </c>
      <c r="K127" s="102" t="s">
        <v>555</v>
      </c>
      <c r="L127" s="104" t="s">
        <v>167</v>
      </c>
      <c r="M127" s="590" t="s">
        <v>556</v>
      </c>
      <c r="N127" s="590"/>
      <c r="O127" s="104" t="s">
        <v>557</v>
      </c>
      <c r="P127" s="899" t="s">
        <v>558</v>
      </c>
      <c r="Q127" s="47"/>
      <c r="R127" s="504" t="s">
        <v>106</v>
      </c>
      <c r="S127" s="152">
        <f>SUMIF($Q$55:$Q$124,$R$127,S55:S124)</f>
        <v>0</v>
      </c>
      <c r="T127" s="152">
        <f>SUMIF($Q$55:$Q$124,$R$127,T55:T124)</f>
        <v>19884.252727272727</v>
      </c>
      <c r="U127" s="152">
        <f>SUMIF($Q$55:$Q$124,$R$127,U55:U124)</f>
        <v>193545.9957272727</v>
      </c>
      <c r="V127" s="152">
        <f>SUMIF($Q$55:$Q$124,$R$127,W55:W124)</f>
        <v>205457.81406060606</v>
      </c>
      <c r="W127" s="152">
        <f>SUMIF($Q$55:$Q$124,$R$127,X55:X124)</f>
        <v>253262.77173526917</v>
      </c>
      <c r="X127" s="152">
        <f>SUMIF($Q$55:$Q$124,$R$127,Y55:Y124)</f>
        <v>253262.77173526917</v>
      </c>
      <c r="Y127" s="152">
        <f>SUMIF($Q$55:$Q$124,$R$127,AA55:AA124)</f>
        <v>257262.77173526917</v>
      </c>
      <c r="Z127" s="152">
        <f>SUMIF($Q$55:$Q$124,$R$127,AB55:AB124)</f>
        <v>257262.77173526917</v>
      </c>
      <c r="AA127" s="152">
        <f>SUMIF($Q$55:$Q$124,$R$127,AC55:AC124)</f>
        <v>257262.77173526917</v>
      </c>
      <c r="AB127" s="152">
        <f>SUMIF($Q$55:$Q$124,$R$127,AE55:AE124)</f>
        <v>257262.77173526917</v>
      </c>
      <c r="AC127" s="152">
        <f>SUMIF($Q$55:$Q$124,$R$127,AF55:AF124)</f>
        <v>257262.77173526917</v>
      </c>
      <c r="AD127" s="152">
        <f>SUMIF($Q$55:$Q$124,$R$127,AG55:AG124)</f>
        <v>257262.77173526917</v>
      </c>
      <c r="AE127" s="152">
        <f>SUM(S127:AD127)</f>
        <v>2468990.2363973046</v>
      </c>
      <c r="AF127" s="47"/>
      <c r="AG127" s="47"/>
      <c r="AH127" s="47"/>
    </row>
    <row r="128" spans="1:42" x14ac:dyDescent="0.3">
      <c r="A128" s="753" t="s">
        <v>78</v>
      </c>
      <c r="B128" s="753" t="s">
        <v>559</v>
      </c>
      <c r="C128" s="751"/>
      <c r="D128" s="754">
        <v>1</v>
      </c>
      <c r="E128" s="798" t="s">
        <v>287</v>
      </c>
      <c r="F128" s="798" t="str">
        <f t="shared" si="103"/>
        <v>OK</v>
      </c>
      <c r="G128" s="47"/>
      <c r="H128" t="s">
        <v>1681</v>
      </c>
      <c r="I128" s="106" t="s">
        <v>287</v>
      </c>
      <c r="J128" s="106" t="s">
        <v>287</v>
      </c>
      <c r="K128" s="106" t="s">
        <v>388</v>
      </c>
      <c r="L128" s="107">
        <f t="shared" ref="L128:L137" si="104">(COUNTIF(I128:K128,"OK"))*33.333333/100</f>
        <v>0.66666666000000008</v>
      </c>
      <c r="M128" s="1550" t="s">
        <v>1682</v>
      </c>
      <c r="N128" s="1551"/>
      <c r="O128" s="107"/>
      <c r="P128" s="107"/>
      <c r="Q128" s="47"/>
      <c r="R128" s="505" t="s">
        <v>107</v>
      </c>
      <c r="S128" s="154">
        <f>SUMIF($Q$55:$Q$124,$R$128,S55:S124)</f>
        <v>3234</v>
      </c>
      <c r="T128" s="154">
        <f>SUMIF($Q$55:$Q$124,$R$128,T55:T124)</f>
        <v>24747.29</v>
      </c>
      <c r="U128" s="154">
        <f>SUMIF($Q$55:$Q$124,$R$128,U55:U124)</f>
        <v>259571.93</v>
      </c>
      <c r="V128" s="154">
        <f>SUMIF($Q$55:$Q$124,$R$128,W55:W124)</f>
        <v>262612.33</v>
      </c>
      <c r="W128" s="154">
        <f>SUMIF($Q$55:$Q$124,$R$128,X55:X124)</f>
        <v>271476.39999999997</v>
      </c>
      <c r="X128" s="154">
        <f>SUMIF($Q$55:$Q$124,$R$128,Y55:Y124)</f>
        <v>0</v>
      </c>
      <c r="Y128" s="154">
        <f>SUMIF($Q$55:$Q$124,$R$128,AA55:AA124)</f>
        <v>0</v>
      </c>
      <c r="Z128" s="154">
        <f>SUMIF($Q$55:$Q$124,$R$128,AB55:AB124)</f>
        <v>0</v>
      </c>
      <c r="AA128" s="154">
        <f>SUMIF($Q$55:$Q$124,$R$128,AC55:AC124)</f>
        <v>0</v>
      </c>
      <c r="AB128" s="154">
        <f>SUMIF($Q$55:$Q$124,$R$128,AE55:AE124)</f>
        <v>0</v>
      </c>
      <c r="AC128" s="154">
        <f>SUMIF($Q$55:$Q$124,$R$128,AF55:AF124)</f>
        <v>0</v>
      </c>
      <c r="AD128" s="154">
        <f>SUMIF($Q$55:$Q$124,$R$128,AG55:AG124)</f>
        <v>0</v>
      </c>
      <c r="AE128" s="154">
        <f>SUM(S128:AD128)</f>
        <v>821641.95</v>
      </c>
      <c r="AF128" s="47"/>
      <c r="AG128" s="47"/>
      <c r="AH128" s="47"/>
    </row>
    <row r="129" spans="1:34" x14ac:dyDescent="0.3">
      <c r="A129" s="112" t="s">
        <v>81</v>
      </c>
      <c r="B129" s="112" t="s">
        <v>563</v>
      </c>
      <c r="C129" s="333"/>
      <c r="D129" s="721">
        <v>1</v>
      </c>
      <c r="E129" s="109" t="s">
        <v>287</v>
      </c>
      <c r="F129" s="109" t="str">
        <f t="shared" si="103"/>
        <v>OK</v>
      </c>
      <c r="G129" s="47"/>
      <c r="H129" s="108" t="s">
        <v>1683</v>
      </c>
      <c r="I129" s="109" t="s">
        <v>388</v>
      </c>
      <c r="J129" s="109" t="s">
        <v>287</v>
      </c>
      <c r="K129" s="109" t="s">
        <v>388</v>
      </c>
      <c r="L129" s="110">
        <f t="shared" si="104"/>
        <v>0.33333333000000004</v>
      </c>
      <c r="M129" s="1548" t="s">
        <v>1684</v>
      </c>
      <c r="N129" s="1549"/>
      <c r="O129" s="110"/>
      <c r="P129" s="110"/>
      <c r="Q129" s="47"/>
      <c r="R129" s="506" t="s">
        <v>566</v>
      </c>
      <c r="S129" s="160" cm="1">
        <f t="array" ref="S129">SUMPRODUCT(
($G$55:$G$124&lt;&gt;"")*
($G$55:$G$124&lt;=S$126)*
(($H$55:$H$124="")+($H$55:$H$124&gt;=S$126))
)</f>
        <v>3</v>
      </c>
      <c r="T129" s="160" cm="1">
        <f t="array" ref="T129">SUMPRODUCT(
($G$55:$G$124&lt;&gt;"")*
($G$55:$G$124&lt;=T$126)*
(($H$55:$H$124="")+($H$55:$H$124&gt;=T$126))
)</f>
        <v>8</v>
      </c>
      <c r="U129" s="160" cm="1">
        <f t="array" ref="U129">SUMPRODUCT(
($G$55:$G$124&lt;&gt;"")*
($G$55:$G$124&lt;=U$126)*
(($H$55:$H$124="")+($H$55:$H$124&gt;=U$126))
)</f>
        <v>12</v>
      </c>
      <c r="V129" s="160" cm="1">
        <f t="array" ref="V129">SUMPRODUCT(
($G$55:$G$124&lt;&gt;"")*
($G$55:$G$124&lt;=V$126)*
(($H$55:$H$124="")+($H$55:$H$124&gt;=V$126))
)</f>
        <v>12</v>
      </c>
      <c r="W129" s="160" cm="1">
        <f t="array" ref="W129">SUMPRODUCT(
($G$55:$G$124&lt;&gt;"")*
($G$55:$G$124&lt;=W$126)*
(($H$55:$H$124="")+($H$55:$H$124&gt;=W$126))
)</f>
        <v>8</v>
      </c>
      <c r="X129" s="160" cm="1">
        <f t="array" ref="X129">SUMPRODUCT(
($G$55:$G$124&lt;&gt;"")*
($G$55:$G$124&lt;=X$126)*
(($H$55:$H$124="")+($H$55:$H$124&gt;=X$126))
)</f>
        <v>8</v>
      </c>
      <c r="Y129" s="160" cm="1">
        <f t="array" ref="Y129">SUMPRODUCT(
($G$55:$G$124&lt;&gt;"")*
($G$55:$G$124&lt;=Y$126)*
(($H$55:$H$124="")+($H$55:$H$124&gt;=Y$126))
)</f>
        <v>3</v>
      </c>
      <c r="Z129" s="160" cm="1">
        <f t="array" ref="Z129">SUMPRODUCT(
($G$55:$G$124&lt;&gt;"")*
($G$55:$G$124&lt;=Z$126)*
(($H$55:$H$124="")+($H$55:$H$124&gt;=Z$126))
)</f>
        <v>1</v>
      </c>
      <c r="AA129" s="160" cm="1">
        <f t="array" ref="AA129">SUMPRODUCT(
($G$55:$G$124&lt;&gt;"")*
($G$55:$G$124&lt;=AA$126)*
(($H$55:$H$124="")+($H$55:$H$124&gt;=AA$126))
)</f>
        <v>0</v>
      </c>
      <c r="AB129" s="160" cm="1">
        <f t="array" ref="AB129">SUMPRODUCT(
($G$55:$G$124&lt;&gt;"")*
($G$55:$G$124&lt;=AB$126)*
(($H$55:$H$124="")+($H$55:$H$124&gt;=AB$126))
)</f>
        <v>0</v>
      </c>
      <c r="AC129" s="160" cm="1">
        <f t="array" ref="AC129">SUMPRODUCT(
($G$55:$G$124&lt;&gt;"")*
($G$55:$G$124&lt;=AC$126)*
(($H$55:$H$124="")+($H$55:$H$124&gt;=AC$126))
)</f>
        <v>0</v>
      </c>
      <c r="AD129" s="160" cm="1">
        <f t="array" ref="AD129">SUMPRODUCT(
($G$55:$G$124&lt;&gt;"")*
($G$55:$G$124&lt;=AD$126)*
(($H$55:$H$124="")+($H$55:$H$124&gt;=AD$126))
)</f>
        <v>0</v>
      </c>
      <c r="AE129" s="160"/>
      <c r="AF129" s="47"/>
      <c r="AG129" s="47"/>
      <c r="AH129" s="47"/>
    </row>
    <row r="130" spans="1:34" x14ac:dyDescent="0.3">
      <c r="A130" s="753" t="s">
        <v>81</v>
      </c>
      <c r="B130" s="753" t="s">
        <v>567</v>
      </c>
      <c r="C130" s="751"/>
      <c r="D130" s="754">
        <v>1</v>
      </c>
      <c r="E130" s="798" t="s">
        <v>287</v>
      </c>
      <c r="F130" s="798" t="str">
        <f t="shared" si="103"/>
        <v>Não Ok</v>
      </c>
      <c r="G130" s="47"/>
      <c r="H130" s="105" t="s">
        <v>1685</v>
      </c>
      <c r="I130" s="106" t="s">
        <v>287</v>
      </c>
      <c r="J130" s="106" t="s">
        <v>388</v>
      </c>
      <c r="K130" s="106" t="s">
        <v>388</v>
      </c>
      <c r="L130" s="107">
        <f t="shared" si="104"/>
        <v>0.33333333000000004</v>
      </c>
      <c r="M130" s="1550" t="s">
        <v>1686</v>
      </c>
      <c r="N130" s="1551"/>
      <c r="O130" s="107"/>
      <c r="P130" s="107"/>
      <c r="Q130" s="47"/>
      <c r="R130" s="505" t="s">
        <v>570</v>
      </c>
      <c r="S130" s="154">
        <f>S127</f>
        <v>0</v>
      </c>
      <c r="T130" s="154">
        <f>S130+T127</f>
        <v>19884.252727272727</v>
      </c>
      <c r="U130" s="154">
        <f t="shared" ref="U130:AD131" si="105">T130+U127</f>
        <v>213430.24845454542</v>
      </c>
      <c r="V130" s="154">
        <f t="shared" si="105"/>
        <v>418888.06251515145</v>
      </c>
      <c r="W130" s="154">
        <f t="shared" si="105"/>
        <v>672150.83425042056</v>
      </c>
      <c r="X130" s="154">
        <f t="shared" si="105"/>
        <v>925413.60598568968</v>
      </c>
      <c r="Y130" s="154">
        <f t="shared" si="105"/>
        <v>1182676.3777209588</v>
      </c>
      <c r="Z130" s="154">
        <f t="shared" si="105"/>
        <v>1439939.1494562279</v>
      </c>
      <c r="AA130" s="154">
        <f t="shared" si="105"/>
        <v>1697201.921191497</v>
      </c>
      <c r="AB130" s="154">
        <f t="shared" si="105"/>
        <v>1954464.6929267661</v>
      </c>
      <c r="AC130" s="154">
        <f t="shared" si="105"/>
        <v>2211727.4646620355</v>
      </c>
      <c r="AD130" s="154">
        <f t="shared" si="105"/>
        <v>2468990.2363973046</v>
      </c>
      <c r="AE130" s="154"/>
      <c r="AF130" s="47"/>
      <c r="AG130" s="47"/>
      <c r="AH130" s="47"/>
    </row>
    <row r="131" spans="1:34" ht="14.85" customHeight="1" x14ac:dyDescent="0.3">
      <c r="A131" s="112" t="s">
        <v>81</v>
      </c>
      <c r="B131" s="112" t="s">
        <v>571</v>
      </c>
      <c r="C131" s="333"/>
      <c r="D131" s="721">
        <v>1</v>
      </c>
      <c r="E131" s="109" t="s">
        <v>287</v>
      </c>
      <c r="F131" s="109" t="str">
        <f t="shared" si="103"/>
        <v>OK</v>
      </c>
      <c r="G131" s="47"/>
      <c r="H131" s="108" t="s">
        <v>1687</v>
      </c>
      <c r="I131" s="109" t="s">
        <v>388</v>
      </c>
      <c r="J131" s="109" t="s">
        <v>388</v>
      </c>
      <c r="K131" s="109" t="s">
        <v>388</v>
      </c>
      <c r="L131" s="110">
        <f t="shared" si="104"/>
        <v>0</v>
      </c>
      <c r="M131" s="1548" t="s">
        <v>1688</v>
      </c>
      <c r="N131" s="1549"/>
      <c r="O131" s="110"/>
      <c r="P131" s="110"/>
      <c r="Q131" s="47"/>
      <c r="R131" s="506" t="s">
        <v>574</v>
      </c>
      <c r="S131" s="507">
        <f>S128</f>
        <v>3234</v>
      </c>
      <c r="T131" s="507">
        <f>S131+T128</f>
        <v>27981.29</v>
      </c>
      <c r="U131" s="507">
        <f t="shared" si="105"/>
        <v>287553.21999999997</v>
      </c>
      <c r="V131" s="507">
        <f t="shared" si="105"/>
        <v>550165.55000000005</v>
      </c>
      <c r="W131" s="507">
        <f t="shared" si="105"/>
        <v>821641.95</v>
      </c>
      <c r="X131" s="507">
        <f t="shared" si="105"/>
        <v>821641.95</v>
      </c>
      <c r="Y131" s="507">
        <f t="shared" si="105"/>
        <v>821641.95</v>
      </c>
      <c r="Z131" s="507">
        <f t="shared" si="105"/>
        <v>821641.95</v>
      </c>
      <c r="AA131" s="507">
        <f t="shared" si="105"/>
        <v>821641.95</v>
      </c>
      <c r="AB131" s="507">
        <f t="shared" si="105"/>
        <v>821641.95</v>
      </c>
      <c r="AC131" s="507">
        <f t="shared" si="105"/>
        <v>821641.95</v>
      </c>
      <c r="AD131" s="507">
        <f t="shared" si="105"/>
        <v>821641.95</v>
      </c>
      <c r="AE131" s="507"/>
      <c r="AF131" s="47"/>
      <c r="AG131" s="47"/>
      <c r="AH131" s="47"/>
    </row>
    <row r="132" spans="1:34" ht="14.85" customHeight="1" x14ac:dyDescent="0.3">
      <c r="A132" s="753" t="s">
        <v>81</v>
      </c>
      <c r="B132" s="753" t="s">
        <v>575</v>
      </c>
      <c r="C132" s="751"/>
      <c r="D132" s="754">
        <v>1</v>
      </c>
      <c r="E132" s="798" t="str">
        <f>_xlfn.XLOOKUP(B132,$B$258:$B$304,$E$258:$E$304)</f>
        <v>OK</v>
      </c>
      <c r="F132" s="798" t="str">
        <f t="shared" si="103"/>
        <v>OK</v>
      </c>
      <c r="G132" s="47"/>
      <c r="H132" s="105" t="s">
        <v>1689</v>
      </c>
      <c r="I132" s="106" t="s">
        <v>388</v>
      </c>
      <c r="J132" s="106" t="s">
        <v>388</v>
      </c>
      <c r="K132" s="106" t="s">
        <v>388</v>
      </c>
      <c r="L132" s="107">
        <f t="shared" si="104"/>
        <v>0</v>
      </c>
      <c r="M132" s="1550" t="s">
        <v>1690</v>
      </c>
      <c r="N132" s="1551"/>
      <c r="O132" s="107"/>
      <c r="P132" s="107"/>
      <c r="Q132" s="47"/>
      <c r="R132" s="505" t="s">
        <v>578</v>
      </c>
      <c r="S132" s="537">
        <f>S131</f>
        <v>3234</v>
      </c>
      <c r="T132" s="537">
        <f t="shared" ref="T132:AD132" si="106">IF(AND(ISNUMBER(T127),T127&lt;&gt;0), T130, IF(N(S131)=0, MAX($S$130:$AD$130), N(S130)) + (($A$5 - MAX($S$130:$AD$130)) / (12 - COUNTIF($S$127:$AD$127,"&gt;0"))))</f>
        <v>19884.252727272727</v>
      </c>
      <c r="U132" s="537">
        <f t="shared" si="106"/>
        <v>213430.24845454542</v>
      </c>
      <c r="V132" s="537">
        <f t="shared" si="106"/>
        <v>418888.06251515145</v>
      </c>
      <c r="W132" s="537">
        <f t="shared" si="106"/>
        <v>672150.83425042056</v>
      </c>
      <c r="X132" s="537">
        <f t="shared" si="106"/>
        <v>925413.60598568968</v>
      </c>
      <c r="Y132" s="537">
        <f t="shared" si="106"/>
        <v>1182676.3777209588</v>
      </c>
      <c r="Z132" s="537">
        <f t="shared" si="106"/>
        <v>1439939.1494562279</v>
      </c>
      <c r="AA132" s="537">
        <f t="shared" si="106"/>
        <v>1697201.921191497</v>
      </c>
      <c r="AB132" s="537">
        <f t="shared" si="106"/>
        <v>1954464.6929267661</v>
      </c>
      <c r="AC132" s="537">
        <f t="shared" si="106"/>
        <v>2211727.4646620355</v>
      </c>
      <c r="AD132" s="537">
        <f t="shared" si="106"/>
        <v>2468990.2363973046</v>
      </c>
      <c r="AE132" s="47"/>
      <c r="AF132" s="47"/>
      <c r="AG132" s="47"/>
      <c r="AH132" s="47"/>
    </row>
    <row r="133" spans="1:34" x14ac:dyDescent="0.3">
      <c r="A133" s="112" t="s">
        <v>81</v>
      </c>
      <c r="B133" s="112" t="s">
        <v>579</v>
      </c>
      <c r="C133" s="333"/>
      <c r="D133" s="721">
        <v>1</v>
      </c>
      <c r="E133" s="109" t="str">
        <f t="shared" ref="E133:E135" si="107">_xlfn.XLOOKUP(B133,$B$258:$B$304,$E$258:$E$304)</f>
        <v>OK</v>
      </c>
      <c r="F133" s="109" t="str">
        <f t="shared" si="103"/>
        <v>OK</v>
      </c>
      <c r="G133" s="47"/>
      <c r="H133" s="108" t="s">
        <v>1691</v>
      </c>
      <c r="I133" s="109" t="s">
        <v>287</v>
      </c>
      <c r="J133" s="109" t="s">
        <v>388</v>
      </c>
      <c r="K133" s="109" t="s">
        <v>388</v>
      </c>
      <c r="L133" s="110">
        <f t="shared" si="104"/>
        <v>0.33333333000000004</v>
      </c>
      <c r="M133" s="1548" t="s">
        <v>1692</v>
      </c>
      <c r="N133" s="1549"/>
      <c r="O133" s="110"/>
      <c r="P133" s="110"/>
      <c r="Q133" s="47"/>
      <c r="R133" s="47"/>
      <c r="S133" s="47"/>
      <c r="T133" s="47"/>
      <c r="U133" s="47"/>
      <c r="V133" s="47"/>
      <c r="W133" s="47"/>
      <c r="X133" s="47"/>
      <c r="Y133" s="47"/>
      <c r="Z133" s="47"/>
      <c r="AA133" s="47"/>
      <c r="AB133" s="47"/>
      <c r="AC133" s="47"/>
      <c r="AD133" s="47"/>
      <c r="AE133" s="47"/>
      <c r="AF133" s="47"/>
      <c r="AG133" s="47"/>
      <c r="AH133" s="47"/>
    </row>
    <row r="134" spans="1:34" x14ac:dyDescent="0.3">
      <c r="A134" s="753" t="s">
        <v>81</v>
      </c>
      <c r="B134" s="753" t="s">
        <v>583</v>
      </c>
      <c r="C134" s="751"/>
      <c r="D134" s="754">
        <v>1</v>
      </c>
      <c r="E134" s="798" t="s">
        <v>287</v>
      </c>
      <c r="F134" s="798" t="str">
        <f t="shared" si="103"/>
        <v>Não Ok</v>
      </c>
      <c r="G134" s="47"/>
      <c r="H134" s="105" t="s">
        <v>1693</v>
      </c>
      <c r="I134" s="106" t="s">
        <v>287</v>
      </c>
      <c r="J134" s="106" t="s">
        <v>388</v>
      </c>
      <c r="K134" s="106" t="s">
        <v>388</v>
      </c>
      <c r="L134" s="107">
        <f t="shared" si="104"/>
        <v>0.33333333000000004</v>
      </c>
      <c r="M134" s="1550" t="s">
        <v>1694</v>
      </c>
      <c r="N134" s="1551"/>
      <c r="O134" s="107"/>
      <c r="P134" s="107"/>
      <c r="Q134" s="47"/>
      <c r="R134" s="47"/>
      <c r="S134" s="47"/>
      <c r="T134" s="47"/>
      <c r="U134" s="47"/>
      <c r="V134" s="47"/>
      <c r="W134" s="47"/>
      <c r="X134" s="47"/>
      <c r="Y134" s="47"/>
      <c r="Z134" s="47"/>
      <c r="AA134" s="47"/>
      <c r="AB134" s="47"/>
      <c r="AC134" s="47"/>
      <c r="AD134" s="47"/>
      <c r="AE134" s="47"/>
      <c r="AF134" s="47"/>
      <c r="AG134" s="47"/>
      <c r="AH134" s="47"/>
    </row>
    <row r="135" spans="1:34" x14ac:dyDescent="0.3">
      <c r="A135" s="112" t="s">
        <v>81</v>
      </c>
      <c r="B135" s="112" t="s">
        <v>587</v>
      </c>
      <c r="C135" s="333"/>
      <c r="D135" s="721">
        <v>1</v>
      </c>
      <c r="E135" s="109" t="str">
        <f t="shared" si="107"/>
        <v>OK</v>
      </c>
      <c r="F135" s="109" t="str">
        <f t="shared" si="103"/>
        <v>Não Ok</v>
      </c>
      <c r="G135" s="59"/>
      <c r="H135" s="108" t="s">
        <v>1695</v>
      </c>
      <c r="I135" s="109" t="s">
        <v>388</v>
      </c>
      <c r="J135" s="109" t="s">
        <v>388</v>
      </c>
      <c r="K135" s="109" t="s">
        <v>388</v>
      </c>
      <c r="L135" s="110">
        <f t="shared" si="104"/>
        <v>0</v>
      </c>
      <c r="M135" s="1548" t="s">
        <v>1696</v>
      </c>
      <c r="N135" s="1549"/>
      <c r="O135" s="110"/>
      <c r="P135" s="110"/>
      <c r="Q135" s="47"/>
      <c r="R135" s="47"/>
      <c r="S135" s="47"/>
      <c r="T135" s="47"/>
      <c r="U135" s="47"/>
      <c r="V135" s="47"/>
      <c r="W135" s="47"/>
      <c r="X135" s="47"/>
      <c r="Y135" s="47"/>
      <c r="Z135" s="47"/>
      <c r="AA135" s="47"/>
      <c r="AB135" s="47"/>
      <c r="AC135" s="47"/>
      <c r="AD135" s="47"/>
      <c r="AE135" s="47"/>
      <c r="AF135" s="47"/>
      <c r="AG135" s="47"/>
      <c r="AH135" s="47"/>
    </row>
    <row r="136" spans="1:34" ht="14.85" customHeight="1" x14ac:dyDescent="0.3">
      <c r="A136" s="753" t="s">
        <v>81</v>
      </c>
      <c r="B136" s="753" t="s">
        <v>590</v>
      </c>
      <c r="C136" s="751"/>
      <c r="D136" s="754">
        <v>1</v>
      </c>
      <c r="E136" s="755" t="s">
        <v>287</v>
      </c>
      <c r="F136" s="798" t="str">
        <f t="shared" si="103"/>
        <v>Não Ok</v>
      </c>
      <c r="G136" s="59"/>
      <c r="H136" s="105" t="s">
        <v>1697</v>
      </c>
      <c r="I136" s="106" t="s">
        <v>388</v>
      </c>
      <c r="J136" s="106" t="s">
        <v>388</v>
      </c>
      <c r="K136" s="106" t="s">
        <v>388</v>
      </c>
      <c r="L136" s="107">
        <f t="shared" si="104"/>
        <v>0</v>
      </c>
      <c r="M136" s="1550" t="e">
        <v>#N/A</v>
      </c>
      <c r="N136" s="1551"/>
      <c r="O136" s="107"/>
      <c r="P136" s="107"/>
      <c r="Q136" s="47"/>
      <c r="R136" s="47"/>
      <c r="S136" s="47"/>
      <c r="T136" s="47"/>
      <c r="U136" s="47"/>
      <c r="V136" s="47"/>
      <c r="W136" s="47"/>
      <c r="X136" s="47"/>
      <c r="Y136" s="47"/>
      <c r="Z136" s="47"/>
      <c r="AA136" s="47"/>
      <c r="AB136" s="47"/>
      <c r="AC136" s="47"/>
      <c r="AD136" s="47"/>
      <c r="AE136" s="47"/>
      <c r="AF136" s="47"/>
      <c r="AG136" s="47"/>
      <c r="AH136" s="47"/>
    </row>
    <row r="137" spans="1:34" ht="14.85" customHeight="1" x14ac:dyDescent="0.3">
      <c r="A137" s="112" t="s">
        <v>81</v>
      </c>
      <c r="B137" s="112" t="s">
        <v>593</v>
      </c>
      <c r="C137" s="333"/>
      <c r="D137" s="721">
        <v>1</v>
      </c>
      <c r="E137" s="752" t="s">
        <v>287</v>
      </c>
      <c r="F137" s="109" t="str">
        <f t="shared" si="103"/>
        <v>Não Ok</v>
      </c>
      <c r="G137" s="59"/>
      <c r="H137" s="108" t="s">
        <v>1698</v>
      </c>
      <c r="I137" s="109" t="s">
        <v>388</v>
      </c>
      <c r="J137" s="109" t="s">
        <v>388</v>
      </c>
      <c r="K137" s="109" t="s">
        <v>388</v>
      </c>
      <c r="L137" s="110">
        <f t="shared" si="104"/>
        <v>0</v>
      </c>
      <c r="M137" s="1548" t="s">
        <v>1699</v>
      </c>
      <c r="N137" s="1549"/>
      <c r="O137" s="110"/>
      <c r="P137" s="110"/>
      <c r="Q137" s="47"/>
      <c r="R137" s="47"/>
      <c r="S137" s="47"/>
      <c r="T137" s="47"/>
      <c r="U137" s="47"/>
      <c r="V137" s="47"/>
      <c r="W137" s="47"/>
      <c r="X137" s="47"/>
      <c r="Y137" s="47"/>
      <c r="Z137" s="47"/>
      <c r="AA137" s="47"/>
      <c r="AB137" s="47"/>
      <c r="AC137" s="47"/>
      <c r="AD137" s="47"/>
      <c r="AE137" s="47"/>
      <c r="AF137" s="47"/>
      <c r="AG137" s="47"/>
      <c r="AH137" s="47"/>
    </row>
    <row r="138" spans="1:34" x14ac:dyDescent="0.3">
      <c r="A138" s="753" t="s">
        <v>81</v>
      </c>
      <c r="B138" s="753" t="s">
        <v>596</v>
      </c>
      <c r="C138" s="751"/>
      <c r="D138" s="754">
        <v>1</v>
      </c>
      <c r="E138" s="798" t="s">
        <v>287</v>
      </c>
      <c r="F138" s="798" t="str">
        <f t="shared" si="103"/>
        <v>Não Ok</v>
      </c>
      <c r="G138" s="59"/>
      <c r="H138" s="968" t="s">
        <v>1700</v>
      </c>
      <c r="I138" s="969" t="s">
        <v>388</v>
      </c>
      <c r="J138" s="969" t="s">
        <v>388</v>
      </c>
      <c r="K138" s="969" t="s">
        <v>388</v>
      </c>
      <c r="L138" s="970">
        <f>(COUNTIF(I138:K138,"OK"))*33.333333/100</f>
        <v>0</v>
      </c>
      <c r="M138" s="971" t="s">
        <v>581</v>
      </c>
      <c r="N138" s="972"/>
      <c r="O138" s="970" t="s">
        <v>1701</v>
      </c>
      <c r="P138" s="970" t="s">
        <v>1702</v>
      </c>
      <c r="Q138" s="464"/>
      <c r="R138" s="47"/>
      <c r="S138" s="47"/>
      <c r="T138" s="47"/>
      <c r="U138" s="47"/>
      <c r="V138" s="47"/>
      <c r="W138" s="47"/>
      <c r="X138" s="47"/>
      <c r="Y138" s="47"/>
      <c r="Z138" s="47"/>
      <c r="AA138" s="47"/>
      <c r="AB138" s="47"/>
      <c r="AC138" s="47"/>
      <c r="AD138" s="47"/>
      <c r="AE138" s="47"/>
      <c r="AF138" s="47"/>
      <c r="AG138" s="47"/>
      <c r="AH138" s="47"/>
    </row>
    <row r="139" spans="1:34" x14ac:dyDescent="0.3">
      <c r="A139" s="112" t="s">
        <v>86</v>
      </c>
      <c r="B139" s="112" t="s">
        <v>599</v>
      </c>
      <c r="C139" s="333"/>
      <c r="D139" s="721">
        <v>1</v>
      </c>
      <c r="E139" s="109" t="s">
        <v>287</v>
      </c>
      <c r="F139" s="109" t="str">
        <f t="shared" si="103"/>
        <v>Não Ok</v>
      </c>
      <c r="G139" s="59"/>
      <c r="H139" s="973" t="s">
        <v>1703</v>
      </c>
      <c r="I139" s="974" t="s">
        <v>388</v>
      </c>
      <c r="J139" s="974" t="s">
        <v>388</v>
      </c>
      <c r="K139" s="974" t="s">
        <v>388</v>
      </c>
      <c r="L139" s="975">
        <f t="shared" ref="L139:L140" si="108">(COUNTIF(I139:K139,"OK"))*33.333333/100</f>
        <v>0</v>
      </c>
      <c r="M139" s="971" t="s">
        <v>585</v>
      </c>
      <c r="N139" s="972"/>
      <c r="O139" s="975" t="s">
        <v>1701</v>
      </c>
      <c r="P139" s="975" t="s">
        <v>1702</v>
      </c>
      <c r="Q139" s="464"/>
      <c r="R139" s="47"/>
      <c r="S139" s="47"/>
      <c r="T139" s="47"/>
      <c r="U139" s="47"/>
      <c r="V139" s="47"/>
      <c r="W139" s="47"/>
      <c r="X139" s="47"/>
      <c r="Y139" s="47"/>
      <c r="Z139" s="47"/>
      <c r="AA139" s="47"/>
      <c r="AB139" s="47"/>
      <c r="AC139" s="47"/>
      <c r="AD139" s="47"/>
      <c r="AE139" s="47"/>
      <c r="AF139" s="47"/>
      <c r="AG139" s="47"/>
      <c r="AH139" s="47"/>
    </row>
    <row r="140" spans="1:34" x14ac:dyDescent="0.3">
      <c r="A140" s="753" t="s">
        <v>78</v>
      </c>
      <c r="B140" s="753" t="s">
        <v>602</v>
      </c>
      <c r="C140" s="751"/>
      <c r="D140" s="754">
        <v>2</v>
      </c>
      <c r="E140" s="798" t="str">
        <f>_xlfn.XLOOKUP(B140,$B$258:$B$304,$E$258:$E$304)</f>
        <v>OK</v>
      </c>
      <c r="F140" s="798" t="str">
        <f t="shared" si="103"/>
        <v>Não Ok</v>
      </c>
      <c r="G140" s="59"/>
      <c r="H140" s="973" t="s">
        <v>1704</v>
      </c>
      <c r="I140" s="974" t="s">
        <v>388</v>
      </c>
      <c r="J140" s="974" t="s">
        <v>388</v>
      </c>
      <c r="K140" s="974" t="s">
        <v>388</v>
      </c>
      <c r="L140" s="975">
        <f t="shared" si="108"/>
        <v>0</v>
      </c>
      <c r="M140" s="1556" t="s">
        <v>111</v>
      </c>
      <c r="N140" s="1557"/>
      <c r="O140" s="975" t="s">
        <v>1705</v>
      </c>
      <c r="P140" s="975" t="s">
        <v>1702</v>
      </c>
      <c r="Q140" s="47"/>
      <c r="R140" s="47"/>
      <c r="S140" s="47"/>
      <c r="T140" s="47"/>
      <c r="U140" s="47"/>
      <c r="V140" s="47"/>
      <c r="W140" s="47"/>
      <c r="X140" s="47"/>
      <c r="Y140" s="47"/>
      <c r="Z140" s="47"/>
      <c r="AA140" s="47"/>
      <c r="AB140" s="47"/>
      <c r="AC140" s="47"/>
      <c r="AD140" s="47"/>
      <c r="AE140" s="47"/>
      <c r="AF140" s="47"/>
      <c r="AG140" s="47"/>
      <c r="AH140" s="47"/>
    </row>
    <row r="141" spans="1:34" x14ac:dyDescent="0.3">
      <c r="A141" s="112" t="s">
        <v>81</v>
      </c>
      <c r="B141" s="112" t="s">
        <v>605</v>
      </c>
      <c r="C141" s="333"/>
      <c r="D141" s="721">
        <v>2</v>
      </c>
      <c r="E141" s="109" t="s">
        <v>287</v>
      </c>
      <c r="F141" s="109" t="str">
        <f t="shared" si="103"/>
        <v>Não Ok</v>
      </c>
      <c r="G141" s="59"/>
      <c r="H141" s="108"/>
      <c r="I141" s="109"/>
      <c r="J141" s="109"/>
      <c r="K141" s="109"/>
      <c r="L141" s="110"/>
      <c r="M141" s="1554" t="s">
        <v>111</v>
      </c>
      <c r="N141" s="1555"/>
      <c r="O141" s="110"/>
      <c r="P141" s="110"/>
      <c r="Q141" s="47"/>
      <c r="R141" s="47"/>
      <c r="S141" s="47"/>
      <c r="T141" s="47"/>
      <c r="U141" s="47"/>
      <c r="V141" s="47"/>
      <c r="W141" s="47"/>
      <c r="X141" s="47"/>
      <c r="Y141" s="47"/>
      <c r="Z141" s="47"/>
      <c r="AA141" s="47"/>
      <c r="AB141" s="47"/>
      <c r="AC141" s="47"/>
      <c r="AD141" s="47"/>
      <c r="AE141" s="47"/>
      <c r="AF141" s="47"/>
      <c r="AG141" s="47"/>
      <c r="AH141" s="47"/>
    </row>
    <row r="142" spans="1:34" x14ac:dyDescent="0.3">
      <c r="A142" s="753" t="s">
        <v>81</v>
      </c>
      <c r="B142" s="753" t="s">
        <v>608</v>
      </c>
      <c r="C142" s="751"/>
      <c r="D142" s="754">
        <v>2</v>
      </c>
      <c r="E142" s="798" t="s">
        <v>488</v>
      </c>
      <c r="F142" s="798" t="str">
        <f t="shared" si="103"/>
        <v>OK</v>
      </c>
      <c r="G142" s="59"/>
      <c r="H142" s="105"/>
      <c r="I142" s="106"/>
      <c r="J142" s="106"/>
      <c r="K142" s="106"/>
      <c r="L142" s="107"/>
      <c r="M142" s="1552" t="s">
        <v>111</v>
      </c>
      <c r="N142" s="1553"/>
      <c r="O142" s="107"/>
      <c r="P142" s="107"/>
      <c r="Q142" s="47"/>
      <c r="R142" s="47"/>
      <c r="S142" s="47"/>
      <c r="T142" s="47"/>
      <c r="U142" s="47"/>
      <c r="V142" s="47"/>
      <c r="W142" s="47"/>
      <c r="X142" s="47"/>
      <c r="Y142" s="47"/>
      <c r="Z142" s="47"/>
      <c r="AA142" s="47"/>
      <c r="AB142" s="47"/>
      <c r="AC142" s="47"/>
      <c r="AD142" s="47"/>
      <c r="AE142" s="47"/>
      <c r="AF142" s="47"/>
      <c r="AG142" s="47"/>
      <c r="AH142" s="47"/>
    </row>
    <row r="143" spans="1:34" x14ac:dyDescent="0.3">
      <c r="A143" s="112" t="s">
        <v>84</v>
      </c>
      <c r="B143" s="112" t="s">
        <v>611</v>
      </c>
      <c r="C143" s="333"/>
      <c r="D143" s="721">
        <v>2</v>
      </c>
      <c r="E143" s="109" t="str">
        <f>_xlfn.XLOOKUP(B143,$B$258:$B$304,$E$258:$E$304)</f>
        <v>OK</v>
      </c>
      <c r="F143" s="109" t="str">
        <f t="shared" si="103"/>
        <v>OK</v>
      </c>
      <c r="G143" s="59"/>
      <c r="H143" s="108"/>
      <c r="I143" s="109"/>
      <c r="J143" s="109"/>
      <c r="K143" s="109"/>
      <c r="L143" s="110"/>
      <c r="M143" s="1554" t="s">
        <v>111</v>
      </c>
      <c r="N143" s="1555"/>
      <c r="O143" s="110"/>
      <c r="P143" s="110"/>
      <c r="Q143" s="47"/>
      <c r="R143" s="47"/>
      <c r="S143" s="47"/>
      <c r="T143" s="47"/>
      <c r="U143" s="47"/>
      <c r="V143" s="47"/>
      <c r="W143" s="47"/>
      <c r="X143" s="47"/>
      <c r="Y143" s="47"/>
      <c r="Z143" s="47"/>
      <c r="AA143" s="47"/>
      <c r="AB143" s="47"/>
      <c r="AC143" s="47"/>
      <c r="AD143" s="47"/>
      <c r="AE143" s="47"/>
      <c r="AF143" s="47"/>
      <c r="AG143" s="47"/>
      <c r="AH143" s="47"/>
    </row>
    <row r="144" spans="1:34" x14ac:dyDescent="0.3">
      <c r="A144" s="753" t="s">
        <v>84</v>
      </c>
      <c r="B144" s="753" t="s">
        <v>614</v>
      </c>
      <c r="C144" s="751"/>
      <c r="D144" s="754">
        <v>2</v>
      </c>
      <c r="E144" s="798" t="s">
        <v>1706</v>
      </c>
      <c r="F144" s="798" t="str">
        <f t="shared" si="103"/>
        <v>Não Ok</v>
      </c>
      <c r="G144" s="59"/>
      <c r="H144" s="105"/>
      <c r="I144" s="106"/>
      <c r="J144" s="106"/>
      <c r="K144" s="106"/>
      <c r="L144" s="107"/>
      <c r="M144" s="1552" t="s">
        <v>111</v>
      </c>
      <c r="N144" s="1553"/>
      <c r="O144" s="107"/>
      <c r="P144" s="107"/>
      <c r="Q144" s="47"/>
      <c r="R144" s="47"/>
      <c r="S144" s="47"/>
      <c r="T144" s="47"/>
      <c r="U144" s="47"/>
      <c r="V144" s="47"/>
      <c r="W144" s="47"/>
      <c r="X144" s="47"/>
      <c r="Y144" s="47"/>
      <c r="Z144" s="47"/>
      <c r="AA144" s="47"/>
      <c r="AB144" s="47"/>
      <c r="AC144" s="47"/>
      <c r="AD144" s="47"/>
      <c r="AE144" s="47"/>
      <c r="AF144" s="47"/>
      <c r="AG144" s="47"/>
      <c r="AH144" s="47"/>
    </row>
    <row r="145" spans="1:34" x14ac:dyDescent="0.3">
      <c r="A145" s="112" t="s">
        <v>84</v>
      </c>
      <c r="B145" s="112" t="s">
        <v>617</v>
      </c>
      <c r="C145" s="333"/>
      <c r="D145" s="721">
        <v>2</v>
      </c>
      <c r="E145" s="109" t="s">
        <v>488</v>
      </c>
      <c r="F145" s="109" t="str">
        <f t="shared" si="103"/>
        <v>Não Ok</v>
      </c>
      <c r="G145" s="59"/>
      <c r="H145" s="108"/>
      <c r="I145" s="109"/>
      <c r="J145" s="109"/>
      <c r="K145" s="109"/>
      <c r="L145" s="110"/>
      <c r="M145" s="1554" t="s">
        <v>111</v>
      </c>
      <c r="N145" s="1555"/>
      <c r="O145" s="110"/>
      <c r="P145" s="110"/>
      <c r="Q145" s="47"/>
      <c r="R145" s="47"/>
      <c r="S145" s="47"/>
      <c r="T145" s="47"/>
      <c r="U145" s="47"/>
      <c r="V145" s="47"/>
      <c r="W145" s="47"/>
      <c r="X145" s="47"/>
      <c r="Y145" s="47"/>
      <c r="Z145" s="47"/>
      <c r="AA145" s="47"/>
      <c r="AB145" s="47"/>
      <c r="AC145" s="47"/>
      <c r="AD145" s="47"/>
      <c r="AE145" s="47"/>
      <c r="AF145" s="47"/>
      <c r="AG145" s="47"/>
      <c r="AH145" s="47"/>
    </row>
    <row r="146" spans="1:34" x14ac:dyDescent="0.3">
      <c r="A146" s="753" t="s">
        <v>84</v>
      </c>
      <c r="B146" s="753" t="s">
        <v>621</v>
      </c>
      <c r="C146" s="751"/>
      <c r="D146" s="754">
        <v>2</v>
      </c>
      <c r="E146" s="798" t="s">
        <v>287</v>
      </c>
      <c r="F146" s="798" t="str">
        <f t="shared" si="103"/>
        <v>Não Ok</v>
      </c>
      <c r="G146" s="59"/>
      <c r="H146" s="105"/>
      <c r="I146" s="106"/>
      <c r="J146" s="106"/>
      <c r="K146" s="106"/>
      <c r="L146" s="107"/>
      <c r="M146" s="1552" t="s">
        <v>111</v>
      </c>
      <c r="N146" s="1553"/>
      <c r="O146" s="107"/>
      <c r="P146" s="107"/>
      <c r="Q146" s="47"/>
      <c r="R146" s="47"/>
      <c r="S146" s="47"/>
      <c r="T146" s="47"/>
      <c r="U146" s="47"/>
      <c r="V146" s="47"/>
      <c r="W146" s="47"/>
      <c r="X146" s="47"/>
      <c r="Y146" s="47"/>
      <c r="Z146" s="47"/>
      <c r="AA146" s="47"/>
      <c r="AB146" s="47"/>
      <c r="AC146" s="47"/>
      <c r="AD146" s="47"/>
      <c r="AE146" s="47"/>
      <c r="AF146" s="47"/>
      <c r="AG146" s="47"/>
      <c r="AH146" s="47"/>
    </row>
    <row r="147" spans="1:34" x14ac:dyDescent="0.3">
      <c r="A147" s="112" t="s">
        <v>84</v>
      </c>
      <c r="B147" s="112" t="s">
        <v>624</v>
      </c>
      <c r="C147" s="333"/>
      <c r="D147" s="721">
        <v>2</v>
      </c>
      <c r="E147" s="109" t="s">
        <v>287</v>
      </c>
      <c r="F147" s="109" t="str">
        <f t="shared" si="103"/>
        <v>Não Ok</v>
      </c>
      <c r="G147" s="59"/>
      <c r="H147" s="108"/>
      <c r="I147" s="109"/>
      <c r="J147" s="109"/>
      <c r="K147" s="109"/>
      <c r="L147" s="110"/>
      <c r="M147" s="1554" t="s">
        <v>111</v>
      </c>
      <c r="N147" s="1555"/>
      <c r="O147" s="110"/>
      <c r="P147" s="110"/>
      <c r="Q147" s="47"/>
      <c r="R147" s="47"/>
      <c r="S147" s="47"/>
      <c r="T147" s="47"/>
      <c r="U147" s="47"/>
      <c r="V147" s="47"/>
      <c r="W147" s="47"/>
      <c r="X147" s="47"/>
      <c r="Y147" s="47"/>
      <c r="Z147" s="47"/>
      <c r="AA147" s="47"/>
      <c r="AB147" s="47"/>
      <c r="AC147" s="47"/>
      <c r="AD147" s="47"/>
      <c r="AE147" s="47"/>
      <c r="AF147" s="47"/>
      <c r="AG147" s="47"/>
      <c r="AH147" s="47"/>
    </row>
    <row r="148" spans="1:34" ht="15.6" x14ac:dyDescent="0.3">
      <c r="A148" s="753" t="s">
        <v>84</v>
      </c>
      <c r="B148" s="753" t="s">
        <v>627</v>
      </c>
      <c r="C148" s="751"/>
      <c r="D148" s="754">
        <v>2</v>
      </c>
      <c r="E148" s="798" t="str">
        <f>_xlfn.XLOOKUP(B148,$B$258:$B$304,$E$258:$E$304)</f>
        <v>OK</v>
      </c>
      <c r="F148" s="798" t="str">
        <f t="shared" si="103"/>
        <v>OK</v>
      </c>
      <c r="G148" s="59"/>
      <c r="H148" s="155"/>
      <c r="I148" s="104">
        <f>COUNTIF(I128:I147,"OK")/(COUNTIF(I128:I147,"OK")+COUNTIF(I128:I147,"Não OK"))</f>
        <v>0.30769230769230771</v>
      </c>
      <c r="J148" s="472">
        <f>COUNTIF(J128:J147,"OK")/(COUNTIF(J128:J147,"OK")+COUNTIF(J128:J147,"Não OK"))</f>
        <v>0.15384615384615385</v>
      </c>
      <c r="K148" s="472">
        <f>COUNTIF(K128:K147,"OK")/(COUNTIF(K128:K147,"OK")+COUNTIF(K128:K147,"Não OK"))</f>
        <v>0</v>
      </c>
      <c r="L148" s="104">
        <f>AVERAGE(L128:L147)</f>
        <v>0.15384615230769233</v>
      </c>
      <c r="M148" s="590"/>
      <c r="N148" s="590"/>
      <c r="O148" s="104"/>
      <c r="P148" s="104"/>
      <c r="Q148" s="47"/>
      <c r="R148" s="47"/>
      <c r="S148" s="47"/>
      <c r="T148" s="47"/>
      <c r="U148" s="47"/>
      <c r="V148" s="47"/>
      <c r="W148" s="47"/>
      <c r="X148" s="47"/>
      <c r="Y148" s="47"/>
      <c r="Z148" s="47"/>
      <c r="AA148" s="47"/>
      <c r="AB148" s="47"/>
      <c r="AC148" s="47"/>
      <c r="AD148" s="47"/>
      <c r="AE148" s="47"/>
      <c r="AF148" s="47"/>
      <c r="AG148" s="47"/>
      <c r="AH148" s="47"/>
    </row>
    <row r="149" spans="1:34" x14ac:dyDescent="0.3">
      <c r="A149" s="112" t="s">
        <v>84</v>
      </c>
      <c r="B149" s="112" t="s">
        <v>630</v>
      </c>
      <c r="C149" s="333"/>
      <c r="D149" s="721">
        <v>2</v>
      </c>
      <c r="E149" s="109" t="s">
        <v>488</v>
      </c>
      <c r="F149" s="109" t="str">
        <f t="shared" si="103"/>
        <v>Não Ok</v>
      </c>
      <c r="G149" s="59"/>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row>
    <row r="150" spans="1:34" ht="14.85" customHeight="1" x14ac:dyDescent="0.3">
      <c r="A150" s="753" t="s">
        <v>84</v>
      </c>
      <c r="B150" s="753" t="s">
        <v>634</v>
      </c>
      <c r="C150" s="751"/>
      <c r="D150" s="754">
        <v>2</v>
      </c>
      <c r="E150" s="798" t="s">
        <v>488</v>
      </c>
      <c r="F150" s="798" t="str">
        <f t="shared" si="103"/>
        <v>OK</v>
      </c>
      <c r="G150" s="59"/>
      <c r="H150" s="395" t="s">
        <v>671</v>
      </c>
      <c r="I150" s="395"/>
      <c r="J150" s="395"/>
      <c r="K150" s="395"/>
      <c r="L150" s="99"/>
      <c r="M150" s="99"/>
      <c r="N150" s="99"/>
      <c r="O150" s="396"/>
      <c r="P150" s="47"/>
      <c r="Q150" s="47"/>
      <c r="R150" s="47"/>
      <c r="S150" s="47"/>
      <c r="T150" s="47"/>
      <c r="U150" s="47"/>
      <c r="V150" s="47"/>
      <c r="W150" s="47"/>
      <c r="X150" s="47"/>
      <c r="Y150" s="47"/>
      <c r="Z150" s="47"/>
      <c r="AA150" s="47"/>
      <c r="AB150" s="47"/>
      <c r="AC150" s="47"/>
      <c r="AD150" s="47"/>
      <c r="AE150" s="47"/>
      <c r="AF150" s="47"/>
      <c r="AG150" s="47"/>
      <c r="AH150" s="47"/>
    </row>
    <row r="151" spans="1:34" ht="14.85" customHeight="1" x14ac:dyDescent="0.3">
      <c r="A151" s="112" t="s">
        <v>84</v>
      </c>
      <c r="B151" s="112" t="s">
        <v>636</v>
      </c>
      <c r="C151" s="333"/>
      <c r="D151" s="721">
        <v>2</v>
      </c>
      <c r="E151" s="109" t="s">
        <v>488</v>
      </c>
      <c r="F151" s="109" t="str">
        <f t="shared" si="103"/>
        <v>OK</v>
      </c>
      <c r="G151" s="47"/>
      <c r="H151" s="335" t="s">
        <v>72</v>
      </c>
      <c r="I151" s="335" t="s">
        <v>73</v>
      </c>
      <c r="J151" s="335" t="s">
        <v>75</v>
      </c>
      <c r="K151" s="335" t="s">
        <v>74</v>
      </c>
      <c r="L151" s="335" t="s">
        <v>73</v>
      </c>
      <c r="M151" s="335" t="s">
        <v>74</v>
      </c>
      <c r="N151" s="335" t="s">
        <v>75</v>
      </c>
      <c r="O151" s="396"/>
      <c r="P151" s="47"/>
      <c r="Q151" s="47"/>
      <c r="R151" s="47"/>
      <c r="S151" s="47"/>
      <c r="T151" s="47"/>
      <c r="U151" s="47"/>
      <c r="V151" s="47"/>
      <c r="W151" s="47"/>
      <c r="X151" s="47"/>
      <c r="Y151" s="47"/>
      <c r="Z151" s="47"/>
      <c r="AA151" s="47"/>
      <c r="AB151" s="47"/>
      <c r="AC151" s="47"/>
      <c r="AD151" s="47"/>
      <c r="AE151" s="47"/>
      <c r="AF151" s="47"/>
      <c r="AG151" s="47"/>
      <c r="AH151" s="47"/>
    </row>
    <row r="152" spans="1:34" x14ac:dyDescent="0.3">
      <c r="A152" s="753" t="s">
        <v>84</v>
      </c>
      <c r="B152" s="753" t="s">
        <v>639</v>
      </c>
      <c r="C152" s="751"/>
      <c r="D152" s="754">
        <v>2</v>
      </c>
      <c r="E152" s="798" t="s">
        <v>488</v>
      </c>
      <c r="F152" s="798" t="str">
        <f t="shared" si="103"/>
        <v>Não Ok</v>
      </c>
      <c r="G152" s="47"/>
      <c r="H152" s="750" t="s">
        <v>78</v>
      </c>
      <c r="I152" s="320">
        <f>COUNTIFS($E$127:$E$154,"OK",$A$127:$A$154,H152)</f>
        <v>4</v>
      </c>
      <c r="J152" s="320">
        <f>COUNTIF($A$127:$A$154,H152)</f>
        <v>4</v>
      </c>
      <c r="K152" s="320">
        <f>COUNTIFS($A$127:$A$154,H152,$F$127:$F$154,"OK")</f>
        <v>1</v>
      </c>
      <c r="L152" s="322">
        <f>IF(I152=0,"0",I152/J152)</f>
        <v>1</v>
      </c>
      <c r="M152" s="322">
        <f>IF(K152=0,"0",K152/J152)</f>
        <v>0.25</v>
      </c>
      <c r="N152" s="342">
        <v>1</v>
      </c>
      <c r="O152" s="396"/>
      <c r="P152" s="47"/>
      <c r="Q152" s="47"/>
      <c r="R152" s="47"/>
      <c r="S152" s="47"/>
      <c r="T152" s="47"/>
      <c r="U152" s="47"/>
      <c r="V152" s="47"/>
      <c r="W152" s="47"/>
      <c r="X152" s="47"/>
      <c r="Y152" s="47"/>
      <c r="Z152" s="47"/>
      <c r="AA152" s="47"/>
      <c r="AB152" s="47"/>
      <c r="AC152" s="47"/>
      <c r="AD152" s="47"/>
      <c r="AE152" s="47"/>
      <c r="AF152" s="47"/>
      <c r="AG152" s="47"/>
      <c r="AH152" s="47"/>
    </row>
    <row r="153" spans="1:34" x14ac:dyDescent="0.3">
      <c r="A153" s="112" t="s">
        <v>84</v>
      </c>
      <c r="B153" s="112" t="s">
        <v>642</v>
      </c>
      <c r="C153" s="333"/>
      <c r="D153" s="721">
        <v>2</v>
      </c>
      <c r="E153" s="752" t="s">
        <v>488</v>
      </c>
      <c r="F153" s="109" t="str">
        <f t="shared" si="103"/>
        <v>Não Ok</v>
      </c>
      <c r="G153" s="47"/>
      <c r="H153" s="756" t="s">
        <v>81</v>
      </c>
      <c r="I153" s="768">
        <f>COUNTIFS($E$127:$E$154,"OK",$A$127:$A$154,H153)</f>
        <v>11</v>
      </c>
      <c r="J153" s="768">
        <f>COUNTIF($A$127:$A$154,H153)</f>
        <v>12</v>
      </c>
      <c r="K153" s="768">
        <f>COUNTIFS($A$127:$A$154,H153,$F$127:$F$154,"OK")</f>
        <v>5</v>
      </c>
      <c r="L153" s="769">
        <f>IF(I153=0,"0",I153/J153)</f>
        <v>0.91666666666666663</v>
      </c>
      <c r="M153" s="769">
        <f>IF(K153=0,"0",K153/J153)</f>
        <v>0.41666666666666669</v>
      </c>
      <c r="N153" s="770">
        <v>1</v>
      </c>
      <c r="O153" s="396"/>
      <c r="P153" s="47"/>
      <c r="Q153" s="47"/>
      <c r="R153" s="47"/>
      <c r="S153" s="47"/>
      <c r="T153" s="47"/>
      <c r="U153" s="47"/>
      <c r="V153" s="47"/>
      <c r="W153" s="47"/>
      <c r="X153" s="47"/>
      <c r="Y153" s="47"/>
      <c r="Z153" s="47"/>
      <c r="AA153" s="47"/>
      <c r="AB153" s="47"/>
      <c r="AC153" s="47"/>
      <c r="AD153" s="47"/>
      <c r="AE153" s="47"/>
      <c r="AF153" s="47"/>
      <c r="AG153" s="47"/>
      <c r="AH153" s="47"/>
    </row>
    <row r="154" spans="1:34" ht="14.85" customHeight="1" x14ac:dyDescent="0.3">
      <c r="A154" s="753" t="s">
        <v>78</v>
      </c>
      <c r="B154" s="753" t="s">
        <v>645</v>
      </c>
      <c r="C154" s="751"/>
      <c r="D154" s="754">
        <v>3</v>
      </c>
      <c r="E154" s="798" t="s">
        <v>287</v>
      </c>
      <c r="F154" s="798" t="str">
        <f t="shared" si="103"/>
        <v>Não Ok</v>
      </c>
      <c r="G154" s="47"/>
      <c r="H154" s="352" t="s">
        <v>84</v>
      </c>
      <c r="I154" s="320">
        <f>COUNTIFS($E$127:$E$154,"OK",$A$127:$A$154,H154)</f>
        <v>5</v>
      </c>
      <c r="J154" s="320">
        <f>COUNTIF($A$127:$A$154,H154)</f>
        <v>11</v>
      </c>
      <c r="K154" s="320">
        <f t="shared" ref="K154:K155" si="109">COUNTIFS($A$127:$A$154,H154,$F$127:$F$154,"OK")</f>
        <v>4</v>
      </c>
      <c r="L154" s="322">
        <f>IF(I154=0,"0",I154/J154)</f>
        <v>0.45454545454545453</v>
      </c>
      <c r="M154" s="322">
        <f>IF(K154=0,"0",K154/J154)</f>
        <v>0.36363636363636365</v>
      </c>
      <c r="N154" s="342">
        <v>1</v>
      </c>
      <c r="O154" s="396"/>
      <c r="P154" s="47"/>
      <c r="Q154" s="47"/>
      <c r="R154" s="47"/>
      <c r="S154" s="47"/>
      <c r="T154" s="47"/>
      <c r="U154" s="47"/>
      <c r="V154" s="47"/>
      <c r="W154" s="47"/>
      <c r="X154" s="47"/>
      <c r="Y154" s="47"/>
      <c r="Z154" s="47"/>
      <c r="AA154" s="47"/>
      <c r="AB154" s="47"/>
      <c r="AC154" s="47"/>
      <c r="AD154" s="47"/>
      <c r="AE154" s="47"/>
      <c r="AF154" s="47"/>
      <c r="AG154" s="47"/>
      <c r="AH154" s="47"/>
    </row>
    <row r="155" spans="1:34" ht="21" x14ac:dyDescent="0.3">
      <c r="A155" s="100"/>
      <c r="B155" s="100"/>
      <c r="C155" s="100"/>
      <c r="D155" s="113"/>
      <c r="E155" s="113">
        <f>(COUNTIF(E127:E154,"OK")+COUNTIF(E127:E154,"N/A"))/28</f>
        <v>0.75</v>
      </c>
      <c r="F155" s="113">
        <f>(COUNTIF(F127:F154,"OK"))/28</f>
        <v>0.35714285714285715</v>
      </c>
      <c r="G155" s="47"/>
      <c r="H155" s="756" t="s">
        <v>86</v>
      </c>
      <c r="I155" s="768">
        <f>COUNTIFS($E$127:$E$154,"OK",$A$127:$A$154,H155)</f>
        <v>1</v>
      </c>
      <c r="J155" s="768">
        <f>COUNTIF($A$127:$A$154,H155)</f>
        <v>1</v>
      </c>
      <c r="K155" s="768">
        <f t="shared" si="109"/>
        <v>0</v>
      </c>
      <c r="L155" s="769">
        <f>IF(I155=0,"0",I155/J155)</f>
        <v>1</v>
      </c>
      <c r="M155" s="769" t="str">
        <f>IF(K155=0,"0",K155/J155)</f>
        <v>0</v>
      </c>
      <c r="N155" s="770">
        <v>1</v>
      </c>
      <c r="O155" s="396"/>
      <c r="P155" s="47"/>
      <c r="Q155" s="47"/>
      <c r="R155" s="47"/>
      <c r="S155" s="47"/>
      <c r="T155" s="47"/>
      <c r="U155" s="47"/>
      <c r="V155" s="47"/>
      <c r="W155" s="47"/>
      <c r="X155" s="47"/>
      <c r="Y155" s="47"/>
      <c r="Z155" s="47"/>
      <c r="AA155" s="47"/>
      <c r="AB155" s="47"/>
      <c r="AC155" s="47"/>
      <c r="AD155" s="47"/>
      <c r="AE155" s="47"/>
      <c r="AF155" s="47"/>
      <c r="AG155" s="47"/>
      <c r="AH155" s="47"/>
    </row>
    <row r="156" spans="1:34" x14ac:dyDescent="0.3">
      <c r="G156" s="47"/>
      <c r="H156" s="552"/>
      <c r="I156" s="396"/>
      <c r="J156" s="396"/>
      <c r="K156" s="396"/>
      <c r="L156" s="396"/>
      <c r="M156" s="396"/>
      <c r="N156" s="396"/>
      <c r="O156" s="396"/>
      <c r="P156" s="47"/>
      <c r="Q156" s="47"/>
      <c r="R156" s="47"/>
      <c r="S156" s="47"/>
      <c r="T156" s="47"/>
      <c r="U156" s="47"/>
      <c r="V156" s="47"/>
      <c r="W156" s="47"/>
      <c r="X156" s="47"/>
      <c r="Y156" s="47"/>
      <c r="Z156" s="47"/>
      <c r="AA156" s="47"/>
      <c r="AB156" s="47"/>
      <c r="AC156" s="47"/>
      <c r="AD156" s="47"/>
      <c r="AE156" s="47"/>
      <c r="AF156" s="47"/>
      <c r="AG156" s="47"/>
      <c r="AH156" s="47"/>
    </row>
    <row r="157" spans="1:34" x14ac:dyDescent="0.3">
      <c r="G157" s="47"/>
      <c r="H157" s="335" t="s">
        <v>662</v>
      </c>
      <c r="I157" s="335" t="s">
        <v>663</v>
      </c>
      <c r="J157" s="335" t="s">
        <v>664</v>
      </c>
      <c r="K157" s="335" t="s">
        <v>665</v>
      </c>
      <c r="L157" s="335" t="s">
        <v>666</v>
      </c>
      <c r="M157" s="335" t="s">
        <v>667</v>
      </c>
      <c r="N157" s="335" t="s">
        <v>668</v>
      </c>
      <c r="O157" s="335" t="s">
        <v>669</v>
      </c>
      <c r="P157" s="335" t="s">
        <v>670</v>
      </c>
      <c r="Q157" s="47"/>
      <c r="R157" s="47"/>
      <c r="S157" s="47"/>
      <c r="T157" s="47"/>
      <c r="U157" s="47"/>
      <c r="V157" s="47"/>
      <c r="W157" s="47"/>
      <c r="X157" s="47"/>
      <c r="Y157" s="47"/>
      <c r="Z157" s="47"/>
      <c r="AA157" s="47"/>
      <c r="AB157" s="47"/>
      <c r="AC157" s="47"/>
      <c r="AD157" s="47"/>
      <c r="AE157" s="47"/>
      <c r="AF157" s="47"/>
      <c r="AG157" s="47"/>
      <c r="AH157" s="47"/>
    </row>
    <row r="158" spans="1:34" x14ac:dyDescent="0.3">
      <c r="G158" s="47"/>
      <c r="H158" s="320">
        <v>1</v>
      </c>
      <c r="I158" s="320">
        <f>COUNTIF($D$127:$D$154,H158)</f>
        <v>13</v>
      </c>
      <c r="J158" s="320">
        <f>COUNTIFS($D$127:$D$154,H158,E127:E154,"OK")</f>
        <v>13</v>
      </c>
      <c r="K158" s="323">
        <f>COUNTIFS($D$127:$D$154,H158,E127:E154,"NOK")</f>
        <v>0</v>
      </c>
      <c r="L158" s="322">
        <f>COUNTIFS(E127:E154,"OK",D127:D154,H158)/I158</f>
        <v>1</v>
      </c>
      <c r="M158" s="320">
        <f>COUNTIFS($F$127:$F$173,"OK",$D$127:$D$173,H158)</f>
        <v>5</v>
      </c>
      <c r="N158" s="320">
        <f>COUNTIFS($F$127:$F$154,"NOK",$D$127:$D$154,H158)</f>
        <v>0</v>
      </c>
      <c r="O158" s="322">
        <f>J158/I158</f>
        <v>1</v>
      </c>
      <c r="P158" s="321">
        <v>46142</v>
      </c>
      <c r="Q158" s="47"/>
      <c r="R158" s="47"/>
      <c r="S158" s="47"/>
      <c r="T158" s="47"/>
      <c r="U158" s="47"/>
      <c r="V158" s="47"/>
      <c r="W158" s="47"/>
      <c r="X158" s="47"/>
      <c r="Y158" s="47"/>
      <c r="Z158" s="47"/>
      <c r="AA158" s="47"/>
      <c r="AB158" s="47"/>
      <c r="AC158" s="47"/>
      <c r="AD158" s="47"/>
      <c r="AE158" s="47"/>
      <c r="AF158" s="47"/>
      <c r="AG158" s="47"/>
      <c r="AH158" s="47"/>
    </row>
    <row r="159" spans="1:34" x14ac:dyDescent="0.3">
      <c r="G159" s="47"/>
      <c r="H159" s="768">
        <v>2</v>
      </c>
      <c r="I159" s="768">
        <f>COUNTIF($D$127:$D$154,H159)</f>
        <v>14</v>
      </c>
      <c r="J159" s="768">
        <f>COUNTIFS($D$127:$D$154,H159,E127:E154,"OK")</f>
        <v>7</v>
      </c>
      <c r="K159" s="768">
        <f>COUNTIFS($D$127:$D$154,H159,E127:E154,"NOK")</f>
        <v>7</v>
      </c>
      <c r="L159" s="769">
        <f>COUNTIFS(E128:E174,"OK",D128:D174,H159)/I159</f>
        <v>0.5</v>
      </c>
      <c r="M159" s="768">
        <f t="shared" ref="M159:M160" si="110">COUNTIFS($F$127:$F$173,"OK",$D$127:$D$173,H159)</f>
        <v>5</v>
      </c>
      <c r="N159" s="768">
        <f>COUNTIFS($F$127:$F$154,"NOK",$D$127:$D$154,H159)</f>
        <v>0</v>
      </c>
      <c r="O159" s="769">
        <f t="shared" ref="O159" si="111">J159/I159</f>
        <v>0.5</v>
      </c>
      <c r="P159" s="359">
        <v>46172</v>
      </c>
      <c r="Q159" s="47"/>
      <c r="R159" s="47"/>
      <c r="S159" s="47"/>
      <c r="T159" s="47"/>
      <c r="U159" s="47"/>
      <c r="V159" s="47"/>
      <c r="W159" s="47"/>
      <c r="X159" s="47"/>
      <c r="Y159" s="47"/>
      <c r="Z159" s="47"/>
      <c r="AA159" s="47"/>
      <c r="AB159" s="47"/>
      <c r="AC159" s="47"/>
      <c r="AD159" s="47"/>
      <c r="AE159" s="47"/>
      <c r="AF159" s="47"/>
      <c r="AG159" s="47"/>
      <c r="AH159" s="47"/>
    </row>
    <row r="160" spans="1:34" x14ac:dyDescent="0.3">
      <c r="G160" s="47"/>
      <c r="H160" s="320">
        <v>3</v>
      </c>
      <c r="I160" s="320">
        <f>COUNTIF($D$127:$D$154,H160)</f>
        <v>1</v>
      </c>
      <c r="J160" s="320">
        <f>COUNTIFS($D$127:$D$154,H160,E127:E154,"OK")</f>
        <v>1</v>
      </c>
      <c r="K160" s="323">
        <f>COUNTIFS($D$127:$D$154,H160,E127:E154,"NOK")</f>
        <v>0</v>
      </c>
      <c r="L160" s="322">
        <f>COUNTIFS(E129:E175,"OK",D129:D175,H160)/I160</f>
        <v>1</v>
      </c>
      <c r="M160" s="320">
        <f t="shared" si="110"/>
        <v>0</v>
      </c>
      <c r="N160" s="320">
        <f>COUNTIFS($F$127:$F$154,"NOK",$D$127:$D$154,H160)</f>
        <v>0</v>
      </c>
      <c r="O160" s="322">
        <f>J160/I160</f>
        <v>1</v>
      </c>
      <c r="P160" s="321">
        <v>46203</v>
      </c>
      <c r="Q160" s="47"/>
      <c r="R160" s="47"/>
      <c r="S160" s="47"/>
      <c r="T160" s="47"/>
      <c r="U160" s="47"/>
      <c r="V160" s="47"/>
      <c r="W160" s="47"/>
      <c r="X160" s="47"/>
      <c r="Y160" s="47"/>
      <c r="Z160" s="47"/>
      <c r="AA160" s="47"/>
      <c r="AB160" s="47"/>
      <c r="AC160" s="47"/>
      <c r="AD160" s="47"/>
      <c r="AE160" s="47"/>
      <c r="AF160" s="47"/>
      <c r="AG160" s="47"/>
      <c r="AH160" s="47"/>
    </row>
    <row r="161" spans="1:34" x14ac:dyDescent="0.3">
      <c r="G161" s="47"/>
      <c r="H161" s="335" t="s">
        <v>133</v>
      </c>
      <c r="I161" s="335">
        <f>SUM(I158:I160)</f>
        <v>28</v>
      </c>
      <c r="J161" s="335"/>
      <c r="K161" s="335"/>
      <c r="L161" s="335"/>
      <c r="M161" s="335"/>
      <c r="N161" s="335"/>
      <c r="O161" s="335"/>
      <c r="P161" s="335"/>
      <c r="Q161" s="47"/>
      <c r="R161" s="47"/>
      <c r="S161" s="47"/>
      <c r="T161" s="47"/>
      <c r="U161" s="47"/>
      <c r="V161" s="47"/>
      <c r="W161" s="47"/>
      <c r="X161" s="47"/>
      <c r="Y161" s="47"/>
      <c r="Z161" s="47"/>
      <c r="AA161" s="47"/>
      <c r="AB161" s="47"/>
      <c r="AC161" s="47"/>
      <c r="AD161" s="47"/>
      <c r="AE161" s="47"/>
      <c r="AF161" s="47"/>
      <c r="AG161" s="47"/>
      <c r="AH161" s="47"/>
    </row>
    <row r="162" spans="1:34" x14ac:dyDescent="0.3">
      <c r="G162" s="47"/>
      <c r="H162" s="656" t="s">
        <v>1449</v>
      </c>
      <c r="P162" s="47"/>
      <c r="Q162" s="47"/>
      <c r="R162" s="47"/>
      <c r="S162" s="47"/>
      <c r="T162" s="47"/>
      <c r="U162" s="47"/>
      <c r="V162" s="47"/>
      <c r="W162" s="47"/>
      <c r="X162" s="47"/>
      <c r="Y162" s="47"/>
      <c r="Z162" s="47"/>
      <c r="AA162" s="47"/>
      <c r="AB162" s="47"/>
      <c r="AC162" s="47"/>
      <c r="AD162" s="47"/>
      <c r="AE162" s="47"/>
      <c r="AF162" s="47"/>
      <c r="AG162" s="47"/>
      <c r="AH162" s="47"/>
    </row>
    <row r="163" spans="1:34" x14ac:dyDescent="0.3">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row>
    <row r="164" spans="1:34" x14ac:dyDescent="0.3">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row>
    <row r="165" spans="1:34" x14ac:dyDescent="0.3">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row>
    <row r="166" spans="1:34" x14ac:dyDescent="0.3">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row>
    <row r="167" spans="1:34" x14ac:dyDescent="0.3">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row>
    <row r="168" spans="1:34" x14ac:dyDescent="0.3">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row>
    <row r="169" spans="1:34" x14ac:dyDescent="0.3">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row>
    <row r="170" spans="1:34" x14ac:dyDescent="0.3">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row>
    <row r="171" spans="1:34" x14ac:dyDescent="0.3">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row>
    <row r="172" spans="1:34" x14ac:dyDescent="0.3">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row>
    <row r="173" spans="1:34" x14ac:dyDescent="0.3">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row>
    <row r="174" spans="1:34" x14ac:dyDescent="0.3">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row>
    <row r="175" spans="1:34" x14ac:dyDescent="0.3">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row>
    <row r="176" spans="1:34" ht="21" x14ac:dyDescent="0.3">
      <c r="A176" s="548" t="s">
        <v>672</v>
      </c>
      <c r="B176" s="548" t="s">
        <v>673</v>
      </c>
      <c r="C176" s="548" t="s">
        <v>674</v>
      </c>
      <c r="D176" s="548" t="s">
        <v>675</v>
      </c>
      <c r="E176" s="548" t="s">
        <v>676</v>
      </c>
      <c r="F176" s="565"/>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row>
    <row r="177" spans="1:33" x14ac:dyDescent="0.3">
      <c r="A177" s="550" t="s">
        <v>1575</v>
      </c>
      <c r="B177" s="550" t="s">
        <v>1707</v>
      </c>
      <c r="C177" s="550" t="s">
        <v>1708</v>
      </c>
      <c r="D177" s="550" t="s">
        <v>1709</v>
      </c>
      <c r="E177" s="5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row>
    <row r="178" spans="1:33" x14ac:dyDescent="0.3">
      <c r="A178" s="551" t="s">
        <v>1575</v>
      </c>
      <c r="B178" s="551" t="s">
        <v>1710</v>
      </c>
      <c r="C178" s="551" t="s">
        <v>1711</v>
      </c>
      <c r="D178" s="551" t="s">
        <v>1709</v>
      </c>
      <c r="E178" s="549"/>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row>
    <row r="179" spans="1:33" x14ac:dyDescent="0.3">
      <c r="A179" s="550" t="s">
        <v>1575</v>
      </c>
      <c r="B179" s="550" t="s">
        <v>1712</v>
      </c>
      <c r="C179" s="550" t="s">
        <v>1713</v>
      </c>
      <c r="D179" s="550" t="s">
        <v>1578</v>
      </c>
      <c r="E179" s="5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row>
    <row r="180" spans="1:33" x14ac:dyDescent="0.3">
      <c r="A180" s="551" t="s">
        <v>1575</v>
      </c>
      <c r="B180" s="551" t="s">
        <v>1714</v>
      </c>
      <c r="C180" s="551" t="s">
        <v>1715</v>
      </c>
      <c r="D180" s="551" t="s">
        <v>1709</v>
      </c>
      <c r="E180" s="549"/>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row>
    <row r="181" spans="1:33" x14ac:dyDescent="0.3">
      <c r="A181" s="550" t="s">
        <v>1575</v>
      </c>
      <c r="B181" s="550" t="s">
        <v>1716</v>
      </c>
      <c r="C181" s="550" t="s">
        <v>1717</v>
      </c>
      <c r="D181" s="550" t="s">
        <v>1709</v>
      </c>
      <c r="E181" s="5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row>
    <row r="182" spans="1:33" x14ac:dyDescent="0.3">
      <c r="A182" s="551" t="s">
        <v>1575</v>
      </c>
      <c r="B182" s="551" t="s">
        <v>1718</v>
      </c>
      <c r="C182" s="551" t="s">
        <v>1719</v>
      </c>
      <c r="D182" s="551" t="s">
        <v>1709</v>
      </c>
      <c r="E182" s="549"/>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row>
    <row r="183" spans="1:33" x14ac:dyDescent="0.3">
      <c r="A183" s="550" t="s">
        <v>1575</v>
      </c>
      <c r="B183" s="550" t="s">
        <v>1720</v>
      </c>
      <c r="C183" s="550" t="s">
        <v>1721</v>
      </c>
      <c r="D183" s="550" t="s">
        <v>1578</v>
      </c>
      <c r="E183" s="5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row>
    <row r="184" spans="1:33" x14ac:dyDescent="0.3">
      <c r="A184" s="551" t="s">
        <v>1575</v>
      </c>
      <c r="B184" s="551" t="s">
        <v>1722</v>
      </c>
      <c r="C184" s="551" t="s">
        <v>1723</v>
      </c>
      <c r="D184" s="551" t="s">
        <v>1709</v>
      </c>
      <c r="E184" s="549"/>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row>
    <row r="185" spans="1:33" x14ac:dyDescent="0.3">
      <c r="A185" s="550" t="s">
        <v>1575</v>
      </c>
      <c r="B185" s="550" t="s">
        <v>1724</v>
      </c>
      <c r="C185" s="550" t="s">
        <v>1725</v>
      </c>
      <c r="D185" s="550" t="s">
        <v>1709</v>
      </c>
      <c r="E185" s="5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row>
    <row r="186" spans="1:33" x14ac:dyDescent="0.3">
      <c r="A186" s="551" t="s">
        <v>1575</v>
      </c>
      <c r="B186" s="551" t="s">
        <v>1726</v>
      </c>
      <c r="C186" s="551" t="s">
        <v>1727</v>
      </c>
      <c r="D186" s="551" t="s">
        <v>1709</v>
      </c>
      <c r="E186" s="549"/>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row>
    <row r="187" spans="1:33" x14ac:dyDescent="0.3">
      <c r="A187" s="550" t="s">
        <v>1575</v>
      </c>
      <c r="B187" s="550" t="s">
        <v>1728</v>
      </c>
      <c r="C187" s="550" t="s">
        <v>1729</v>
      </c>
      <c r="D187" s="550" t="s">
        <v>1578</v>
      </c>
      <c r="E187" s="5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row>
    <row r="188" spans="1:33" x14ac:dyDescent="0.3">
      <c r="A188" s="551" t="s">
        <v>1575</v>
      </c>
      <c r="B188" s="551" t="s">
        <v>1681</v>
      </c>
      <c r="C188" s="551" t="s">
        <v>1682</v>
      </c>
      <c r="D188" s="551" t="s">
        <v>1578</v>
      </c>
      <c r="E188" s="549"/>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row>
    <row r="189" spans="1:33" x14ac:dyDescent="0.3">
      <c r="A189" s="550" t="s">
        <v>1575</v>
      </c>
      <c r="B189" s="550" t="s">
        <v>1683</v>
      </c>
      <c r="C189" s="550" t="s">
        <v>1684</v>
      </c>
      <c r="D189" s="550" t="s">
        <v>1709</v>
      </c>
      <c r="E189" s="5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row>
    <row r="190" spans="1:33" x14ac:dyDescent="0.3">
      <c r="A190" s="551" t="s">
        <v>1575</v>
      </c>
      <c r="B190" s="551" t="s">
        <v>1730</v>
      </c>
      <c r="C190" s="551" t="s">
        <v>1731</v>
      </c>
      <c r="D190" s="551" t="s">
        <v>1709</v>
      </c>
      <c r="E190" s="549"/>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row>
    <row r="191" spans="1:33" x14ac:dyDescent="0.3">
      <c r="A191" s="550" t="s">
        <v>1575</v>
      </c>
      <c r="B191" s="550" t="s">
        <v>1687</v>
      </c>
      <c r="C191" s="550" t="s">
        <v>1688</v>
      </c>
      <c r="D191" s="550" t="s">
        <v>1578</v>
      </c>
      <c r="E191" s="547"/>
      <c r="F191" s="47"/>
      <c r="G191" s="47"/>
      <c r="H191" s="47"/>
      <c r="I191" s="47"/>
      <c r="J191" s="47"/>
      <c r="Q191" s="47"/>
      <c r="R191" s="47"/>
      <c r="S191" s="47"/>
      <c r="T191" s="47"/>
      <c r="U191" s="47"/>
      <c r="V191" s="47"/>
      <c r="W191" s="47"/>
      <c r="X191" s="47"/>
      <c r="Y191" s="47"/>
      <c r="Z191" s="47"/>
      <c r="AA191" s="47"/>
      <c r="AB191" s="47"/>
      <c r="AC191" s="47"/>
      <c r="AD191" s="47"/>
      <c r="AE191" s="47"/>
      <c r="AF191" s="47"/>
      <c r="AG191" s="47"/>
    </row>
    <row r="192" spans="1:33" x14ac:dyDescent="0.3">
      <c r="A192" s="551" t="s">
        <v>1575</v>
      </c>
      <c r="B192" s="551" t="s">
        <v>1697</v>
      </c>
      <c r="C192" s="551" t="s">
        <v>1732</v>
      </c>
      <c r="D192" s="551" t="s">
        <v>1578</v>
      </c>
      <c r="E192" s="549"/>
      <c r="F192" s="47"/>
      <c r="G192" s="47"/>
      <c r="H192" s="47"/>
      <c r="I192" s="47"/>
      <c r="J192" s="47"/>
      <c r="Q192" s="47"/>
      <c r="R192" s="47"/>
      <c r="S192" s="47"/>
      <c r="T192" s="47"/>
      <c r="U192" s="47"/>
      <c r="V192" s="47"/>
      <c r="W192" s="47"/>
      <c r="X192" s="47"/>
      <c r="Y192" s="47"/>
      <c r="Z192" s="47"/>
      <c r="AA192" s="47"/>
      <c r="AB192" s="47"/>
      <c r="AC192" s="47"/>
      <c r="AD192" s="47"/>
      <c r="AE192" s="47"/>
      <c r="AF192" s="47"/>
      <c r="AG192" s="47"/>
    </row>
    <row r="193" spans="1:33" x14ac:dyDescent="0.3">
      <c r="A193" s="550" t="s">
        <v>1575</v>
      </c>
      <c r="B193" s="550" t="s">
        <v>1733</v>
      </c>
      <c r="C193" s="550" t="s">
        <v>1734</v>
      </c>
      <c r="D193" s="550" t="s">
        <v>1709</v>
      </c>
      <c r="E193" s="547"/>
      <c r="F193" s="47"/>
      <c r="G193" s="47"/>
      <c r="H193" s="47"/>
      <c r="I193" s="47"/>
      <c r="J193" s="47"/>
      <c r="AG193" s="47"/>
    </row>
    <row r="194" spans="1:33" x14ac:dyDescent="0.3">
      <c r="A194" s="551" t="s">
        <v>1575</v>
      </c>
      <c r="B194" s="551" t="s">
        <v>1735</v>
      </c>
      <c r="C194" s="551" t="s">
        <v>1736</v>
      </c>
      <c r="D194" s="551" t="s">
        <v>1578</v>
      </c>
      <c r="E194" s="549"/>
      <c r="F194" s="47"/>
      <c r="G194" s="47"/>
      <c r="H194" s="47"/>
      <c r="I194" s="47"/>
      <c r="J194" s="47"/>
    </row>
    <row r="195" spans="1:33" x14ac:dyDescent="0.3">
      <c r="A195" s="550" t="s">
        <v>1575</v>
      </c>
      <c r="B195" s="550" t="s">
        <v>1737</v>
      </c>
      <c r="C195" s="550" t="s">
        <v>1738</v>
      </c>
      <c r="D195" s="550" t="s">
        <v>1709</v>
      </c>
      <c r="E195" s="547"/>
      <c r="F195" s="47"/>
      <c r="G195" s="47"/>
      <c r="H195" s="47"/>
      <c r="I195" s="47"/>
      <c r="J195" s="47"/>
    </row>
    <row r="196" spans="1:33" x14ac:dyDescent="0.3">
      <c r="A196" s="551" t="s">
        <v>1575</v>
      </c>
      <c r="B196" s="551" t="s">
        <v>1739</v>
      </c>
      <c r="C196" s="551" t="s">
        <v>1740</v>
      </c>
      <c r="D196" s="551" t="s">
        <v>1709</v>
      </c>
      <c r="E196" s="549"/>
      <c r="F196" s="47"/>
      <c r="G196" s="47"/>
      <c r="H196" s="47"/>
      <c r="I196" s="47"/>
      <c r="J196" s="47"/>
    </row>
    <row r="197" spans="1:33" x14ac:dyDescent="0.3">
      <c r="A197" s="550" t="s">
        <v>1575</v>
      </c>
      <c r="B197" s="550" t="s">
        <v>1741</v>
      </c>
      <c r="C197" s="550" t="s">
        <v>1742</v>
      </c>
      <c r="D197" s="550" t="s">
        <v>1709</v>
      </c>
      <c r="E197" s="547"/>
      <c r="F197" s="47"/>
      <c r="G197" s="47"/>
      <c r="H197" s="47"/>
      <c r="I197" s="47"/>
      <c r="J197" s="47"/>
    </row>
    <row r="198" spans="1:33" x14ac:dyDescent="0.3">
      <c r="A198" s="551" t="s">
        <v>1575</v>
      </c>
      <c r="B198" s="551" t="s">
        <v>1743</v>
      </c>
      <c r="C198" s="551" t="s">
        <v>1744</v>
      </c>
      <c r="D198" s="551" t="s">
        <v>1709</v>
      </c>
      <c r="E198" s="549"/>
      <c r="F198" s="47"/>
      <c r="G198" s="47"/>
      <c r="H198" s="47"/>
      <c r="I198" s="47"/>
      <c r="J198" s="47"/>
    </row>
    <row r="199" spans="1:33" x14ac:dyDescent="0.3">
      <c r="A199" s="550" t="s">
        <v>1575</v>
      </c>
      <c r="B199" s="550" t="s">
        <v>1745</v>
      </c>
      <c r="C199" s="550" t="s">
        <v>1746</v>
      </c>
      <c r="D199" s="550" t="s">
        <v>1709</v>
      </c>
      <c r="E199" s="547"/>
      <c r="F199" s="47"/>
      <c r="G199" s="47"/>
      <c r="H199" s="47"/>
      <c r="I199" s="47"/>
      <c r="J199" s="47"/>
    </row>
    <row r="200" spans="1:33" x14ac:dyDescent="0.3">
      <c r="A200" s="551" t="s">
        <v>1575</v>
      </c>
      <c r="B200" s="551" t="s">
        <v>1747</v>
      </c>
      <c r="C200" s="551" t="s">
        <v>1748</v>
      </c>
      <c r="D200" s="551" t="s">
        <v>1709</v>
      </c>
      <c r="E200" s="549"/>
      <c r="F200" s="47"/>
      <c r="G200" s="47"/>
      <c r="H200" s="47"/>
      <c r="I200" s="47"/>
      <c r="J200" s="47"/>
    </row>
    <row r="201" spans="1:33" x14ac:dyDescent="0.3">
      <c r="A201" s="550" t="s">
        <v>1575</v>
      </c>
      <c r="B201" s="550" t="s">
        <v>1749</v>
      </c>
      <c r="C201" s="550" t="s">
        <v>1750</v>
      </c>
      <c r="D201" s="550" t="s">
        <v>1709</v>
      </c>
      <c r="E201" s="547"/>
      <c r="F201" s="47"/>
      <c r="G201" s="47"/>
      <c r="H201" s="47"/>
      <c r="I201" s="47"/>
      <c r="J201" s="47"/>
    </row>
    <row r="202" spans="1:33" x14ac:dyDescent="0.3">
      <c r="A202" s="551" t="s">
        <v>1575</v>
      </c>
      <c r="B202" s="551" t="s">
        <v>1751</v>
      </c>
      <c r="C202" s="551" t="s">
        <v>1752</v>
      </c>
      <c r="D202" s="551" t="s">
        <v>1709</v>
      </c>
      <c r="E202" s="549"/>
      <c r="F202" s="47"/>
      <c r="G202" s="47"/>
      <c r="H202" s="47"/>
      <c r="I202" s="47"/>
      <c r="J202" s="47"/>
    </row>
    <row r="203" spans="1:33" x14ac:dyDescent="0.3">
      <c r="A203" s="550" t="s">
        <v>1575</v>
      </c>
      <c r="B203" s="550" t="s">
        <v>1753</v>
      </c>
      <c r="C203" s="550" t="s">
        <v>1754</v>
      </c>
      <c r="D203" s="550" t="s">
        <v>1709</v>
      </c>
      <c r="E203" s="547"/>
      <c r="F203" s="47"/>
      <c r="G203" s="47"/>
      <c r="H203" s="47"/>
      <c r="I203" s="47"/>
      <c r="J203" s="47"/>
    </row>
    <row r="204" spans="1:33" x14ac:dyDescent="0.3">
      <c r="A204" s="551" t="s">
        <v>1575</v>
      </c>
      <c r="B204" s="551" t="s">
        <v>1755</v>
      </c>
      <c r="C204" s="551" t="s">
        <v>1756</v>
      </c>
      <c r="D204" s="551" t="s">
        <v>1709</v>
      </c>
      <c r="E204" s="549"/>
      <c r="F204" s="47"/>
      <c r="G204" s="47"/>
      <c r="H204" s="47"/>
      <c r="I204" s="47"/>
      <c r="J204" s="47"/>
    </row>
    <row r="205" spans="1:33" x14ac:dyDescent="0.3">
      <c r="A205" s="550" t="s">
        <v>1575</v>
      </c>
      <c r="B205" s="550" t="s">
        <v>1757</v>
      </c>
      <c r="C205" s="550" t="s">
        <v>1758</v>
      </c>
      <c r="D205" s="550" t="s">
        <v>1709</v>
      </c>
      <c r="E205" s="547"/>
      <c r="F205" s="47"/>
      <c r="G205" s="47"/>
      <c r="H205" s="47"/>
      <c r="I205" s="47"/>
      <c r="J205" s="47"/>
    </row>
    <row r="206" spans="1:33" x14ac:dyDescent="0.3">
      <c r="A206" s="551" t="s">
        <v>1575</v>
      </c>
      <c r="B206" s="551" t="s">
        <v>1759</v>
      </c>
      <c r="C206" s="551" t="s">
        <v>1760</v>
      </c>
      <c r="D206" s="551" t="s">
        <v>1709</v>
      </c>
      <c r="E206" s="549"/>
      <c r="F206" s="47"/>
      <c r="G206" s="47"/>
      <c r="H206" s="47"/>
      <c r="I206" s="47"/>
      <c r="J206" s="47"/>
    </row>
    <row r="207" spans="1:33" x14ac:dyDescent="0.3">
      <c r="A207" s="550" t="s">
        <v>1575</v>
      </c>
      <c r="B207" s="550" t="s">
        <v>1761</v>
      </c>
      <c r="C207" s="550" t="s">
        <v>1762</v>
      </c>
      <c r="D207" s="550" t="s">
        <v>1709</v>
      </c>
      <c r="E207" s="547"/>
      <c r="F207" s="47"/>
      <c r="G207" s="47"/>
      <c r="H207" s="47"/>
      <c r="I207" s="47"/>
      <c r="J207" s="47"/>
    </row>
    <row r="208" spans="1:33" x14ac:dyDescent="0.3">
      <c r="A208" s="551" t="s">
        <v>1575</v>
      </c>
      <c r="B208" s="551" t="s">
        <v>1763</v>
      </c>
      <c r="C208" s="551" t="s">
        <v>1764</v>
      </c>
      <c r="D208" s="551" t="s">
        <v>1578</v>
      </c>
      <c r="E208" s="549"/>
      <c r="F208" s="47"/>
      <c r="G208" s="47"/>
      <c r="H208" s="47"/>
      <c r="I208" s="47"/>
      <c r="J208" s="47"/>
    </row>
    <row r="209" spans="1:10" x14ac:dyDescent="0.3">
      <c r="A209" s="550" t="s">
        <v>1575</v>
      </c>
      <c r="B209" s="550" t="s">
        <v>1765</v>
      </c>
      <c r="C209" s="550" t="s">
        <v>1766</v>
      </c>
      <c r="D209" s="550" t="s">
        <v>1709</v>
      </c>
      <c r="E209" s="547"/>
      <c r="F209" s="47"/>
      <c r="G209" s="47"/>
      <c r="H209" s="47"/>
      <c r="I209" s="47"/>
      <c r="J209" s="47"/>
    </row>
    <row r="210" spans="1:10" x14ac:dyDescent="0.3">
      <c r="A210" s="551" t="s">
        <v>1575</v>
      </c>
      <c r="B210" s="551" t="s">
        <v>1767</v>
      </c>
      <c r="C210" s="551" t="s">
        <v>1768</v>
      </c>
      <c r="D210" s="551" t="s">
        <v>1709</v>
      </c>
      <c r="E210" s="549"/>
      <c r="F210" s="47"/>
      <c r="G210" s="47"/>
      <c r="H210" s="47"/>
      <c r="I210" s="47"/>
      <c r="J210" s="47"/>
    </row>
    <row r="211" spans="1:10" x14ac:dyDescent="0.3">
      <c r="A211" s="550" t="s">
        <v>1575</v>
      </c>
      <c r="B211" s="550" t="s">
        <v>1769</v>
      </c>
      <c r="C211" s="550" t="s">
        <v>1770</v>
      </c>
      <c r="D211" s="550" t="s">
        <v>1709</v>
      </c>
      <c r="E211" s="547"/>
      <c r="F211" s="47"/>
      <c r="G211" s="47"/>
      <c r="H211" s="47"/>
      <c r="I211" s="47"/>
      <c r="J211" s="47"/>
    </row>
    <row r="212" spans="1:10" x14ac:dyDescent="0.3">
      <c r="A212" s="551" t="s">
        <v>1575</v>
      </c>
      <c r="B212" s="551" t="s">
        <v>1771</v>
      </c>
      <c r="C212" s="551" t="s">
        <v>1772</v>
      </c>
      <c r="D212" s="551" t="s">
        <v>1578</v>
      </c>
      <c r="E212" s="549"/>
      <c r="F212" s="47"/>
      <c r="G212" s="47"/>
      <c r="H212" s="47"/>
      <c r="I212" s="47"/>
      <c r="J212" s="47"/>
    </row>
    <row r="213" spans="1:10" x14ac:dyDescent="0.3">
      <c r="A213" s="550" t="s">
        <v>1575</v>
      </c>
      <c r="B213" s="550" t="s">
        <v>1773</v>
      </c>
      <c r="C213" s="550" t="s">
        <v>1774</v>
      </c>
      <c r="D213" s="550" t="s">
        <v>1709</v>
      </c>
      <c r="E213" s="547"/>
      <c r="F213" s="47"/>
      <c r="G213" s="47"/>
      <c r="H213" s="47"/>
      <c r="I213" s="47"/>
      <c r="J213" s="47"/>
    </row>
    <row r="214" spans="1:10" x14ac:dyDescent="0.3">
      <c r="A214" s="551" t="s">
        <v>1575</v>
      </c>
      <c r="B214" s="551" t="s">
        <v>1775</v>
      </c>
      <c r="C214" s="551" t="s">
        <v>1776</v>
      </c>
      <c r="D214" s="551" t="s">
        <v>1709</v>
      </c>
      <c r="E214" s="549"/>
      <c r="F214" s="47"/>
      <c r="G214" s="47"/>
      <c r="H214" s="47"/>
      <c r="I214" s="47"/>
      <c r="J214" s="47"/>
    </row>
    <row r="215" spans="1:10" x14ac:dyDescent="0.3">
      <c r="A215" s="550" t="s">
        <v>1575</v>
      </c>
      <c r="B215" s="550" t="s">
        <v>1777</v>
      </c>
      <c r="C215" s="550" t="s">
        <v>1778</v>
      </c>
      <c r="D215" s="550" t="s">
        <v>1709</v>
      </c>
      <c r="E215" s="547"/>
      <c r="F215" s="47"/>
      <c r="G215" s="47"/>
      <c r="H215" s="47"/>
      <c r="I215" s="47"/>
      <c r="J215" s="47"/>
    </row>
    <row r="216" spans="1:10" x14ac:dyDescent="0.3">
      <c r="A216" s="551" t="s">
        <v>1575</v>
      </c>
      <c r="B216" s="551" t="s">
        <v>1779</v>
      </c>
      <c r="C216" s="551" t="s">
        <v>1780</v>
      </c>
      <c r="D216" s="551" t="s">
        <v>1709</v>
      </c>
      <c r="E216" s="549"/>
      <c r="F216" s="47"/>
      <c r="G216" s="47"/>
      <c r="H216" s="47"/>
      <c r="I216" s="47"/>
      <c r="J216" s="47"/>
    </row>
    <row r="217" spans="1:10" x14ac:dyDescent="0.3">
      <c r="A217" s="550" t="s">
        <v>1575</v>
      </c>
      <c r="B217" s="550" t="s">
        <v>1781</v>
      </c>
      <c r="C217" s="550" t="s">
        <v>1782</v>
      </c>
      <c r="D217" s="550" t="s">
        <v>1709</v>
      </c>
      <c r="E217" s="547"/>
      <c r="F217" s="47"/>
      <c r="G217" s="47"/>
      <c r="H217" s="47"/>
      <c r="I217" s="47"/>
      <c r="J217" s="47"/>
    </row>
    <row r="218" spans="1:10" x14ac:dyDescent="0.3">
      <c r="A218" s="551" t="s">
        <v>1575</v>
      </c>
      <c r="B218" s="551" t="s">
        <v>1783</v>
      </c>
      <c r="C218" s="551" t="s">
        <v>1784</v>
      </c>
      <c r="D218" s="551" t="s">
        <v>1709</v>
      </c>
      <c r="E218" s="549"/>
      <c r="F218" s="47"/>
      <c r="G218" s="47"/>
      <c r="H218" s="47"/>
      <c r="I218" s="47"/>
      <c r="J218" s="47"/>
    </row>
    <row r="219" spans="1:10" x14ac:dyDescent="0.3">
      <c r="A219" s="550" t="s">
        <v>1575</v>
      </c>
      <c r="B219" s="550" t="s">
        <v>1785</v>
      </c>
      <c r="C219" s="550" t="s">
        <v>1786</v>
      </c>
      <c r="D219" s="550" t="s">
        <v>1709</v>
      </c>
      <c r="E219" s="547"/>
      <c r="F219" s="47"/>
      <c r="G219" s="47"/>
      <c r="H219" s="47"/>
      <c r="I219" s="47"/>
      <c r="J219" s="47"/>
    </row>
    <row r="220" spans="1:10" x14ac:dyDescent="0.3">
      <c r="A220" s="551" t="s">
        <v>1575</v>
      </c>
      <c r="B220" s="551" t="s">
        <v>1787</v>
      </c>
      <c r="C220" s="551" t="s">
        <v>1788</v>
      </c>
      <c r="D220" s="551" t="s">
        <v>1709</v>
      </c>
      <c r="E220" s="549"/>
      <c r="F220" s="47"/>
      <c r="G220" s="47"/>
      <c r="H220" s="47"/>
      <c r="I220" s="47"/>
      <c r="J220" s="47"/>
    </row>
    <row r="221" spans="1:10" x14ac:dyDescent="0.3">
      <c r="A221" s="550" t="s">
        <v>1575</v>
      </c>
      <c r="B221" s="550" t="s">
        <v>1789</v>
      </c>
      <c r="C221" s="550" t="s">
        <v>1790</v>
      </c>
      <c r="D221" s="550" t="s">
        <v>1709</v>
      </c>
      <c r="E221" s="547"/>
      <c r="F221" s="47"/>
      <c r="G221" s="47"/>
      <c r="H221" s="47"/>
      <c r="I221" s="47"/>
      <c r="J221" s="47"/>
    </row>
    <row r="222" spans="1:10" x14ac:dyDescent="0.3">
      <c r="A222" s="551" t="s">
        <v>1575</v>
      </c>
      <c r="B222" s="551" t="s">
        <v>1791</v>
      </c>
      <c r="C222" s="551" t="s">
        <v>1792</v>
      </c>
      <c r="D222" s="551" t="s">
        <v>1709</v>
      </c>
      <c r="E222" s="549"/>
      <c r="F222" s="47"/>
      <c r="G222" s="47"/>
      <c r="H222" s="47"/>
      <c r="I222" s="47"/>
      <c r="J222" s="47"/>
    </row>
    <row r="223" spans="1:10" x14ac:dyDescent="0.3">
      <c r="A223" s="550" t="s">
        <v>1575</v>
      </c>
      <c r="B223" s="550" t="s">
        <v>1793</v>
      </c>
      <c r="C223" s="550" t="s">
        <v>1794</v>
      </c>
      <c r="D223" s="550" t="s">
        <v>1709</v>
      </c>
      <c r="E223" s="547"/>
      <c r="F223" s="47"/>
      <c r="G223" s="47"/>
      <c r="H223" s="47"/>
      <c r="I223" s="47"/>
      <c r="J223" s="47"/>
    </row>
    <row r="224" spans="1:10" x14ac:dyDescent="0.3">
      <c r="A224" s="551" t="s">
        <v>1575</v>
      </c>
      <c r="B224" s="551" t="s">
        <v>1795</v>
      </c>
      <c r="C224" s="551" t="s">
        <v>1796</v>
      </c>
      <c r="D224" s="551" t="s">
        <v>1709</v>
      </c>
      <c r="E224" s="549"/>
      <c r="F224" s="47"/>
      <c r="G224" s="47"/>
      <c r="H224" s="47"/>
      <c r="I224" s="47"/>
      <c r="J224" s="47"/>
    </row>
    <row r="225" spans="1:10" x14ac:dyDescent="0.3">
      <c r="A225" s="550" t="s">
        <v>1575</v>
      </c>
      <c r="B225" s="550" t="s">
        <v>1797</v>
      </c>
      <c r="C225" s="550" t="s">
        <v>1798</v>
      </c>
      <c r="D225" s="550" t="s">
        <v>1709</v>
      </c>
      <c r="E225" s="547"/>
      <c r="F225" s="47"/>
      <c r="G225" s="47"/>
      <c r="H225" s="47"/>
      <c r="I225" s="47"/>
      <c r="J225" s="47"/>
    </row>
    <row r="226" spans="1:10" x14ac:dyDescent="0.3">
      <c r="A226" s="551" t="s">
        <v>1575</v>
      </c>
      <c r="B226" s="551" t="s">
        <v>1799</v>
      </c>
      <c r="C226" s="551" t="s">
        <v>1800</v>
      </c>
      <c r="D226" s="551" t="s">
        <v>1709</v>
      </c>
      <c r="E226" s="549"/>
      <c r="F226" s="47"/>
      <c r="G226" s="47"/>
      <c r="H226" s="47"/>
      <c r="I226" s="47"/>
      <c r="J226" s="47"/>
    </row>
    <row r="227" spans="1:10" x14ac:dyDescent="0.3">
      <c r="A227" s="550" t="s">
        <v>1575</v>
      </c>
      <c r="B227" s="550" t="s">
        <v>1801</v>
      </c>
      <c r="C227" s="550" t="s">
        <v>1802</v>
      </c>
      <c r="D227" s="550" t="s">
        <v>1709</v>
      </c>
      <c r="E227" s="547"/>
      <c r="F227" s="47"/>
      <c r="G227" s="47"/>
      <c r="H227" s="47"/>
      <c r="I227" s="47"/>
      <c r="J227" s="47"/>
    </row>
    <row r="228" spans="1:10" x14ac:dyDescent="0.3">
      <c r="A228" s="551" t="s">
        <v>1575</v>
      </c>
      <c r="B228" s="551" t="s">
        <v>1803</v>
      </c>
      <c r="C228" s="551" t="s">
        <v>1804</v>
      </c>
      <c r="D228" s="551" t="s">
        <v>1709</v>
      </c>
      <c r="E228" s="549"/>
      <c r="F228" s="47"/>
      <c r="G228" s="47"/>
      <c r="H228" s="47"/>
      <c r="I228" s="47"/>
      <c r="J228" s="47"/>
    </row>
    <row r="229" spans="1:10" x14ac:dyDescent="0.3">
      <c r="A229" s="550" t="s">
        <v>1575</v>
      </c>
      <c r="B229" s="550" t="s">
        <v>1805</v>
      </c>
      <c r="C229" s="550" t="s">
        <v>1806</v>
      </c>
      <c r="D229" s="550" t="s">
        <v>1709</v>
      </c>
      <c r="E229" s="547"/>
      <c r="F229" s="47"/>
      <c r="G229" s="47"/>
      <c r="H229" s="47"/>
      <c r="I229" s="47"/>
      <c r="J229" s="47"/>
    </row>
    <row r="230" spans="1:10" x14ac:dyDescent="0.3">
      <c r="A230" s="551" t="s">
        <v>1575</v>
      </c>
      <c r="B230" s="551" t="s">
        <v>1807</v>
      </c>
      <c r="C230" s="551" t="s">
        <v>1808</v>
      </c>
      <c r="D230" s="551" t="s">
        <v>1709</v>
      </c>
      <c r="E230" s="549"/>
      <c r="F230" s="47"/>
      <c r="G230" s="47"/>
      <c r="H230" s="47"/>
      <c r="I230" s="47"/>
      <c r="J230" s="47"/>
    </row>
    <row r="231" spans="1:10" x14ac:dyDescent="0.3">
      <c r="A231" s="550" t="s">
        <v>1575</v>
      </c>
      <c r="B231" s="550" t="s">
        <v>1809</v>
      </c>
      <c r="C231" s="550" t="s">
        <v>1810</v>
      </c>
      <c r="D231" s="550" t="s">
        <v>1709</v>
      </c>
      <c r="E231" s="547"/>
      <c r="F231" s="47"/>
      <c r="G231" s="47"/>
      <c r="H231" s="47"/>
      <c r="I231" s="47"/>
      <c r="J231" s="47"/>
    </row>
    <row r="232" spans="1:10" x14ac:dyDescent="0.3">
      <c r="A232" s="551" t="s">
        <v>1575</v>
      </c>
      <c r="B232" s="551" t="s">
        <v>1811</v>
      </c>
      <c r="C232" s="551" t="s">
        <v>1812</v>
      </c>
      <c r="D232" s="551" t="s">
        <v>1709</v>
      </c>
      <c r="E232" s="549"/>
      <c r="F232" s="47"/>
      <c r="G232" s="47"/>
      <c r="H232" s="47"/>
      <c r="I232" s="47"/>
      <c r="J232" s="47"/>
    </row>
    <row r="233" spans="1:10" x14ac:dyDescent="0.3">
      <c r="A233" s="550" t="s">
        <v>1575</v>
      </c>
      <c r="B233" s="550" t="s">
        <v>1813</v>
      </c>
      <c r="C233" s="550" t="s">
        <v>1814</v>
      </c>
      <c r="D233" s="550" t="s">
        <v>1578</v>
      </c>
      <c r="E233" s="547"/>
      <c r="F233" s="47"/>
      <c r="G233" s="47"/>
      <c r="H233" s="47"/>
      <c r="I233" s="47"/>
      <c r="J233" s="47"/>
    </row>
    <row r="234" spans="1:10" x14ac:dyDescent="0.3">
      <c r="A234" s="551" t="s">
        <v>1575</v>
      </c>
      <c r="B234" s="551" t="s">
        <v>1815</v>
      </c>
      <c r="C234" s="551" t="s">
        <v>1816</v>
      </c>
      <c r="D234" s="551" t="s">
        <v>1709</v>
      </c>
      <c r="E234" s="549"/>
      <c r="F234" s="47"/>
      <c r="G234" s="47"/>
      <c r="H234" s="47"/>
      <c r="I234" s="47"/>
      <c r="J234" s="47"/>
    </row>
    <row r="235" spans="1:10" x14ac:dyDescent="0.3">
      <c r="A235" s="550" t="s">
        <v>1575</v>
      </c>
      <c r="B235" s="550" t="s">
        <v>1817</v>
      </c>
      <c r="C235" s="550" t="s">
        <v>1818</v>
      </c>
      <c r="D235" s="550" t="s">
        <v>1709</v>
      </c>
      <c r="E235" s="547"/>
      <c r="F235" s="47"/>
      <c r="G235" s="47"/>
      <c r="H235" s="47"/>
      <c r="I235" s="47"/>
      <c r="J235" s="47"/>
    </row>
    <row r="236" spans="1:10" x14ac:dyDescent="0.3">
      <c r="A236" s="551" t="s">
        <v>1575</v>
      </c>
      <c r="B236" s="551" t="s">
        <v>1819</v>
      </c>
      <c r="C236" s="551" t="s">
        <v>1820</v>
      </c>
      <c r="D236" s="551" t="s">
        <v>1709</v>
      </c>
      <c r="E236" s="549"/>
      <c r="F236" s="47"/>
      <c r="G236" s="47"/>
      <c r="H236" s="47"/>
      <c r="I236" s="47"/>
      <c r="J236" s="47"/>
    </row>
    <row r="237" spans="1:10" x14ac:dyDescent="0.3">
      <c r="A237" s="550" t="s">
        <v>1575</v>
      </c>
      <c r="B237" s="550" t="s">
        <v>1821</v>
      </c>
      <c r="C237" s="550" t="s">
        <v>1822</v>
      </c>
      <c r="D237" s="550" t="s">
        <v>1709</v>
      </c>
      <c r="E237" s="547"/>
      <c r="F237" s="47"/>
      <c r="G237" s="47"/>
      <c r="H237" s="47"/>
      <c r="I237" s="47"/>
      <c r="J237" s="47"/>
    </row>
    <row r="238" spans="1:10" x14ac:dyDescent="0.3">
      <c r="A238" s="551" t="s">
        <v>1575</v>
      </c>
      <c r="B238" s="551" t="s">
        <v>1823</v>
      </c>
      <c r="C238" s="551" t="s">
        <v>1824</v>
      </c>
      <c r="D238" s="551" t="s">
        <v>1709</v>
      </c>
      <c r="E238" s="549"/>
      <c r="F238" s="47"/>
      <c r="G238" s="47"/>
      <c r="H238" s="47"/>
      <c r="I238" s="47"/>
      <c r="J238" s="47"/>
    </row>
    <row r="239" spans="1:10" x14ac:dyDescent="0.3">
      <c r="A239" s="550" t="s">
        <v>1575</v>
      </c>
      <c r="B239" s="550" t="s">
        <v>1825</v>
      </c>
      <c r="C239" s="550" t="s">
        <v>1826</v>
      </c>
      <c r="D239" s="550" t="s">
        <v>1709</v>
      </c>
      <c r="E239" s="547"/>
      <c r="F239" s="47"/>
      <c r="G239" s="47"/>
      <c r="H239" s="47"/>
      <c r="I239" s="47"/>
      <c r="J239" s="47"/>
    </row>
    <row r="240" spans="1:10" x14ac:dyDescent="0.3">
      <c r="A240" s="551" t="s">
        <v>1575</v>
      </c>
      <c r="B240" s="551" t="s">
        <v>1827</v>
      </c>
      <c r="C240" s="551" t="s">
        <v>1828</v>
      </c>
      <c r="D240" s="551" t="s">
        <v>1578</v>
      </c>
      <c r="E240" s="549"/>
      <c r="F240" s="47"/>
      <c r="G240" s="47"/>
      <c r="H240" s="47"/>
      <c r="I240" s="47"/>
      <c r="J240" s="47"/>
    </row>
    <row r="241" spans="1:10" x14ac:dyDescent="0.3">
      <c r="A241" s="550" t="s">
        <v>1575</v>
      </c>
      <c r="B241" s="550" t="s">
        <v>1829</v>
      </c>
      <c r="C241" s="550" t="s">
        <v>1830</v>
      </c>
      <c r="D241" s="550" t="s">
        <v>1578</v>
      </c>
      <c r="E241" s="547"/>
      <c r="F241" s="47"/>
      <c r="G241" s="47"/>
      <c r="H241" s="47"/>
      <c r="I241" s="47"/>
      <c r="J241" s="47"/>
    </row>
    <row r="242" spans="1:10" x14ac:dyDescent="0.3">
      <c r="A242" s="551" t="s">
        <v>1575</v>
      </c>
      <c r="B242" s="551" t="s">
        <v>1831</v>
      </c>
      <c r="C242" s="551" t="s">
        <v>1832</v>
      </c>
      <c r="D242" s="551" t="s">
        <v>1709</v>
      </c>
      <c r="E242" s="549"/>
      <c r="F242" s="47"/>
      <c r="G242" s="47"/>
      <c r="H242" s="47"/>
      <c r="I242" s="47"/>
      <c r="J242" s="47"/>
    </row>
    <row r="243" spans="1:10" x14ac:dyDescent="0.3">
      <c r="A243" s="550" t="s">
        <v>1575</v>
      </c>
      <c r="B243" s="550" t="s">
        <v>1833</v>
      </c>
      <c r="C243" s="550" t="s">
        <v>1834</v>
      </c>
      <c r="D243" s="550" t="s">
        <v>1578</v>
      </c>
      <c r="E243" s="547"/>
      <c r="F243" s="47"/>
      <c r="G243" s="47"/>
      <c r="H243" s="47"/>
      <c r="I243" s="47"/>
      <c r="J243" s="47"/>
    </row>
    <row r="244" spans="1:10" x14ac:dyDescent="0.3">
      <c r="A244" s="551" t="s">
        <v>1575</v>
      </c>
      <c r="B244" s="551" t="s">
        <v>1835</v>
      </c>
      <c r="C244" s="551" t="s">
        <v>1836</v>
      </c>
      <c r="D244" s="551" t="s">
        <v>1578</v>
      </c>
      <c r="E244" s="549"/>
      <c r="F244" s="47"/>
      <c r="G244" s="47"/>
      <c r="H244" s="47"/>
      <c r="I244" s="47"/>
      <c r="J244" s="47"/>
    </row>
    <row r="245" spans="1:10" x14ac:dyDescent="0.3">
      <c r="A245" s="550" t="s">
        <v>1575</v>
      </c>
      <c r="B245" s="550" t="s">
        <v>1837</v>
      </c>
      <c r="C245" s="550" t="s">
        <v>1838</v>
      </c>
      <c r="D245" s="550" t="s">
        <v>1578</v>
      </c>
      <c r="E245" s="547"/>
      <c r="F245" s="47"/>
      <c r="G245" s="47"/>
      <c r="H245" s="47"/>
      <c r="I245" s="47"/>
      <c r="J245" s="47"/>
    </row>
    <row r="246" spans="1:10" x14ac:dyDescent="0.3">
      <c r="A246" s="551" t="s">
        <v>1575</v>
      </c>
      <c r="B246" s="551" t="s">
        <v>1839</v>
      </c>
      <c r="C246" s="551" t="s">
        <v>1840</v>
      </c>
      <c r="D246" s="551" t="s">
        <v>1578</v>
      </c>
      <c r="E246" s="549"/>
      <c r="F246" s="47"/>
      <c r="G246" s="47"/>
      <c r="H246" s="47"/>
      <c r="I246" s="47"/>
      <c r="J246" s="47"/>
    </row>
    <row r="247" spans="1:10" x14ac:dyDescent="0.3">
      <c r="A247" s="550" t="s">
        <v>1575</v>
      </c>
      <c r="B247" s="550" t="s">
        <v>1841</v>
      </c>
      <c r="C247" s="550" t="s">
        <v>1842</v>
      </c>
      <c r="D247" s="550" t="s">
        <v>1578</v>
      </c>
      <c r="E247" s="547"/>
      <c r="F247" s="47"/>
      <c r="G247" s="47"/>
      <c r="H247" s="47"/>
      <c r="I247" s="47"/>
      <c r="J247" s="47"/>
    </row>
    <row r="248" spans="1:10" x14ac:dyDescent="0.3">
      <c r="A248" s="551" t="s">
        <v>1575</v>
      </c>
      <c r="B248" s="551" t="s">
        <v>1843</v>
      </c>
      <c r="C248" s="551" t="s">
        <v>1844</v>
      </c>
      <c r="D248" s="551" t="s">
        <v>1578</v>
      </c>
      <c r="E248" s="549"/>
      <c r="F248" s="47"/>
      <c r="G248" s="47"/>
      <c r="H248" s="47"/>
      <c r="I248" s="47"/>
      <c r="J248" s="47"/>
    </row>
    <row r="249" spans="1:10" x14ac:dyDescent="0.3">
      <c r="A249" s="550" t="s">
        <v>1575</v>
      </c>
      <c r="B249" s="550" t="s">
        <v>1845</v>
      </c>
      <c r="C249" s="550" t="s">
        <v>1846</v>
      </c>
      <c r="D249" s="550" t="s">
        <v>1578</v>
      </c>
      <c r="E249" s="547"/>
      <c r="F249" s="47"/>
      <c r="G249" s="47"/>
      <c r="H249" s="47"/>
      <c r="I249" s="47"/>
      <c r="J249" s="47"/>
    </row>
    <row r="250" spans="1:10" x14ac:dyDescent="0.3">
      <c r="A250" s="551" t="s">
        <v>1575</v>
      </c>
      <c r="B250" s="551" t="s">
        <v>1847</v>
      </c>
      <c r="C250" s="551" t="s">
        <v>1848</v>
      </c>
      <c r="D250" s="551" t="s">
        <v>1578</v>
      </c>
      <c r="E250" s="549"/>
      <c r="F250" s="47"/>
      <c r="G250" s="47"/>
      <c r="H250" s="47"/>
      <c r="I250" s="47"/>
      <c r="J250" s="47"/>
    </row>
    <row r="251" spans="1:10" x14ac:dyDescent="0.3">
      <c r="A251" s="550" t="s">
        <v>1575</v>
      </c>
      <c r="B251" s="550" t="s">
        <v>1849</v>
      </c>
      <c r="C251" s="550" t="s">
        <v>1850</v>
      </c>
      <c r="D251" s="550" t="s">
        <v>1578</v>
      </c>
      <c r="E251" s="547"/>
      <c r="F251" s="47"/>
      <c r="G251" s="47"/>
      <c r="H251" s="47"/>
      <c r="I251" s="47"/>
      <c r="J251" s="47"/>
    </row>
    <row r="252" spans="1:10" x14ac:dyDescent="0.3">
      <c r="A252" s="551" t="s">
        <v>1575</v>
      </c>
      <c r="B252" s="551" t="s">
        <v>1851</v>
      </c>
      <c r="C252" s="551" t="s">
        <v>1852</v>
      </c>
      <c r="D252" s="551" t="s">
        <v>1578</v>
      </c>
      <c r="E252" s="549"/>
      <c r="F252" s="47"/>
      <c r="G252" s="47"/>
      <c r="H252" s="47"/>
      <c r="I252" s="47"/>
      <c r="J252" s="47"/>
    </row>
    <row r="253" spans="1:10" x14ac:dyDescent="0.3">
      <c r="A253" s="550" t="s">
        <v>1575</v>
      </c>
      <c r="B253" s="550" t="s">
        <v>1853</v>
      </c>
      <c r="C253" s="550" t="s">
        <v>1854</v>
      </c>
      <c r="D253" s="550" t="s">
        <v>1578</v>
      </c>
      <c r="E253" s="547"/>
      <c r="F253" s="47"/>
      <c r="G253" s="47"/>
      <c r="H253" s="47"/>
      <c r="I253" s="47"/>
      <c r="J253" s="47"/>
    </row>
    <row r="254" spans="1:10" ht="21" x14ac:dyDescent="0.3">
      <c r="A254" s="113"/>
      <c r="B254" s="113"/>
      <c r="C254" s="113"/>
      <c r="D254" s="113"/>
      <c r="E254" s="364">
        <f>(COUNTIF(E177:E253,"Sim")/(COUNTA(B177:B253)))</f>
        <v>0</v>
      </c>
      <c r="F254" s="47"/>
      <c r="G254" s="47"/>
    </row>
    <row r="255" spans="1:10" x14ac:dyDescent="0.3">
      <c r="F255" s="47"/>
      <c r="G255" s="47"/>
    </row>
    <row r="256" spans="1:10" ht="11.25" customHeight="1" x14ac:dyDescent="0.3"/>
    <row r="257" spans="1:6" ht="28.5" customHeight="1" x14ac:dyDescent="0.5">
      <c r="A257" s="1530" t="s">
        <v>547</v>
      </c>
      <c r="B257" s="1530"/>
      <c r="C257" s="1530"/>
      <c r="D257" s="840" t="s">
        <v>548</v>
      </c>
      <c r="E257" s="840" t="s">
        <v>73</v>
      </c>
      <c r="F257" s="840" t="s">
        <v>74</v>
      </c>
    </row>
    <row r="258" spans="1:6" ht="25.8" x14ac:dyDescent="0.5">
      <c r="A258" s="841" t="s">
        <v>867</v>
      </c>
      <c r="B258" s="841" t="s">
        <v>551</v>
      </c>
      <c r="C258" s="842"/>
      <c r="D258" s="843">
        <v>1</v>
      </c>
      <c r="E258" s="844" t="s">
        <v>287</v>
      </c>
      <c r="F258" s="844" t="s">
        <v>388</v>
      </c>
    </row>
    <row r="259" spans="1:6" ht="25.8" x14ac:dyDescent="0.5">
      <c r="A259" s="845" t="s">
        <v>867</v>
      </c>
      <c r="B259" s="846" t="s">
        <v>559</v>
      </c>
      <c r="C259" s="847"/>
      <c r="D259" s="848">
        <v>1</v>
      </c>
      <c r="E259" s="849" t="s">
        <v>287</v>
      </c>
      <c r="F259" s="849" t="s">
        <v>287</v>
      </c>
    </row>
    <row r="260" spans="1:6" ht="25.8" x14ac:dyDescent="0.5">
      <c r="A260" s="841" t="s">
        <v>867</v>
      </c>
      <c r="B260" s="841" t="s">
        <v>868</v>
      </c>
      <c r="C260" s="842"/>
      <c r="D260" s="843">
        <v>1</v>
      </c>
      <c r="E260" s="844" t="s">
        <v>562</v>
      </c>
      <c r="F260" s="844" t="s">
        <v>562</v>
      </c>
    </row>
    <row r="261" spans="1:6" ht="25.8" x14ac:dyDescent="0.5">
      <c r="A261" s="845" t="s">
        <v>867</v>
      </c>
      <c r="B261" s="846" t="s">
        <v>645</v>
      </c>
      <c r="C261" s="847"/>
      <c r="D261" s="848">
        <v>1</v>
      </c>
      <c r="E261" s="849" t="s">
        <v>287</v>
      </c>
      <c r="F261" s="849" t="s">
        <v>388</v>
      </c>
    </row>
    <row r="262" spans="1:6" ht="25.8" x14ac:dyDescent="0.5">
      <c r="A262" s="841" t="s">
        <v>867</v>
      </c>
      <c r="B262" s="841" t="s">
        <v>602</v>
      </c>
      <c r="C262" s="842"/>
      <c r="D262" s="843">
        <v>1</v>
      </c>
      <c r="E262" s="844" t="s">
        <v>287</v>
      </c>
      <c r="F262" s="844" t="s">
        <v>388</v>
      </c>
    </row>
    <row r="263" spans="1:6" ht="25.8" x14ac:dyDescent="0.5">
      <c r="A263" s="845" t="s">
        <v>869</v>
      </c>
      <c r="B263" s="846" t="s">
        <v>583</v>
      </c>
      <c r="C263" s="847"/>
      <c r="D263" s="848">
        <v>1</v>
      </c>
      <c r="E263" s="849" t="s">
        <v>287</v>
      </c>
      <c r="F263" s="849" t="s">
        <v>388</v>
      </c>
    </row>
    <row r="264" spans="1:6" ht="25.8" x14ac:dyDescent="0.5">
      <c r="A264" s="841" t="s">
        <v>869</v>
      </c>
      <c r="B264" s="841" t="s">
        <v>639</v>
      </c>
      <c r="C264" s="842"/>
      <c r="D264" s="843">
        <v>1</v>
      </c>
      <c r="E264" s="844" t="s">
        <v>287</v>
      </c>
      <c r="F264" s="844" t="s">
        <v>388</v>
      </c>
    </row>
    <row r="265" spans="1:6" ht="25.8" x14ac:dyDescent="0.5">
      <c r="A265" s="845" t="s">
        <v>869</v>
      </c>
      <c r="B265" s="846" t="s">
        <v>599</v>
      </c>
      <c r="C265" s="847"/>
      <c r="D265" s="848">
        <v>1</v>
      </c>
      <c r="E265" s="849" t="s">
        <v>287</v>
      </c>
      <c r="F265" s="849" t="s">
        <v>388</v>
      </c>
    </row>
    <row r="266" spans="1:6" ht="25.8" x14ac:dyDescent="0.5">
      <c r="A266" s="841" t="s">
        <v>869</v>
      </c>
      <c r="B266" s="841" t="s">
        <v>870</v>
      </c>
      <c r="C266" s="842"/>
      <c r="D266" s="843">
        <v>1</v>
      </c>
      <c r="E266" s="844" t="s">
        <v>287</v>
      </c>
      <c r="F266" s="844" t="s">
        <v>287</v>
      </c>
    </row>
    <row r="267" spans="1:6" ht="25.8" x14ac:dyDescent="0.5">
      <c r="A267" s="845" t="s">
        <v>869</v>
      </c>
      <c r="B267" s="846" t="s">
        <v>642</v>
      </c>
      <c r="C267" s="847"/>
      <c r="D267" s="848">
        <v>1</v>
      </c>
      <c r="E267" s="849" t="s">
        <v>562</v>
      </c>
      <c r="F267" s="849" t="s">
        <v>388</v>
      </c>
    </row>
    <row r="268" spans="1:6" ht="25.8" x14ac:dyDescent="0.5">
      <c r="A268" s="841" t="s">
        <v>871</v>
      </c>
      <c r="B268" s="841" t="s">
        <v>627</v>
      </c>
      <c r="C268" s="842"/>
      <c r="D268" s="843">
        <v>1</v>
      </c>
      <c r="E268" s="844" t="s">
        <v>287</v>
      </c>
      <c r="F268" s="844" t="s">
        <v>287</v>
      </c>
    </row>
    <row r="269" spans="1:6" ht="25.8" x14ac:dyDescent="0.5">
      <c r="A269" s="845" t="s">
        <v>871</v>
      </c>
      <c r="B269" s="846" t="s">
        <v>872</v>
      </c>
      <c r="C269" s="847"/>
      <c r="D269" s="848">
        <v>1</v>
      </c>
      <c r="E269" s="849" t="s">
        <v>388</v>
      </c>
      <c r="F269" s="849" t="s">
        <v>388</v>
      </c>
    </row>
    <row r="270" spans="1:6" ht="25.8" x14ac:dyDescent="0.5">
      <c r="A270" s="841" t="s">
        <v>871</v>
      </c>
      <c r="B270" s="841" t="s">
        <v>634</v>
      </c>
      <c r="C270" s="842"/>
      <c r="D270" s="843">
        <v>1</v>
      </c>
      <c r="E270" s="844" t="s">
        <v>287</v>
      </c>
      <c r="F270" s="844" t="s">
        <v>287</v>
      </c>
    </row>
    <row r="271" spans="1:6" ht="25.8" x14ac:dyDescent="0.5">
      <c r="A271" s="845" t="s">
        <v>871</v>
      </c>
      <c r="B271" s="846" t="s">
        <v>873</v>
      </c>
      <c r="C271" s="847"/>
      <c r="D271" s="848">
        <v>1</v>
      </c>
      <c r="E271" s="849" t="s">
        <v>287</v>
      </c>
      <c r="F271" s="849" t="s">
        <v>388</v>
      </c>
    </row>
    <row r="272" spans="1:6" ht="25.8" x14ac:dyDescent="0.5">
      <c r="A272" s="841" t="s">
        <v>871</v>
      </c>
      <c r="B272" s="841" t="s">
        <v>874</v>
      </c>
      <c r="C272" s="842"/>
      <c r="D272" s="843">
        <v>1</v>
      </c>
      <c r="E272" s="844" t="s">
        <v>287</v>
      </c>
      <c r="F272" s="844" t="s">
        <v>388</v>
      </c>
    </row>
    <row r="273" spans="1:6" ht="25.8" x14ac:dyDescent="0.5">
      <c r="A273" s="845" t="s">
        <v>871</v>
      </c>
      <c r="B273" s="846" t="s">
        <v>875</v>
      </c>
      <c r="C273" s="847"/>
      <c r="D273" s="848">
        <v>1</v>
      </c>
      <c r="E273" s="849" t="s">
        <v>388</v>
      </c>
      <c r="F273" s="849" t="s">
        <v>388</v>
      </c>
    </row>
    <row r="274" spans="1:6" ht="25.8" x14ac:dyDescent="0.5">
      <c r="A274" s="841" t="s">
        <v>871</v>
      </c>
      <c r="B274" s="841" t="s">
        <v>876</v>
      </c>
      <c r="C274" s="842"/>
      <c r="D274" s="843">
        <v>1</v>
      </c>
      <c r="E274" s="844" t="s">
        <v>388</v>
      </c>
      <c r="F274" s="844" t="s">
        <v>388</v>
      </c>
    </row>
    <row r="275" spans="1:6" ht="25.8" x14ac:dyDescent="0.5">
      <c r="A275" s="845" t="s">
        <v>877</v>
      </c>
      <c r="B275" s="846" t="s">
        <v>563</v>
      </c>
      <c r="C275" s="847"/>
      <c r="D275" s="848">
        <v>1</v>
      </c>
      <c r="E275" s="849" t="s">
        <v>287</v>
      </c>
      <c r="F275" s="849" t="s">
        <v>287</v>
      </c>
    </row>
    <row r="276" spans="1:6" ht="25.8" x14ac:dyDescent="0.5">
      <c r="A276" s="841" t="s">
        <v>877</v>
      </c>
      <c r="B276" s="841" t="s">
        <v>596</v>
      </c>
      <c r="C276" s="842"/>
      <c r="D276" s="843">
        <v>1</v>
      </c>
      <c r="E276" s="844" t="s">
        <v>287</v>
      </c>
      <c r="F276" s="844" t="s">
        <v>388</v>
      </c>
    </row>
    <row r="277" spans="1:6" ht="25.8" x14ac:dyDescent="0.5">
      <c r="A277" s="845" t="s">
        <v>877</v>
      </c>
      <c r="B277" s="846" t="s">
        <v>587</v>
      </c>
      <c r="C277" s="847"/>
      <c r="D277" s="848">
        <v>1</v>
      </c>
      <c r="E277" s="849" t="s">
        <v>287</v>
      </c>
      <c r="F277" s="849" t="s">
        <v>388</v>
      </c>
    </row>
    <row r="278" spans="1:6" ht="25.8" x14ac:dyDescent="0.5">
      <c r="A278" s="841" t="s">
        <v>877</v>
      </c>
      <c r="B278" s="841" t="s">
        <v>878</v>
      </c>
      <c r="C278" s="842"/>
      <c r="D278" s="843">
        <v>1</v>
      </c>
      <c r="E278" s="844" t="s">
        <v>287</v>
      </c>
      <c r="F278" s="844" t="s">
        <v>388</v>
      </c>
    </row>
    <row r="279" spans="1:6" ht="25.8" x14ac:dyDescent="0.5">
      <c r="A279" s="845" t="s">
        <v>877</v>
      </c>
      <c r="B279" s="846" t="s">
        <v>590</v>
      </c>
      <c r="C279" s="847"/>
      <c r="D279" s="848">
        <v>1</v>
      </c>
      <c r="E279" s="849" t="s">
        <v>388</v>
      </c>
      <c r="F279" s="849" t="s">
        <v>388</v>
      </c>
    </row>
    <row r="280" spans="1:6" ht="25.8" x14ac:dyDescent="0.5">
      <c r="A280" s="841" t="s">
        <v>877</v>
      </c>
      <c r="B280" s="841" t="s">
        <v>593</v>
      </c>
      <c r="C280" s="842"/>
      <c r="D280" s="843">
        <v>1</v>
      </c>
      <c r="E280" s="844" t="s">
        <v>388</v>
      </c>
      <c r="F280" s="844" t="s">
        <v>388</v>
      </c>
    </row>
    <row r="281" spans="1:6" ht="25.8" x14ac:dyDescent="0.5">
      <c r="A281" s="845" t="s">
        <v>877</v>
      </c>
      <c r="B281" s="846" t="s">
        <v>879</v>
      </c>
      <c r="C281" s="847"/>
      <c r="D281" s="848">
        <v>1</v>
      </c>
      <c r="E281" s="849" t="s">
        <v>388</v>
      </c>
      <c r="F281" s="849" t="s">
        <v>388</v>
      </c>
    </row>
    <row r="282" spans="1:6" ht="25.8" x14ac:dyDescent="0.5">
      <c r="A282" s="841" t="s">
        <v>877</v>
      </c>
      <c r="B282" s="841" t="s">
        <v>880</v>
      </c>
      <c r="C282" s="842"/>
      <c r="D282" s="843">
        <v>1</v>
      </c>
      <c r="E282" s="844" t="s">
        <v>287</v>
      </c>
      <c r="F282" s="844" t="s">
        <v>388</v>
      </c>
    </row>
    <row r="283" spans="1:6" ht="25.8" x14ac:dyDescent="0.5">
      <c r="A283" s="845" t="s">
        <v>877</v>
      </c>
      <c r="B283" s="846" t="s">
        <v>881</v>
      </c>
      <c r="C283" s="847"/>
      <c r="D283" s="848">
        <v>1</v>
      </c>
      <c r="E283" s="849" t="s">
        <v>388</v>
      </c>
      <c r="F283" s="849" t="s">
        <v>388</v>
      </c>
    </row>
    <row r="284" spans="1:6" ht="25.8" x14ac:dyDescent="0.5">
      <c r="A284" s="841" t="s">
        <v>877</v>
      </c>
      <c r="B284" s="841" t="s">
        <v>882</v>
      </c>
      <c r="C284" s="842"/>
      <c r="D284" s="843">
        <v>1</v>
      </c>
      <c r="E284" s="844" t="s">
        <v>388</v>
      </c>
      <c r="F284" s="844" t="s">
        <v>388</v>
      </c>
    </row>
    <row r="285" spans="1:6" ht="25.8" x14ac:dyDescent="0.5">
      <c r="A285" s="845" t="s">
        <v>877</v>
      </c>
      <c r="B285" s="846" t="s">
        <v>575</v>
      </c>
      <c r="C285" s="847"/>
      <c r="D285" s="848">
        <v>1</v>
      </c>
      <c r="E285" s="849" t="s">
        <v>287</v>
      </c>
      <c r="F285" s="849" t="s">
        <v>287</v>
      </c>
    </row>
    <row r="286" spans="1:6" ht="25.8" x14ac:dyDescent="0.5">
      <c r="A286" s="841" t="s">
        <v>877</v>
      </c>
      <c r="B286" s="841" t="s">
        <v>883</v>
      </c>
      <c r="C286" s="842"/>
      <c r="D286" s="843">
        <v>1</v>
      </c>
      <c r="E286" s="844" t="s">
        <v>287</v>
      </c>
      <c r="F286" s="844" t="s">
        <v>287</v>
      </c>
    </row>
    <row r="287" spans="1:6" ht="25.8" x14ac:dyDescent="0.5">
      <c r="A287" s="845" t="s">
        <v>877</v>
      </c>
      <c r="B287" s="846" t="s">
        <v>579</v>
      </c>
      <c r="C287" s="847"/>
      <c r="D287" s="848">
        <v>1</v>
      </c>
      <c r="E287" s="849" t="s">
        <v>287</v>
      </c>
      <c r="F287" s="849" t="s">
        <v>287</v>
      </c>
    </row>
    <row r="288" spans="1:6" ht="25.8" x14ac:dyDescent="0.5">
      <c r="A288" s="841" t="s">
        <v>877</v>
      </c>
      <c r="B288" s="841" t="s">
        <v>617</v>
      </c>
      <c r="C288" s="842"/>
      <c r="D288" s="843">
        <v>1</v>
      </c>
      <c r="E288" s="844" t="s">
        <v>287</v>
      </c>
      <c r="F288" s="844" t="s">
        <v>388</v>
      </c>
    </row>
    <row r="289" spans="1:6" ht="25.8" x14ac:dyDescent="0.5">
      <c r="A289" s="845" t="s">
        <v>871</v>
      </c>
      <c r="B289" s="846" t="s">
        <v>611</v>
      </c>
      <c r="C289" s="847"/>
      <c r="D289" s="848">
        <v>2</v>
      </c>
      <c r="E289" s="849" t="s">
        <v>287</v>
      </c>
      <c r="F289" s="849" t="s">
        <v>287</v>
      </c>
    </row>
    <row r="290" spans="1:6" ht="25.8" x14ac:dyDescent="0.5">
      <c r="A290" s="841" t="s">
        <v>871</v>
      </c>
      <c r="B290" s="841" t="s">
        <v>884</v>
      </c>
      <c r="C290" s="842"/>
      <c r="D290" s="843">
        <v>2</v>
      </c>
      <c r="E290" s="844" t="s">
        <v>287</v>
      </c>
      <c r="F290" s="844" t="s">
        <v>287</v>
      </c>
    </row>
    <row r="291" spans="1:6" ht="25.8" x14ac:dyDescent="0.5">
      <c r="A291" s="845" t="s">
        <v>871</v>
      </c>
      <c r="B291" s="846" t="s">
        <v>636</v>
      </c>
      <c r="C291" s="847"/>
      <c r="D291" s="848">
        <v>2</v>
      </c>
      <c r="E291" s="849" t="s">
        <v>287</v>
      </c>
      <c r="F291" s="849" t="s">
        <v>287</v>
      </c>
    </row>
    <row r="292" spans="1:6" ht="25.8" x14ac:dyDescent="0.5">
      <c r="A292" s="841" t="s">
        <v>871</v>
      </c>
      <c r="B292" s="841" t="s">
        <v>630</v>
      </c>
      <c r="C292" s="842"/>
      <c r="D292" s="843">
        <v>2</v>
      </c>
      <c r="E292" s="844" t="s">
        <v>287</v>
      </c>
      <c r="F292" s="844" t="s">
        <v>388</v>
      </c>
    </row>
    <row r="293" spans="1:6" ht="25.8" x14ac:dyDescent="0.5">
      <c r="A293" s="845" t="s">
        <v>871</v>
      </c>
      <c r="B293" s="846" t="s">
        <v>567</v>
      </c>
      <c r="C293" s="847"/>
      <c r="D293" s="848">
        <v>2</v>
      </c>
      <c r="E293" s="849" t="s">
        <v>287</v>
      </c>
      <c r="F293" s="849" t="s">
        <v>388</v>
      </c>
    </row>
    <row r="294" spans="1:6" ht="25.8" x14ac:dyDescent="0.5">
      <c r="A294" s="841" t="s">
        <v>877</v>
      </c>
      <c r="B294" s="841" t="s">
        <v>608</v>
      </c>
      <c r="C294" s="842"/>
      <c r="D294" s="843">
        <v>2</v>
      </c>
      <c r="E294" s="844" t="s">
        <v>287</v>
      </c>
      <c r="F294" s="844" t="s">
        <v>287</v>
      </c>
    </row>
    <row r="295" spans="1:6" ht="25.8" x14ac:dyDescent="0.5">
      <c r="A295" s="845" t="s">
        <v>877</v>
      </c>
      <c r="B295" s="846" t="s">
        <v>614</v>
      </c>
      <c r="C295" s="847"/>
      <c r="D295" s="848">
        <v>2</v>
      </c>
      <c r="E295" s="849" t="s">
        <v>388</v>
      </c>
      <c r="F295" s="849" t="s">
        <v>388</v>
      </c>
    </row>
    <row r="296" spans="1:6" ht="25.8" x14ac:dyDescent="0.5">
      <c r="A296" s="841" t="s">
        <v>877</v>
      </c>
      <c r="B296" s="841" t="s">
        <v>885</v>
      </c>
      <c r="C296" s="842"/>
      <c r="D296" s="843">
        <v>2</v>
      </c>
      <c r="E296" s="844" t="s">
        <v>287</v>
      </c>
      <c r="F296" s="844" t="s">
        <v>287</v>
      </c>
    </row>
    <row r="297" spans="1:6" ht="25.8" x14ac:dyDescent="0.5">
      <c r="A297" s="845" t="s">
        <v>877</v>
      </c>
      <c r="B297" s="846" t="s">
        <v>886</v>
      </c>
      <c r="C297" s="847"/>
      <c r="D297" s="848">
        <v>2</v>
      </c>
      <c r="E297" s="849" t="s">
        <v>388</v>
      </c>
      <c r="F297" s="849" t="s">
        <v>388</v>
      </c>
    </row>
    <row r="298" spans="1:6" ht="25.8" x14ac:dyDescent="0.5">
      <c r="A298" s="841" t="s">
        <v>877</v>
      </c>
      <c r="B298" s="841" t="s">
        <v>887</v>
      </c>
      <c r="C298" s="842"/>
      <c r="D298" s="843">
        <v>2</v>
      </c>
      <c r="E298" s="844" t="s">
        <v>388</v>
      </c>
      <c r="F298" s="844" t="s">
        <v>388</v>
      </c>
    </row>
    <row r="299" spans="1:6" ht="25.8" x14ac:dyDescent="0.5">
      <c r="A299" s="845" t="s">
        <v>877</v>
      </c>
      <c r="B299" s="846" t="s">
        <v>571</v>
      </c>
      <c r="C299" s="847"/>
      <c r="D299" s="848">
        <v>2</v>
      </c>
      <c r="E299" s="849" t="s">
        <v>287</v>
      </c>
      <c r="F299" s="849" t="s">
        <v>287</v>
      </c>
    </row>
    <row r="300" spans="1:6" ht="25.8" x14ac:dyDescent="0.5">
      <c r="A300" s="841" t="s">
        <v>871</v>
      </c>
      <c r="B300" s="841" t="s">
        <v>621</v>
      </c>
      <c r="C300" s="842"/>
      <c r="D300" s="843">
        <v>3</v>
      </c>
      <c r="E300" s="844" t="s">
        <v>388</v>
      </c>
      <c r="F300" s="844" t="s">
        <v>388</v>
      </c>
    </row>
    <row r="301" spans="1:6" ht="25.8" x14ac:dyDescent="0.5">
      <c r="A301" s="845" t="s">
        <v>871</v>
      </c>
      <c r="B301" s="846" t="s">
        <v>888</v>
      </c>
      <c r="C301" s="847"/>
      <c r="D301" s="848">
        <v>3</v>
      </c>
      <c r="E301" s="849" t="s">
        <v>287</v>
      </c>
      <c r="F301" s="849" t="s">
        <v>287</v>
      </c>
    </row>
    <row r="302" spans="1:6" ht="25.8" x14ac:dyDescent="0.5">
      <c r="A302" s="841" t="s">
        <v>877</v>
      </c>
      <c r="B302" s="841" t="s">
        <v>605</v>
      </c>
      <c r="C302" s="842"/>
      <c r="D302" s="843">
        <v>3</v>
      </c>
      <c r="E302" s="844" t="s">
        <v>388</v>
      </c>
      <c r="F302" s="844" t="s">
        <v>388</v>
      </c>
    </row>
    <row r="303" spans="1:6" ht="25.8" x14ac:dyDescent="0.5">
      <c r="A303" s="841" t="s">
        <v>877</v>
      </c>
      <c r="B303" s="841" t="s">
        <v>1331</v>
      </c>
      <c r="C303" s="842"/>
      <c r="D303" s="843">
        <v>3</v>
      </c>
      <c r="E303" s="844" t="s">
        <v>388</v>
      </c>
      <c r="F303" s="844" t="s">
        <v>388</v>
      </c>
    </row>
    <row r="304" spans="1:6" ht="25.8" x14ac:dyDescent="0.5">
      <c r="A304" s="845" t="s">
        <v>877</v>
      </c>
      <c r="B304" s="846" t="s">
        <v>624</v>
      </c>
      <c r="C304" s="847"/>
      <c r="D304" s="848">
        <v>3</v>
      </c>
      <c r="E304" s="849" t="s">
        <v>287</v>
      </c>
      <c r="F304" s="849" t="s">
        <v>388</v>
      </c>
    </row>
    <row r="305" spans="1:6" ht="25.8" x14ac:dyDescent="0.5">
      <c r="A305" s="1529"/>
      <c r="B305" s="1529"/>
      <c r="C305" s="1529"/>
      <c r="D305" s="850"/>
      <c r="E305" s="851">
        <f>(COUNTIF(E258:E304,"OK")+COUNTIF(E258:E304,"N/A"))/47</f>
        <v>0.7021276595744681</v>
      </c>
      <c r="F305" s="851">
        <f>(COUNTIF(F258:F304,"OK")+COUNTIF(F258:F304,"N/A"))/47</f>
        <v>0.34042553191489361</v>
      </c>
    </row>
  </sheetData>
  <sheetProtection formatCells="0" formatColumns="0" formatRows="0" insertHyperlinks="0"/>
  <autoFilter ref="A54:AO54" xr:uid="{20DCD16A-4F46-4AA3-8504-88D8B8E9E833}"/>
  <mergeCells count="716">
    <mergeCell ref="M147:N147"/>
    <mergeCell ref="M137:N137"/>
    <mergeCell ref="M140:N140"/>
    <mergeCell ref="M141:N141"/>
    <mergeCell ref="M142:N142"/>
    <mergeCell ref="M143:N143"/>
    <mergeCell ref="M121:M122"/>
    <mergeCell ref="N121:N122"/>
    <mergeCell ref="H126:L126"/>
    <mergeCell ref="L121:L122"/>
    <mergeCell ref="L123:L124"/>
    <mergeCell ref="M123:M124"/>
    <mergeCell ref="N123:N124"/>
    <mergeCell ref="K123:K124"/>
    <mergeCell ref="M146:N146"/>
    <mergeCell ref="N119:N120"/>
    <mergeCell ref="M135:N135"/>
    <mergeCell ref="M128:N128"/>
    <mergeCell ref="M129:N129"/>
    <mergeCell ref="P123:P124"/>
    <mergeCell ref="M136:N136"/>
    <mergeCell ref="M144:N144"/>
    <mergeCell ref="M145:N145"/>
    <mergeCell ref="M130:N130"/>
    <mergeCell ref="M131:N131"/>
    <mergeCell ref="M132:N132"/>
    <mergeCell ref="M133:N133"/>
    <mergeCell ref="M134:N134"/>
    <mergeCell ref="AK123:AK124"/>
    <mergeCell ref="AL123:AL124"/>
    <mergeCell ref="AM123:AM124"/>
    <mergeCell ref="O121:O122"/>
    <mergeCell ref="AK119:AK120"/>
    <mergeCell ref="AL119:AL120"/>
    <mergeCell ref="AM119:AM120"/>
    <mergeCell ref="P119:P120"/>
    <mergeCell ref="P111:P112"/>
    <mergeCell ref="AK111:AK112"/>
    <mergeCell ref="AL111:AL112"/>
    <mergeCell ref="AM111:AM112"/>
    <mergeCell ref="P117:P118"/>
    <mergeCell ref="O119:O120"/>
    <mergeCell ref="O117:O118"/>
    <mergeCell ref="P121:P122"/>
    <mergeCell ref="AK121:AK122"/>
    <mergeCell ref="AL121:AL122"/>
    <mergeCell ref="AM121:AM122"/>
    <mergeCell ref="O113:O114"/>
    <mergeCell ref="P113:P114"/>
    <mergeCell ref="O123:O124"/>
    <mergeCell ref="P109:P110"/>
    <mergeCell ref="AK109:AK110"/>
    <mergeCell ref="AL109:AL110"/>
    <mergeCell ref="AM109:AM110"/>
    <mergeCell ref="K109:K110"/>
    <mergeCell ref="D111:D112"/>
    <mergeCell ref="E111:E112"/>
    <mergeCell ref="F111:F112"/>
    <mergeCell ref="G111:G112"/>
    <mergeCell ref="H111:H112"/>
    <mergeCell ref="P107:P108"/>
    <mergeCell ref="AK107:AK108"/>
    <mergeCell ref="AL107:AL108"/>
    <mergeCell ref="AM107:AM108"/>
    <mergeCell ref="D105:D106"/>
    <mergeCell ref="E105:E106"/>
    <mergeCell ref="F105:F106"/>
    <mergeCell ref="G105:G106"/>
    <mergeCell ref="H105:H106"/>
    <mergeCell ref="I105:I106"/>
    <mergeCell ref="J105:J106"/>
    <mergeCell ref="AL105:AL106"/>
    <mergeCell ref="AM105:AM106"/>
    <mergeCell ref="P103:P104"/>
    <mergeCell ref="AK103:AK104"/>
    <mergeCell ref="AL103:AL104"/>
    <mergeCell ref="AM103:AM104"/>
    <mergeCell ref="A107:A108"/>
    <mergeCell ref="C107:C108"/>
    <mergeCell ref="D107:D108"/>
    <mergeCell ref="E107:E108"/>
    <mergeCell ref="F107:F108"/>
    <mergeCell ref="G107:G108"/>
    <mergeCell ref="H107:H108"/>
    <mergeCell ref="I107:I108"/>
    <mergeCell ref="J107:J108"/>
    <mergeCell ref="A103:A104"/>
    <mergeCell ref="C103:C104"/>
    <mergeCell ref="D103:D104"/>
    <mergeCell ref="E103:E104"/>
    <mergeCell ref="F103:F104"/>
    <mergeCell ref="G103:G104"/>
    <mergeCell ref="H103:H104"/>
    <mergeCell ref="I103:I104"/>
    <mergeCell ref="J103:J104"/>
    <mergeCell ref="K107:K108"/>
    <mergeCell ref="O107:O108"/>
    <mergeCell ref="P101:P102"/>
    <mergeCell ref="G95:G96"/>
    <mergeCell ref="H95:H96"/>
    <mergeCell ref="I95:I96"/>
    <mergeCell ref="J95:J96"/>
    <mergeCell ref="K95:K96"/>
    <mergeCell ref="L95:L96"/>
    <mergeCell ref="M95:M96"/>
    <mergeCell ref="N95:N96"/>
    <mergeCell ref="O95:O96"/>
    <mergeCell ref="G97:G98"/>
    <mergeCell ref="H97:H98"/>
    <mergeCell ref="I97:I98"/>
    <mergeCell ref="J97:J98"/>
    <mergeCell ref="G101:G102"/>
    <mergeCell ref="H101:H102"/>
    <mergeCell ref="I101:I102"/>
    <mergeCell ref="P99:P100"/>
    <mergeCell ref="M101:M102"/>
    <mergeCell ref="N101:N102"/>
    <mergeCell ref="K97:K98"/>
    <mergeCell ref="L97:L98"/>
    <mergeCell ref="M97:M98"/>
    <mergeCell ref="N97:N98"/>
    <mergeCell ref="O97:O98"/>
    <mergeCell ref="K99:K100"/>
    <mergeCell ref="L99:L100"/>
    <mergeCell ref="M99:M100"/>
    <mergeCell ref="N99:N100"/>
    <mergeCell ref="O99:O100"/>
    <mergeCell ref="K111:K112"/>
    <mergeCell ref="L111:L112"/>
    <mergeCell ref="M111:M112"/>
    <mergeCell ref="N111:N112"/>
    <mergeCell ref="O111:O112"/>
    <mergeCell ref="N117:N118"/>
    <mergeCell ref="O101:O102"/>
    <mergeCell ref="O103:O104"/>
    <mergeCell ref="M113:M114"/>
    <mergeCell ref="N113:N114"/>
    <mergeCell ref="A123:A124"/>
    <mergeCell ref="C123:C124"/>
    <mergeCell ref="D123:D124"/>
    <mergeCell ref="E123:E124"/>
    <mergeCell ref="F123:F124"/>
    <mergeCell ref="K121:K122"/>
    <mergeCell ref="A121:A122"/>
    <mergeCell ref="C121:C122"/>
    <mergeCell ref="D121:D122"/>
    <mergeCell ref="E121:E122"/>
    <mergeCell ref="F121:F122"/>
    <mergeCell ref="G121:G122"/>
    <mergeCell ref="H121:H122"/>
    <mergeCell ref="I121:I122"/>
    <mergeCell ref="J121:J122"/>
    <mergeCell ref="G123:G124"/>
    <mergeCell ref="H123:H124"/>
    <mergeCell ref="I123:I124"/>
    <mergeCell ref="J123:J124"/>
    <mergeCell ref="H75:H76"/>
    <mergeCell ref="I75:I76"/>
    <mergeCell ref="G81:G82"/>
    <mergeCell ref="I79:I80"/>
    <mergeCell ref="H79:H80"/>
    <mergeCell ref="G79:G80"/>
    <mergeCell ref="F79:F80"/>
    <mergeCell ref="E79:E80"/>
    <mergeCell ref="G85:G86"/>
    <mergeCell ref="F85:F86"/>
    <mergeCell ref="H83:H84"/>
    <mergeCell ref="F77:F78"/>
    <mergeCell ref="G77:G78"/>
    <mergeCell ref="H77:H78"/>
    <mergeCell ref="G75:G76"/>
    <mergeCell ref="F83:F84"/>
    <mergeCell ref="I85:I86"/>
    <mergeCell ref="G83:G84"/>
    <mergeCell ref="H85:H86"/>
    <mergeCell ref="O93:O94"/>
    <mergeCell ref="O115:O116"/>
    <mergeCell ref="AK75:AK76"/>
    <mergeCell ref="P115:P116"/>
    <mergeCell ref="L89:L90"/>
    <mergeCell ref="N71:N72"/>
    <mergeCell ref="P73:P74"/>
    <mergeCell ref="O85:O86"/>
    <mergeCell ref="M85:M86"/>
    <mergeCell ref="L85:L86"/>
    <mergeCell ref="P95:P96"/>
    <mergeCell ref="AK95:AK96"/>
    <mergeCell ref="AK101:AK102"/>
    <mergeCell ref="L105:L106"/>
    <mergeCell ref="M105:M106"/>
    <mergeCell ref="N105:N106"/>
    <mergeCell ref="O105:O106"/>
    <mergeCell ref="P105:P106"/>
    <mergeCell ref="AK105:AK106"/>
    <mergeCell ref="L109:L110"/>
    <mergeCell ref="M109:M110"/>
    <mergeCell ref="N109:N110"/>
    <mergeCell ref="O109:O110"/>
    <mergeCell ref="P97:P98"/>
    <mergeCell ref="AL89:AL90"/>
    <mergeCell ref="AM89:AM90"/>
    <mergeCell ref="AK91:AK92"/>
    <mergeCell ref="AL91:AL92"/>
    <mergeCell ref="AM91:AM92"/>
    <mergeCell ref="O83:O84"/>
    <mergeCell ref="AK83:AK84"/>
    <mergeCell ref="P81:P82"/>
    <mergeCell ref="O79:O80"/>
    <mergeCell ref="O81:O82"/>
    <mergeCell ref="P79:P80"/>
    <mergeCell ref="AK85:AK86"/>
    <mergeCell ref="AL81:AL82"/>
    <mergeCell ref="AK81:AK82"/>
    <mergeCell ref="AL83:AL84"/>
    <mergeCell ref="O91:O92"/>
    <mergeCell ref="P89:P90"/>
    <mergeCell ref="O87:O88"/>
    <mergeCell ref="O89:O90"/>
    <mergeCell ref="AK89:AK90"/>
    <mergeCell ref="P91:P92"/>
    <mergeCell ref="AM85:AM86"/>
    <mergeCell ref="P83:P84"/>
    <mergeCell ref="AK87:AK88"/>
    <mergeCell ref="AK93:AK94"/>
    <mergeCell ref="AL93:AL94"/>
    <mergeCell ref="AM93:AM94"/>
    <mergeCell ref="AK115:AK116"/>
    <mergeCell ref="AM115:AM116"/>
    <mergeCell ref="AK117:AK118"/>
    <mergeCell ref="AL117:AL118"/>
    <mergeCell ref="AM117:AM118"/>
    <mergeCell ref="AL115:AL116"/>
    <mergeCell ref="AL95:AL96"/>
    <mergeCell ref="AM95:AM96"/>
    <mergeCell ref="AL97:AL98"/>
    <mergeCell ref="AM97:AM98"/>
    <mergeCell ref="AK97:AK98"/>
    <mergeCell ref="AK99:AK100"/>
    <mergeCell ref="AL99:AL100"/>
    <mergeCell ref="AM99:AM100"/>
    <mergeCell ref="AL101:AL102"/>
    <mergeCell ref="AM101:AM102"/>
    <mergeCell ref="AK113:AK114"/>
    <mergeCell ref="AL113:AL114"/>
    <mergeCell ref="AM113:AM114"/>
    <mergeCell ref="AL87:AL88"/>
    <mergeCell ref="AM87:AM88"/>
    <mergeCell ref="AK71:AK72"/>
    <mergeCell ref="AM81:AM82"/>
    <mergeCell ref="P85:P86"/>
    <mergeCell ref="P87:P88"/>
    <mergeCell ref="AL75:AL76"/>
    <mergeCell ref="AM83:AM84"/>
    <mergeCell ref="AL85:AL86"/>
    <mergeCell ref="AM75:AM76"/>
    <mergeCell ref="AK77:AK78"/>
    <mergeCell ref="AL77:AL78"/>
    <mergeCell ref="AM77:AM78"/>
    <mergeCell ref="AK79:AK80"/>
    <mergeCell ref="AL79:AL80"/>
    <mergeCell ref="AL71:AL72"/>
    <mergeCell ref="AK73:AK74"/>
    <mergeCell ref="P71:P72"/>
    <mergeCell ref="P75:P76"/>
    <mergeCell ref="P77:P78"/>
    <mergeCell ref="AL69:AL70"/>
    <mergeCell ref="AM71:AM72"/>
    <mergeCell ref="AM79:AM80"/>
    <mergeCell ref="AJ45:AK45"/>
    <mergeCell ref="AK53:AM53"/>
    <mergeCell ref="AK55:AK56"/>
    <mergeCell ref="AL55:AL56"/>
    <mergeCell ref="AM55:AM56"/>
    <mergeCell ref="AK57:AK58"/>
    <mergeCell ref="AL57:AL58"/>
    <mergeCell ref="AM57:AM58"/>
    <mergeCell ref="AL73:AL74"/>
    <mergeCell ref="AM73:AM74"/>
    <mergeCell ref="AM61:AM62"/>
    <mergeCell ref="AL63:AL64"/>
    <mergeCell ref="AM63:AM64"/>
    <mergeCell ref="AL65:AL66"/>
    <mergeCell ref="AM65:AM66"/>
    <mergeCell ref="AK63:AK64"/>
    <mergeCell ref="AK65:AK66"/>
    <mergeCell ref="AK67:AK68"/>
    <mergeCell ref="AK59:AK60"/>
    <mergeCell ref="AL59:AL60"/>
    <mergeCell ref="AL61:AL62"/>
    <mergeCell ref="AK69:AK70"/>
    <mergeCell ref="A57:A58"/>
    <mergeCell ref="C57:C58"/>
    <mergeCell ref="E57:E58"/>
    <mergeCell ref="F57:F58"/>
    <mergeCell ref="G57:G58"/>
    <mergeCell ref="H57:H58"/>
    <mergeCell ref="M57:M58"/>
    <mergeCell ref="A67:A68"/>
    <mergeCell ref="J57:J58"/>
    <mergeCell ref="I57:I58"/>
    <mergeCell ref="L57:L58"/>
    <mergeCell ref="K57:K58"/>
    <mergeCell ref="P57:P58"/>
    <mergeCell ref="D57:D58"/>
    <mergeCell ref="O57:O58"/>
    <mergeCell ref="H55:H56"/>
    <mergeCell ref="I55:I56"/>
    <mergeCell ref="M55:M56"/>
    <mergeCell ref="O55:O56"/>
    <mergeCell ref="J55:J56"/>
    <mergeCell ref="AL67:AL68"/>
    <mergeCell ref="H63:H64"/>
    <mergeCell ref="I63:I64"/>
    <mergeCell ref="I59:I60"/>
    <mergeCell ref="J59:J60"/>
    <mergeCell ref="M61:M62"/>
    <mergeCell ref="K59:K60"/>
    <mergeCell ref="K61:K62"/>
    <mergeCell ref="N59:N60"/>
    <mergeCell ref="L61:L62"/>
    <mergeCell ref="AM69:AM70"/>
    <mergeCell ref="AM59:AM60"/>
    <mergeCell ref="AK61:AK62"/>
    <mergeCell ref="S53:U53"/>
    <mergeCell ref="AM67:AM68"/>
    <mergeCell ref="N115:N116"/>
    <mergeCell ref="L115:L116"/>
    <mergeCell ref="K105:K106"/>
    <mergeCell ref="M115:M116"/>
    <mergeCell ref="M73:M74"/>
    <mergeCell ref="N87:N88"/>
    <mergeCell ref="N75:N76"/>
    <mergeCell ref="L107:L108"/>
    <mergeCell ref="M107:M108"/>
    <mergeCell ref="N107:N108"/>
    <mergeCell ref="K113:K114"/>
    <mergeCell ref="M75:M76"/>
    <mergeCell ref="M79:M80"/>
    <mergeCell ref="N83:N84"/>
    <mergeCell ref="L59:L60"/>
    <mergeCell ref="N79:N80"/>
    <mergeCell ref="K85:K86"/>
    <mergeCell ref="K101:K102"/>
    <mergeCell ref="L101:L102"/>
    <mergeCell ref="J83:J84"/>
    <mergeCell ref="I83:I84"/>
    <mergeCell ref="J63:J64"/>
    <mergeCell ref="J65:J66"/>
    <mergeCell ref="L63:L64"/>
    <mergeCell ref="L65:L66"/>
    <mergeCell ref="K63:K64"/>
    <mergeCell ref="K65:K66"/>
    <mergeCell ref="K73:K74"/>
    <mergeCell ref="I69:I70"/>
    <mergeCell ref="K67:K68"/>
    <mergeCell ref="K69:K70"/>
    <mergeCell ref="I65:I66"/>
    <mergeCell ref="K83:K84"/>
    <mergeCell ref="L67:L68"/>
    <mergeCell ref="I77:I78"/>
    <mergeCell ref="K75:K76"/>
    <mergeCell ref="K77:K78"/>
    <mergeCell ref="I73:I74"/>
    <mergeCell ref="L69:L70"/>
    <mergeCell ref="K71:K72"/>
    <mergeCell ref="L73:L74"/>
    <mergeCell ref="K81:K82"/>
    <mergeCell ref="A1:AF1"/>
    <mergeCell ref="J67:J68"/>
    <mergeCell ref="J69:J70"/>
    <mergeCell ref="J71:J72"/>
    <mergeCell ref="J73:J74"/>
    <mergeCell ref="J75:J76"/>
    <mergeCell ref="J77:J78"/>
    <mergeCell ref="J79:J80"/>
    <mergeCell ref="J81:J82"/>
    <mergeCell ref="H59:H60"/>
    <mergeCell ref="L75:L76"/>
    <mergeCell ref="L77:L78"/>
    <mergeCell ref="L79:L80"/>
    <mergeCell ref="L81:L82"/>
    <mergeCell ref="L55:L56"/>
    <mergeCell ref="A2:AF2"/>
    <mergeCell ref="N57:N58"/>
    <mergeCell ref="D55:D56"/>
    <mergeCell ref="J4:K4"/>
    <mergeCell ref="K8:K9"/>
    <mergeCell ref="L8:L9"/>
    <mergeCell ref="M8:M9"/>
    <mergeCell ref="U23:Y23"/>
    <mergeCell ref="U24:Y24"/>
    <mergeCell ref="U25:Y25"/>
    <mergeCell ref="J5:K5"/>
    <mergeCell ref="L4:M4"/>
    <mergeCell ref="L5:M5"/>
    <mergeCell ref="U5:Y5"/>
    <mergeCell ref="O4:AF4"/>
    <mergeCell ref="K10:K11"/>
    <mergeCell ref="L10:L11"/>
    <mergeCell ref="K55:K56"/>
    <mergeCell ref="M10:M11"/>
    <mergeCell ref="U21:Y21"/>
    <mergeCell ref="U22:Y22"/>
    <mergeCell ref="O26:P26"/>
    <mergeCell ref="N55:N56"/>
    <mergeCell ref="P55:P56"/>
    <mergeCell ref="N73:N74"/>
    <mergeCell ref="P59:P60"/>
    <mergeCell ref="O59:O60"/>
    <mergeCell ref="M65:M66"/>
    <mergeCell ref="N65:N66"/>
    <mergeCell ref="O61:O62"/>
    <mergeCell ref="O63:O64"/>
    <mergeCell ref="O65:O66"/>
    <mergeCell ref="N61:N62"/>
    <mergeCell ref="N63:N64"/>
    <mergeCell ref="O67:O68"/>
    <mergeCell ref="N67:N68"/>
    <mergeCell ref="P63:P64"/>
    <mergeCell ref="P65:P66"/>
    <mergeCell ref="P67:P68"/>
    <mergeCell ref="M63:M64"/>
    <mergeCell ref="O73:O74"/>
    <mergeCell ref="M59:M60"/>
    <mergeCell ref="P69:P70"/>
    <mergeCell ref="O69:O70"/>
    <mergeCell ref="P61:P62"/>
    <mergeCell ref="N69:N70"/>
    <mergeCell ref="M67:M68"/>
    <mergeCell ref="M69:M70"/>
    <mergeCell ref="G71:G72"/>
    <mergeCell ref="H67:H68"/>
    <mergeCell ref="I67:I68"/>
    <mergeCell ref="D61:D62"/>
    <mergeCell ref="D63:D64"/>
    <mergeCell ref="D65:D66"/>
    <mergeCell ref="G61:G62"/>
    <mergeCell ref="E63:E64"/>
    <mergeCell ref="F63:F64"/>
    <mergeCell ref="E67:E68"/>
    <mergeCell ref="F67:F68"/>
    <mergeCell ref="F61:F62"/>
    <mergeCell ref="M71:M72"/>
    <mergeCell ref="L71:L72"/>
    <mergeCell ref="G113:G114"/>
    <mergeCell ref="H113:H114"/>
    <mergeCell ref="G115:G116"/>
    <mergeCell ref="H115:H116"/>
    <mergeCell ref="O75:O76"/>
    <mergeCell ref="C77:C78"/>
    <mergeCell ref="E77:E78"/>
    <mergeCell ref="H71:H72"/>
    <mergeCell ref="I71:I72"/>
    <mergeCell ref="K103:K104"/>
    <mergeCell ref="L103:L104"/>
    <mergeCell ref="M103:M104"/>
    <mergeCell ref="N103:N104"/>
    <mergeCell ref="N85:N86"/>
    <mergeCell ref="L91:L92"/>
    <mergeCell ref="N93:N94"/>
    <mergeCell ref="N81:N82"/>
    <mergeCell ref="M91:M92"/>
    <mergeCell ref="K87:K88"/>
    <mergeCell ref="N91:N92"/>
    <mergeCell ref="K91:K92"/>
    <mergeCell ref="L83:L84"/>
    <mergeCell ref="H87:H88"/>
    <mergeCell ref="G117:G118"/>
    <mergeCell ref="H117:H118"/>
    <mergeCell ref="H89:H90"/>
    <mergeCell ref="I89:I90"/>
    <mergeCell ref="M89:M90"/>
    <mergeCell ref="J85:J86"/>
    <mergeCell ref="J87:J88"/>
    <mergeCell ref="J89:J90"/>
    <mergeCell ref="J91:J92"/>
    <mergeCell ref="J93:J94"/>
    <mergeCell ref="J115:J116"/>
    <mergeCell ref="K115:K116"/>
    <mergeCell ref="L113:L114"/>
    <mergeCell ref="J111:J112"/>
    <mergeCell ref="J109:J110"/>
    <mergeCell ref="J113:J114"/>
    <mergeCell ref="J101:J102"/>
    <mergeCell ref="J99:J100"/>
    <mergeCell ref="G99:G100"/>
    <mergeCell ref="H99:H100"/>
    <mergeCell ref="I99:I100"/>
    <mergeCell ref="H93:H94"/>
    <mergeCell ref="I93:I94"/>
    <mergeCell ref="J117:J118"/>
    <mergeCell ref="K117:K118"/>
    <mergeCell ref="M87:M88"/>
    <mergeCell ref="L119:L120"/>
    <mergeCell ref="K89:K90"/>
    <mergeCell ref="I87:I88"/>
    <mergeCell ref="L87:L88"/>
    <mergeCell ref="I115:I116"/>
    <mergeCell ref="I117:I118"/>
    <mergeCell ref="I111:I112"/>
    <mergeCell ref="I109:I110"/>
    <mergeCell ref="I113:I114"/>
    <mergeCell ref="M119:M120"/>
    <mergeCell ref="K119:K120"/>
    <mergeCell ref="G4:I4"/>
    <mergeCell ref="A5:B5"/>
    <mergeCell ref="E5:F5"/>
    <mergeCell ref="G5:I5"/>
    <mergeCell ref="H7:J7"/>
    <mergeCell ref="A83:A84"/>
    <mergeCell ref="C83:C84"/>
    <mergeCell ref="E83:E84"/>
    <mergeCell ref="A4:B4"/>
    <mergeCell ref="E4:F4"/>
    <mergeCell ref="G73:G74"/>
    <mergeCell ref="A55:A56"/>
    <mergeCell ref="C55:C56"/>
    <mergeCell ref="E55:E56"/>
    <mergeCell ref="F55:F56"/>
    <mergeCell ref="H73:H74"/>
    <mergeCell ref="H65:H66"/>
    <mergeCell ref="H69:H70"/>
    <mergeCell ref="G67:G68"/>
    <mergeCell ref="D67:D68"/>
    <mergeCell ref="G63:G64"/>
    <mergeCell ref="J61:J62"/>
    <mergeCell ref="H61:H62"/>
    <mergeCell ref="I61:I62"/>
    <mergeCell ref="C89:C90"/>
    <mergeCell ref="A81:A82"/>
    <mergeCell ref="A109:A110"/>
    <mergeCell ref="C109:C110"/>
    <mergeCell ref="A113:A114"/>
    <mergeCell ref="C113:C114"/>
    <mergeCell ref="D113:D114"/>
    <mergeCell ref="E113:E114"/>
    <mergeCell ref="A111:A112"/>
    <mergeCell ref="C85:C86"/>
    <mergeCell ref="E85:E86"/>
    <mergeCell ref="C97:C98"/>
    <mergeCell ref="D97:D98"/>
    <mergeCell ref="E97:E98"/>
    <mergeCell ref="A91:A92"/>
    <mergeCell ref="C91:C92"/>
    <mergeCell ref="A87:A88"/>
    <mergeCell ref="D81:D82"/>
    <mergeCell ref="D99:D100"/>
    <mergeCell ref="E99:E100"/>
    <mergeCell ref="D101:D102"/>
    <mergeCell ref="E101:E102"/>
    <mergeCell ref="D85:D86"/>
    <mergeCell ref="D83:D84"/>
    <mergeCell ref="A77:A78"/>
    <mergeCell ref="A73:A74"/>
    <mergeCell ref="C73:C74"/>
    <mergeCell ref="E73:E74"/>
    <mergeCell ref="F73:F74"/>
    <mergeCell ref="D73:D74"/>
    <mergeCell ref="A75:A76"/>
    <mergeCell ref="C75:C76"/>
    <mergeCell ref="E75:E76"/>
    <mergeCell ref="F75:F76"/>
    <mergeCell ref="B73:B74"/>
    <mergeCell ref="B75:B76"/>
    <mergeCell ref="B77:B78"/>
    <mergeCell ref="G55:G56"/>
    <mergeCell ref="A63:A64"/>
    <mergeCell ref="C63:C64"/>
    <mergeCell ref="C67:C68"/>
    <mergeCell ref="D59:D60"/>
    <mergeCell ref="A79:A80"/>
    <mergeCell ref="D79:D80"/>
    <mergeCell ref="C81:C82"/>
    <mergeCell ref="E81:E82"/>
    <mergeCell ref="F81:F82"/>
    <mergeCell ref="C79:C80"/>
    <mergeCell ref="A65:A66"/>
    <mergeCell ref="C65:C66"/>
    <mergeCell ref="E65:E66"/>
    <mergeCell ref="F65:F66"/>
    <mergeCell ref="G65:G66"/>
    <mergeCell ref="A59:A60"/>
    <mergeCell ref="C59:C60"/>
    <mergeCell ref="E59:E60"/>
    <mergeCell ref="F59:F60"/>
    <mergeCell ref="G59:G60"/>
    <mergeCell ref="A61:A62"/>
    <mergeCell ref="C61:C62"/>
    <mergeCell ref="E61:E62"/>
    <mergeCell ref="A305:C305"/>
    <mergeCell ref="A257:C257"/>
    <mergeCell ref="A119:A120"/>
    <mergeCell ref="C119:C120"/>
    <mergeCell ref="D119:D120"/>
    <mergeCell ref="E119:E120"/>
    <mergeCell ref="F119:F120"/>
    <mergeCell ref="D93:D94"/>
    <mergeCell ref="D91:D92"/>
    <mergeCell ref="A95:A96"/>
    <mergeCell ref="C95:C96"/>
    <mergeCell ref="D95:D96"/>
    <mergeCell ref="E95:E96"/>
    <mergeCell ref="D115:D116"/>
    <mergeCell ref="C99:C100"/>
    <mergeCell ref="C101:C102"/>
    <mergeCell ref="E117:E118"/>
    <mergeCell ref="A115:A116"/>
    <mergeCell ref="C115:C116"/>
    <mergeCell ref="F97:F98"/>
    <mergeCell ref="F115:F116"/>
    <mergeCell ref="F101:F102"/>
    <mergeCell ref="F99:F100"/>
    <mergeCell ref="B97:B98"/>
    <mergeCell ref="P93:P94"/>
    <mergeCell ref="A71:A72"/>
    <mergeCell ref="C71:C72"/>
    <mergeCell ref="E71:E72"/>
    <mergeCell ref="F71:F72"/>
    <mergeCell ref="A69:A70"/>
    <mergeCell ref="C69:C70"/>
    <mergeCell ref="E69:E70"/>
    <mergeCell ref="F69:F70"/>
    <mergeCell ref="G69:G70"/>
    <mergeCell ref="D69:D70"/>
    <mergeCell ref="D71:D72"/>
    <mergeCell ref="F89:F90"/>
    <mergeCell ref="G89:G90"/>
    <mergeCell ref="A93:A94"/>
    <mergeCell ref="C93:C94"/>
    <mergeCell ref="E93:E94"/>
    <mergeCell ref="F93:F94"/>
    <mergeCell ref="A85:A86"/>
    <mergeCell ref="I91:I92"/>
    <mergeCell ref="D89:D90"/>
    <mergeCell ref="K79:K80"/>
    <mergeCell ref="O77:O78"/>
    <mergeCell ref="K93:K94"/>
    <mergeCell ref="N89:N90"/>
    <mergeCell ref="D87:D88"/>
    <mergeCell ref="D117:D118"/>
    <mergeCell ref="E89:E90"/>
    <mergeCell ref="O71:O72"/>
    <mergeCell ref="M77:M78"/>
    <mergeCell ref="N77:N78"/>
    <mergeCell ref="D77:D78"/>
    <mergeCell ref="H81:H82"/>
    <mergeCell ref="I81:I82"/>
    <mergeCell ref="M81:M82"/>
    <mergeCell ref="E91:E92"/>
    <mergeCell ref="E115:E116"/>
    <mergeCell ref="D75:D76"/>
    <mergeCell ref="E87:E88"/>
    <mergeCell ref="E109:E110"/>
    <mergeCell ref="L93:L94"/>
    <mergeCell ref="M93:M94"/>
    <mergeCell ref="M83:M84"/>
    <mergeCell ref="M117:M118"/>
    <mergeCell ref="F87:F88"/>
    <mergeCell ref="G93:G94"/>
    <mergeCell ref="G87:G88"/>
    <mergeCell ref="L117:L118"/>
    <mergeCell ref="C87:C88"/>
    <mergeCell ref="D109:D110"/>
    <mergeCell ref="G119:G120"/>
    <mergeCell ref="H119:H120"/>
    <mergeCell ref="I119:I120"/>
    <mergeCell ref="J119:J120"/>
    <mergeCell ref="A97:A98"/>
    <mergeCell ref="A99:A100"/>
    <mergeCell ref="A101:A102"/>
    <mergeCell ref="A105:A106"/>
    <mergeCell ref="C105:C106"/>
    <mergeCell ref="C111:C112"/>
    <mergeCell ref="A89:A90"/>
    <mergeCell ref="A117:A118"/>
    <mergeCell ref="C117:C118"/>
    <mergeCell ref="F117:F118"/>
    <mergeCell ref="F91:F92"/>
    <mergeCell ref="G91:G92"/>
    <mergeCell ref="H91:H92"/>
    <mergeCell ref="F95:F96"/>
    <mergeCell ref="F109:F110"/>
    <mergeCell ref="G109:G110"/>
    <mergeCell ref="H109:H110"/>
    <mergeCell ref="F113:F114"/>
    <mergeCell ref="B55:B56"/>
    <mergeCell ref="B57:B58"/>
    <mergeCell ref="B59:B60"/>
    <mergeCell ref="B61:B62"/>
    <mergeCell ref="B63:B64"/>
    <mergeCell ref="B65:B66"/>
    <mergeCell ref="B67:B68"/>
    <mergeCell ref="B69:B70"/>
    <mergeCell ref="B71:B72"/>
    <mergeCell ref="B79:B80"/>
    <mergeCell ref="B81:B82"/>
    <mergeCell ref="B83:B84"/>
    <mergeCell ref="B85:B86"/>
    <mergeCell ref="B87:B88"/>
    <mergeCell ref="B89:B90"/>
    <mergeCell ref="B91:B92"/>
    <mergeCell ref="B93:B94"/>
    <mergeCell ref="B95:B96"/>
    <mergeCell ref="B117:B118"/>
    <mergeCell ref="B119:B120"/>
    <mergeCell ref="B121:B122"/>
    <mergeCell ref="B123:B124"/>
    <mergeCell ref="B99:B100"/>
    <mergeCell ref="B101:B102"/>
    <mergeCell ref="B103:B104"/>
    <mergeCell ref="B105:B106"/>
    <mergeCell ref="B107:B108"/>
    <mergeCell ref="B109:B110"/>
    <mergeCell ref="B111:B112"/>
    <mergeCell ref="B113:B114"/>
    <mergeCell ref="B115:B116"/>
  </mergeCells>
  <conditionalFormatting sqref="F9:F12">
    <cfRule type="dataBar" priority="45">
      <dataBar showValue="0">
        <cfvo type="num" val="0"/>
        <cfvo type="num" val="1"/>
        <color rgb="FF00B050"/>
      </dataBar>
      <extLst>
        <ext xmlns:x14="http://schemas.microsoft.com/office/spreadsheetml/2009/9/main" uri="{B025F937-C7B1-47D3-B67F-A62EFF666E3E}">
          <x14:id>{C3151E2B-A225-4A8F-AC1A-5A2B7D60641F}</x14:id>
        </ext>
      </extLst>
    </cfRule>
  </conditionalFormatting>
  <conditionalFormatting sqref="G5:K5">
    <cfRule type="cellIs" dxfId="84" priority="2" operator="lessThanOrEqual">
      <formula>0</formula>
    </cfRule>
  </conditionalFormatting>
  <conditionalFormatting sqref="R6:R25">
    <cfRule type="cellIs" dxfId="83" priority="16" operator="between">
      <formula>$Q$6</formula>
      <formula>0.01</formula>
    </cfRule>
    <cfRule type="cellIs" dxfId="82" priority="17" operator="greaterThanOrEqual">
      <formula>$Q$6</formula>
    </cfRule>
    <cfRule type="cellIs" dxfId="81" priority="18" operator="equal">
      <formula>0</formula>
    </cfRule>
  </conditionalFormatting>
  <conditionalFormatting sqref="S6:S25">
    <cfRule type="containsText" dxfId="80" priority="12" operator="containsText" text="Concluído">
      <formula>NOT(ISERROR(SEARCH("Concluído",S6)))</formula>
    </cfRule>
    <cfRule type="containsText" dxfId="79" priority="13" operator="containsText" text="Conforme Planejado">
      <formula>NOT(ISERROR(SEARCH("Conforme Planejado",S6)))</formula>
    </cfRule>
    <cfRule type="containsText" dxfId="78" priority="14" operator="containsText" text="FALTA PLANEJAMENTO">
      <formula>NOT(ISERROR(SEARCH("FALTA PLANEJAMENTO",S6)))</formula>
    </cfRule>
    <cfRule type="containsText" dxfId="77" priority="15" operator="containsText" text="Atraso">
      <formula>NOT(ISERROR(SEARCH("Atraso",S6)))</formula>
    </cfRule>
  </conditionalFormatting>
  <conditionalFormatting sqref="T6:T25">
    <cfRule type="cellIs" dxfId="76" priority="5" operator="lessThan">
      <formula>0</formula>
    </cfRule>
  </conditionalFormatting>
  <conditionalFormatting sqref="AA6:AA25">
    <cfRule type="cellIs" dxfId="75" priority="42" operator="lessThanOrEqual">
      <formula>0.81</formula>
    </cfRule>
  </conditionalFormatting>
  <conditionalFormatting sqref="AD6:AD25">
    <cfRule type="containsText" dxfId="74" priority="6" operator="containsText" text="ADIANTADO">
      <formula>NOT(ISERROR(SEARCH("ADIANTADO",AD6)))</formula>
    </cfRule>
    <cfRule type="containsText" dxfId="73" priority="7" operator="containsText" text="FALTA DE ACOMPANHAMENTO">
      <formula>NOT(ISERROR(SEARCH("FALTA DE ACOMPANHAMENTO",AD6)))</formula>
    </cfRule>
    <cfRule type="containsText" dxfId="72" priority="8" operator="containsText" text="Concluído">
      <formula>NOT(ISERROR(SEARCH("Concluído",AD6)))</formula>
    </cfRule>
    <cfRule type="containsText" dxfId="71" priority="9" operator="containsText" text="Conforme Planejado">
      <formula>NOT(ISERROR(SEARCH("Conforme Planejado",AD6)))</formula>
    </cfRule>
    <cfRule type="containsText" dxfId="70" priority="10" operator="containsText" text="PROJETO NÃO INICIADO">
      <formula>NOT(ISERROR(SEARCH("PROJETO NÃO INICIADO",AD6)))</formula>
    </cfRule>
    <cfRule type="containsText" dxfId="69" priority="11" operator="containsText" text="Atraso">
      <formula>NOT(ISERROR(SEARCH("Atraso",AD6)))</formula>
    </cfRule>
  </conditionalFormatting>
  <conditionalFormatting sqref="AP55:AP124">
    <cfRule type="cellIs" dxfId="68" priority="1" operator="lessThan">
      <formula>0</formula>
    </cfRule>
  </conditionalFormatting>
  <dataValidations count="5">
    <dataValidation type="list" allowBlank="1" showInputMessage="1" showErrorMessage="1" sqref="E177:E253" xr:uid="{A82E44C7-FEEB-473C-ADBE-4250DE06A88F}">
      <formula1>"Sim,Não"</formula1>
    </dataValidation>
    <dataValidation type="list" allowBlank="1" showInputMessage="1" showErrorMessage="1" sqref="D126:D129 D134:D140 D148 D150 D152:D154" xr:uid="{8DDCEB23-58A3-4C60-9C8D-ED0FF44FF569}">
      <formula1>"1,2,3"</formula1>
    </dataValidation>
    <dataValidation type="list" allowBlank="1" showInputMessage="1" showErrorMessage="1" sqref="AK55:AK124" xr:uid="{E522747F-C592-4046-A5BB-5BF9FEF00A63}">
      <formula1>$AJ$47:$AJ$51</formula1>
    </dataValidation>
    <dataValidation type="list" allowBlank="1" showInputMessage="1" showErrorMessage="1" sqref="E127:F154" xr:uid="{820CD85C-175D-46B5-9E9C-5ECA5424C59F}">
      <formula1>"OK,NOK"</formula1>
    </dataValidation>
    <dataValidation type="list" allowBlank="1" showInputMessage="1" showErrorMessage="1" sqref="B55:B124" xr:uid="{2A893DAD-DE6A-4CD3-9B05-6B4AC0C51393}">
      <formula1>"VA,GGF,MA,Outros"</formula1>
    </dataValidation>
  </dataValidations>
  <hyperlinks>
    <hyperlink ref="D69" r:id="rId1" xr:uid="{9CD774DB-DB4A-4477-89CC-1419582CE2AB}"/>
    <hyperlink ref="D69:D70" r:id="rId2" display="\\192.168.3.20\Departamentos\Engenharia\Planejamento Estratégico\A3_11 - Término turno da noite.xlsx" xr:uid="{0AC1F0A2-4D01-43D3-9A4B-D660E5519522}"/>
    <hyperlink ref="D65:D66" r:id="rId3" display="\\192.168.3.20\Departamentos\Engenharia\Planejamento Estratégico\A3_09-ACABAMENTO CAPO CNH.xlsx" xr:uid="{DE8D7F38-6EB7-4480-80B9-7A1683C17E74}"/>
    <hyperlink ref="D61" r:id="rId4" xr:uid="{DCD63D2C-04B4-47D5-9030-EB6BED8706E1}"/>
    <hyperlink ref="D55" r:id="rId5" xr:uid="{410EE783-04EA-49B9-8417-5D63077BA39B}"/>
    <hyperlink ref="D57" r:id="rId6" xr:uid="{1D41A05E-7E65-4AD6-AD26-18CFC15C7ED0}"/>
    <hyperlink ref="D59" r:id="rId7" xr:uid="{6C57F31E-DF69-4099-8B95-F0F8E550E81D}"/>
    <hyperlink ref="D63" r:id="rId8" xr:uid="{33841038-0A65-455D-89EC-A35946827A1C}"/>
    <hyperlink ref="D73" r:id="rId9" xr:uid="{2DC388B5-CD87-4519-B53F-679CE9C1C371}"/>
    <hyperlink ref="D75" r:id="rId10" xr:uid="{40D34A96-41B6-4676-8097-9D62BB849472}"/>
    <hyperlink ref="D77" r:id="rId11" xr:uid="{6824B89C-2E66-4D38-AADC-4DFFC13E40F6}"/>
    <hyperlink ref="D77:D78" r:id="rId12" display="\\192.168.3.20\Departamentos\Engenharia\Planejamento Estratégico\A3_15 - Redução de matéria-prima DD000504-DD000505.xlsx" xr:uid="{B60FCC7E-8E21-4686-83E0-A63AFE403135}"/>
    <hyperlink ref="D57:D58" r:id="rId13" display="\\192.168.3.20\Departamentos\Engenharia\Planejamento Estratégico\A3_02 - Redução de matéria-prima DD000506Z.xlsx" xr:uid="{A13D35F3-BCDE-4E34-93B1-5226A31A3107}"/>
    <hyperlink ref="D55:D56" r:id="rId14" display="\\192.168.3.20\Departamentos\Engenharia\Planejamento Estratégico\A3_01-Refugo.xlsx" xr:uid="{47608E95-1704-4113-9BB0-75A22DA7DD0E}"/>
    <hyperlink ref="D71" r:id="rId15" xr:uid="{DA6D8A48-6999-4F35-8AD0-A57FD5F456B5}"/>
    <hyperlink ref="D67" r:id="rId16" xr:uid="{6A4126CF-25ED-4D3A-ADDD-8329FAD82789}"/>
    <hyperlink ref="D81" r:id="rId17" xr:uid="{338A4A90-D2DE-401F-8CEE-A6C232CEAF30}"/>
    <hyperlink ref="D83" r:id="rId18" xr:uid="{A7031FA2-E876-4439-AFE2-C3990B95F4BF}"/>
    <hyperlink ref="D79" r:id="rId19" xr:uid="{42F62316-5607-41EA-801E-94165EF7F3EB}"/>
    <hyperlink ref="D89" r:id="rId20" xr:uid="{F375BBD4-E07F-4B9E-8EC6-BF9AEEB02752}"/>
    <hyperlink ref="D87" r:id="rId21" xr:uid="{1E4413AA-8066-49B3-9FA8-A5587A4C6C10}"/>
    <hyperlink ref="D97" r:id="rId22" xr:uid="{77C452E4-D1CC-4868-AFBA-2DF5B896AA78}"/>
    <hyperlink ref="D85" r:id="rId23" xr:uid="{73493D4D-CE63-49C3-9012-D1A8B3C2B69C}"/>
  </hyperlinks>
  <pageMargins left="0.75" right="0.75" top="1" bottom="1" header="0.5" footer="0.5"/>
  <pageSetup paperSize="9" orientation="portrait" r:id="rId24"/>
  <drawing r:id="rId25"/>
  <legacyDrawing r:id="rId26"/>
  <mc:AlternateContent xmlns:mc="http://schemas.openxmlformats.org/markup-compatibility/2006">
    <mc:Choice Requires="x14">
      <controls>
        <mc:AlternateContent xmlns:mc="http://schemas.openxmlformats.org/markup-compatibility/2006">
          <mc:Choice Requires="x14">
            <control shapeId="5215" r:id="rId27" name="Check Box 95">
              <controlPr defaultSize="0" autoFill="0" autoLine="0" autoPict="0">
                <anchor moveWithCells="1">
                  <from>
                    <xdr:col>11</xdr:col>
                    <xdr:colOff>0</xdr:colOff>
                    <xdr:row>54</xdr:row>
                    <xdr:rowOff>266700</xdr:rowOff>
                  </from>
                  <to>
                    <xdr:col>12</xdr:col>
                    <xdr:colOff>152400</xdr:colOff>
                    <xdr:row>55</xdr:row>
                    <xdr:rowOff>99060</xdr:rowOff>
                  </to>
                </anchor>
              </controlPr>
            </control>
          </mc:Choice>
        </mc:AlternateContent>
        <mc:AlternateContent xmlns:mc="http://schemas.openxmlformats.org/markup-compatibility/2006">
          <mc:Choice Requires="x14">
            <control shapeId="5216" r:id="rId28" name="Check Box 96">
              <controlPr defaultSize="0" autoFill="0" autoLine="0" autoPict="0">
                <anchor moveWithCells="1">
                  <from>
                    <xdr:col>11</xdr:col>
                    <xdr:colOff>0</xdr:colOff>
                    <xdr:row>55</xdr:row>
                    <xdr:rowOff>144780</xdr:rowOff>
                  </from>
                  <to>
                    <xdr:col>12</xdr:col>
                    <xdr:colOff>152400</xdr:colOff>
                    <xdr:row>55</xdr:row>
                    <xdr:rowOff>335280</xdr:rowOff>
                  </to>
                </anchor>
              </controlPr>
            </control>
          </mc:Choice>
        </mc:AlternateContent>
        <mc:AlternateContent xmlns:mc="http://schemas.openxmlformats.org/markup-compatibility/2006">
          <mc:Choice Requires="x14">
            <control shapeId="5217" r:id="rId29" name="Check Box 97">
              <controlPr defaultSize="0" autoFill="0" autoLine="0" autoPict="0">
                <anchor moveWithCells="1">
                  <from>
                    <xdr:col>11</xdr:col>
                    <xdr:colOff>0</xdr:colOff>
                    <xdr:row>54</xdr:row>
                    <xdr:rowOff>30480</xdr:rowOff>
                  </from>
                  <to>
                    <xdr:col>12</xdr:col>
                    <xdr:colOff>152400</xdr:colOff>
                    <xdr:row>54</xdr:row>
                    <xdr:rowOff>281940</xdr:rowOff>
                  </to>
                </anchor>
              </controlPr>
            </control>
          </mc:Choice>
        </mc:AlternateContent>
        <mc:AlternateContent xmlns:mc="http://schemas.openxmlformats.org/markup-compatibility/2006">
          <mc:Choice Requires="x14">
            <control shapeId="5218" r:id="rId30" name="Check Box 98">
              <controlPr defaultSize="0" autoFill="0" autoLine="0" autoPict="0">
                <anchor moveWithCells="1">
                  <from>
                    <xdr:col>11</xdr:col>
                    <xdr:colOff>0</xdr:colOff>
                    <xdr:row>56</xdr:row>
                    <xdr:rowOff>266700</xdr:rowOff>
                  </from>
                  <to>
                    <xdr:col>12</xdr:col>
                    <xdr:colOff>152400</xdr:colOff>
                    <xdr:row>57</xdr:row>
                    <xdr:rowOff>144780</xdr:rowOff>
                  </to>
                </anchor>
              </controlPr>
            </control>
          </mc:Choice>
        </mc:AlternateContent>
        <mc:AlternateContent xmlns:mc="http://schemas.openxmlformats.org/markup-compatibility/2006">
          <mc:Choice Requires="x14">
            <control shapeId="5219" r:id="rId31" name="Check Box 99">
              <controlPr defaultSize="0" autoFill="0" autoLine="0" autoPict="0">
                <anchor moveWithCells="1">
                  <from>
                    <xdr:col>11</xdr:col>
                    <xdr:colOff>0</xdr:colOff>
                    <xdr:row>57</xdr:row>
                    <xdr:rowOff>144780</xdr:rowOff>
                  </from>
                  <to>
                    <xdr:col>12</xdr:col>
                    <xdr:colOff>152400</xdr:colOff>
                    <xdr:row>57</xdr:row>
                    <xdr:rowOff>335280</xdr:rowOff>
                  </to>
                </anchor>
              </controlPr>
            </control>
          </mc:Choice>
        </mc:AlternateContent>
        <mc:AlternateContent xmlns:mc="http://schemas.openxmlformats.org/markup-compatibility/2006">
          <mc:Choice Requires="x14">
            <control shapeId="5220" r:id="rId32" name="Check Box 100">
              <controlPr defaultSize="0" autoFill="0" autoLine="0" autoPict="0">
                <anchor moveWithCells="1">
                  <from>
                    <xdr:col>11</xdr:col>
                    <xdr:colOff>0</xdr:colOff>
                    <xdr:row>56</xdr:row>
                    <xdr:rowOff>30480</xdr:rowOff>
                  </from>
                  <to>
                    <xdr:col>12</xdr:col>
                    <xdr:colOff>152400</xdr:colOff>
                    <xdr:row>56</xdr:row>
                    <xdr:rowOff>281940</xdr:rowOff>
                  </to>
                </anchor>
              </controlPr>
            </control>
          </mc:Choice>
        </mc:AlternateContent>
        <mc:AlternateContent xmlns:mc="http://schemas.openxmlformats.org/markup-compatibility/2006">
          <mc:Choice Requires="x14">
            <control shapeId="5221" r:id="rId33" name="Check Box 101">
              <controlPr defaultSize="0" autoFill="0" autoLine="0" autoPict="0">
                <anchor moveWithCells="1">
                  <from>
                    <xdr:col>11</xdr:col>
                    <xdr:colOff>0</xdr:colOff>
                    <xdr:row>58</xdr:row>
                    <xdr:rowOff>266700</xdr:rowOff>
                  </from>
                  <to>
                    <xdr:col>12</xdr:col>
                    <xdr:colOff>152400</xdr:colOff>
                    <xdr:row>59</xdr:row>
                    <xdr:rowOff>144780</xdr:rowOff>
                  </to>
                </anchor>
              </controlPr>
            </control>
          </mc:Choice>
        </mc:AlternateContent>
        <mc:AlternateContent xmlns:mc="http://schemas.openxmlformats.org/markup-compatibility/2006">
          <mc:Choice Requires="x14">
            <control shapeId="5222" r:id="rId34" name="Check Box 102">
              <controlPr defaultSize="0" autoFill="0" autoLine="0" autoPict="0">
                <anchor moveWithCells="1">
                  <from>
                    <xdr:col>11</xdr:col>
                    <xdr:colOff>0</xdr:colOff>
                    <xdr:row>59</xdr:row>
                    <xdr:rowOff>144780</xdr:rowOff>
                  </from>
                  <to>
                    <xdr:col>12</xdr:col>
                    <xdr:colOff>152400</xdr:colOff>
                    <xdr:row>59</xdr:row>
                    <xdr:rowOff>335280</xdr:rowOff>
                  </to>
                </anchor>
              </controlPr>
            </control>
          </mc:Choice>
        </mc:AlternateContent>
        <mc:AlternateContent xmlns:mc="http://schemas.openxmlformats.org/markup-compatibility/2006">
          <mc:Choice Requires="x14">
            <control shapeId="5223" r:id="rId35" name="Check Box 103">
              <controlPr defaultSize="0" autoFill="0" autoLine="0" autoPict="0">
                <anchor moveWithCells="1">
                  <from>
                    <xdr:col>11</xdr:col>
                    <xdr:colOff>0</xdr:colOff>
                    <xdr:row>58</xdr:row>
                    <xdr:rowOff>30480</xdr:rowOff>
                  </from>
                  <to>
                    <xdr:col>12</xdr:col>
                    <xdr:colOff>152400</xdr:colOff>
                    <xdr:row>58</xdr:row>
                    <xdr:rowOff>281940</xdr:rowOff>
                  </to>
                </anchor>
              </controlPr>
            </control>
          </mc:Choice>
        </mc:AlternateContent>
        <mc:AlternateContent xmlns:mc="http://schemas.openxmlformats.org/markup-compatibility/2006">
          <mc:Choice Requires="x14">
            <control shapeId="5224" r:id="rId36" name="Check Box 104">
              <controlPr defaultSize="0" autoFill="0" autoLine="0" autoPict="0">
                <anchor moveWithCells="1">
                  <from>
                    <xdr:col>11</xdr:col>
                    <xdr:colOff>0</xdr:colOff>
                    <xdr:row>60</xdr:row>
                    <xdr:rowOff>0</xdr:rowOff>
                  </from>
                  <to>
                    <xdr:col>12</xdr:col>
                    <xdr:colOff>152400</xdr:colOff>
                    <xdr:row>60</xdr:row>
                    <xdr:rowOff>228600</xdr:rowOff>
                  </to>
                </anchor>
              </controlPr>
            </control>
          </mc:Choice>
        </mc:AlternateContent>
        <mc:AlternateContent xmlns:mc="http://schemas.openxmlformats.org/markup-compatibility/2006">
          <mc:Choice Requires="x14">
            <control shapeId="5233" r:id="rId37" name="Check Box 113">
              <controlPr defaultSize="0" autoFill="0" autoLine="0" autoPict="0">
                <anchor moveWithCells="1">
                  <from>
                    <xdr:col>11</xdr:col>
                    <xdr:colOff>0</xdr:colOff>
                    <xdr:row>60</xdr:row>
                    <xdr:rowOff>266700</xdr:rowOff>
                  </from>
                  <to>
                    <xdr:col>12</xdr:col>
                    <xdr:colOff>152400</xdr:colOff>
                    <xdr:row>61</xdr:row>
                    <xdr:rowOff>0</xdr:rowOff>
                  </to>
                </anchor>
              </controlPr>
            </control>
          </mc:Choice>
        </mc:AlternateContent>
        <mc:AlternateContent xmlns:mc="http://schemas.openxmlformats.org/markup-compatibility/2006">
          <mc:Choice Requires="x14">
            <control shapeId="5234" r:id="rId38" name="Check Box 114">
              <controlPr defaultSize="0" autoFill="0" autoLine="0" autoPict="0">
                <anchor moveWithCells="1">
                  <from>
                    <xdr:col>11</xdr:col>
                    <xdr:colOff>0</xdr:colOff>
                    <xdr:row>61</xdr:row>
                    <xdr:rowOff>144780</xdr:rowOff>
                  </from>
                  <to>
                    <xdr:col>12</xdr:col>
                    <xdr:colOff>152400</xdr:colOff>
                    <xdr:row>61</xdr:row>
                    <xdr:rowOff>335280</xdr:rowOff>
                  </to>
                </anchor>
              </controlPr>
            </control>
          </mc:Choice>
        </mc:AlternateContent>
        <mc:AlternateContent xmlns:mc="http://schemas.openxmlformats.org/markup-compatibility/2006">
          <mc:Choice Requires="x14">
            <control shapeId="5236" r:id="rId39" name="Check Box 116">
              <controlPr defaultSize="0" autoFill="0" autoLine="0" autoPict="0">
                <anchor moveWithCells="1">
                  <from>
                    <xdr:col>11</xdr:col>
                    <xdr:colOff>0</xdr:colOff>
                    <xdr:row>62</xdr:row>
                    <xdr:rowOff>266700</xdr:rowOff>
                  </from>
                  <to>
                    <xdr:col>12</xdr:col>
                    <xdr:colOff>152400</xdr:colOff>
                    <xdr:row>63</xdr:row>
                    <xdr:rowOff>144780</xdr:rowOff>
                  </to>
                </anchor>
              </controlPr>
            </control>
          </mc:Choice>
        </mc:AlternateContent>
        <mc:AlternateContent xmlns:mc="http://schemas.openxmlformats.org/markup-compatibility/2006">
          <mc:Choice Requires="x14">
            <control shapeId="5237" r:id="rId40" name="Check Box 117">
              <controlPr defaultSize="0" autoFill="0" autoLine="0" autoPict="0">
                <anchor moveWithCells="1">
                  <from>
                    <xdr:col>11</xdr:col>
                    <xdr:colOff>0</xdr:colOff>
                    <xdr:row>63</xdr:row>
                    <xdr:rowOff>144780</xdr:rowOff>
                  </from>
                  <to>
                    <xdr:col>12</xdr:col>
                    <xdr:colOff>152400</xdr:colOff>
                    <xdr:row>63</xdr:row>
                    <xdr:rowOff>335280</xdr:rowOff>
                  </to>
                </anchor>
              </controlPr>
            </control>
          </mc:Choice>
        </mc:AlternateContent>
        <mc:AlternateContent xmlns:mc="http://schemas.openxmlformats.org/markup-compatibility/2006">
          <mc:Choice Requires="x14">
            <control shapeId="5238" r:id="rId41" name="Check Box 118">
              <controlPr defaultSize="0" autoFill="0" autoLine="0" autoPict="0">
                <anchor moveWithCells="1">
                  <from>
                    <xdr:col>11</xdr:col>
                    <xdr:colOff>0</xdr:colOff>
                    <xdr:row>62</xdr:row>
                    <xdr:rowOff>30480</xdr:rowOff>
                  </from>
                  <to>
                    <xdr:col>12</xdr:col>
                    <xdr:colOff>152400</xdr:colOff>
                    <xdr:row>62</xdr:row>
                    <xdr:rowOff>281940</xdr:rowOff>
                  </to>
                </anchor>
              </controlPr>
            </control>
          </mc:Choice>
        </mc:AlternateContent>
        <mc:AlternateContent xmlns:mc="http://schemas.openxmlformats.org/markup-compatibility/2006">
          <mc:Choice Requires="x14">
            <control shapeId="5239" r:id="rId42" name="Check Box 119">
              <controlPr defaultSize="0" autoFill="0" autoLine="0" autoPict="0">
                <anchor moveWithCells="1">
                  <from>
                    <xdr:col>11</xdr:col>
                    <xdr:colOff>0</xdr:colOff>
                    <xdr:row>64</xdr:row>
                    <xdr:rowOff>266700</xdr:rowOff>
                  </from>
                  <to>
                    <xdr:col>12</xdr:col>
                    <xdr:colOff>152400</xdr:colOff>
                    <xdr:row>65</xdr:row>
                    <xdr:rowOff>0</xdr:rowOff>
                  </to>
                </anchor>
              </controlPr>
            </control>
          </mc:Choice>
        </mc:AlternateContent>
        <mc:AlternateContent xmlns:mc="http://schemas.openxmlformats.org/markup-compatibility/2006">
          <mc:Choice Requires="x14">
            <control shapeId="5240" r:id="rId43" name="Check Box 120">
              <controlPr defaultSize="0" autoFill="0" autoLine="0" autoPict="0">
                <anchor moveWithCells="1">
                  <from>
                    <xdr:col>11</xdr:col>
                    <xdr:colOff>0</xdr:colOff>
                    <xdr:row>65</xdr:row>
                    <xdr:rowOff>144780</xdr:rowOff>
                  </from>
                  <to>
                    <xdr:col>12</xdr:col>
                    <xdr:colOff>152400</xdr:colOff>
                    <xdr:row>65</xdr:row>
                    <xdr:rowOff>335280</xdr:rowOff>
                  </to>
                </anchor>
              </controlPr>
            </control>
          </mc:Choice>
        </mc:AlternateContent>
        <mc:AlternateContent xmlns:mc="http://schemas.openxmlformats.org/markup-compatibility/2006">
          <mc:Choice Requires="x14">
            <control shapeId="5241" r:id="rId44" name="Check Box 121">
              <controlPr defaultSize="0" autoFill="0" autoLine="0" autoPict="0">
                <anchor moveWithCells="1">
                  <from>
                    <xdr:col>11</xdr:col>
                    <xdr:colOff>0</xdr:colOff>
                    <xdr:row>64</xdr:row>
                    <xdr:rowOff>30480</xdr:rowOff>
                  </from>
                  <to>
                    <xdr:col>12</xdr:col>
                    <xdr:colOff>152400</xdr:colOff>
                    <xdr:row>64</xdr:row>
                    <xdr:rowOff>281940</xdr:rowOff>
                  </to>
                </anchor>
              </controlPr>
            </control>
          </mc:Choice>
        </mc:AlternateContent>
        <mc:AlternateContent xmlns:mc="http://schemas.openxmlformats.org/markup-compatibility/2006">
          <mc:Choice Requires="x14">
            <control shapeId="5242" r:id="rId45" name="Check Box 122">
              <controlPr defaultSize="0" autoFill="0" autoLine="0" autoPict="0">
                <anchor moveWithCells="1">
                  <from>
                    <xdr:col>11</xdr:col>
                    <xdr:colOff>0</xdr:colOff>
                    <xdr:row>66</xdr:row>
                    <xdr:rowOff>266700</xdr:rowOff>
                  </from>
                  <to>
                    <xdr:col>12</xdr:col>
                    <xdr:colOff>152400</xdr:colOff>
                    <xdr:row>67</xdr:row>
                    <xdr:rowOff>0</xdr:rowOff>
                  </to>
                </anchor>
              </controlPr>
            </control>
          </mc:Choice>
        </mc:AlternateContent>
        <mc:AlternateContent xmlns:mc="http://schemas.openxmlformats.org/markup-compatibility/2006">
          <mc:Choice Requires="x14">
            <control shapeId="5243" r:id="rId46" name="Check Box 123">
              <controlPr defaultSize="0" autoFill="0" autoLine="0" autoPict="0">
                <anchor moveWithCells="1">
                  <from>
                    <xdr:col>11</xdr:col>
                    <xdr:colOff>0</xdr:colOff>
                    <xdr:row>67</xdr:row>
                    <xdr:rowOff>144780</xdr:rowOff>
                  </from>
                  <to>
                    <xdr:col>12</xdr:col>
                    <xdr:colOff>152400</xdr:colOff>
                    <xdr:row>67</xdr:row>
                    <xdr:rowOff>335280</xdr:rowOff>
                  </to>
                </anchor>
              </controlPr>
            </control>
          </mc:Choice>
        </mc:AlternateContent>
        <mc:AlternateContent xmlns:mc="http://schemas.openxmlformats.org/markup-compatibility/2006">
          <mc:Choice Requires="x14">
            <control shapeId="5244" r:id="rId47" name="Check Box 124">
              <controlPr defaultSize="0" autoFill="0" autoLine="0" autoPict="0">
                <anchor moveWithCells="1">
                  <from>
                    <xdr:col>11</xdr:col>
                    <xdr:colOff>0</xdr:colOff>
                    <xdr:row>66</xdr:row>
                    <xdr:rowOff>30480</xdr:rowOff>
                  </from>
                  <to>
                    <xdr:col>12</xdr:col>
                    <xdr:colOff>152400</xdr:colOff>
                    <xdr:row>66</xdr:row>
                    <xdr:rowOff>281940</xdr:rowOff>
                  </to>
                </anchor>
              </controlPr>
            </control>
          </mc:Choice>
        </mc:AlternateContent>
        <mc:AlternateContent xmlns:mc="http://schemas.openxmlformats.org/markup-compatibility/2006">
          <mc:Choice Requires="x14">
            <control shapeId="5245" r:id="rId48" name="Check Box 125">
              <controlPr defaultSize="0" autoFill="0" autoLine="0" autoPict="0">
                <anchor moveWithCells="1">
                  <from>
                    <xdr:col>11</xdr:col>
                    <xdr:colOff>0</xdr:colOff>
                    <xdr:row>68</xdr:row>
                    <xdr:rowOff>266700</xdr:rowOff>
                  </from>
                  <to>
                    <xdr:col>12</xdr:col>
                    <xdr:colOff>152400</xdr:colOff>
                    <xdr:row>69</xdr:row>
                    <xdr:rowOff>30480</xdr:rowOff>
                  </to>
                </anchor>
              </controlPr>
            </control>
          </mc:Choice>
        </mc:AlternateContent>
        <mc:AlternateContent xmlns:mc="http://schemas.openxmlformats.org/markup-compatibility/2006">
          <mc:Choice Requires="x14">
            <control shapeId="5246" r:id="rId49" name="Check Box 126">
              <controlPr defaultSize="0" autoFill="0" autoLine="0" autoPict="0">
                <anchor moveWithCells="1">
                  <from>
                    <xdr:col>11</xdr:col>
                    <xdr:colOff>0</xdr:colOff>
                    <xdr:row>69</xdr:row>
                    <xdr:rowOff>144780</xdr:rowOff>
                  </from>
                  <to>
                    <xdr:col>12</xdr:col>
                    <xdr:colOff>152400</xdr:colOff>
                    <xdr:row>69</xdr:row>
                    <xdr:rowOff>335280</xdr:rowOff>
                  </to>
                </anchor>
              </controlPr>
            </control>
          </mc:Choice>
        </mc:AlternateContent>
        <mc:AlternateContent xmlns:mc="http://schemas.openxmlformats.org/markup-compatibility/2006">
          <mc:Choice Requires="x14">
            <control shapeId="5247" r:id="rId50" name="Check Box 127">
              <controlPr defaultSize="0" autoFill="0" autoLine="0" autoPict="0">
                <anchor moveWithCells="1">
                  <from>
                    <xdr:col>11</xdr:col>
                    <xdr:colOff>0</xdr:colOff>
                    <xdr:row>68</xdr:row>
                    <xdr:rowOff>30480</xdr:rowOff>
                  </from>
                  <to>
                    <xdr:col>12</xdr:col>
                    <xdr:colOff>152400</xdr:colOff>
                    <xdr:row>68</xdr:row>
                    <xdr:rowOff>259080</xdr:rowOff>
                  </to>
                </anchor>
              </controlPr>
            </control>
          </mc:Choice>
        </mc:AlternateContent>
        <mc:AlternateContent xmlns:mc="http://schemas.openxmlformats.org/markup-compatibility/2006">
          <mc:Choice Requires="x14">
            <control shapeId="5248" r:id="rId51" name="Check Box 128">
              <controlPr defaultSize="0" autoFill="0" autoLine="0" autoPict="0">
                <anchor moveWithCells="1">
                  <from>
                    <xdr:col>11</xdr:col>
                    <xdr:colOff>0</xdr:colOff>
                    <xdr:row>70</xdr:row>
                    <xdr:rowOff>266700</xdr:rowOff>
                  </from>
                  <to>
                    <xdr:col>12</xdr:col>
                    <xdr:colOff>152400</xdr:colOff>
                    <xdr:row>71</xdr:row>
                    <xdr:rowOff>0</xdr:rowOff>
                  </to>
                </anchor>
              </controlPr>
            </control>
          </mc:Choice>
        </mc:AlternateContent>
        <mc:AlternateContent xmlns:mc="http://schemas.openxmlformats.org/markup-compatibility/2006">
          <mc:Choice Requires="x14">
            <control shapeId="5249" r:id="rId52" name="Check Box 129">
              <controlPr defaultSize="0" autoFill="0" autoLine="0" autoPict="0">
                <anchor moveWithCells="1">
                  <from>
                    <xdr:col>11</xdr:col>
                    <xdr:colOff>0</xdr:colOff>
                    <xdr:row>71</xdr:row>
                    <xdr:rowOff>144780</xdr:rowOff>
                  </from>
                  <to>
                    <xdr:col>12</xdr:col>
                    <xdr:colOff>152400</xdr:colOff>
                    <xdr:row>71</xdr:row>
                    <xdr:rowOff>335280</xdr:rowOff>
                  </to>
                </anchor>
              </controlPr>
            </control>
          </mc:Choice>
        </mc:AlternateContent>
        <mc:AlternateContent xmlns:mc="http://schemas.openxmlformats.org/markup-compatibility/2006">
          <mc:Choice Requires="x14">
            <control shapeId="5250" r:id="rId53" name="Check Box 130">
              <controlPr defaultSize="0" autoFill="0" autoLine="0" autoPict="0">
                <anchor moveWithCells="1">
                  <from>
                    <xdr:col>11</xdr:col>
                    <xdr:colOff>0</xdr:colOff>
                    <xdr:row>70</xdr:row>
                    <xdr:rowOff>30480</xdr:rowOff>
                  </from>
                  <to>
                    <xdr:col>12</xdr:col>
                    <xdr:colOff>152400</xdr:colOff>
                    <xdr:row>70</xdr:row>
                    <xdr:rowOff>259080</xdr:rowOff>
                  </to>
                </anchor>
              </controlPr>
            </control>
          </mc:Choice>
        </mc:AlternateContent>
        <mc:AlternateContent xmlns:mc="http://schemas.openxmlformats.org/markup-compatibility/2006">
          <mc:Choice Requires="x14">
            <control shapeId="5251" r:id="rId54" name="Check Box 131">
              <controlPr defaultSize="0" autoFill="0" autoLine="0" autoPict="0">
                <anchor moveWithCells="1">
                  <from>
                    <xdr:col>11</xdr:col>
                    <xdr:colOff>0</xdr:colOff>
                    <xdr:row>72</xdr:row>
                    <xdr:rowOff>266700</xdr:rowOff>
                  </from>
                  <to>
                    <xdr:col>12</xdr:col>
                    <xdr:colOff>152400</xdr:colOff>
                    <xdr:row>73</xdr:row>
                    <xdr:rowOff>0</xdr:rowOff>
                  </to>
                </anchor>
              </controlPr>
            </control>
          </mc:Choice>
        </mc:AlternateContent>
        <mc:AlternateContent xmlns:mc="http://schemas.openxmlformats.org/markup-compatibility/2006">
          <mc:Choice Requires="x14">
            <control shapeId="5252" r:id="rId55" name="Check Box 132">
              <controlPr defaultSize="0" autoFill="0" autoLine="0" autoPict="0">
                <anchor moveWithCells="1">
                  <from>
                    <xdr:col>11</xdr:col>
                    <xdr:colOff>0</xdr:colOff>
                    <xdr:row>73</xdr:row>
                    <xdr:rowOff>144780</xdr:rowOff>
                  </from>
                  <to>
                    <xdr:col>12</xdr:col>
                    <xdr:colOff>152400</xdr:colOff>
                    <xdr:row>73</xdr:row>
                    <xdr:rowOff>335280</xdr:rowOff>
                  </to>
                </anchor>
              </controlPr>
            </control>
          </mc:Choice>
        </mc:AlternateContent>
        <mc:AlternateContent xmlns:mc="http://schemas.openxmlformats.org/markup-compatibility/2006">
          <mc:Choice Requires="x14">
            <control shapeId="5253" r:id="rId56" name="Check Box 133">
              <controlPr defaultSize="0" autoFill="0" autoLine="0" autoPict="0">
                <anchor moveWithCells="1">
                  <from>
                    <xdr:col>11</xdr:col>
                    <xdr:colOff>0</xdr:colOff>
                    <xdr:row>72</xdr:row>
                    <xdr:rowOff>30480</xdr:rowOff>
                  </from>
                  <to>
                    <xdr:col>12</xdr:col>
                    <xdr:colOff>152400</xdr:colOff>
                    <xdr:row>72</xdr:row>
                    <xdr:rowOff>259080</xdr:rowOff>
                  </to>
                </anchor>
              </controlPr>
            </control>
          </mc:Choice>
        </mc:AlternateContent>
        <mc:AlternateContent xmlns:mc="http://schemas.openxmlformats.org/markup-compatibility/2006">
          <mc:Choice Requires="x14">
            <control shapeId="5254" r:id="rId57" name="Check Box 134">
              <controlPr defaultSize="0" autoFill="0" autoLine="0" autoPict="0">
                <anchor moveWithCells="1">
                  <from>
                    <xdr:col>11</xdr:col>
                    <xdr:colOff>0</xdr:colOff>
                    <xdr:row>74</xdr:row>
                    <xdr:rowOff>266700</xdr:rowOff>
                  </from>
                  <to>
                    <xdr:col>12</xdr:col>
                    <xdr:colOff>152400</xdr:colOff>
                    <xdr:row>75</xdr:row>
                    <xdr:rowOff>0</xdr:rowOff>
                  </to>
                </anchor>
              </controlPr>
            </control>
          </mc:Choice>
        </mc:AlternateContent>
        <mc:AlternateContent xmlns:mc="http://schemas.openxmlformats.org/markup-compatibility/2006">
          <mc:Choice Requires="x14">
            <control shapeId="5255" r:id="rId58" name="Check Box 135">
              <controlPr defaultSize="0" autoFill="0" autoLine="0" autoPict="0">
                <anchor moveWithCells="1">
                  <from>
                    <xdr:col>11</xdr:col>
                    <xdr:colOff>0</xdr:colOff>
                    <xdr:row>75</xdr:row>
                    <xdr:rowOff>144780</xdr:rowOff>
                  </from>
                  <to>
                    <xdr:col>12</xdr:col>
                    <xdr:colOff>152400</xdr:colOff>
                    <xdr:row>75</xdr:row>
                    <xdr:rowOff>335280</xdr:rowOff>
                  </to>
                </anchor>
              </controlPr>
            </control>
          </mc:Choice>
        </mc:AlternateContent>
        <mc:AlternateContent xmlns:mc="http://schemas.openxmlformats.org/markup-compatibility/2006">
          <mc:Choice Requires="x14">
            <control shapeId="5256" r:id="rId59" name="Check Box 136">
              <controlPr defaultSize="0" autoFill="0" autoLine="0" autoPict="0">
                <anchor moveWithCells="1">
                  <from>
                    <xdr:col>11</xdr:col>
                    <xdr:colOff>0</xdr:colOff>
                    <xdr:row>74</xdr:row>
                    <xdr:rowOff>30480</xdr:rowOff>
                  </from>
                  <to>
                    <xdr:col>12</xdr:col>
                    <xdr:colOff>152400</xdr:colOff>
                    <xdr:row>74</xdr:row>
                    <xdr:rowOff>259080</xdr:rowOff>
                  </to>
                </anchor>
              </controlPr>
            </control>
          </mc:Choice>
        </mc:AlternateContent>
        <mc:AlternateContent xmlns:mc="http://schemas.openxmlformats.org/markup-compatibility/2006">
          <mc:Choice Requires="x14">
            <control shapeId="5257" r:id="rId60" name="Check Box 137">
              <controlPr defaultSize="0" autoFill="0" autoLine="0" autoPict="0">
                <anchor moveWithCells="1">
                  <from>
                    <xdr:col>11</xdr:col>
                    <xdr:colOff>0</xdr:colOff>
                    <xdr:row>76</xdr:row>
                    <xdr:rowOff>266700</xdr:rowOff>
                  </from>
                  <to>
                    <xdr:col>12</xdr:col>
                    <xdr:colOff>152400</xdr:colOff>
                    <xdr:row>77</xdr:row>
                    <xdr:rowOff>152400</xdr:rowOff>
                  </to>
                </anchor>
              </controlPr>
            </control>
          </mc:Choice>
        </mc:AlternateContent>
        <mc:AlternateContent xmlns:mc="http://schemas.openxmlformats.org/markup-compatibility/2006">
          <mc:Choice Requires="x14">
            <control shapeId="5258" r:id="rId61" name="Check Box 138">
              <controlPr defaultSize="0" autoFill="0" autoLine="0" autoPict="0">
                <anchor moveWithCells="1">
                  <from>
                    <xdr:col>11</xdr:col>
                    <xdr:colOff>0</xdr:colOff>
                    <xdr:row>77</xdr:row>
                    <xdr:rowOff>144780</xdr:rowOff>
                  </from>
                  <to>
                    <xdr:col>12</xdr:col>
                    <xdr:colOff>152400</xdr:colOff>
                    <xdr:row>77</xdr:row>
                    <xdr:rowOff>335280</xdr:rowOff>
                  </to>
                </anchor>
              </controlPr>
            </control>
          </mc:Choice>
        </mc:AlternateContent>
        <mc:AlternateContent xmlns:mc="http://schemas.openxmlformats.org/markup-compatibility/2006">
          <mc:Choice Requires="x14">
            <control shapeId="5259" r:id="rId62" name="Check Box 139">
              <controlPr defaultSize="0" autoFill="0" autoLine="0" autoPict="0">
                <anchor moveWithCells="1">
                  <from>
                    <xdr:col>11</xdr:col>
                    <xdr:colOff>0</xdr:colOff>
                    <xdr:row>76</xdr:row>
                    <xdr:rowOff>30480</xdr:rowOff>
                  </from>
                  <to>
                    <xdr:col>12</xdr:col>
                    <xdr:colOff>152400</xdr:colOff>
                    <xdr:row>76</xdr:row>
                    <xdr:rowOff>259080</xdr:rowOff>
                  </to>
                </anchor>
              </controlPr>
            </control>
          </mc:Choice>
        </mc:AlternateContent>
        <mc:AlternateContent xmlns:mc="http://schemas.openxmlformats.org/markup-compatibility/2006">
          <mc:Choice Requires="x14">
            <control shapeId="5260" r:id="rId63" name="Check Box 140">
              <controlPr defaultSize="0" autoFill="0" autoLine="0" autoPict="0">
                <anchor moveWithCells="1">
                  <from>
                    <xdr:col>11</xdr:col>
                    <xdr:colOff>0</xdr:colOff>
                    <xdr:row>78</xdr:row>
                    <xdr:rowOff>266700</xdr:rowOff>
                  </from>
                  <to>
                    <xdr:col>12</xdr:col>
                    <xdr:colOff>152400</xdr:colOff>
                    <xdr:row>79</xdr:row>
                    <xdr:rowOff>0</xdr:rowOff>
                  </to>
                </anchor>
              </controlPr>
            </control>
          </mc:Choice>
        </mc:AlternateContent>
        <mc:AlternateContent xmlns:mc="http://schemas.openxmlformats.org/markup-compatibility/2006">
          <mc:Choice Requires="x14">
            <control shapeId="5261" r:id="rId64" name="Check Box 141">
              <controlPr defaultSize="0" autoFill="0" autoLine="0" autoPict="0">
                <anchor moveWithCells="1">
                  <from>
                    <xdr:col>11</xdr:col>
                    <xdr:colOff>0</xdr:colOff>
                    <xdr:row>79</xdr:row>
                    <xdr:rowOff>144780</xdr:rowOff>
                  </from>
                  <to>
                    <xdr:col>12</xdr:col>
                    <xdr:colOff>152400</xdr:colOff>
                    <xdr:row>79</xdr:row>
                    <xdr:rowOff>335280</xdr:rowOff>
                  </to>
                </anchor>
              </controlPr>
            </control>
          </mc:Choice>
        </mc:AlternateContent>
        <mc:AlternateContent xmlns:mc="http://schemas.openxmlformats.org/markup-compatibility/2006">
          <mc:Choice Requires="x14">
            <control shapeId="5262" r:id="rId65" name="Check Box 142">
              <controlPr defaultSize="0" autoFill="0" autoLine="0" autoPict="0">
                <anchor moveWithCells="1">
                  <from>
                    <xdr:col>11</xdr:col>
                    <xdr:colOff>0</xdr:colOff>
                    <xdr:row>78</xdr:row>
                    <xdr:rowOff>30480</xdr:rowOff>
                  </from>
                  <to>
                    <xdr:col>12</xdr:col>
                    <xdr:colOff>152400</xdr:colOff>
                    <xdr:row>78</xdr:row>
                    <xdr:rowOff>259080</xdr:rowOff>
                  </to>
                </anchor>
              </controlPr>
            </control>
          </mc:Choice>
        </mc:AlternateContent>
        <mc:AlternateContent xmlns:mc="http://schemas.openxmlformats.org/markup-compatibility/2006">
          <mc:Choice Requires="x14">
            <control shapeId="5263" r:id="rId66" name="Check Box 143">
              <controlPr defaultSize="0" autoFill="0" autoLine="0" autoPict="0">
                <anchor moveWithCells="1">
                  <from>
                    <xdr:col>11</xdr:col>
                    <xdr:colOff>0</xdr:colOff>
                    <xdr:row>80</xdr:row>
                    <xdr:rowOff>266700</xdr:rowOff>
                  </from>
                  <to>
                    <xdr:col>12</xdr:col>
                    <xdr:colOff>152400</xdr:colOff>
                    <xdr:row>81</xdr:row>
                    <xdr:rowOff>30480</xdr:rowOff>
                  </to>
                </anchor>
              </controlPr>
            </control>
          </mc:Choice>
        </mc:AlternateContent>
        <mc:AlternateContent xmlns:mc="http://schemas.openxmlformats.org/markup-compatibility/2006">
          <mc:Choice Requires="x14">
            <control shapeId="5264" r:id="rId67" name="Check Box 144">
              <controlPr defaultSize="0" autoFill="0" autoLine="0" autoPict="0">
                <anchor moveWithCells="1">
                  <from>
                    <xdr:col>11</xdr:col>
                    <xdr:colOff>0</xdr:colOff>
                    <xdr:row>81</xdr:row>
                    <xdr:rowOff>144780</xdr:rowOff>
                  </from>
                  <to>
                    <xdr:col>12</xdr:col>
                    <xdr:colOff>152400</xdr:colOff>
                    <xdr:row>81</xdr:row>
                    <xdr:rowOff>335280</xdr:rowOff>
                  </to>
                </anchor>
              </controlPr>
            </control>
          </mc:Choice>
        </mc:AlternateContent>
        <mc:AlternateContent xmlns:mc="http://schemas.openxmlformats.org/markup-compatibility/2006">
          <mc:Choice Requires="x14">
            <control shapeId="5265" r:id="rId68" name="Check Box 145">
              <controlPr defaultSize="0" autoFill="0" autoLine="0" autoPict="0">
                <anchor moveWithCells="1">
                  <from>
                    <xdr:col>11</xdr:col>
                    <xdr:colOff>0</xdr:colOff>
                    <xdr:row>80</xdr:row>
                    <xdr:rowOff>30480</xdr:rowOff>
                  </from>
                  <to>
                    <xdr:col>12</xdr:col>
                    <xdr:colOff>152400</xdr:colOff>
                    <xdr:row>80</xdr:row>
                    <xdr:rowOff>259080</xdr:rowOff>
                  </to>
                </anchor>
              </controlPr>
            </control>
          </mc:Choice>
        </mc:AlternateContent>
        <mc:AlternateContent xmlns:mc="http://schemas.openxmlformats.org/markup-compatibility/2006">
          <mc:Choice Requires="x14">
            <control shapeId="5266" r:id="rId69" name="Check Box 146">
              <controlPr defaultSize="0" autoFill="0" autoLine="0" autoPict="0">
                <anchor moveWithCells="1">
                  <from>
                    <xdr:col>11</xdr:col>
                    <xdr:colOff>0</xdr:colOff>
                    <xdr:row>82</xdr:row>
                    <xdr:rowOff>266700</xdr:rowOff>
                  </from>
                  <to>
                    <xdr:col>12</xdr:col>
                    <xdr:colOff>152400</xdr:colOff>
                    <xdr:row>83</xdr:row>
                    <xdr:rowOff>30480</xdr:rowOff>
                  </to>
                </anchor>
              </controlPr>
            </control>
          </mc:Choice>
        </mc:AlternateContent>
        <mc:AlternateContent xmlns:mc="http://schemas.openxmlformats.org/markup-compatibility/2006">
          <mc:Choice Requires="x14">
            <control shapeId="5267" r:id="rId70" name="Check Box 147">
              <controlPr defaultSize="0" autoFill="0" autoLine="0" autoPict="0">
                <anchor moveWithCells="1">
                  <from>
                    <xdr:col>11</xdr:col>
                    <xdr:colOff>0</xdr:colOff>
                    <xdr:row>83</xdr:row>
                    <xdr:rowOff>144780</xdr:rowOff>
                  </from>
                  <to>
                    <xdr:col>12</xdr:col>
                    <xdr:colOff>152400</xdr:colOff>
                    <xdr:row>83</xdr:row>
                    <xdr:rowOff>335280</xdr:rowOff>
                  </to>
                </anchor>
              </controlPr>
            </control>
          </mc:Choice>
        </mc:AlternateContent>
        <mc:AlternateContent xmlns:mc="http://schemas.openxmlformats.org/markup-compatibility/2006">
          <mc:Choice Requires="x14">
            <control shapeId="5268" r:id="rId71" name="Check Box 148">
              <controlPr defaultSize="0" autoFill="0" autoLine="0" autoPict="0">
                <anchor moveWithCells="1">
                  <from>
                    <xdr:col>11</xdr:col>
                    <xdr:colOff>0</xdr:colOff>
                    <xdr:row>82</xdr:row>
                    <xdr:rowOff>30480</xdr:rowOff>
                  </from>
                  <to>
                    <xdr:col>12</xdr:col>
                    <xdr:colOff>152400</xdr:colOff>
                    <xdr:row>82</xdr:row>
                    <xdr:rowOff>259080</xdr:rowOff>
                  </to>
                </anchor>
              </controlPr>
            </control>
          </mc:Choice>
        </mc:AlternateContent>
        <mc:AlternateContent xmlns:mc="http://schemas.openxmlformats.org/markup-compatibility/2006">
          <mc:Choice Requires="x14">
            <control shapeId="5269" r:id="rId72" name="Check Box 149">
              <controlPr defaultSize="0" autoFill="0" autoLine="0" autoPict="0">
                <anchor moveWithCells="1">
                  <from>
                    <xdr:col>11</xdr:col>
                    <xdr:colOff>0</xdr:colOff>
                    <xdr:row>84</xdr:row>
                    <xdr:rowOff>266700</xdr:rowOff>
                  </from>
                  <to>
                    <xdr:col>12</xdr:col>
                    <xdr:colOff>152400</xdr:colOff>
                    <xdr:row>85</xdr:row>
                    <xdr:rowOff>0</xdr:rowOff>
                  </to>
                </anchor>
              </controlPr>
            </control>
          </mc:Choice>
        </mc:AlternateContent>
        <mc:AlternateContent xmlns:mc="http://schemas.openxmlformats.org/markup-compatibility/2006">
          <mc:Choice Requires="x14">
            <control shapeId="5270" r:id="rId73" name="Check Box 150">
              <controlPr defaultSize="0" autoFill="0" autoLine="0" autoPict="0">
                <anchor moveWithCells="1">
                  <from>
                    <xdr:col>11</xdr:col>
                    <xdr:colOff>0</xdr:colOff>
                    <xdr:row>85</xdr:row>
                    <xdr:rowOff>144780</xdr:rowOff>
                  </from>
                  <to>
                    <xdr:col>12</xdr:col>
                    <xdr:colOff>152400</xdr:colOff>
                    <xdr:row>85</xdr:row>
                    <xdr:rowOff>335280</xdr:rowOff>
                  </to>
                </anchor>
              </controlPr>
            </control>
          </mc:Choice>
        </mc:AlternateContent>
        <mc:AlternateContent xmlns:mc="http://schemas.openxmlformats.org/markup-compatibility/2006">
          <mc:Choice Requires="x14">
            <control shapeId="5271" r:id="rId74" name="Check Box 151">
              <controlPr defaultSize="0" autoFill="0" autoLine="0" autoPict="0">
                <anchor moveWithCells="1">
                  <from>
                    <xdr:col>11</xdr:col>
                    <xdr:colOff>0</xdr:colOff>
                    <xdr:row>84</xdr:row>
                    <xdr:rowOff>30480</xdr:rowOff>
                  </from>
                  <to>
                    <xdr:col>12</xdr:col>
                    <xdr:colOff>152400</xdr:colOff>
                    <xdr:row>84</xdr:row>
                    <xdr:rowOff>259080</xdr:rowOff>
                  </to>
                </anchor>
              </controlPr>
            </control>
          </mc:Choice>
        </mc:AlternateContent>
        <mc:AlternateContent xmlns:mc="http://schemas.openxmlformats.org/markup-compatibility/2006">
          <mc:Choice Requires="x14">
            <control shapeId="5272" r:id="rId75" name="Check Box 152">
              <controlPr defaultSize="0" autoFill="0" autoLine="0" autoPict="0">
                <anchor moveWithCells="1">
                  <from>
                    <xdr:col>11</xdr:col>
                    <xdr:colOff>0</xdr:colOff>
                    <xdr:row>86</xdr:row>
                    <xdr:rowOff>266700</xdr:rowOff>
                  </from>
                  <to>
                    <xdr:col>12</xdr:col>
                    <xdr:colOff>152400</xdr:colOff>
                    <xdr:row>87</xdr:row>
                    <xdr:rowOff>0</xdr:rowOff>
                  </to>
                </anchor>
              </controlPr>
            </control>
          </mc:Choice>
        </mc:AlternateContent>
        <mc:AlternateContent xmlns:mc="http://schemas.openxmlformats.org/markup-compatibility/2006">
          <mc:Choice Requires="x14">
            <control shapeId="5273" r:id="rId76" name="Check Box 153">
              <controlPr defaultSize="0" autoFill="0" autoLine="0" autoPict="0">
                <anchor moveWithCells="1">
                  <from>
                    <xdr:col>11</xdr:col>
                    <xdr:colOff>0</xdr:colOff>
                    <xdr:row>87</xdr:row>
                    <xdr:rowOff>144780</xdr:rowOff>
                  </from>
                  <to>
                    <xdr:col>12</xdr:col>
                    <xdr:colOff>152400</xdr:colOff>
                    <xdr:row>87</xdr:row>
                    <xdr:rowOff>335280</xdr:rowOff>
                  </to>
                </anchor>
              </controlPr>
            </control>
          </mc:Choice>
        </mc:AlternateContent>
        <mc:AlternateContent xmlns:mc="http://schemas.openxmlformats.org/markup-compatibility/2006">
          <mc:Choice Requires="x14">
            <control shapeId="5274" r:id="rId77" name="Check Box 154">
              <controlPr defaultSize="0" autoFill="0" autoLine="0" autoPict="0">
                <anchor moveWithCells="1">
                  <from>
                    <xdr:col>11</xdr:col>
                    <xdr:colOff>0</xdr:colOff>
                    <xdr:row>86</xdr:row>
                    <xdr:rowOff>30480</xdr:rowOff>
                  </from>
                  <to>
                    <xdr:col>12</xdr:col>
                    <xdr:colOff>152400</xdr:colOff>
                    <xdr:row>86</xdr:row>
                    <xdr:rowOff>259080</xdr:rowOff>
                  </to>
                </anchor>
              </controlPr>
            </control>
          </mc:Choice>
        </mc:AlternateContent>
        <mc:AlternateContent xmlns:mc="http://schemas.openxmlformats.org/markup-compatibility/2006">
          <mc:Choice Requires="x14">
            <control shapeId="5275" r:id="rId78" name="Check Box 155">
              <controlPr defaultSize="0" autoFill="0" autoLine="0" autoPict="0">
                <anchor moveWithCells="1">
                  <from>
                    <xdr:col>11</xdr:col>
                    <xdr:colOff>0</xdr:colOff>
                    <xdr:row>88</xdr:row>
                    <xdr:rowOff>266700</xdr:rowOff>
                  </from>
                  <to>
                    <xdr:col>12</xdr:col>
                    <xdr:colOff>152400</xdr:colOff>
                    <xdr:row>89</xdr:row>
                    <xdr:rowOff>68580</xdr:rowOff>
                  </to>
                </anchor>
              </controlPr>
            </control>
          </mc:Choice>
        </mc:AlternateContent>
        <mc:AlternateContent xmlns:mc="http://schemas.openxmlformats.org/markup-compatibility/2006">
          <mc:Choice Requires="x14">
            <control shapeId="5276" r:id="rId79" name="Check Box 156">
              <controlPr defaultSize="0" autoFill="0" autoLine="0" autoPict="0">
                <anchor moveWithCells="1">
                  <from>
                    <xdr:col>11</xdr:col>
                    <xdr:colOff>0</xdr:colOff>
                    <xdr:row>89</xdr:row>
                    <xdr:rowOff>144780</xdr:rowOff>
                  </from>
                  <to>
                    <xdr:col>12</xdr:col>
                    <xdr:colOff>152400</xdr:colOff>
                    <xdr:row>89</xdr:row>
                    <xdr:rowOff>335280</xdr:rowOff>
                  </to>
                </anchor>
              </controlPr>
            </control>
          </mc:Choice>
        </mc:AlternateContent>
        <mc:AlternateContent xmlns:mc="http://schemas.openxmlformats.org/markup-compatibility/2006">
          <mc:Choice Requires="x14">
            <control shapeId="5277" r:id="rId80" name="Check Box 157">
              <controlPr defaultSize="0" autoFill="0" autoLine="0" autoPict="0">
                <anchor moveWithCells="1">
                  <from>
                    <xdr:col>11</xdr:col>
                    <xdr:colOff>0</xdr:colOff>
                    <xdr:row>88</xdr:row>
                    <xdr:rowOff>30480</xdr:rowOff>
                  </from>
                  <to>
                    <xdr:col>12</xdr:col>
                    <xdr:colOff>152400</xdr:colOff>
                    <xdr:row>88</xdr:row>
                    <xdr:rowOff>259080</xdr:rowOff>
                  </to>
                </anchor>
              </controlPr>
            </control>
          </mc:Choice>
        </mc:AlternateContent>
        <mc:AlternateContent xmlns:mc="http://schemas.openxmlformats.org/markup-compatibility/2006">
          <mc:Choice Requires="x14">
            <control shapeId="5278" r:id="rId81" name="Check Box 158">
              <controlPr defaultSize="0" autoFill="0" autoLine="0" autoPict="0">
                <anchor moveWithCells="1">
                  <from>
                    <xdr:col>11</xdr:col>
                    <xdr:colOff>0</xdr:colOff>
                    <xdr:row>90</xdr:row>
                    <xdr:rowOff>266700</xdr:rowOff>
                  </from>
                  <to>
                    <xdr:col>12</xdr:col>
                    <xdr:colOff>152400</xdr:colOff>
                    <xdr:row>90</xdr:row>
                    <xdr:rowOff>510540</xdr:rowOff>
                  </to>
                </anchor>
              </controlPr>
            </control>
          </mc:Choice>
        </mc:AlternateContent>
        <mc:AlternateContent xmlns:mc="http://schemas.openxmlformats.org/markup-compatibility/2006">
          <mc:Choice Requires="x14">
            <control shapeId="5279" r:id="rId82" name="Check Box 159">
              <controlPr defaultSize="0" autoFill="0" autoLine="0" autoPict="0">
                <anchor moveWithCells="1">
                  <from>
                    <xdr:col>11</xdr:col>
                    <xdr:colOff>0</xdr:colOff>
                    <xdr:row>91</xdr:row>
                    <xdr:rowOff>144780</xdr:rowOff>
                  </from>
                  <to>
                    <xdr:col>12</xdr:col>
                    <xdr:colOff>152400</xdr:colOff>
                    <xdr:row>91</xdr:row>
                    <xdr:rowOff>335280</xdr:rowOff>
                  </to>
                </anchor>
              </controlPr>
            </control>
          </mc:Choice>
        </mc:AlternateContent>
        <mc:AlternateContent xmlns:mc="http://schemas.openxmlformats.org/markup-compatibility/2006">
          <mc:Choice Requires="x14">
            <control shapeId="5280" r:id="rId83" name="Check Box 160">
              <controlPr defaultSize="0" autoFill="0" autoLine="0" autoPict="0">
                <anchor moveWithCells="1">
                  <from>
                    <xdr:col>11</xdr:col>
                    <xdr:colOff>0</xdr:colOff>
                    <xdr:row>90</xdr:row>
                    <xdr:rowOff>30480</xdr:rowOff>
                  </from>
                  <to>
                    <xdr:col>12</xdr:col>
                    <xdr:colOff>152400</xdr:colOff>
                    <xdr:row>90</xdr:row>
                    <xdr:rowOff>259080</xdr:rowOff>
                  </to>
                </anchor>
              </controlPr>
            </control>
          </mc:Choice>
        </mc:AlternateContent>
        <mc:AlternateContent xmlns:mc="http://schemas.openxmlformats.org/markup-compatibility/2006">
          <mc:Choice Requires="x14">
            <control shapeId="5281" r:id="rId84" name="Check Box 161">
              <controlPr defaultSize="0" autoFill="0" autoLine="0" autoPict="0">
                <anchor moveWithCells="1">
                  <from>
                    <xdr:col>11</xdr:col>
                    <xdr:colOff>0</xdr:colOff>
                    <xdr:row>92</xdr:row>
                    <xdr:rowOff>266700</xdr:rowOff>
                  </from>
                  <to>
                    <xdr:col>12</xdr:col>
                    <xdr:colOff>152400</xdr:colOff>
                    <xdr:row>93</xdr:row>
                    <xdr:rowOff>0</xdr:rowOff>
                  </to>
                </anchor>
              </controlPr>
            </control>
          </mc:Choice>
        </mc:AlternateContent>
        <mc:AlternateContent xmlns:mc="http://schemas.openxmlformats.org/markup-compatibility/2006">
          <mc:Choice Requires="x14">
            <control shapeId="5282" r:id="rId85" name="Check Box 162">
              <controlPr defaultSize="0" autoFill="0" autoLine="0" autoPict="0">
                <anchor moveWithCells="1">
                  <from>
                    <xdr:col>11</xdr:col>
                    <xdr:colOff>0</xdr:colOff>
                    <xdr:row>93</xdr:row>
                    <xdr:rowOff>144780</xdr:rowOff>
                  </from>
                  <to>
                    <xdr:col>12</xdr:col>
                    <xdr:colOff>152400</xdr:colOff>
                    <xdr:row>93</xdr:row>
                    <xdr:rowOff>335280</xdr:rowOff>
                  </to>
                </anchor>
              </controlPr>
            </control>
          </mc:Choice>
        </mc:AlternateContent>
        <mc:AlternateContent xmlns:mc="http://schemas.openxmlformats.org/markup-compatibility/2006">
          <mc:Choice Requires="x14">
            <control shapeId="5283" r:id="rId86" name="Check Box 163">
              <controlPr defaultSize="0" autoFill="0" autoLine="0" autoPict="0">
                <anchor moveWithCells="1">
                  <from>
                    <xdr:col>11</xdr:col>
                    <xdr:colOff>0</xdr:colOff>
                    <xdr:row>92</xdr:row>
                    <xdr:rowOff>30480</xdr:rowOff>
                  </from>
                  <to>
                    <xdr:col>12</xdr:col>
                    <xdr:colOff>152400</xdr:colOff>
                    <xdr:row>92</xdr:row>
                    <xdr:rowOff>259080</xdr:rowOff>
                  </to>
                </anchor>
              </controlPr>
            </control>
          </mc:Choice>
        </mc:AlternateContent>
        <mc:AlternateContent xmlns:mc="http://schemas.openxmlformats.org/markup-compatibility/2006">
          <mc:Choice Requires="x14">
            <control shapeId="5284" r:id="rId87" name="Check Box 164">
              <controlPr defaultSize="0" autoFill="0" autoLine="0" autoPict="0">
                <anchor moveWithCells="1">
                  <from>
                    <xdr:col>11</xdr:col>
                    <xdr:colOff>0</xdr:colOff>
                    <xdr:row>114</xdr:row>
                    <xdr:rowOff>266700</xdr:rowOff>
                  </from>
                  <to>
                    <xdr:col>12</xdr:col>
                    <xdr:colOff>152400</xdr:colOff>
                    <xdr:row>115</xdr:row>
                    <xdr:rowOff>0</xdr:rowOff>
                  </to>
                </anchor>
              </controlPr>
            </control>
          </mc:Choice>
        </mc:AlternateContent>
        <mc:AlternateContent xmlns:mc="http://schemas.openxmlformats.org/markup-compatibility/2006">
          <mc:Choice Requires="x14">
            <control shapeId="5285" r:id="rId88" name="Check Box 165">
              <controlPr defaultSize="0" autoFill="0" autoLine="0" autoPict="0">
                <anchor moveWithCells="1">
                  <from>
                    <xdr:col>11</xdr:col>
                    <xdr:colOff>0</xdr:colOff>
                    <xdr:row>115</xdr:row>
                    <xdr:rowOff>144780</xdr:rowOff>
                  </from>
                  <to>
                    <xdr:col>12</xdr:col>
                    <xdr:colOff>152400</xdr:colOff>
                    <xdr:row>115</xdr:row>
                    <xdr:rowOff>335280</xdr:rowOff>
                  </to>
                </anchor>
              </controlPr>
            </control>
          </mc:Choice>
        </mc:AlternateContent>
        <mc:AlternateContent xmlns:mc="http://schemas.openxmlformats.org/markup-compatibility/2006">
          <mc:Choice Requires="x14">
            <control shapeId="5286" r:id="rId89" name="Check Box 166">
              <controlPr defaultSize="0" autoFill="0" autoLine="0" autoPict="0">
                <anchor moveWithCells="1">
                  <from>
                    <xdr:col>11</xdr:col>
                    <xdr:colOff>0</xdr:colOff>
                    <xdr:row>114</xdr:row>
                    <xdr:rowOff>30480</xdr:rowOff>
                  </from>
                  <to>
                    <xdr:col>12</xdr:col>
                    <xdr:colOff>152400</xdr:colOff>
                    <xdr:row>114</xdr:row>
                    <xdr:rowOff>259080</xdr:rowOff>
                  </to>
                </anchor>
              </controlPr>
            </control>
          </mc:Choice>
        </mc:AlternateContent>
        <mc:AlternateContent xmlns:mc="http://schemas.openxmlformats.org/markup-compatibility/2006">
          <mc:Choice Requires="x14">
            <control shapeId="5289" r:id="rId90" name="Check Box 169">
              <controlPr defaultSize="0" autoFill="0" autoLine="0" autoPict="0">
                <anchor moveWithCells="1">
                  <from>
                    <xdr:col>11</xdr:col>
                    <xdr:colOff>0</xdr:colOff>
                    <xdr:row>116</xdr:row>
                    <xdr:rowOff>266700</xdr:rowOff>
                  </from>
                  <to>
                    <xdr:col>12</xdr:col>
                    <xdr:colOff>152400</xdr:colOff>
                    <xdr:row>117</xdr:row>
                    <xdr:rowOff>0</xdr:rowOff>
                  </to>
                </anchor>
              </controlPr>
            </control>
          </mc:Choice>
        </mc:AlternateContent>
        <mc:AlternateContent xmlns:mc="http://schemas.openxmlformats.org/markup-compatibility/2006">
          <mc:Choice Requires="x14">
            <control shapeId="5290" r:id="rId91" name="Check Box 170">
              <controlPr defaultSize="0" autoFill="0" autoLine="0" autoPict="0">
                <anchor moveWithCells="1">
                  <from>
                    <xdr:col>11</xdr:col>
                    <xdr:colOff>0</xdr:colOff>
                    <xdr:row>117</xdr:row>
                    <xdr:rowOff>144780</xdr:rowOff>
                  </from>
                  <to>
                    <xdr:col>12</xdr:col>
                    <xdr:colOff>152400</xdr:colOff>
                    <xdr:row>117</xdr:row>
                    <xdr:rowOff>335280</xdr:rowOff>
                  </to>
                </anchor>
              </controlPr>
            </control>
          </mc:Choice>
        </mc:AlternateContent>
        <mc:AlternateContent xmlns:mc="http://schemas.openxmlformats.org/markup-compatibility/2006">
          <mc:Choice Requires="x14">
            <control shapeId="5291" r:id="rId92" name="Check Box 171">
              <controlPr defaultSize="0" autoFill="0" autoLine="0" autoPict="0">
                <anchor moveWithCells="1">
                  <from>
                    <xdr:col>11</xdr:col>
                    <xdr:colOff>0</xdr:colOff>
                    <xdr:row>116</xdr:row>
                    <xdr:rowOff>30480</xdr:rowOff>
                  </from>
                  <to>
                    <xdr:col>12</xdr:col>
                    <xdr:colOff>152400</xdr:colOff>
                    <xdr:row>116</xdr:row>
                    <xdr:rowOff>259080</xdr:rowOff>
                  </to>
                </anchor>
              </controlPr>
            </control>
          </mc:Choice>
        </mc:AlternateContent>
        <mc:AlternateContent xmlns:mc="http://schemas.openxmlformats.org/markup-compatibility/2006">
          <mc:Choice Requires="x14">
            <control shapeId="5312" r:id="rId93" name="Check Box 192">
              <controlPr defaultSize="0" autoFill="0" autoLine="0" autoPict="0">
                <anchor moveWithCells="1">
                  <from>
                    <xdr:col>11</xdr:col>
                    <xdr:colOff>0</xdr:colOff>
                    <xdr:row>118</xdr:row>
                    <xdr:rowOff>266700</xdr:rowOff>
                  </from>
                  <to>
                    <xdr:col>12</xdr:col>
                    <xdr:colOff>152400</xdr:colOff>
                    <xdr:row>119</xdr:row>
                    <xdr:rowOff>30480</xdr:rowOff>
                  </to>
                </anchor>
              </controlPr>
            </control>
          </mc:Choice>
        </mc:AlternateContent>
        <mc:AlternateContent xmlns:mc="http://schemas.openxmlformats.org/markup-compatibility/2006">
          <mc:Choice Requires="x14">
            <control shapeId="5313" r:id="rId94" name="Check Box 193">
              <controlPr defaultSize="0" autoFill="0" autoLine="0" autoPict="0">
                <anchor moveWithCells="1">
                  <from>
                    <xdr:col>11</xdr:col>
                    <xdr:colOff>0</xdr:colOff>
                    <xdr:row>119</xdr:row>
                    <xdr:rowOff>144780</xdr:rowOff>
                  </from>
                  <to>
                    <xdr:col>12</xdr:col>
                    <xdr:colOff>152400</xdr:colOff>
                    <xdr:row>119</xdr:row>
                    <xdr:rowOff>335280</xdr:rowOff>
                  </to>
                </anchor>
              </controlPr>
            </control>
          </mc:Choice>
        </mc:AlternateContent>
        <mc:AlternateContent xmlns:mc="http://schemas.openxmlformats.org/markup-compatibility/2006">
          <mc:Choice Requires="x14">
            <control shapeId="5314" r:id="rId95" name="Check Box 194">
              <controlPr defaultSize="0" autoFill="0" autoLine="0" autoPict="0">
                <anchor moveWithCells="1">
                  <from>
                    <xdr:col>11</xdr:col>
                    <xdr:colOff>0</xdr:colOff>
                    <xdr:row>118</xdr:row>
                    <xdr:rowOff>30480</xdr:rowOff>
                  </from>
                  <to>
                    <xdr:col>12</xdr:col>
                    <xdr:colOff>152400</xdr:colOff>
                    <xdr:row>118</xdr:row>
                    <xdr:rowOff>259080</xdr:rowOff>
                  </to>
                </anchor>
              </controlPr>
            </control>
          </mc:Choice>
        </mc:AlternateContent>
        <mc:AlternateContent xmlns:mc="http://schemas.openxmlformats.org/markup-compatibility/2006">
          <mc:Choice Requires="x14">
            <control shapeId="5315" r:id="rId96" name="Check Box 195">
              <controlPr defaultSize="0" autoFill="0" autoLine="0" autoPict="0">
                <anchor moveWithCells="1">
                  <from>
                    <xdr:col>11</xdr:col>
                    <xdr:colOff>0</xdr:colOff>
                    <xdr:row>120</xdr:row>
                    <xdr:rowOff>266700</xdr:rowOff>
                  </from>
                  <to>
                    <xdr:col>12</xdr:col>
                    <xdr:colOff>152400</xdr:colOff>
                    <xdr:row>121</xdr:row>
                    <xdr:rowOff>0</xdr:rowOff>
                  </to>
                </anchor>
              </controlPr>
            </control>
          </mc:Choice>
        </mc:AlternateContent>
        <mc:AlternateContent xmlns:mc="http://schemas.openxmlformats.org/markup-compatibility/2006">
          <mc:Choice Requires="x14">
            <control shapeId="5316" r:id="rId97" name="Check Box 196">
              <controlPr defaultSize="0" autoFill="0" autoLine="0" autoPict="0">
                <anchor moveWithCells="1">
                  <from>
                    <xdr:col>11</xdr:col>
                    <xdr:colOff>0</xdr:colOff>
                    <xdr:row>121</xdr:row>
                    <xdr:rowOff>144780</xdr:rowOff>
                  </from>
                  <to>
                    <xdr:col>12</xdr:col>
                    <xdr:colOff>152400</xdr:colOff>
                    <xdr:row>121</xdr:row>
                    <xdr:rowOff>335280</xdr:rowOff>
                  </to>
                </anchor>
              </controlPr>
            </control>
          </mc:Choice>
        </mc:AlternateContent>
        <mc:AlternateContent xmlns:mc="http://schemas.openxmlformats.org/markup-compatibility/2006">
          <mc:Choice Requires="x14">
            <control shapeId="5317" r:id="rId98" name="Check Box 197">
              <controlPr defaultSize="0" autoFill="0" autoLine="0" autoPict="0">
                <anchor moveWithCells="1">
                  <from>
                    <xdr:col>11</xdr:col>
                    <xdr:colOff>0</xdr:colOff>
                    <xdr:row>120</xdr:row>
                    <xdr:rowOff>30480</xdr:rowOff>
                  </from>
                  <to>
                    <xdr:col>12</xdr:col>
                    <xdr:colOff>152400</xdr:colOff>
                    <xdr:row>120</xdr:row>
                    <xdr:rowOff>259080</xdr:rowOff>
                  </to>
                </anchor>
              </controlPr>
            </control>
          </mc:Choice>
        </mc:AlternateContent>
        <mc:AlternateContent xmlns:mc="http://schemas.openxmlformats.org/markup-compatibility/2006">
          <mc:Choice Requires="x14">
            <control shapeId="5318" r:id="rId99" name="Check Box 198">
              <controlPr defaultSize="0" autoFill="0" autoLine="0" autoPict="0">
                <anchor moveWithCells="1">
                  <from>
                    <xdr:col>11</xdr:col>
                    <xdr:colOff>0</xdr:colOff>
                    <xdr:row>122</xdr:row>
                    <xdr:rowOff>266700</xdr:rowOff>
                  </from>
                  <to>
                    <xdr:col>12</xdr:col>
                    <xdr:colOff>152400</xdr:colOff>
                    <xdr:row>123</xdr:row>
                    <xdr:rowOff>0</xdr:rowOff>
                  </to>
                </anchor>
              </controlPr>
            </control>
          </mc:Choice>
        </mc:AlternateContent>
        <mc:AlternateContent xmlns:mc="http://schemas.openxmlformats.org/markup-compatibility/2006">
          <mc:Choice Requires="x14">
            <control shapeId="5319" r:id="rId100" name="Check Box 199">
              <controlPr defaultSize="0" autoFill="0" autoLine="0" autoPict="0">
                <anchor moveWithCells="1">
                  <from>
                    <xdr:col>11</xdr:col>
                    <xdr:colOff>0</xdr:colOff>
                    <xdr:row>123</xdr:row>
                    <xdr:rowOff>144780</xdr:rowOff>
                  </from>
                  <to>
                    <xdr:col>12</xdr:col>
                    <xdr:colOff>152400</xdr:colOff>
                    <xdr:row>123</xdr:row>
                    <xdr:rowOff>335280</xdr:rowOff>
                  </to>
                </anchor>
              </controlPr>
            </control>
          </mc:Choice>
        </mc:AlternateContent>
        <mc:AlternateContent xmlns:mc="http://schemas.openxmlformats.org/markup-compatibility/2006">
          <mc:Choice Requires="x14">
            <control shapeId="5320" r:id="rId101" name="Check Box 200">
              <controlPr defaultSize="0" autoFill="0" autoLine="0" autoPict="0">
                <anchor moveWithCells="1">
                  <from>
                    <xdr:col>11</xdr:col>
                    <xdr:colOff>0</xdr:colOff>
                    <xdr:row>122</xdr:row>
                    <xdr:rowOff>30480</xdr:rowOff>
                  </from>
                  <to>
                    <xdr:col>12</xdr:col>
                    <xdr:colOff>152400</xdr:colOff>
                    <xdr:row>122</xdr:row>
                    <xdr:rowOff>259080</xdr:rowOff>
                  </to>
                </anchor>
              </controlPr>
            </control>
          </mc:Choice>
        </mc:AlternateContent>
        <mc:AlternateContent xmlns:mc="http://schemas.openxmlformats.org/markup-compatibility/2006">
          <mc:Choice Requires="x14">
            <control shapeId="5352" r:id="rId102" name="Check Box 232">
              <controlPr defaultSize="0" autoFill="0" autoLine="0" autoPict="0">
                <anchor moveWithCells="1">
                  <from>
                    <xdr:col>11</xdr:col>
                    <xdr:colOff>0</xdr:colOff>
                    <xdr:row>94</xdr:row>
                    <xdr:rowOff>266700</xdr:rowOff>
                  </from>
                  <to>
                    <xdr:col>12</xdr:col>
                    <xdr:colOff>152400</xdr:colOff>
                    <xdr:row>94</xdr:row>
                    <xdr:rowOff>525780</xdr:rowOff>
                  </to>
                </anchor>
              </controlPr>
            </control>
          </mc:Choice>
        </mc:AlternateContent>
        <mc:AlternateContent xmlns:mc="http://schemas.openxmlformats.org/markup-compatibility/2006">
          <mc:Choice Requires="x14">
            <control shapeId="5353" r:id="rId103" name="Check Box 233">
              <controlPr defaultSize="0" autoFill="0" autoLine="0" autoPict="0">
                <anchor moveWithCells="1">
                  <from>
                    <xdr:col>11</xdr:col>
                    <xdr:colOff>0</xdr:colOff>
                    <xdr:row>95</xdr:row>
                    <xdr:rowOff>144780</xdr:rowOff>
                  </from>
                  <to>
                    <xdr:col>12</xdr:col>
                    <xdr:colOff>152400</xdr:colOff>
                    <xdr:row>95</xdr:row>
                    <xdr:rowOff>335280</xdr:rowOff>
                  </to>
                </anchor>
              </controlPr>
            </control>
          </mc:Choice>
        </mc:AlternateContent>
        <mc:AlternateContent xmlns:mc="http://schemas.openxmlformats.org/markup-compatibility/2006">
          <mc:Choice Requires="x14">
            <control shapeId="5354" r:id="rId104" name="Check Box 234">
              <controlPr defaultSize="0" autoFill="0" autoLine="0" autoPict="0">
                <anchor moveWithCells="1">
                  <from>
                    <xdr:col>11</xdr:col>
                    <xdr:colOff>0</xdr:colOff>
                    <xdr:row>94</xdr:row>
                    <xdr:rowOff>30480</xdr:rowOff>
                  </from>
                  <to>
                    <xdr:col>12</xdr:col>
                    <xdr:colOff>152400</xdr:colOff>
                    <xdr:row>94</xdr:row>
                    <xdr:rowOff>266700</xdr:rowOff>
                  </to>
                </anchor>
              </controlPr>
            </control>
          </mc:Choice>
        </mc:AlternateContent>
        <mc:AlternateContent xmlns:mc="http://schemas.openxmlformats.org/markup-compatibility/2006">
          <mc:Choice Requires="x14">
            <control shapeId="5355" r:id="rId105" name="Check Box 235">
              <controlPr defaultSize="0" autoFill="0" autoLine="0" autoPict="0">
                <anchor moveWithCells="1">
                  <from>
                    <xdr:col>11</xdr:col>
                    <xdr:colOff>0</xdr:colOff>
                    <xdr:row>96</xdr:row>
                    <xdr:rowOff>335280</xdr:rowOff>
                  </from>
                  <to>
                    <xdr:col>12</xdr:col>
                    <xdr:colOff>152400</xdr:colOff>
                    <xdr:row>97</xdr:row>
                    <xdr:rowOff>91440</xdr:rowOff>
                  </to>
                </anchor>
              </controlPr>
            </control>
          </mc:Choice>
        </mc:AlternateContent>
        <mc:AlternateContent xmlns:mc="http://schemas.openxmlformats.org/markup-compatibility/2006">
          <mc:Choice Requires="x14">
            <control shapeId="5356" r:id="rId106" name="Check Box 236">
              <controlPr defaultSize="0" autoFill="0" autoLine="0" autoPict="0">
                <anchor moveWithCells="1">
                  <from>
                    <xdr:col>11</xdr:col>
                    <xdr:colOff>0</xdr:colOff>
                    <xdr:row>97</xdr:row>
                    <xdr:rowOff>144780</xdr:rowOff>
                  </from>
                  <to>
                    <xdr:col>12</xdr:col>
                    <xdr:colOff>152400</xdr:colOff>
                    <xdr:row>97</xdr:row>
                    <xdr:rowOff>335280</xdr:rowOff>
                  </to>
                </anchor>
              </controlPr>
            </control>
          </mc:Choice>
        </mc:AlternateContent>
        <mc:AlternateContent xmlns:mc="http://schemas.openxmlformats.org/markup-compatibility/2006">
          <mc:Choice Requires="x14">
            <control shapeId="5357" r:id="rId107" name="Check Box 237">
              <controlPr defaultSize="0" autoFill="0" autoLine="0" autoPict="0">
                <anchor moveWithCells="1">
                  <from>
                    <xdr:col>11</xdr:col>
                    <xdr:colOff>0</xdr:colOff>
                    <xdr:row>96</xdr:row>
                    <xdr:rowOff>30480</xdr:rowOff>
                  </from>
                  <to>
                    <xdr:col>12</xdr:col>
                    <xdr:colOff>152400</xdr:colOff>
                    <xdr:row>96</xdr:row>
                    <xdr:rowOff>266700</xdr:rowOff>
                  </to>
                </anchor>
              </controlPr>
            </control>
          </mc:Choice>
        </mc:AlternateContent>
        <mc:AlternateContent xmlns:mc="http://schemas.openxmlformats.org/markup-compatibility/2006">
          <mc:Choice Requires="x14">
            <control shapeId="5358" r:id="rId108" name="Check Box 238">
              <controlPr defaultSize="0" autoFill="0" autoLine="0" autoPict="0">
                <anchor moveWithCells="1">
                  <from>
                    <xdr:col>11</xdr:col>
                    <xdr:colOff>0</xdr:colOff>
                    <xdr:row>98</xdr:row>
                    <xdr:rowOff>266700</xdr:rowOff>
                  </from>
                  <to>
                    <xdr:col>12</xdr:col>
                    <xdr:colOff>152400</xdr:colOff>
                    <xdr:row>98</xdr:row>
                    <xdr:rowOff>533400</xdr:rowOff>
                  </to>
                </anchor>
              </controlPr>
            </control>
          </mc:Choice>
        </mc:AlternateContent>
        <mc:AlternateContent xmlns:mc="http://schemas.openxmlformats.org/markup-compatibility/2006">
          <mc:Choice Requires="x14">
            <control shapeId="5359" r:id="rId109" name="Check Box 239">
              <controlPr defaultSize="0" autoFill="0" autoLine="0" autoPict="0">
                <anchor moveWithCells="1">
                  <from>
                    <xdr:col>11</xdr:col>
                    <xdr:colOff>0</xdr:colOff>
                    <xdr:row>99</xdr:row>
                    <xdr:rowOff>144780</xdr:rowOff>
                  </from>
                  <to>
                    <xdr:col>12</xdr:col>
                    <xdr:colOff>152400</xdr:colOff>
                    <xdr:row>99</xdr:row>
                    <xdr:rowOff>335280</xdr:rowOff>
                  </to>
                </anchor>
              </controlPr>
            </control>
          </mc:Choice>
        </mc:AlternateContent>
        <mc:AlternateContent xmlns:mc="http://schemas.openxmlformats.org/markup-compatibility/2006">
          <mc:Choice Requires="x14">
            <control shapeId="5360" r:id="rId110" name="Check Box 240">
              <controlPr defaultSize="0" autoFill="0" autoLine="0" autoPict="0">
                <anchor moveWithCells="1">
                  <from>
                    <xdr:col>11</xdr:col>
                    <xdr:colOff>0</xdr:colOff>
                    <xdr:row>98</xdr:row>
                    <xdr:rowOff>30480</xdr:rowOff>
                  </from>
                  <to>
                    <xdr:col>12</xdr:col>
                    <xdr:colOff>152400</xdr:colOff>
                    <xdr:row>98</xdr:row>
                    <xdr:rowOff>266700</xdr:rowOff>
                  </to>
                </anchor>
              </controlPr>
            </control>
          </mc:Choice>
        </mc:AlternateContent>
        <mc:AlternateContent xmlns:mc="http://schemas.openxmlformats.org/markup-compatibility/2006">
          <mc:Choice Requires="x14">
            <control shapeId="5361" r:id="rId111" name="Check Box 241">
              <controlPr defaultSize="0" autoFill="0" autoLine="0" autoPict="0">
                <anchor moveWithCells="1">
                  <from>
                    <xdr:col>11</xdr:col>
                    <xdr:colOff>0</xdr:colOff>
                    <xdr:row>100</xdr:row>
                    <xdr:rowOff>266700</xdr:rowOff>
                  </from>
                  <to>
                    <xdr:col>12</xdr:col>
                    <xdr:colOff>152400</xdr:colOff>
                    <xdr:row>101</xdr:row>
                    <xdr:rowOff>0</xdr:rowOff>
                  </to>
                </anchor>
              </controlPr>
            </control>
          </mc:Choice>
        </mc:AlternateContent>
        <mc:AlternateContent xmlns:mc="http://schemas.openxmlformats.org/markup-compatibility/2006">
          <mc:Choice Requires="x14">
            <control shapeId="5362" r:id="rId112" name="Check Box 242">
              <controlPr defaultSize="0" autoFill="0" autoLine="0" autoPict="0">
                <anchor moveWithCells="1">
                  <from>
                    <xdr:col>11</xdr:col>
                    <xdr:colOff>0</xdr:colOff>
                    <xdr:row>101</xdr:row>
                    <xdr:rowOff>144780</xdr:rowOff>
                  </from>
                  <to>
                    <xdr:col>12</xdr:col>
                    <xdr:colOff>152400</xdr:colOff>
                    <xdr:row>101</xdr:row>
                    <xdr:rowOff>335280</xdr:rowOff>
                  </to>
                </anchor>
              </controlPr>
            </control>
          </mc:Choice>
        </mc:AlternateContent>
        <mc:AlternateContent xmlns:mc="http://schemas.openxmlformats.org/markup-compatibility/2006">
          <mc:Choice Requires="x14">
            <control shapeId="5363" r:id="rId113" name="Check Box 243">
              <controlPr defaultSize="0" autoFill="0" autoLine="0" autoPict="0">
                <anchor moveWithCells="1">
                  <from>
                    <xdr:col>11</xdr:col>
                    <xdr:colOff>0</xdr:colOff>
                    <xdr:row>100</xdr:row>
                    <xdr:rowOff>30480</xdr:rowOff>
                  </from>
                  <to>
                    <xdr:col>12</xdr:col>
                    <xdr:colOff>152400</xdr:colOff>
                    <xdr:row>100</xdr:row>
                    <xdr:rowOff>266700</xdr:rowOff>
                  </to>
                </anchor>
              </controlPr>
            </control>
          </mc:Choice>
        </mc:AlternateContent>
        <mc:AlternateContent xmlns:mc="http://schemas.openxmlformats.org/markup-compatibility/2006">
          <mc:Choice Requires="x14">
            <control shapeId="5364" r:id="rId114" name="Check Box 244">
              <controlPr defaultSize="0" autoFill="0" autoLine="0" autoPict="0">
                <anchor moveWithCells="1">
                  <from>
                    <xdr:col>11</xdr:col>
                    <xdr:colOff>0</xdr:colOff>
                    <xdr:row>102</xdr:row>
                    <xdr:rowOff>266700</xdr:rowOff>
                  </from>
                  <to>
                    <xdr:col>12</xdr:col>
                    <xdr:colOff>152400</xdr:colOff>
                    <xdr:row>102</xdr:row>
                    <xdr:rowOff>525780</xdr:rowOff>
                  </to>
                </anchor>
              </controlPr>
            </control>
          </mc:Choice>
        </mc:AlternateContent>
        <mc:AlternateContent xmlns:mc="http://schemas.openxmlformats.org/markup-compatibility/2006">
          <mc:Choice Requires="x14">
            <control shapeId="5365" r:id="rId115" name="Check Box 245">
              <controlPr defaultSize="0" autoFill="0" autoLine="0" autoPict="0">
                <anchor moveWithCells="1">
                  <from>
                    <xdr:col>11</xdr:col>
                    <xdr:colOff>0</xdr:colOff>
                    <xdr:row>103</xdr:row>
                    <xdr:rowOff>144780</xdr:rowOff>
                  </from>
                  <to>
                    <xdr:col>12</xdr:col>
                    <xdr:colOff>152400</xdr:colOff>
                    <xdr:row>103</xdr:row>
                    <xdr:rowOff>335280</xdr:rowOff>
                  </to>
                </anchor>
              </controlPr>
            </control>
          </mc:Choice>
        </mc:AlternateContent>
        <mc:AlternateContent xmlns:mc="http://schemas.openxmlformats.org/markup-compatibility/2006">
          <mc:Choice Requires="x14">
            <control shapeId="5366" r:id="rId116" name="Check Box 246">
              <controlPr defaultSize="0" autoFill="0" autoLine="0" autoPict="0">
                <anchor moveWithCells="1">
                  <from>
                    <xdr:col>11</xdr:col>
                    <xdr:colOff>0</xdr:colOff>
                    <xdr:row>102</xdr:row>
                    <xdr:rowOff>30480</xdr:rowOff>
                  </from>
                  <to>
                    <xdr:col>12</xdr:col>
                    <xdr:colOff>152400</xdr:colOff>
                    <xdr:row>102</xdr:row>
                    <xdr:rowOff>266700</xdr:rowOff>
                  </to>
                </anchor>
              </controlPr>
            </control>
          </mc:Choice>
        </mc:AlternateContent>
        <mc:AlternateContent xmlns:mc="http://schemas.openxmlformats.org/markup-compatibility/2006">
          <mc:Choice Requires="x14">
            <control shapeId="5367" r:id="rId117" name="Check Box 247">
              <controlPr defaultSize="0" autoFill="0" autoLine="0" autoPict="0">
                <anchor moveWithCells="1">
                  <from>
                    <xdr:col>11</xdr:col>
                    <xdr:colOff>0</xdr:colOff>
                    <xdr:row>104</xdr:row>
                    <xdr:rowOff>266700</xdr:rowOff>
                  </from>
                  <to>
                    <xdr:col>12</xdr:col>
                    <xdr:colOff>152400</xdr:colOff>
                    <xdr:row>105</xdr:row>
                    <xdr:rowOff>0</xdr:rowOff>
                  </to>
                </anchor>
              </controlPr>
            </control>
          </mc:Choice>
        </mc:AlternateContent>
        <mc:AlternateContent xmlns:mc="http://schemas.openxmlformats.org/markup-compatibility/2006">
          <mc:Choice Requires="x14">
            <control shapeId="5368" r:id="rId118" name="Check Box 248">
              <controlPr defaultSize="0" autoFill="0" autoLine="0" autoPict="0">
                <anchor moveWithCells="1">
                  <from>
                    <xdr:col>11</xdr:col>
                    <xdr:colOff>0</xdr:colOff>
                    <xdr:row>105</xdr:row>
                    <xdr:rowOff>144780</xdr:rowOff>
                  </from>
                  <to>
                    <xdr:col>12</xdr:col>
                    <xdr:colOff>152400</xdr:colOff>
                    <xdr:row>105</xdr:row>
                    <xdr:rowOff>335280</xdr:rowOff>
                  </to>
                </anchor>
              </controlPr>
            </control>
          </mc:Choice>
        </mc:AlternateContent>
        <mc:AlternateContent xmlns:mc="http://schemas.openxmlformats.org/markup-compatibility/2006">
          <mc:Choice Requires="x14">
            <control shapeId="5369" r:id="rId119" name="Check Box 249">
              <controlPr defaultSize="0" autoFill="0" autoLine="0" autoPict="0">
                <anchor moveWithCells="1">
                  <from>
                    <xdr:col>11</xdr:col>
                    <xdr:colOff>0</xdr:colOff>
                    <xdr:row>104</xdr:row>
                    <xdr:rowOff>30480</xdr:rowOff>
                  </from>
                  <to>
                    <xdr:col>12</xdr:col>
                    <xdr:colOff>152400</xdr:colOff>
                    <xdr:row>104</xdr:row>
                    <xdr:rowOff>266700</xdr:rowOff>
                  </to>
                </anchor>
              </controlPr>
            </control>
          </mc:Choice>
        </mc:AlternateContent>
        <mc:AlternateContent xmlns:mc="http://schemas.openxmlformats.org/markup-compatibility/2006">
          <mc:Choice Requires="x14">
            <control shapeId="5370" r:id="rId120" name="Check Box 250">
              <controlPr defaultSize="0" autoFill="0" autoLine="0" autoPict="0">
                <anchor moveWithCells="1">
                  <from>
                    <xdr:col>11</xdr:col>
                    <xdr:colOff>0</xdr:colOff>
                    <xdr:row>106</xdr:row>
                    <xdr:rowOff>266700</xdr:rowOff>
                  </from>
                  <to>
                    <xdr:col>12</xdr:col>
                    <xdr:colOff>152400</xdr:colOff>
                    <xdr:row>106</xdr:row>
                    <xdr:rowOff>525780</xdr:rowOff>
                  </to>
                </anchor>
              </controlPr>
            </control>
          </mc:Choice>
        </mc:AlternateContent>
        <mc:AlternateContent xmlns:mc="http://schemas.openxmlformats.org/markup-compatibility/2006">
          <mc:Choice Requires="x14">
            <control shapeId="5371" r:id="rId121" name="Check Box 251">
              <controlPr defaultSize="0" autoFill="0" autoLine="0" autoPict="0">
                <anchor moveWithCells="1">
                  <from>
                    <xdr:col>11</xdr:col>
                    <xdr:colOff>0</xdr:colOff>
                    <xdr:row>107</xdr:row>
                    <xdr:rowOff>144780</xdr:rowOff>
                  </from>
                  <to>
                    <xdr:col>12</xdr:col>
                    <xdr:colOff>152400</xdr:colOff>
                    <xdr:row>107</xdr:row>
                    <xdr:rowOff>335280</xdr:rowOff>
                  </to>
                </anchor>
              </controlPr>
            </control>
          </mc:Choice>
        </mc:AlternateContent>
        <mc:AlternateContent xmlns:mc="http://schemas.openxmlformats.org/markup-compatibility/2006">
          <mc:Choice Requires="x14">
            <control shapeId="5372" r:id="rId122" name="Check Box 252">
              <controlPr defaultSize="0" autoFill="0" autoLine="0" autoPict="0">
                <anchor moveWithCells="1">
                  <from>
                    <xdr:col>11</xdr:col>
                    <xdr:colOff>0</xdr:colOff>
                    <xdr:row>106</xdr:row>
                    <xdr:rowOff>30480</xdr:rowOff>
                  </from>
                  <to>
                    <xdr:col>12</xdr:col>
                    <xdr:colOff>152400</xdr:colOff>
                    <xdr:row>106</xdr:row>
                    <xdr:rowOff>266700</xdr:rowOff>
                  </to>
                </anchor>
              </controlPr>
            </control>
          </mc:Choice>
        </mc:AlternateContent>
        <mc:AlternateContent xmlns:mc="http://schemas.openxmlformats.org/markup-compatibility/2006">
          <mc:Choice Requires="x14">
            <control shapeId="5373" r:id="rId123" name="Check Box 253">
              <controlPr defaultSize="0" autoFill="0" autoLine="0" autoPict="0">
                <anchor moveWithCells="1">
                  <from>
                    <xdr:col>11</xdr:col>
                    <xdr:colOff>0</xdr:colOff>
                    <xdr:row>108</xdr:row>
                    <xdr:rowOff>266700</xdr:rowOff>
                  </from>
                  <to>
                    <xdr:col>12</xdr:col>
                    <xdr:colOff>152400</xdr:colOff>
                    <xdr:row>109</xdr:row>
                    <xdr:rowOff>30480</xdr:rowOff>
                  </to>
                </anchor>
              </controlPr>
            </control>
          </mc:Choice>
        </mc:AlternateContent>
        <mc:AlternateContent xmlns:mc="http://schemas.openxmlformats.org/markup-compatibility/2006">
          <mc:Choice Requires="x14">
            <control shapeId="5374" r:id="rId124" name="Check Box 254">
              <controlPr defaultSize="0" autoFill="0" autoLine="0" autoPict="0">
                <anchor moveWithCells="1">
                  <from>
                    <xdr:col>11</xdr:col>
                    <xdr:colOff>0</xdr:colOff>
                    <xdr:row>109</xdr:row>
                    <xdr:rowOff>144780</xdr:rowOff>
                  </from>
                  <to>
                    <xdr:col>12</xdr:col>
                    <xdr:colOff>152400</xdr:colOff>
                    <xdr:row>109</xdr:row>
                    <xdr:rowOff>335280</xdr:rowOff>
                  </to>
                </anchor>
              </controlPr>
            </control>
          </mc:Choice>
        </mc:AlternateContent>
        <mc:AlternateContent xmlns:mc="http://schemas.openxmlformats.org/markup-compatibility/2006">
          <mc:Choice Requires="x14">
            <control shapeId="5375" r:id="rId125" name="Check Box 255">
              <controlPr defaultSize="0" autoFill="0" autoLine="0" autoPict="0">
                <anchor moveWithCells="1">
                  <from>
                    <xdr:col>11</xdr:col>
                    <xdr:colOff>0</xdr:colOff>
                    <xdr:row>108</xdr:row>
                    <xdr:rowOff>30480</xdr:rowOff>
                  </from>
                  <to>
                    <xdr:col>12</xdr:col>
                    <xdr:colOff>152400</xdr:colOff>
                    <xdr:row>108</xdr:row>
                    <xdr:rowOff>266700</xdr:rowOff>
                  </to>
                </anchor>
              </controlPr>
            </control>
          </mc:Choice>
        </mc:AlternateContent>
        <mc:AlternateContent xmlns:mc="http://schemas.openxmlformats.org/markup-compatibility/2006">
          <mc:Choice Requires="x14">
            <control shapeId="5376" r:id="rId126" name="Check Box 256">
              <controlPr defaultSize="0" autoFill="0" autoLine="0" autoPict="0">
                <anchor moveWithCells="1">
                  <from>
                    <xdr:col>11</xdr:col>
                    <xdr:colOff>0</xdr:colOff>
                    <xdr:row>110</xdr:row>
                    <xdr:rowOff>266700</xdr:rowOff>
                  </from>
                  <to>
                    <xdr:col>12</xdr:col>
                    <xdr:colOff>152400</xdr:colOff>
                    <xdr:row>110</xdr:row>
                    <xdr:rowOff>525780</xdr:rowOff>
                  </to>
                </anchor>
              </controlPr>
            </control>
          </mc:Choice>
        </mc:AlternateContent>
        <mc:AlternateContent xmlns:mc="http://schemas.openxmlformats.org/markup-compatibility/2006">
          <mc:Choice Requires="x14">
            <control shapeId="5377" r:id="rId127" name="Check Box 257">
              <controlPr defaultSize="0" autoFill="0" autoLine="0" autoPict="0">
                <anchor moveWithCells="1">
                  <from>
                    <xdr:col>11</xdr:col>
                    <xdr:colOff>0</xdr:colOff>
                    <xdr:row>111</xdr:row>
                    <xdr:rowOff>144780</xdr:rowOff>
                  </from>
                  <to>
                    <xdr:col>12</xdr:col>
                    <xdr:colOff>152400</xdr:colOff>
                    <xdr:row>111</xdr:row>
                    <xdr:rowOff>335280</xdr:rowOff>
                  </to>
                </anchor>
              </controlPr>
            </control>
          </mc:Choice>
        </mc:AlternateContent>
        <mc:AlternateContent xmlns:mc="http://schemas.openxmlformats.org/markup-compatibility/2006">
          <mc:Choice Requires="x14">
            <control shapeId="5378" r:id="rId128" name="Check Box 258">
              <controlPr defaultSize="0" autoFill="0" autoLine="0" autoPict="0">
                <anchor moveWithCells="1">
                  <from>
                    <xdr:col>11</xdr:col>
                    <xdr:colOff>0</xdr:colOff>
                    <xdr:row>110</xdr:row>
                    <xdr:rowOff>30480</xdr:rowOff>
                  </from>
                  <to>
                    <xdr:col>12</xdr:col>
                    <xdr:colOff>152400</xdr:colOff>
                    <xdr:row>110</xdr:row>
                    <xdr:rowOff>266700</xdr:rowOff>
                  </to>
                </anchor>
              </controlPr>
            </control>
          </mc:Choice>
        </mc:AlternateContent>
        <mc:AlternateContent xmlns:mc="http://schemas.openxmlformats.org/markup-compatibility/2006">
          <mc:Choice Requires="x14">
            <control shapeId="5379" r:id="rId129" name="Check Box 259">
              <controlPr defaultSize="0" autoFill="0" autoLine="0" autoPict="0">
                <anchor moveWithCells="1">
                  <from>
                    <xdr:col>11</xdr:col>
                    <xdr:colOff>0</xdr:colOff>
                    <xdr:row>112</xdr:row>
                    <xdr:rowOff>266700</xdr:rowOff>
                  </from>
                  <to>
                    <xdr:col>12</xdr:col>
                    <xdr:colOff>152400</xdr:colOff>
                    <xdr:row>113</xdr:row>
                    <xdr:rowOff>0</xdr:rowOff>
                  </to>
                </anchor>
              </controlPr>
            </control>
          </mc:Choice>
        </mc:AlternateContent>
        <mc:AlternateContent xmlns:mc="http://schemas.openxmlformats.org/markup-compatibility/2006">
          <mc:Choice Requires="x14">
            <control shapeId="5380" r:id="rId130" name="Check Box 260">
              <controlPr defaultSize="0" autoFill="0" autoLine="0" autoPict="0">
                <anchor moveWithCells="1">
                  <from>
                    <xdr:col>11</xdr:col>
                    <xdr:colOff>0</xdr:colOff>
                    <xdr:row>113</xdr:row>
                    <xdr:rowOff>144780</xdr:rowOff>
                  </from>
                  <to>
                    <xdr:col>12</xdr:col>
                    <xdr:colOff>152400</xdr:colOff>
                    <xdr:row>113</xdr:row>
                    <xdr:rowOff>335280</xdr:rowOff>
                  </to>
                </anchor>
              </controlPr>
            </control>
          </mc:Choice>
        </mc:AlternateContent>
        <mc:AlternateContent xmlns:mc="http://schemas.openxmlformats.org/markup-compatibility/2006">
          <mc:Choice Requires="x14">
            <control shapeId="5381" r:id="rId131" name="Check Box 261">
              <controlPr defaultSize="0" autoFill="0" autoLine="0" autoPict="0">
                <anchor moveWithCells="1">
                  <from>
                    <xdr:col>11</xdr:col>
                    <xdr:colOff>0</xdr:colOff>
                    <xdr:row>112</xdr:row>
                    <xdr:rowOff>30480</xdr:rowOff>
                  </from>
                  <to>
                    <xdr:col>12</xdr:col>
                    <xdr:colOff>152400</xdr:colOff>
                    <xdr:row>112</xdr:row>
                    <xdr:rowOff>266700</xdr:rowOff>
                  </to>
                </anchor>
              </controlPr>
            </control>
          </mc:Choice>
        </mc:AlternateContent>
      </controls>
    </mc:Choice>
  </mc:AlternateContent>
  <tableParts count="1">
    <tablePart r:id="rId132"/>
  </tableParts>
  <extLst>
    <ext xmlns:x14="http://schemas.microsoft.com/office/spreadsheetml/2009/9/main" uri="{78C0D931-6437-407d-A8EE-F0AAD7539E65}">
      <x14:conditionalFormattings>
        <x14:conditionalFormatting xmlns:xm="http://schemas.microsoft.com/office/excel/2006/main">
          <x14:cfRule type="dataBar" id="{C3151E2B-A225-4A8F-AC1A-5A2B7D60641F}">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41" id="{AF12D407-A800-4A89-B4F4-FA3BD24B3FD3}">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2" id="{FAB00ACC-682D-48D9-8EF7-67B48911C285}">
            <x14:iconSet iconSet="3Stars">
              <x14:cfvo type="percent">
                <xm:f>0</xm:f>
              </x14:cfvo>
              <x14:cfvo type="percent">
                <xm:f>33</xm:f>
              </x14:cfvo>
              <x14:cfvo type="percent">
                <xm:f>67</xm:f>
              </x14:cfvo>
            </x14:iconSet>
          </x14:cfRule>
          <xm:sqref>P6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E20F6BA3-7B0D-4F4E-89CA-3393C454BA04}">
          <x14:formula1>
            <xm:f>Parâmetros!$A$28:$A$29</xm:f>
          </x14:formula1>
          <xm:sqref>M55:M124 I128:K147</xm:sqref>
        </x14:dataValidation>
        <x14:dataValidation type="list" allowBlank="1" showInputMessage="1" showErrorMessage="1" xr:uid="{9E58BE21-FAD7-4266-B8A4-AE8947F1194F}">
          <x14:formula1>
            <xm:f>Parâmetros!$A$31:$A$33</xm:f>
          </x14:formula1>
          <xm:sqref>O55 O57 O59 O61 O65 O69 O73 O77 O81 O85 O79 O91 O93 O63 O67 O71 O75 O117 O83 O87 O89 O115 O119 O121 O123 O95 O97 O99 O101 O103 O105</xm:sqref>
        </x14:dataValidation>
        <x14:dataValidation type="list" allowBlank="1" showInputMessage="1" showErrorMessage="1" xr:uid="{82A3D91F-317C-492D-9E23-59E3D98D107C}">
          <x14:formula1>
            <xm:f>Parâmetros!$A$36:$A$38</xm:f>
          </x14:formula1>
          <xm:sqref>AE29:AE50 AC29:AC50 AA29:AA52 Y29:Y52 W29:W52 U29:U52 S29:S52 O49:O51 M49:M51 K49:K51 I49:I51 Q29:Q37 Q39:Q52</xm:sqref>
        </x14:dataValidation>
        <x14:dataValidation type="list" allowBlank="1" showInputMessage="1" showErrorMessage="1" xr:uid="{44F11A9B-9C97-4960-A48E-EBB3565A1096}">
          <x14:formula1>
            <xm:f>Parâmetros!$A$24:$A$27</xm:f>
          </x14:formula1>
          <xm:sqref>A55:A124</xm:sqref>
        </x14:dataValidation>
        <x14:dataValidation type="list" allowBlank="1" showInputMessage="1" showErrorMessage="1" xr:uid="{7F3D7702-FB8B-4D31-9404-AA95B9215789}">
          <x14:formula1>
            <xm:f>Parâmetros!$A$28:$A$30</xm:f>
          </x14:formula1>
          <xm:sqref>E258:F304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BE8C-6B84-41C5-8A58-1AB5D002824C}">
  <dimension ref="A1:AG72"/>
  <sheetViews>
    <sheetView zoomScale="85" zoomScaleNormal="85" workbookViewId="0">
      <selection activeCell="L9" sqref="L9"/>
    </sheetView>
  </sheetViews>
  <sheetFormatPr defaultColWidth="8.5546875" defaultRowHeight="14.4" x14ac:dyDescent="0.3"/>
  <cols>
    <col min="1" max="1" width="16"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19.5546875" style="62" customWidth="1"/>
    <col min="10" max="10" width="8.5546875" style="62" bestFit="1" customWidth="1"/>
    <col min="11" max="32" width="13.44140625" style="62" customWidth="1"/>
    <col min="33" max="33" width="146.5546875" style="62" customWidth="1"/>
    <col min="34" max="16384" width="8.5546875" style="62"/>
  </cols>
  <sheetData>
    <row r="1" spans="1:33" ht="50.1" customHeight="1" x14ac:dyDescent="0.3">
      <c r="A1" s="1181" t="s">
        <v>2205</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2"/>
      <c r="AE1" s="1182"/>
      <c r="AF1" s="1182"/>
      <c r="AG1" s="1182"/>
    </row>
    <row r="2" spans="1:33"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4"/>
      <c r="AE2" s="1184"/>
      <c r="AF2" s="1184"/>
      <c r="AG2" s="1184"/>
    </row>
    <row r="3" spans="1:33"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3" ht="22.35" customHeight="1" x14ac:dyDescent="0.3">
      <c r="A4" s="1185" t="s">
        <v>2206</v>
      </c>
      <c r="B4" s="1185"/>
      <c r="C4" s="1186" t="s">
        <v>2207</v>
      </c>
      <c r="D4" s="1186"/>
      <c r="E4" s="1187" t="s">
        <v>50</v>
      </c>
      <c r="F4" s="1187"/>
      <c r="G4" s="1188" t="s">
        <v>51</v>
      </c>
      <c r="H4" s="1188"/>
      <c r="I4" s="1188"/>
      <c r="J4" s="1185" t="s">
        <v>53</v>
      </c>
      <c r="K4" s="1660"/>
      <c r="L4" s="1660"/>
      <c r="M4" s="1185" t="s">
        <v>54</v>
      </c>
      <c r="N4" s="1660"/>
      <c r="O4" s="47"/>
      <c r="P4" s="47"/>
      <c r="Q4" s="47"/>
      <c r="R4" s="47"/>
      <c r="S4" s="47"/>
      <c r="T4" s="47"/>
      <c r="U4" s="47"/>
      <c r="V4" s="47"/>
      <c r="W4" s="47"/>
      <c r="X4" s="47"/>
      <c r="Y4" s="47"/>
      <c r="Z4" s="47"/>
      <c r="AA4" s="47"/>
      <c r="AB4" s="47"/>
      <c r="AC4" s="47"/>
      <c r="AD4" s="47"/>
      <c r="AE4" s="47"/>
      <c r="AF4" s="47"/>
      <c r="AG4" s="47"/>
    </row>
    <row r="5" spans="1:33" ht="45" customHeight="1" x14ac:dyDescent="0.3">
      <c r="A5" s="1196" t="str">
        <f>Parâmetros!E11</f>
        <v>Definir..</v>
      </c>
      <c r="B5" s="1196"/>
      <c r="C5" s="1197">
        <f>SUM(G16:G67)</f>
        <v>0</v>
      </c>
      <c r="D5" s="1197"/>
      <c r="E5" s="1198">
        <f>SUM(I16:I67)</f>
        <v>0</v>
      </c>
      <c r="F5" s="1198"/>
      <c r="G5" s="1078">
        <f>SUMIF(K16:K67,"Real",AC16:AC67)</f>
        <v>0</v>
      </c>
      <c r="H5" s="1078"/>
      <c r="I5" s="1078"/>
      <c r="J5" s="1663" t="e">
        <f>G5/A5</f>
        <v>#VALUE!</v>
      </c>
      <c r="K5" s="1664"/>
      <c r="L5" s="1664"/>
      <c r="M5" s="1665">
        <f>COUNTA(C20:C71)</f>
        <v>0</v>
      </c>
      <c r="N5" s="1660"/>
      <c r="O5" s="47"/>
      <c r="P5" s="47"/>
      <c r="Q5" s="47"/>
      <c r="R5" s="47"/>
      <c r="S5" s="47"/>
      <c r="T5" s="47"/>
      <c r="U5" s="47"/>
      <c r="V5" s="47"/>
      <c r="W5" s="47"/>
      <c r="X5" s="47"/>
      <c r="Y5" s="47"/>
      <c r="Z5" s="47"/>
      <c r="AA5" s="47"/>
      <c r="AB5" s="47"/>
      <c r="AC5" s="47"/>
      <c r="AD5" s="47"/>
      <c r="AE5" s="47"/>
      <c r="AF5" s="47"/>
      <c r="AG5" s="47"/>
    </row>
    <row r="6" spans="1:33"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3" ht="22.35" customHeight="1" x14ac:dyDescent="0.3">
      <c r="A7" s="1059" t="s">
        <v>2208</v>
      </c>
      <c r="B7" s="1059"/>
      <c r="C7" s="1059"/>
      <c r="D7" s="1059"/>
      <c r="E7" s="1059"/>
      <c r="F7" s="29"/>
      <c r="G7" s="1059" t="s">
        <v>59</v>
      </c>
      <c r="H7" s="1059"/>
      <c r="I7" s="1059"/>
      <c r="J7" s="20"/>
      <c r="K7" s="20"/>
      <c r="L7" s="20"/>
      <c r="M7" s="20"/>
      <c r="N7" s="20"/>
      <c r="O7" s="47"/>
      <c r="P7" s="47"/>
      <c r="Q7" s="47"/>
      <c r="R7" s="47"/>
      <c r="S7" s="47"/>
      <c r="T7" s="47"/>
      <c r="U7" s="47"/>
      <c r="V7" s="47"/>
      <c r="W7" s="47"/>
      <c r="X7" s="47"/>
      <c r="Y7" s="47"/>
      <c r="Z7" s="47"/>
      <c r="AA7" s="47"/>
      <c r="AB7" s="47"/>
      <c r="AC7" s="47"/>
      <c r="AD7" s="47"/>
      <c r="AE7" s="47"/>
      <c r="AF7" s="47"/>
      <c r="AG7" s="47"/>
    </row>
    <row r="8" spans="1:33" ht="18" customHeight="1" x14ac:dyDescent="0.3">
      <c r="A8" s="15" t="s">
        <v>62</v>
      </c>
      <c r="B8" s="15" t="s">
        <v>63</v>
      </c>
      <c r="C8" s="15" t="s">
        <v>64</v>
      </c>
      <c r="D8" s="15" t="s">
        <v>66</v>
      </c>
      <c r="E8" s="15" t="s">
        <v>131</v>
      </c>
      <c r="F8" s="29"/>
      <c r="G8" s="15" t="s">
        <v>67</v>
      </c>
      <c r="H8" s="15" t="s">
        <v>63</v>
      </c>
      <c r="I8" s="15" t="s">
        <v>2209</v>
      </c>
      <c r="J8" s="20"/>
      <c r="K8" s="20"/>
      <c r="L8" s="20"/>
      <c r="M8" s="20"/>
      <c r="N8" s="20"/>
      <c r="O8" s="47"/>
      <c r="P8" s="47"/>
      <c r="Q8" s="47"/>
      <c r="R8" s="47"/>
      <c r="S8" s="47"/>
      <c r="T8" s="47"/>
      <c r="U8" s="47"/>
      <c r="V8" s="47"/>
      <c r="W8" s="47"/>
      <c r="X8" s="47"/>
      <c r="Y8" s="47"/>
      <c r="Z8" s="47"/>
      <c r="AA8" s="47"/>
      <c r="AB8" s="47"/>
      <c r="AC8" s="47"/>
      <c r="AD8" s="47"/>
      <c r="AE8" s="47"/>
      <c r="AF8" s="47"/>
      <c r="AG8" s="47"/>
    </row>
    <row r="9" spans="1:33" ht="18" customHeight="1" x14ac:dyDescent="0.3">
      <c r="A9" s="16" t="s">
        <v>76</v>
      </c>
      <c r="B9" s="17">
        <f>COUNTIF($A$16:$A$67,A9)</f>
        <v>0</v>
      </c>
      <c r="C9" s="18">
        <f>SUMIF($A$16:$A$67,A9,$I$16:$I$67)</f>
        <v>0</v>
      </c>
      <c r="D9" s="191" t="str">
        <f>IF($C$12=0,"",C9/$C$12)</f>
        <v/>
      </c>
      <c r="E9" s="19" t="str">
        <f>D9</f>
        <v/>
      </c>
      <c r="F9" s="29"/>
      <c r="G9" s="21" t="s">
        <v>77</v>
      </c>
      <c r="H9" s="24">
        <f ca="1">COUNTIF($AE$16:$AE$67,G9)</f>
        <v>0</v>
      </c>
      <c r="I9" s="193">
        <f>SUMIF($AF$16:$AF$67,G9,$G$16:$G$67)</f>
        <v>0</v>
      </c>
      <c r="J9" s="20"/>
      <c r="K9" s="20"/>
      <c r="L9" s="20"/>
      <c r="M9" s="20"/>
      <c r="N9" s="20"/>
      <c r="O9" s="47"/>
      <c r="P9" s="47"/>
      <c r="Q9" s="47"/>
      <c r="R9" s="47"/>
      <c r="S9" s="47"/>
      <c r="T9" s="47"/>
      <c r="U9" s="47"/>
      <c r="V9" s="47"/>
      <c r="W9" s="47"/>
      <c r="X9" s="47"/>
      <c r="Y9" s="47"/>
      <c r="Z9" s="47"/>
      <c r="AA9" s="47"/>
      <c r="AB9" s="47"/>
      <c r="AC9" s="47"/>
      <c r="AD9" s="47"/>
      <c r="AE9" s="47"/>
      <c r="AF9" s="47"/>
      <c r="AG9" s="47"/>
    </row>
    <row r="10" spans="1:33" ht="15.6" customHeight="1" x14ac:dyDescent="0.3">
      <c r="A10" s="16" t="s">
        <v>79</v>
      </c>
      <c r="B10" s="17">
        <f>COUNTIF($A$16:$A$67,A10)</f>
        <v>0</v>
      </c>
      <c r="C10" s="18">
        <f>SUMIF($A$16:$A$67,A10,$I$16:$I$67)</f>
        <v>0</v>
      </c>
      <c r="D10" s="191" t="str">
        <f>IF($C$12=0,"",C10/$C$12)</f>
        <v/>
      </c>
      <c r="E10" s="19" t="str">
        <f>D10</f>
        <v/>
      </c>
      <c r="F10" s="29"/>
      <c r="G10" s="22" t="s">
        <v>80</v>
      </c>
      <c r="H10" s="25">
        <f ca="1">COUNTIF($AE$16:$AE$67,G10)</f>
        <v>0</v>
      </c>
      <c r="I10" s="194">
        <f t="shared" ref="I10:I11" si="0">SUMIF($AF$16:$AF$67,G10,$G$16:$G$67)</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3" ht="15.6" customHeight="1" x14ac:dyDescent="0.3">
      <c r="A11" s="16" t="s">
        <v>82</v>
      </c>
      <c r="B11" s="17">
        <f>COUNTIF($A$16:$A$67,A11)</f>
        <v>0</v>
      </c>
      <c r="C11" s="18">
        <f>SUMIF($A$16:$A$67,A11,$I$16:$I$67)</f>
        <v>0</v>
      </c>
      <c r="D11" s="191" t="str">
        <f>IF($C$12=0,"",C11/$C$12)</f>
        <v/>
      </c>
      <c r="E11" s="19" t="str">
        <f>D11</f>
        <v/>
      </c>
      <c r="F11" s="29"/>
      <c r="G11" s="23" t="s">
        <v>83</v>
      </c>
      <c r="H11" s="26">
        <f>COUNTIF($AF$16:$AF$67,G11)</f>
        <v>0</v>
      </c>
      <c r="I11" s="195">
        <f t="shared" si="0"/>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3" ht="18" x14ac:dyDescent="0.35">
      <c r="A12" s="173" t="s">
        <v>29</v>
      </c>
      <c r="B12" s="174">
        <f>SUM(B9:B11)</f>
        <v>0</v>
      </c>
      <c r="C12" s="30">
        <f>SUM(C9:C11)</f>
        <v>0</v>
      </c>
      <c r="D12" s="175">
        <f>SUM(D9:D11)</f>
        <v>0</v>
      </c>
      <c r="E12" s="20"/>
      <c r="F12" s="29"/>
      <c r="G12" s="20"/>
      <c r="H12" s="20"/>
      <c r="I12" s="20"/>
      <c r="J12" s="20"/>
      <c r="K12" s="176"/>
      <c r="L12" s="1661"/>
      <c r="M12" s="1661"/>
      <c r="N12" s="1661"/>
      <c r="O12" s="47"/>
      <c r="P12" s="47"/>
      <c r="Q12" s="47"/>
      <c r="R12" s="47"/>
      <c r="S12" s="47"/>
      <c r="T12" s="47"/>
      <c r="U12" s="47"/>
      <c r="V12" s="47"/>
      <c r="W12" s="47"/>
      <c r="X12" s="47"/>
      <c r="Y12" s="47"/>
      <c r="Z12" s="47"/>
      <c r="AA12" s="47"/>
      <c r="AB12" s="47"/>
      <c r="AC12" s="47"/>
      <c r="AD12" s="47"/>
      <c r="AE12" s="47"/>
      <c r="AF12" s="47"/>
      <c r="AG12" s="47"/>
    </row>
    <row r="13" spans="1:33"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row>
    <row r="14" spans="1:33" ht="15.6" x14ac:dyDescent="0.3">
      <c r="A14" s="1662" t="s">
        <v>252</v>
      </c>
      <c r="B14" s="1662"/>
      <c r="C14" s="1662"/>
      <c r="D14" s="1662"/>
      <c r="E14" s="1662"/>
      <c r="F14" s="1662"/>
      <c r="G14" s="1662"/>
      <c r="H14" s="1662"/>
      <c r="I14" s="1662"/>
      <c r="J14" s="1662"/>
      <c r="K14" s="82"/>
      <c r="L14" s="1335" t="s">
        <v>253</v>
      </c>
      <c r="M14" s="1335"/>
      <c r="N14" s="1335"/>
      <c r="O14" s="1335"/>
      <c r="P14" s="1335" t="s">
        <v>254</v>
      </c>
      <c r="Q14" s="1335"/>
      <c r="R14" s="1335"/>
      <c r="S14" s="1335"/>
      <c r="T14" s="1335" t="s">
        <v>255</v>
      </c>
      <c r="U14" s="1335"/>
      <c r="V14" s="1335"/>
      <c r="W14" s="1335"/>
      <c r="X14" s="1335" t="s">
        <v>256</v>
      </c>
      <c r="Y14" s="1335"/>
      <c r="Z14" s="1335"/>
      <c r="AA14" s="1335"/>
      <c r="AB14" s="83"/>
      <c r="AC14" s="83"/>
      <c r="AD14" s="1662"/>
      <c r="AE14" s="1662"/>
      <c r="AF14" s="1662"/>
      <c r="AG14" s="1662"/>
    </row>
    <row r="15" spans="1:33" ht="36" x14ac:dyDescent="0.3">
      <c r="A15" s="84" t="s">
        <v>914</v>
      </c>
      <c r="B15" s="84" t="s">
        <v>259</v>
      </c>
      <c r="C15" s="84" t="s">
        <v>261</v>
      </c>
      <c r="D15" s="84" t="s">
        <v>262</v>
      </c>
      <c r="E15" s="84" t="s">
        <v>263</v>
      </c>
      <c r="F15" s="84" t="s">
        <v>264</v>
      </c>
      <c r="G15" s="84" t="s">
        <v>2210</v>
      </c>
      <c r="H15" s="7" t="s">
        <v>916</v>
      </c>
      <c r="I15" s="7" t="s">
        <v>270</v>
      </c>
      <c r="J15" s="84" t="s">
        <v>2211</v>
      </c>
      <c r="K15" s="84"/>
      <c r="L15" s="85">
        <v>46023</v>
      </c>
      <c r="M15" s="85">
        <v>46054</v>
      </c>
      <c r="N15" s="85">
        <v>46082</v>
      </c>
      <c r="O15" s="86" t="s">
        <v>273</v>
      </c>
      <c r="P15" s="85">
        <v>46113</v>
      </c>
      <c r="Q15" s="85">
        <v>46143</v>
      </c>
      <c r="R15" s="85">
        <v>46174</v>
      </c>
      <c r="S15" s="86" t="s">
        <v>274</v>
      </c>
      <c r="T15" s="85">
        <v>46204</v>
      </c>
      <c r="U15" s="85">
        <v>46235</v>
      </c>
      <c r="V15" s="85">
        <v>46266</v>
      </c>
      <c r="W15" s="86" t="s">
        <v>275</v>
      </c>
      <c r="X15" s="85">
        <v>46296</v>
      </c>
      <c r="Y15" s="85">
        <v>46327</v>
      </c>
      <c r="Z15" s="85">
        <v>46357</v>
      </c>
      <c r="AA15" s="84" t="s">
        <v>276</v>
      </c>
      <c r="AB15" s="84" t="s">
        <v>277</v>
      </c>
      <c r="AC15" s="84" t="s">
        <v>277</v>
      </c>
      <c r="AD15" s="84" t="s">
        <v>2212</v>
      </c>
      <c r="AE15" s="84" t="s">
        <v>272</v>
      </c>
      <c r="AF15" s="84" t="s">
        <v>67</v>
      </c>
      <c r="AG15" s="84" t="s">
        <v>278</v>
      </c>
    </row>
    <row r="16" spans="1:33" s="120" customFormat="1" ht="20.85" customHeight="1" x14ac:dyDescent="0.3">
      <c r="A16" s="1040"/>
      <c r="B16" s="1040"/>
      <c r="C16" s="1303"/>
      <c r="D16" s="1040"/>
      <c r="E16" s="1117"/>
      <c r="F16" s="1117"/>
      <c r="G16" s="1046"/>
      <c r="H16" s="1666"/>
      <c r="I16" s="1668"/>
      <c r="J16" s="1062">
        <f>DATEDIF(E16,F16,"m")</f>
        <v>0</v>
      </c>
      <c r="K16" s="115" t="s">
        <v>106</v>
      </c>
      <c r="L16" s="116"/>
      <c r="M16" s="116"/>
      <c r="N16" s="116"/>
      <c r="O16" s="117">
        <f t="shared" ref="O16:O67" si="1">SUM(L16:N16)</f>
        <v>0</v>
      </c>
      <c r="P16" s="116"/>
      <c r="Q16" s="116"/>
      <c r="R16" s="116"/>
      <c r="S16" s="117">
        <f t="shared" ref="S16:S67" si="2">SUM(P16:R16)</f>
        <v>0</v>
      </c>
      <c r="T16" s="116"/>
      <c r="U16" s="116"/>
      <c r="V16" s="116"/>
      <c r="W16" s="117">
        <f t="shared" ref="W16:W67" si="3">SUM(T16:V16)</f>
        <v>0</v>
      </c>
      <c r="X16" s="116"/>
      <c r="Y16" s="116"/>
      <c r="Z16" s="116"/>
      <c r="AA16" s="117">
        <f t="shared" ref="AA16:AA67" si="4">SUM(X16:Z16)</f>
        <v>0</v>
      </c>
      <c r="AB16" s="116"/>
      <c r="AC16" s="118">
        <f t="shared" ref="AC16:AC67" si="5">SUM(P16,T16,X16,AB16)</f>
        <v>0</v>
      </c>
      <c r="AD16" s="118" t="str">
        <f t="shared" ref="AD16:AD67" si="6">IF(J16=0,"0",AC16/J16)</f>
        <v>0</v>
      </c>
      <c r="AE16" s="119" t="str">
        <f ca="1">IF(OR(F16="", G16=""), "", IF(TODAY()&lt;F16, 0, IF(TODAY()&gt;G16, 1, (TODAY()-F16+1)/(G16-F16+1))))</f>
        <v/>
      </c>
      <c r="AF16" s="1048"/>
      <c r="AG16" s="98"/>
    </row>
    <row r="17" spans="1:33" s="120" customFormat="1" ht="20.85" customHeight="1" x14ac:dyDescent="0.3">
      <c r="A17" s="1041"/>
      <c r="B17" s="1041"/>
      <c r="C17" s="1304"/>
      <c r="D17" s="1041"/>
      <c r="E17" s="1118"/>
      <c r="F17" s="1118"/>
      <c r="G17" s="1047"/>
      <c r="H17" s="1667"/>
      <c r="I17" s="1669"/>
      <c r="J17" s="1063"/>
      <c r="K17" s="115" t="s">
        <v>107</v>
      </c>
      <c r="L17" s="116"/>
      <c r="M17" s="116"/>
      <c r="N17" s="116"/>
      <c r="O17" s="117">
        <f t="shared" si="1"/>
        <v>0</v>
      </c>
      <c r="P17" s="116"/>
      <c r="Q17" s="116"/>
      <c r="R17" s="116"/>
      <c r="S17" s="117">
        <f t="shared" si="2"/>
        <v>0</v>
      </c>
      <c r="T17" s="116"/>
      <c r="U17" s="116"/>
      <c r="V17" s="116"/>
      <c r="W17" s="117">
        <f t="shared" si="3"/>
        <v>0</v>
      </c>
      <c r="X17" s="116"/>
      <c r="Y17" s="116"/>
      <c r="Z17" s="116"/>
      <c r="AA17" s="117">
        <f t="shared" si="4"/>
        <v>0</v>
      </c>
      <c r="AB17" s="116"/>
      <c r="AC17" s="118">
        <f t="shared" si="5"/>
        <v>0</v>
      </c>
      <c r="AD17" s="118" t="str">
        <f t="shared" si="6"/>
        <v>0</v>
      </c>
      <c r="AE17" s="119"/>
      <c r="AF17" s="1049"/>
      <c r="AG17" s="98"/>
    </row>
    <row r="18" spans="1:33" s="120" customFormat="1" ht="20.85" customHeight="1" x14ac:dyDescent="0.3">
      <c r="A18" s="1142"/>
      <c r="B18" s="1099"/>
      <c r="C18" s="1363"/>
      <c r="D18" s="1099"/>
      <c r="E18" s="1101"/>
      <c r="F18" s="1101"/>
      <c r="G18" s="1672"/>
      <c r="H18" s="1674"/>
      <c r="I18" s="1676"/>
      <c r="J18" s="1064">
        <f>DATEDIF(E18,F18,"m")</f>
        <v>0</v>
      </c>
      <c r="K18" s="121" t="s">
        <v>106</v>
      </c>
      <c r="L18" s="122"/>
      <c r="M18" s="122"/>
      <c r="N18" s="122"/>
      <c r="O18" s="117">
        <f t="shared" si="1"/>
        <v>0</v>
      </c>
      <c r="P18" s="122"/>
      <c r="Q18" s="122"/>
      <c r="R18" s="122"/>
      <c r="S18" s="117">
        <f t="shared" si="2"/>
        <v>0</v>
      </c>
      <c r="T18" s="122"/>
      <c r="U18" s="122"/>
      <c r="V18" s="122"/>
      <c r="W18" s="117">
        <f t="shared" si="3"/>
        <v>0</v>
      </c>
      <c r="X18" s="122"/>
      <c r="Y18" s="122"/>
      <c r="Z18" s="122"/>
      <c r="AA18" s="117">
        <f t="shared" si="4"/>
        <v>0</v>
      </c>
      <c r="AB18" s="122"/>
      <c r="AC18" s="123">
        <f t="shared" si="5"/>
        <v>0</v>
      </c>
      <c r="AD18" s="123" t="str">
        <f t="shared" si="6"/>
        <v>0</v>
      </c>
      <c r="AE18" s="124" t="str">
        <f ca="1">IF(OR(F18="", G18=""), "", IF(TODAY()&lt;F18, 0, IF(TODAY()&gt;G18, 1, (TODAY()-F18+1)/(G18-F18+1))))</f>
        <v/>
      </c>
      <c r="AF18" s="1367"/>
      <c r="AG18" s="125"/>
    </row>
    <row r="19" spans="1:33" s="120" customFormat="1" ht="20.85" customHeight="1" x14ac:dyDescent="0.3">
      <c r="A19" s="1143"/>
      <c r="B19" s="1100"/>
      <c r="C19" s="1364"/>
      <c r="D19" s="1100"/>
      <c r="E19" s="1102"/>
      <c r="F19" s="1102"/>
      <c r="G19" s="1673"/>
      <c r="H19" s="1675"/>
      <c r="I19" s="1677"/>
      <c r="J19" s="1065"/>
      <c r="K19" s="121" t="s">
        <v>107</v>
      </c>
      <c r="L19" s="122"/>
      <c r="M19" s="122"/>
      <c r="N19" s="122"/>
      <c r="O19" s="117">
        <f t="shared" si="1"/>
        <v>0</v>
      </c>
      <c r="P19" s="122"/>
      <c r="Q19" s="122"/>
      <c r="R19" s="122"/>
      <c r="S19" s="117">
        <f t="shared" si="2"/>
        <v>0</v>
      </c>
      <c r="T19" s="122"/>
      <c r="U19" s="122"/>
      <c r="V19" s="122"/>
      <c r="W19" s="117">
        <f t="shared" si="3"/>
        <v>0</v>
      </c>
      <c r="X19" s="122"/>
      <c r="Y19" s="122"/>
      <c r="Z19" s="122"/>
      <c r="AA19" s="117">
        <f t="shared" si="4"/>
        <v>0</v>
      </c>
      <c r="AB19" s="122"/>
      <c r="AC19" s="123">
        <f t="shared" si="5"/>
        <v>0</v>
      </c>
      <c r="AD19" s="123" t="str">
        <f t="shared" si="6"/>
        <v>0</v>
      </c>
      <c r="AE19" s="124"/>
      <c r="AF19" s="1368"/>
      <c r="AG19" s="125"/>
    </row>
    <row r="20" spans="1:33" s="120" customFormat="1" ht="20.85" customHeight="1" x14ac:dyDescent="0.3">
      <c r="A20" s="1040"/>
      <c r="B20" s="1040"/>
      <c r="C20" s="1303"/>
      <c r="D20" s="1040"/>
      <c r="E20" s="1117"/>
      <c r="F20" s="1117"/>
      <c r="G20" s="1046"/>
      <c r="H20" s="1670"/>
      <c r="I20" s="1668"/>
      <c r="J20" s="1062">
        <f>DATEDIF(E20,F20,"m")</f>
        <v>0</v>
      </c>
      <c r="K20" s="115" t="s">
        <v>106</v>
      </c>
      <c r="L20" s="116"/>
      <c r="M20" s="116"/>
      <c r="N20" s="116"/>
      <c r="O20" s="117">
        <f t="shared" si="1"/>
        <v>0</v>
      </c>
      <c r="P20" s="116"/>
      <c r="Q20" s="116"/>
      <c r="R20" s="116"/>
      <c r="S20" s="117">
        <f t="shared" si="2"/>
        <v>0</v>
      </c>
      <c r="T20" s="116"/>
      <c r="U20" s="116"/>
      <c r="V20" s="116"/>
      <c r="W20" s="117">
        <f t="shared" si="3"/>
        <v>0</v>
      </c>
      <c r="X20" s="116"/>
      <c r="Y20" s="116"/>
      <c r="Z20" s="116"/>
      <c r="AA20" s="117">
        <f t="shared" si="4"/>
        <v>0</v>
      </c>
      <c r="AB20" s="116"/>
      <c r="AC20" s="118">
        <f t="shared" si="5"/>
        <v>0</v>
      </c>
      <c r="AD20" s="118" t="str">
        <f t="shared" si="6"/>
        <v>0</v>
      </c>
      <c r="AE20" s="119" t="str">
        <f ca="1">IF(OR(F20="", G20=""), "", IF(TODAY()&lt;F20, 0, IF(TODAY()&gt;G20, 1, (TODAY()-F20+1)/(G20-F20+1))))</f>
        <v/>
      </c>
      <c r="AF20" s="1048"/>
      <c r="AG20" s="98"/>
    </row>
    <row r="21" spans="1:33" s="120" customFormat="1" ht="20.85" customHeight="1" x14ac:dyDescent="0.3">
      <c r="A21" s="1041"/>
      <c r="B21" s="1041"/>
      <c r="C21" s="1304"/>
      <c r="D21" s="1041"/>
      <c r="E21" s="1118"/>
      <c r="F21" s="1118"/>
      <c r="G21" s="1047"/>
      <c r="H21" s="1671"/>
      <c r="I21" s="1669"/>
      <c r="J21" s="1063"/>
      <c r="K21" s="115" t="s">
        <v>107</v>
      </c>
      <c r="L21" s="116"/>
      <c r="M21" s="116"/>
      <c r="N21" s="116"/>
      <c r="O21" s="117">
        <f t="shared" si="1"/>
        <v>0</v>
      </c>
      <c r="P21" s="116"/>
      <c r="Q21" s="116"/>
      <c r="R21" s="116"/>
      <c r="S21" s="117">
        <f t="shared" si="2"/>
        <v>0</v>
      </c>
      <c r="T21" s="116"/>
      <c r="U21" s="116"/>
      <c r="V21" s="116"/>
      <c r="W21" s="117">
        <f t="shared" si="3"/>
        <v>0</v>
      </c>
      <c r="X21" s="116"/>
      <c r="Y21" s="116"/>
      <c r="Z21" s="116"/>
      <c r="AA21" s="117">
        <f t="shared" si="4"/>
        <v>0</v>
      </c>
      <c r="AB21" s="116"/>
      <c r="AC21" s="118">
        <f t="shared" si="5"/>
        <v>0</v>
      </c>
      <c r="AD21" s="118" t="str">
        <f t="shared" si="6"/>
        <v>0</v>
      </c>
      <c r="AE21" s="119"/>
      <c r="AF21" s="1049"/>
      <c r="AG21" s="98"/>
    </row>
    <row r="22" spans="1:33" s="120" customFormat="1" ht="20.85" customHeight="1" x14ac:dyDescent="0.3">
      <c r="A22" s="1142"/>
      <c r="B22" s="1099"/>
      <c r="C22" s="1363"/>
      <c r="D22" s="1099"/>
      <c r="E22" s="1101"/>
      <c r="F22" s="1101"/>
      <c r="G22" s="1672"/>
      <c r="H22" s="1674"/>
      <c r="I22" s="1676"/>
      <c r="J22" s="1064">
        <f>DATEDIF(E22,F22,"m")</f>
        <v>0</v>
      </c>
      <c r="K22" s="121" t="s">
        <v>106</v>
      </c>
      <c r="L22" s="122"/>
      <c r="M22" s="122"/>
      <c r="N22" s="122"/>
      <c r="O22" s="117">
        <f t="shared" si="1"/>
        <v>0</v>
      </c>
      <c r="P22" s="122"/>
      <c r="Q22" s="122"/>
      <c r="R22" s="122"/>
      <c r="S22" s="117">
        <f t="shared" si="2"/>
        <v>0</v>
      </c>
      <c r="T22" s="122"/>
      <c r="U22" s="122"/>
      <c r="V22" s="122"/>
      <c r="W22" s="117">
        <f t="shared" si="3"/>
        <v>0</v>
      </c>
      <c r="X22" s="122"/>
      <c r="Y22" s="122"/>
      <c r="Z22" s="122"/>
      <c r="AA22" s="117">
        <f t="shared" si="4"/>
        <v>0</v>
      </c>
      <c r="AB22" s="122"/>
      <c r="AC22" s="123">
        <f t="shared" si="5"/>
        <v>0</v>
      </c>
      <c r="AD22" s="123" t="str">
        <f t="shared" si="6"/>
        <v>0</v>
      </c>
      <c r="AE22" s="124" t="str">
        <f ca="1">IF(OR(F22="", G22=""), "", IF(TODAY()&lt;F22, 0, IF(TODAY()&gt;G22, 1, (TODAY()-F22+1)/(G22-F22+1))))</f>
        <v/>
      </c>
      <c r="AF22" s="1367"/>
      <c r="AG22" s="125"/>
    </row>
    <row r="23" spans="1:33" s="120" customFormat="1" ht="20.85" customHeight="1" x14ac:dyDescent="0.3">
      <c r="A23" s="1143"/>
      <c r="B23" s="1100"/>
      <c r="C23" s="1364"/>
      <c r="D23" s="1100"/>
      <c r="E23" s="1102"/>
      <c r="F23" s="1102"/>
      <c r="G23" s="1673"/>
      <c r="H23" s="1675"/>
      <c r="I23" s="1677"/>
      <c r="J23" s="1065"/>
      <c r="K23" s="121" t="s">
        <v>107</v>
      </c>
      <c r="L23" s="122"/>
      <c r="M23" s="122"/>
      <c r="N23" s="122"/>
      <c r="O23" s="117">
        <f t="shared" si="1"/>
        <v>0</v>
      </c>
      <c r="P23" s="122"/>
      <c r="Q23" s="122"/>
      <c r="R23" s="122"/>
      <c r="S23" s="117">
        <f t="shared" si="2"/>
        <v>0</v>
      </c>
      <c r="T23" s="122"/>
      <c r="U23" s="122"/>
      <c r="V23" s="122"/>
      <c r="W23" s="117">
        <f t="shared" si="3"/>
        <v>0</v>
      </c>
      <c r="X23" s="122"/>
      <c r="Y23" s="122"/>
      <c r="Z23" s="122"/>
      <c r="AA23" s="117">
        <f t="shared" si="4"/>
        <v>0</v>
      </c>
      <c r="AB23" s="122"/>
      <c r="AC23" s="123">
        <f t="shared" si="5"/>
        <v>0</v>
      </c>
      <c r="AD23" s="123" t="str">
        <f t="shared" si="6"/>
        <v>0</v>
      </c>
      <c r="AE23" s="124"/>
      <c r="AF23" s="1368"/>
      <c r="AG23" s="125"/>
    </row>
    <row r="24" spans="1:33" s="120" customFormat="1" ht="20.85" customHeight="1" x14ac:dyDescent="0.3">
      <c r="A24" s="1040"/>
      <c r="B24" s="1040"/>
      <c r="C24" s="1303"/>
      <c r="D24" s="1040"/>
      <c r="E24" s="1117"/>
      <c r="F24" s="1117"/>
      <c r="G24" s="1046"/>
      <c r="H24" s="1670"/>
      <c r="I24" s="1668"/>
      <c r="J24" s="1062">
        <f>DATEDIF(E24,F24,"m")</f>
        <v>0</v>
      </c>
      <c r="K24" s="115" t="s">
        <v>106</v>
      </c>
      <c r="L24" s="116"/>
      <c r="M24" s="116"/>
      <c r="N24" s="116"/>
      <c r="O24" s="117">
        <f t="shared" si="1"/>
        <v>0</v>
      </c>
      <c r="P24" s="116"/>
      <c r="Q24" s="116"/>
      <c r="R24" s="116"/>
      <c r="S24" s="117">
        <f t="shared" si="2"/>
        <v>0</v>
      </c>
      <c r="T24" s="116"/>
      <c r="U24" s="116"/>
      <c r="V24" s="116"/>
      <c r="W24" s="117">
        <f t="shared" si="3"/>
        <v>0</v>
      </c>
      <c r="X24" s="116"/>
      <c r="Y24" s="116"/>
      <c r="Z24" s="116"/>
      <c r="AA24" s="117">
        <f t="shared" si="4"/>
        <v>0</v>
      </c>
      <c r="AB24" s="116"/>
      <c r="AC24" s="118">
        <f t="shared" si="5"/>
        <v>0</v>
      </c>
      <c r="AD24" s="118" t="str">
        <f t="shared" si="6"/>
        <v>0</v>
      </c>
      <c r="AE24" s="119" t="str">
        <f ca="1">IF(OR(F24="", G24=""), "", IF(TODAY()&lt;F24, 0, IF(TODAY()&gt;G24, 1, (TODAY()-F24+1)/(G24-F24+1))))</f>
        <v/>
      </c>
      <c r="AF24" s="1048"/>
      <c r="AG24" s="98"/>
    </row>
    <row r="25" spans="1:33" s="120" customFormat="1" ht="20.85" customHeight="1" x14ac:dyDescent="0.3">
      <c r="A25" s="1041"/>
      <c r="B25" s="1041"/>
      <c r="C25" s="1304"/>
      <c r="D25" s="1041"/>
      <c r="E25" s="1118"/>
      <c r="F25" s="1118"/>
      <c r="G25" s="1047"/>
      <c r="H25" s="1671"/>
      <c r="I25" s="1669"/>
      <c r="J25" s="1063"/>
      <c r="K25" s="115" t="s">
        <v>107</v>
      </c>
      <c r="L25" s="116"/>
      <c r="M25" s="116"/>
      <c r="N25" s="116"/>
      <c r="O25" s="117">
        <f t="shared" si="1"/>
        <v>0</v>
      </c>
      <c r="P25" s="116"/>
      <c r="Q25" s="116"/>
      <c r="R25" s="116"/>
      <c r="S25" s="117">
        <f t="shared" si="2"/>
        <v>0</v>
      </c>
      <c r="T25" s="116"/>
      <c r="U25" s="116"/>
      <c r="V25" s="116"/>
      <c r="W25" s="117">
        <f t="shared" si="3"/>
        <v>0</v>
      </c>
      <c r="X25" s="116"/>
      <c r="Y25" s="116"/>
      <c r="Z25" s="116"/>
      <c r="AA25" s="117">
        <f t="shared" si="4"/>
        <v>0</v>
      </c>
      <c r="AB25" s="116"/>
      <c r="AC25" s="118">
        <f t="shared" si="5"/>
        <v>0</v>
      </c>
      <c r="AD25" s="118" t="str">
        <f t="shared" si="6"/>
        <v>0</v>
      </c>
      <c r="AE25" s="119"/>
      <c r="AF25" s="1049"/>
      <c r="AG25" s="98"/>
    </row>
    <row r="26" spans="1:33" s="120" customFormat="1" ht="20.85" customHeight="1" x14ac:dyDescent="0.3">
      <c r="A26" s="1142"/>
      <c r="B26" s="1099"/>
      <c r="C26" s="1363"/>
      <c r="D26" s="1099"/>
      <c r="E26" s="1101"/>
      <c r="F26" s="1101"/>
      <c r="G26" s="1672"/>
      <c r="H26" s="1674"/>
      <c r="I26" s="1676"/>
      <c r="J26" s="1064">
        <f>DATEDIF(E26,F26,"m")</f>
        <v>0</v>
      </c>
      <c r="K26" s="121" t="s">
        <v>106</v>
      </c>
      <c r="L26" s="122"/>
      <c r="M26" s="122"/>
      <c r="N26" s="122"/>
      <c r="O26" s="117">
        <f t="shared" si="1"/>
        <v>0</v>
      </c>
      <c r="P26" s="122"/>
      <c r="Q26" s="122"/>
      <c r="R26" s="122"/>
      <c r="S26" s="117">
        <f t="shared" si="2"/>
        <v>0</v>
      </c>
      <c r="T26" s="122"/>
      <c r="U26" s="122"/>
      <c r="V26" s="122"/>
      <c r="W26" s="117">
        <f t="shared" si="3"/>
        <v>0</v>
      </c>
      <c r="X26" s="122"/>
      <c r="Y26" s="122"/>
      <c r="Z26" s="122"/>
      <c r="AA26" s="117">
        <f t="shared" si="4"/>
        <v>0</v>
      </c>
      <c r="AB26" s="122"/>
      <c r="AC26" s="123">
        <f t="shared" si="5"/>
        <v>0</v>
      </c>
      <c r="AD26" s="123" t="str">
        <f t="shared" si="6"/>
        <v>0</v>
      </c>
      <c r="AE26" s="124" t="str">
        <f ca="1">IF(OR(F26="", G26=""), "", IF(TODAY()&lt;F26, 0, IF(TODAY()&gt;G26, 1, (TODAY()-F26+1)/(G26-F26+1))))</f>
        <v/>
      </c>
      <c r="AF26" s="1367"/>
      <c r="AG26" s="125"/>
    </row>
    <row r="27" spans="1:33" s="120" customFormat="1" ht="20.85" customHeight="1" x14ac:dyDescent="0.3">
      <c r="A27" s="1143"/>
      <c r="B27" s="1100"/>
      <c r="C27" s="1364"/>
      <c r="D27" s="1100"/>
      <c r="E27" s="1102"/>
      <c r="F27" s="1102"/>
      <c r="G27" s="1673"/>
      <c r="H27" s="1675"/>
      <c r="I27" s="1677"/>
      <c r="J27" s="1065"/>
      <c r="K27" s="121" t="s">
        <v>107</v>
      </c>
      <c r="L27" s="122"/>
      <c r="M27" s="122"/>
      <c r="N27" s="122"/>
      <c r="O27" s="117">
        <f t="shared" si="1"/>
        <v>0</v>
      </c>
      <c r="P27" s="122"/>
      <c r="Q27" s="122"/>
      <c r="R27" s="122"/>
      <c r="S27" s="117">
        <f t="shared" si="2"/>
        <v>0</v>
      </c>
      <c r="T27" s="122"/>
      <c r="U27" s="122"/>
      <c r="V27" s="122"/>
      <c r="W27" s="117">
        <f t="shared" si="3"/>
        <v>0</v>
      </c>
      <c r="X27" s="122"/>
      <c r="Y27" s="122"/>
      <c r="Z27" s="122"/>
      <c r="AA27" s="117">
        <f t="shared" si="4"/>
        <v>0</v>
      </c>
      <c r="AB27" s="122"/>
      <c r="AC27" s="123">
        <f t="shared" si="5"/>
        <v>0</v>
      </c>
      <c r="AD27" s="123" t="str">
        <f t="shared" si="6"/>
        <v>0</v>
      </c>
      <c r="AE27" s="124"/>
      <c r="AF27" s="1368"/>
      <c r="AG27" s="125"/>
    </row>
    <row r="28" spans="1:33" s="120" customFormat="1" ht="20.85" customHeight="1" x14ac:dyDescent="0.3">
      <c r="A28" s="1040"/>
      <c r="B28" s="1040"/>
      <c r="C28" s="1303"/>
      <c r="D28" s="1040"/>
      <c r="E28" s="1117"/>
      <c r="F28" s="1117"/>
      <c r="G28" s="1046"/>
      <c r="H28" s="1670"/>
      <c r="I28" s="1668"/>
      <c r="J28" s="1062">
        <f>DATEDIF(E28,F28,"m")</f>
        <v>0</v>
      </c>
      <c r="K28" s="115" t="s">
        <v>106</v>
      </c>
      <c r="L28" s="116"/>
      <c r="M28" s="116"/>
      <c r="N28" s="116"/>
      <c r="O28" s="117">
        <f t="shared" si="1"/>
        <v>0</v>
      </c>
      <c r="P28" s="116"/>
      <c r="Q28" s="116"/>
      <c r="R28" s="116"/>
      <c r="S28" s="117">
        <f t="shared" si="2"/>
        <v>0</v>
      </c>
      <c r="T28" s="116"/>
      <c r="U28" s="116"/>
      <c r="V28" s="116"/>
      <c r="W28" s="117">
        <f t="shared" si="3"/>
        <v>0</v>
      </c>
      <c r="X28" s="116"/>
      <c r="Y28" s="116"/>
      <c r="Z28" s="116"/>
      <c r="AA28" s="117">
        <f t="shared" si="4"/>
        <v>0</v>
      </c>
      <c r="AB28" s="116"/>
      <c r="AC28" s="118">
        <f t="shared" si="5"/>
        <v>0</v>
      </c>
      <c r="AD28" s="118" t="str">
        <f t="shared" si="6"/>
        <v>0</v>
      </c>
      <c r="AE28" s="119" t="str">
        <f ca="1">IF(OR(F28="", G28=""), "", IF(TODAY()&lt;F28, 0, IF(TODAY()&gt;G28, 1, (TODAY()-F28+1)/(G28-F28+1))))</f>
        <v/>
      </c>
      <c r="AF28" s="1048"/>
      <c r="AG28" s="98"/>
    </row>
    <row r="29" spans="1:33" s="120" customFormat="1" ht="20.85" customHeight="1" x14ac:dyDescent="0.3">
      <c r="A29" s="1041"/>
      <c r="B29" s="1041"/>
      <c r="C29" s="1304"/>
      <c r="D29" s="1041"/>
      <c r="E29" s="1118"/>
      <c r="F29" s="1118"/>
      <c r="G29" s="1047"/>
      <c r="H29" s="1671"/>
      <c r="I29" s="1669"/>
      <c r="J29" s="1063"/>
      <c r="K29" s="115" t="s">
        <v>107</v>
      </c>
      <c r="L29" s="116"/>
      <c r="M29" s="116"/>
      <c r="N29" s="116"/>
      <c r="O29" s="117">
        <f t="shared" si="1"/>
        <v>0</v>
      </c>
      <c r="P29" s="116"/>
      <c r="Q29" s="116"/>
      <c r="R29" s="116"/>
      <c r="S29" s="117">
        <f t="shared" si="2"/>
        <v>0</v>
      </c>
      <c r="T29" s="116"/>
      <c r="U29" s="116"/>
      <c r="V29" s="116"/>
      <c r="W29" s="117">
        <f t="shared" si="3"/>
        <v>0</v>
      </c>
      <c r="X29" s="116"/>
      <c r="Y29" s="116"/>
      <c r="Z29" s="116"/>
      <c r="AA29" s="117">
        <f t="shared" si="4"/>
        <v>0</v>
      </c>
      <c r="AB29" s="116"/>
      <c r="AC29" s="118">
        <f t="shared" si="5"/>
        <v>0</v>
      </c>
      <c r="AD29" s="118" t="str">
        <f t="shared" si="6"/>
        <v>0</v>
      </c>
      <c r="AE29" s="119"/>
      <c r="AF29" s="1049"/>
      <c r="AG29" s="98"/>
    </row>
    <row r="30" spans="1:33" s="120" customFormat="1" ht="20.85" customHeight="1" x14ac:dyDescent="0.3">
      <c r="A30" s="1142"/>
      <c r="B30" s="1099"/>
      <c r="C30" s="1363"/>
      <c r="D30" s="1099"/>
      <c r="E30" s="1101"/>
      <c r="F30" s="1101"/>
      <c r="G30" s="1672"/>
      <c r="H30" s="1674"/>
      <c r="I30" s="1676"/>
      <c r="J30" s="1064">
        <f>DATEDIF(E30,F30,"m")</f>
        <v>0</v>
      </c>
      <c r="K30" s="121" t="s">
        <v>106</v>
      </c>
      <c r="L30" s="122"/>
      <c r="M30" s="122"/>
      <c r="N30" s="122"/>
      <c r="O30" s="117">
        <f t="shared" si="1"/>
        <v>0</v>
      </c>
      <c r="P30" s="122"/>
      <c r="Q30" s="122"/>
      <c r="R30" s="122"/>
      <c r="S30" s="117">
        <f t="shared" si="2"/>
        <v>0</v>
      </c>
      <c r="T30" s="122"/>
      <c r="U30" s="122"/>
      <c r="V30" s="122"/>
      <c r="W30" s="117">
        <f t="shared" si="3"/>
        <v>0</v>
      </c>
      <c r="X30" s="122"/>
      <c r="Y30" s="122"/>
      <c r="Z30" s="122"/>
      <c r="AA30" s="117">
        <f t="shared" si="4"/>
        <v>0</v>
      </c>
      <c r="AB30" s="122"/>
      <c r="AC30" s="123">
        <f t="shared" si="5"/>
        <v>0</v>
      </c>
      <c r="AD30" s="123" t="str">
        <f t="shared" si="6"/>
        <v>0</v>
      </c>
      <c r="AE30" s="124" t="str">
        <f ca="1">IF(OR(F30="", G30=""), "", IF(TODAY()&lt;F30, 0, IF(TODAY()&gt;G30, 1, (TODAY()-F30+1)/(G30-F30+1))))</f>
        <v/>
      </c>
      <c r="AF30" s="1367"/>
      <c r="AG30" s="125"/>
    </row>
    <row r="31" spans="1:33" s="120" customFormat="1" ht="20.85" customHeight="1" x14ac:dyDescent="0.3">
      <c r="A31" s="1143"/>
      <c r="B31" s="1100"/>
      <c r="C31" s="1364"/>
      <c r="D31" s="1100"/>
      <c r="E31" s="1102"/>
      <c r="F31" s="1102"/>
      <c r="G31" s="1673"/>
      <c r="H31" s="1675"/>
      <c r="I31" s="1677"/>
      <c r="J31" s="1065"/>
      <c r="K31" s="121" t="s">
        <v>107</v>
      </c>
      <c r="L31" s="122"/>
      <c r="M31" s="122"/>
      <c r="N31" s="122"/>
      <c r="O31" s="117">
        <f t="shared" si="1"/>
        <v>0</v>
      </c>
      <c r="P31" s="122"/>
      <c r="Q31" s="122"/>
      <c r="R31" s="122"/>
      <c r="S31" s="117">
        <f t="shared" si="2"/>
        <v>0</v>
      </c>
      <c r="T31" s="122"/>
      <c r="U31" s="122"/>
      <c r="V31" s="122"/>
      <c r="W31" s="117">
        <f t="shared" si="3"/>
        <v>0</v>
      </c>
      <c r="X31" s="122"/>
      <c r="Y31" s="122"/>
      <c r="Z31" s="122"/>
      <c r="AA31" s="117">
        <f t="shared" si="4"/>
        <v>0</v>
      </c>
      <c r="AB31" s="122"/>
      <c r="AC31" s="123">
        <f t="shared" si="5"/>
        <v>0</v>
      </c>
      <c r="AD31" s="123" t="str">
        <f t="shared" si="6"/>
        <v>0</v>
      </c>
      <c r="AE31" s="124"/>
      <c r="AF31" s="1368"/>
      <c r="AG31" s="125"/>
    </row>
    <row r="32" spans="1:33" s="120" customFormat="1" ht="20.85" customHeight="1" x14ac:dyDescent="0.3">
      <c r="A32" s="1040"/>
      <c r="B32" s="1040"/>
      <c r="C32" s="1303"/>
      <c r="D32" s="1040"/>
      <c r="E32" s="1117"/>
      <c r="F32" s="1117"/>
      <c r="G32" s="1046"/>
      <c r="H32" s="1670"/>
      <c r="I32" s="1668"/>
      <c r="J32" s="1062">
        <f>DATEDIF(E32,F32,"m")</f>
        <v>0</v>
      </c>
      <c r="K32" s="115" t="s">
        <v>106</v>
      </c>
      <c r="L32" s="116"/>
      <c r="M32" s="116"/>
      <c r="N32" s="116"/>
      <c r="O32" s="117">
        <f t="shared" si="1"/>
        <v>0</v>
      </c>
      <c r="P32" s="116"/>
      <c r="Q32" s="116"/>
      <c r="R32" s="116"/>
      <c r="S32" s="117">
        <f t="shared" si="2"/>
        <v>0</v>
      </c>
      <c r="T32" s="116"/>
      <c r="U32" s="116"/>
      <c r="V32" s="116"/>
      <c r="W32" s="117">
        <f t="shared" si="3"/>
        <v>0</v>
      </c>
      <c r="X32" s="116"/>
      <c r="Y32" s="116"/>
      <c r="Z32" s="116"/>
      <c r="AA32" s="117">
        <f t="shared" si="4"/>
        <v>0</v>
      </c>
      <c r="AB32" s="116"/>
      <c r="AC32" s="118">
        <f t="shared" si="5"/>
        <v>0</v>
      </c>
      <c r="AD32" s="118" t="str">
        <f t="shared" si="6"/>
        <v>0</v>
      </c>
      <c r="AE32" s="119" t="str">
        <f ca="1">IF(OR(F32="", G32=""), "", IF(TODAY()&lt;F32, 0, IF(TODAY()&gt;G32, 1, (TODAY()-F32+1)/(G32-F32+1))))</f>
        <v/>
      </c>
      <c r="AF32" s="1048"/>
      <c r="AG32" s="98"/>
    </row>
    <row r="33" spans="1:33" s="120" customFormat="1" ht="20.85" customHeight="1" x14ac:dyDescent="0.3">
      <c r="A33" s="1041"/>
      <c r="B33" s="1041"/>
      <c r="C33" s="1304"/>
      <c r="D33" s="1041"/>
      <c r="E33" s="1118"/>
      <c r="F33" s="1118"/>
      <c r="G33" s="1047"/>
      <c r="H33" s="1671"/>
      <c r="I33" s="1669"/>
      <c r="J33" s="1063"/>
      <c r="K33" s="115" t="s">
        <v>107</v>
      </c>
      <c r="L33" s="116"/>
      <c r="M33" s="116"/>
      <c r="N33" s="116"/>
      <c r="O33" s="117">
        <f t="shared" si="1"/>
        <v>0</v>
      </c>
      <c r="P33" s="116"/>
      <c r="Q33" s="116"/>
      <c r="R33" s="116"/>
      <c r="S33" s="117">
        <f t="shared" si="2"/>
        <v>0</v>
      </c>
      <c r="T33" s="116"/>
      <c r="U33" s="116"/>
      <c r="V33" s="116"/>
      <c r="W33" s="117">
        <f t="shared" si="3"/>
        <v>0</v>
      </c>
      <c r="X33" s="116"/>
      <c r="Y33" s="116"/>
      <c r="Z33" s="116"/>
      <c r="AA33" s="117">
        <f t="shared" si="4"/>
        <v>0</v>
      </c>
      <c r="AB33" s="116"/>
      <c r="AC33" s="118">
        <f t="shared" si="5"/>
        <v>0</v>
      </c>
      <c r="AD33" s="118" t="str">
        <f t="shared" si="6"/>
        <v>0</v>
      </c>
      <c r="AE33" s="119"/>
      <c r="AF33" s="1049"/>
      <c r="AG33" s="98"/>
    </row>
    <row r="34" spans="1:33" s="120" customFormat="1" ht="20.85" customHeight="1" x14ac:dyDescent="0.3">
      <c r="A34" s="1142"/>
      <c r="B34" s="1099"/>
      <c r="C34" s="1363"/>
      <c r="D34" s="1099"/>
      <c r="E34" s="1101"/>
      <c r="F34" s="1101"/>
      <c r="G34" s="1672"/>
      <c r="H34" s="1674"/>
      <c r="I34" s="1676"/>
      <c r="J34" s="1064">
        <f>DATEDIF(E34,F34,"m")</f>
        <v>0</v>
      </c>
      <c r="K34" s="121" t="s">
        <v>106</v>
      </c>
      <c r="L34" s="122"/>
      <c r="M34" s="122"/>
      <c r="N34" s="122"/>
      <c r="O34" s="117">
        <f t="shared" si="1"/>
        <v>0</v>
      </c>
      <c r="P34" s="122"/>
      <c r="Q34" s="122"/>
      <c r="R34" s="122"/>
      <c r="S34" s="117">
        <f t="shared" si="2"/>
        <v>0</v>
      </c>
      <c r="T34" s="122"/>
      <c r="U34" s="122"/>
      <c r="V34" s="122"/>
      <c r="W34" s="117">
        <f t="shared" si="3"/>
        <v>0</v>
      </c>
      <c r="X34" s="122"/>
      <c r="Y34" s="122"/>
      <c r="Z34" s="122"/>
      <c r="AA34" s="117">
        <f t="shared" si="4"/>
        <v>0</v>
      </c>
      <c r="AB34" s="122"/>
      <c r="AC34" s="123">
        <f t="shared" si="5"/>
        <v>0</v>
      </c>
      <c r="AD34" s="123" t="str">
        <f t="shared" si="6"/>
        <v>0</v>
      </c>
      <c r="AE34" s="124" t="str">
        <f ca="1">IF(OR(F34="", G34=""), "", IF(TODAY()&lt;F34, 0, IF(TODAY()&gt;G34, 1, (TODAY()-F34+1)/(G34-F34+1))))</f>
        <v/>
      </c>
      <c r="AF34" s="1367"/>
      <c r="AG34" s="125"/>
    </row>
    <row r="35" spans="1:33" s="120" customFormat="1" ht="20.85" customHeight="1" x14ac:dyDescent="0.3">
      <c r="A35" s="1143"/>
      <c r="B35" s="1100"/>
      <c r="C35" s="1364"/>
      <c r="D35" s="1100"/>
      <c r="E35" s="1102"/>
      <c r="F35" s="1102"/>
      <c r="G35" s="1673"/>
      <c r="H35" s="1675"/>
      <c r="I35" s="1677"/>
      <c r="J35" s="1065"/>
      <c r="K35" s="121" t="s">
        <v>107</v>
      </c>
      <c r="L35" s="122"/>
      <c r="M35" s="122"/>
      <c r="N35" s="122"/>
      <c r="O35" s="117">
        <f t="shared" si="1"/>
        <v>0</v>
      </c>
      <c r="P35" s="122"/>
      <c r="Q35" s="122"/>
      <c r="R35" s="122"/>
      <c r="S35" s="117">
        <f t="shared" si="2"/>
        <v>0</v>
      </c>
      <c r="T35" s="122"/>
      <c r="U35" s="122"/>
      <c r="V35" s="122"/>
      <c r="W35" s="117">
        <f t="shared" si="3"/>
        <v>0</v>
      </c>
      <c r="X35" s="122"/>
      <c r="Y35" s="122"/>
      <c r="Z35" s="122"/>
      <c r="AA35" s="117">
        <f t="shared" si="4"/>
        <v>0</v>
      </c>
      <c r="AB35" s="122"/>
      <c r="AC35" s="123">
        <f t="shared" si="5"/>
        <v>0</v>
      </c>
      <c r="AD35" s="123" t="str">
        <f t="shared" si="6"/>
        <v>0</v>
      </c>
      <c r="AE35" s="124"/>
      <c r="AF35" s="1368"/>
      <c r="AG35" s="125"/>
    </row>
    <row r="36" spans="1:33" s="120" customFormat="1" ht="20.85" customHeight="1" x14ac:dyDescent="0.3">
      <c r="A36" s="1040"/>
      <c r="B36" s="1040"/>
      <c r="C36" s="1303"/>
      <c r="D36" s="1040"/>
      <c r="E36" s="1117"/>
      <c r="F36" s="1117"/>
      <c r="G36" s="1046"/>
      <c r="H36" s="1670"/>
      <c r="I36" s="1668"/>
      <c r="J36" s="1062">
        <f>DATEDIF(E36,F36,"m")</f>
        <v>0</v>
      </c>
      <c r="K36" s="115" t="s">
        <v>106</v>
      </c>
      <c r="L36" s="116"/>
      <c r="M36" s="116"/>
      <c r="N36" s="116"/>
      <c r="O36" s="117">
        <f t="shared" si="1"/>
        <v>0</v>
      </c>
      <c r="P36" s="116"/>
      <c r="Q36" s="116"/>
      <c r="R36" s="116"/>
      <c r="S36" s="117">
        <f t="shared" si="2"/>
        <v>0</v>
      </c>
      <c r="T36" s="116"/>
      <c r="U36" s="116"/>
      <c r="V36" s="116"/>
      <c r="W36" s="117">
        <f t="shared" si="3"/>
        <v>0</v>
      </c>
      <c r="X36" s="116"/>
      <c r="Y36" s="116"/>
      <c r="Z36" s="116"/>
      <c r="AA36" s="117">
        <f t="shared" si="4"/>
        <v>0</v>
      </c>
      <c r="AB36" s="116"/>
      <c r="AC36" s="118">
        <f t="shared" si="5"/>
        <v>0</v>
      </c>
      <c r="AD36" s="118" t="str">
        <f t="shared" si="6"/>
        <v>0</v>
      </c>
      <c r="AE36" s="119" t="str">
        <f ca="1">IF(OR(F36="", G36=""), "", IF(TODAY()&lt;F36, 0, IF(TODAY()&gt;G36, 1, (TODAY()-F36+1)/(G36-F36+1))))</f>
        <v/>
      </c>
      <c r="AF36" s="1048"/>
      <c r="AG36" s="98"/>
    </row>
    <row r="37" spans="1:33" s="120" customFormat="1" ht="20.85" customHeight="1" x14ac:dyDescent="0.3">
      <c r="A37" s="1041"/>
      <c r="B37" s="1041"/>
      <c r="C37" s="1304"/>
      <c r="D37" s="1041"/>
      <c r="E37" s="1118"/>
      <c r="F37" s="1118"/>
      <c r="G37" s="1047"/>
      <c r="H37" s="1671"/>
      <c r="I37" s="1669"/>
      <c r="J37" s="1063"/>
      <c r="K37" s="115" t="s">
        <v>107</v>
      </c>
      <c r="L37" s="116"/>
      <c r="M37" s="116"/>
      <c r="N37" s="116"/>
      <c r="O37" s="117">
        <f t="shared" si="1"/>
        <v>0</v>
      </c>
      <c r="P37" s="116"/>
      <c r="Q37" s="116"/>
      <c r="R37" s="116"/>
      <c r="S37" s="117">
        <f t="shared" si="2"/>
        <v>0</v>
      </c>
      <c r="T37" s="116"/>
      <c r="U37" s="116"/>
      <c r="V37" s="116"/>
      <c r="W37" s="117">
        <f t="shared" si="3"/>
        <v>0</v>
      </c>
      <c r="X37" s="116"/>
      <c r="Y37" s="116"/>
      <c r="Z37" s="116"/>
      <c r="AA37" s="117">
        <f t="shared" si="4"/>
        <v>0</v>
      </c>
      <c r="AB37" s="116"/>
      <c r="AC37" s="118">
        <f t="shared" si="5"/>
        <v>0</v>
      </c>
      <c r="AD37" s="118" t="str">
        <f t="shared" si="6"/>
        <v>0</v>
      </c>
      <c r="AE37" s="119"/>
      <c r="AF37" s="1049"/>
      <c r="AG37" s="98"/>
    </row>
    <row r="38" spans="1:33" s="120" customFormat="1" ht="20.85" customHeight="1" x14ac:dyDescent="0.3">
      <c r="A38" s="1142"/>
      <c r="B38" s="1099"/>
      <c r="C38" s="1363"/>
      <c r="D38" s="1099"/>
      <c r="E38" s="1101"/>
      <c r="F38" s="1101"/>
      <c r="G38" s="1672"/>
      <c r="H38" s="1674"/>
      <c r="I38" s="1676"/>
      <c r="J38" s="1064">
        <f>DATEDIF(E38,F38,"m")</f>
        <v>0</v>
      </c>
      <c r="K38" s="121" t="s">
        <v>106</v>
      </c>
      <c r="L38" s="122"/>
      <c r="M38" s="122"/>
      <c r="N38" s="122"/>
      <c r="O38" s="117">
        <f t="shared" si="1"/>
        <v>0</v>
      </c>
      <c r="P38" s="122"/>
      <c r="Q38" s="122"/>
      <c r="R38" s="122"/>
      <c r="S38" s="117">
        <f t="shared" si="2"/>
        <v>0</v>
      </c>
      <c r="T38" s="122"/>
      <c r="U38" s="122"/>
      <c r="V38" s="122"/>
      <c r="W38" s="117">
        <f t="shared" si="3"/>
        <v>0</v>
      </c>
      <c r="X38" s="122"/>
      <c r="Y38" s="122"/>
      <c r="Z38" s="122"/>
      <c r="AA38" s="117">
        <f t="shared" si="4"/>
        <v>0</v>
      </c>
      <c r="AB38" s="122"/>
      <c r="AC38" s="123">
        <f t="shared" si="5"/>
        <v>0</v>
      </c>
      <c r="AD38" s="123" t="str">
        <f t="shared" si="6"/>
        <v>0</v>
      </c>
      <c r="AE38" s="124" t="str">
        <f ca="1">IF(OR(F38="", G38=""), "", IF(TODAY()&lt;F38, 0, IF(TODAY()&gt;G38, 1, (TODAY()-F38+1)/(G38-F38+1))))</f>
        <v/>
      </c>
      <c r="AF38" s="1367"/>
      <c r="AG38" s="125"/>
    </row>
    <row r="39" spans="1:33" s="120" customFormat="1" ht="20.85" customHeight="1" x14ac:dyDescent="0.3">
      <c r="A39" s="1143"/>
      <c r="B39" s="1100"/>
      <c r="C39" s="1364"/>
      <c r="D39" s="1100"/>
      <c r="E39" s="1102"/>
      <c r="F39" s="1102"/>
      <c r="G39" s="1673"/>
      <c r="H39" s="1675"/>
      <c r="I39" s="1677"/>
      <c r="J39" s="1065"/>
      <c r="K39" s="121" t="s">
        <v>107</v>
      </c>
      <c r="L39" s="122"/>
      <c r="M39" s="122"/>
      <c r="N39" s="122"/>
      <c r="O39" s="117">
        <f t="shared" si="1"/>
        <v>0</v>
      </c>
      <c r="P39" s="122"/>
      <c r="Q39" s="122"/>
      <c r="R39" s="122"/>
      <c r="S39" s="117">
        <f t="shared" si="2"/>
        <v>0</v>
      </c>
      <c r="T39" s="122"/>
      <c r="U39" s="122"/>
      <c r="V39" s="122"/>
      <c r="W39" s="117">
        <f t="shared" si="3"/>
        <v>0</v>
      </c>
      <c r="X39" s="122"/>
      <c r="Y39" s="122"/>
      <c r="Z39" s="122"/>
      <c r="AA39" s="117">
        <f t="shared" si="4"/>
        <v>0</v>
      </c>
      <c r="AB39" s="122"/>
      <c r="AC39" s="123">
        <f t="shared" si="5"/>
        <v>0</v>
      </c>
      <c r="AD39" s="123" t="str">
        <f t="shared" si="6"/>
        <v>0</v>
      </c>
      <c r="AE39" s="124"/>
      <c r="AF39" s="1368"/>
      <c r="AG39" s="125"/>
    </row>
    <row r="40" spans="1:33" s="120" customFormat="1" ht="20.85" customHeight="1" x14ac:dyDescent="0.3">
      <c r="A40" s="1040"/>
      <c r="B40" s="1040"/>
      <c r="C40" s="1303"/>
      <c r="D40" s="1040"/>
      <c r="E40" s="1117"/>
      <c r="F40" s="1117"/>
      <c r="G40" s="1046"/>
      <c r="H40" s="1670"/>
      <c r="I40" s="1668"/>
      <c r="J40" s="1062">
        <f>DATEDIF(E40,F40,"m")</f>
        <v>0</v>
      </c>
      <c r="K40" s="115" t="s">
        <v>106</v>
      </c>
      <c r="L40" s="116"/>
      <c r="M40" s="116"/>
      <c r="N40" s="116"/>
      <c r="O40" s="117">
        <f t="shared" si="1"/>
        <v>0</v>
      </c>
      <c r="P40" s="116"/>
      <c r="Q40" s="116"/>
      <c r="R40" s="116"/>
      <c r="S40" s="117">
        <f t="shared" si="2"/>
        <v>0</v>
      </c>
      <c r="T40" s="116"/>
      <c r="U40" s="116"/>
      <c r="V40" s="116"/>
      <c r="W40" s="117">
        <f t="shared" si="3"/>
        <v>0</v>
      </c>
      <c r="X40" s="116"/>
      <c r="Y40" s="116"/>
      <c r="Z40" s="116"/>
      <c r="AA40" s="117">
        <f t="shared" si="4"/>
        <v>0</v>
      </c>
      <c r="AB40" s="116"/>
      <c r="AC40" s="118">
        <f t="shared" si="5"/>
        <v>0</v>
      </c>
      <c r="AD40" s="118" t="str">
        <f t="shared" si="6"/>
        <v>0</v>
      </c>
      <c r="AE40" s="119" t="str">
        <f ca="1">IF(OR(F40="", G40=""), "", IF(TODAY()&lt;F40, 0, IF(TODAY()&gt;G40, 1, (TODAY()-F40+1)/(G40-F40+1))))</f>
        <v/>
      </c>
      <c r="AF40" s="1048"/>
      <c r="AG40" s="98"/>
    </row>
    <row r="41" spans="1:33" s="120" customFormat="1" ht="20.85" customHeight="1" x14ac:dyDescent="0.3">
      <c r="A41" s="1041"/>
      <c r="B41" s="1041"/>
      <c r="C41" s="1304"/>
      <c r="D41" s="1041"/>
      <c r="E41" s="1118"/>
      <c r="F41" s="1118"/>
      <c r="G41" s="1047"/>
      <c r="H41" s="1671"/>
      <c r="I41" s="1669"/>
      <c r="J41" s="1063"/>
      <c r="K41" s="115" t="s">
        <v>107</v>
      </c>
      <c r="L41" s="116"/>
      <c r="M41" s="116"/>
      <c r="N41" s="116"/>
      <c r="O41" s="117">
        <f t="shared" si="1"/>
        <v>0</v>
      </c>
      <c r="P41" s="116"/>
      <c r="Q41" s="116"/>
      <c r="R41" s="116"/>
      <c r="S41" s="117">
        <f t="shared" si="2"/>
        <v>0</v>
      </c>
      <c r="T41" s="116"/>
      <c r="U41" s="116"/>
      <c r="V41" s="116"/>
      <c r="W41" s="117">
        <f t="shared" si="3"/>
        <v>0</v>
      </c>
      <c r="X41" s="116"/>
      <c r="Y41" s="116"/>
      <c r="Z41" s="116"/>
      <c r="AA41" s="117">
        <f t="shared" si="4"/>
        <v>0</v>
      </c>
      <c r="AB41" s="116"/>
      <c r="AC41" s="118">
        <f t="shared" si="5"/>
        <v>0</v>
      </c>
      <c r="AD41" s="118" t="str">
        <f t="shared" si="6"/>
        <v>0</v>
      </c>
      <c r="AE41" s="119"/>
      <c r="AF41" s="1049"/>
      <c r="AG41" s="98"/>
    </row>
    <row r="42" spans="1:33" s="120" customFormat="1" ht="20.85" customHeight="1" x14ac:dyDescent="0.3">
      <c r="A42" s="1142"/>
      <c r="B42" s="1099"/>
      <c r="C42" s="1363"/>
      <c r="D42" s="1099"/>
      <c r="E42" s="1101"/>
      <c r="F42" s="1101"/>
      <c r="G42" s="1672"/>
      <c r="H42" s="1674"/>
      <c r="I42" s="1676"/>
      <c r="J42" s="1064">
        <f>DATEDIF(E42,F42,"m")</f>
        <v>0</v>
      </c>
      <c r="K42" s="121" t="s">
        <v>106</v>
      </c>
      <c r="L42" s="122"/>
      <c r="M42" s="122"/>
      <c r="N42" s="122"/>
      <c r="O42" s="117">
        <f t="shared" si="1"/>
        <v>0</v>
      </c>
      <c r="P42" s="122"/>
      <c r="Q42" s="122"/>
      <c r="R42" s="122"/>
      <c r="S42" s="117">
        <f t="shared" si="2"/>
        <v>0</v>
      </c>
      <c r="T42" s="122"/>
      <c r="U42" s="122"/>
      <c r="V42" s="122"/>
      <c r="W42" s="117">
        <f t="shared" si="3"/>
        <v>0</v>
      </c>
      <c r="X42" s="122"/>
      <c r="Y42" s="122"/>
      <c r="Z42" s="122"/>
      <c r="AA42" s="117">
        <f t="shared" si="4"/>
        <v>0</v>
      </c>
      <c r="AB42" s="122"/>
      <c r="AC42" s="123">
        <f t="shared" si="5"/>
        <v>0</v>
      </c>
      <c r="AD42" s="123" t="str">
        <f t="shared" si="6"/>
        <v>0</v>
      </c>
      <c r="AE42" s="124" t="str">
        <f ca="1">IF(OR(F42="", G42=""), "", IF(TODAY()&lt;F42, 0, IF(TODAY()&gt;G42, 1, (TODAY()-F42+1)/(G42-F42+1))))</f>
        <v/>
      </c>
      <c r="AF42" s="1367"/>
      <c r="AG42" s="125"/>
    </row>
    <row r="43" spans="1:33" s="120" customFormat="1" ht="20.85" customHeight="1" x14ac:dyDescent="0.3">
      <c r="A43" s="1143"/>
      <c r="B43" s="1100"/>
      <c r="C43" s="1364"/>
      <c r="D43" s="1100"/>
      <c r="E43" s="1102"/>
      <c r="F43" s="1102"/>
      <c r="G43" s="1673"/>
      <c r="H43" s="1675"/>
      <c r="I43" s="1677"/>
      <c r="J43" s="1065"/>
      <c r="K43" s="121" t="s">
        <v>107</v>
      </c>
      <c r="L43" s="122"/>
      <c r="M43" s="122"/>
      <c r="N43" s="122"/>
      <c r="O43" s="117">
        <f t="shared" si="1"/>
        <v>0</v>
      </c>
      <c r="P43" s="122"/>
      <c r="Q43" s="122"/>
      <c r="R43" s="122"/>
      <c r="S43" s="117">
        <f t="shared" si="2"/>
        <v>0</v>
      </c>
      <c r="T43" s="122"/>
      <c r="U43" s="122"/>
      <c r="V43" s="122"/>
      <c r="W43" s="117">
        <f t="shared" si="3"/>
        <v>0</v>
      </c>
      <c r="X43" s="122"/>
      <c r="Y43" s="122"/>
      <c r="Z43" s="122"/>
      <c r="AA43" s="117">
        <f t="shared" si="4"/>
        <v>0</v>
      </c>
      <c r="AB43" s="122"/>
      <c r="AC43" s="123">
        <f t="shared" si="5"/>
        <v>0</v>
      </c>
      <c r="AD43" s="123" t="str">
        <f t="shared" si="6"/>
        <v>0</v>
      </c>
      <c r="AE43" s="124"/>
      <c r="AF43" s="1368"/>
      <c r="AG43" s="125"/>
    </row>
    <row r="44" spans="1:33" s="120" customFormat="1" ht="20.85" customHeight="1" x14ac:dyDescent="0.3">
      <c r="A44" s="1040"/>
      <c r="B44" s="1040"/>
      <c r="C44" s="1303"/>
      <c r="D44" s="1040"/>
      <c r="E44" s="1117"/>
      <c r="F44" s="1117"/>
      <c r="G44" s="1046"/>
      <c r="H44" s="1670"/>
      <c r="I44" s="1668"/>
      <c r="J44" s="1062">
        <f>DATEDIF(E44,F44,"m")</f>
        <v>0</v>
      </c>
      <c r="K44" s="115" t="s">
        <v>106</v>
      </c>
      <c r="L44" s="116"/>
      <c r="M44" s="116"/>
      <c r="N44" s="116"/>
      <c r="O44" s="117">
        <f t="shared" si="1"/>
        <v>0</v>
      </c>
      <c r="P44" s="116"/>
      <c r="Q44" s="116"/>
      <c r="R44" s="116"/>
      <c r="S44" s="117">
        <f t="shared" si="2"/>
        <v>0</v>
      </c>
      <c r="T44" s="116"/>
      <c r="U44" s="116"/>
      <c r="V44" s="116"/>
      <c r="W44" s="117">
        <f t="shared" si="3"/>
        <v>0</v>
      </c>
      <c r="X44" s="116"/>
      <c r="Y44" s="116"/>
      <c r="Z44" s="116"/>
      <c r="AA44" s="117">
        <f t="shared" si="4"/>
        <v>0</v>
      </c>
      <c r="AB44" s="116"/>
      <c r="AC44" s="118">
        <f t="shared" si="5"/>
        <v>0</v>
      </c>
      <c r="AD44" s="118" t="str">
        <f t="shared" si="6"/>
        <v>0</v>
      </c>
      <c r="AE44" s="119" t="str">
        <f ca="1">IF(OR(F44="", G44=""), "", IF(TODAY()&lt;F44, 0, IF(TODAY()&gt;G44, 1, (TODAY()-F44+1)/(G44-F44+1))))</f>
        <v/>
      </c>
      <c r="AF44" s="1048"/>
      <c r="AG44" s="98"/>
    </row>
    <row r="45" spans="1:33" s="120" customFormat="1" ht="20.85" customHeight="1" x14ac:dyDescent="0.3">
      <c r="A45" s="1041"/>
      <c r="B45" s="1041"/>
      <c r="C45" s="1304"/>
      <c r="D45" s="1041"/>
      <c r="E45" s="1118"/>
      <c r="F45" s="1118"/>
      <c r="G45" s="1047"/>
      <c r="H45" s="1671"/>
      <c r="I45" s="1669"/>
      <c r="J45" s="1063"/>
      <c r="K45" s="115" t="s">
        <v>107</v>
      </c>
      <c r="L45" s="116"/>
      <c r="M45" s="116"/>
      <c r="N45" s="116"/>
      <c r="O45" s="117">
        <f t="shared" si="1"/>
        <v>0</v>
      </c>
      <c r="P45" s="116"/>
      <c r="Q45" s="116"/>
      <c r="R45" s="116"/>
      <c r="S45" s="117">
        <f t="shared" si="2"/>
        <v>0</v>
      </c>
      <c r="T45" s="116"/>
      <c r="U45" s="116"/>
      <c r="V45" s="116"/>
      <c r="W45" s="117">
        <f t="shared" si="3"/>
        <v>0</v>
      </c>
      <c r="X45" s="116"/>
      <c r="Y45" s="116"/>
      <c r="Z45" s="116"/>
      <c r="AA45" s="117">
        <f t="shared" si="4"/>
        <v>0</v>
      </c>
      <c r="AB45" s="116"/>
      <c r="AC45" s="118">
        <f t="shared" si="5"/>
        <v>0</v>
      </c>
      <c r="AD45" s="118" t="str">
        <f t="shared" si="6"/>
        <v>0</v>
      </c>
      <c r="AE45" s="119"/>
      <c r="AF45" s="1049"/>
      <c r="AG45" s="98"/>
    </row>
    <row r="46" spans="1:33" s="120" customFormat="1" ht="20.85" customHeight="1" x14ac:dyDescent="0.3">
      <c r="A46" s="1142"/>
      <c r="B46" s="1099"/>
      <c r="C46" s="1363"/>
      <c r="D46" s="1099"/>
      <c r="E46" s="1101"/>
      <c r="F46" s="1101"/>
      <c r="G46" s="1672"/>
      <c r="H46" s="1674"/>
      <c r="I46" s="1676"/>
      <c r="J46" s="1064">
        <f>DATEDIF(E46,F46,"m")</f>
        <v>0</v>
      </c>
      <c r="K46" s="121" t="s">
        <v>106</v>
      </c>
      <c r="L46" s="122"/>
      <c r="M46" s="122"/>
      <c r="N46" s="122"/>
      <c r="O46" s="117">
        <f t="shared" si="1"/>
        <v>0</v>
      </c>
      <c r="P46" s="122"/>
      <c r="Q46" s="122"/>
      <c r="R46" s="122"/>
      <c r="S46" s="117">
        <f t="shared" si="2"/>
        <v>0</v>
      </c>
      <c r="T46" s="122"/>
      <c r="U46" s="122"/>
      <c r="V46" s="122"/>
      <c r="W46" s="117">
        <f t="shared" si="3"/>
        <v>0</v>
      </c>
      <c r="X46" s="122"/>
      <c r="Y46" s="122"/>
      <c r="Z46" s="122"/>
      <c r="AA46" s="117">
        <f t="shared" si="4"/>
        <v>0</v>
      </c>
      <c r="AB46" s="122"/>
      <c r="AC46" s="123">
        <f t="shared" si="5"/>
        <v>0</v>
      </c>
      <c r="AD46" s="123" t="str">
        <f t="shared" si="6"/>
        <v>0</v>
      </c>
      <c r="AE46" s="124" t="str">
        <f ca="1">IF(OR(F46="", G46=""), "", IF(TODAY()&lt;F46, 0, IF(TODAY()&gt;G46, 1, (TODAY()-F46+1)/(G46-F46+1))))</f>
        <v/>
      </c>
      <c r="AF46" s="1367"/>
      <c r="AG46" s="125"/>
    </row>
    <row r="47" spans="1:33" s="120" customFormat="1" ht="20.85" customHeight="1" x14ac:dyDescent="0.3">
      <c r="A47" s="1143"/>
      <c r="B47" s="1100"/>
      <c r="C47" s="1364"/>
      <c r="D47" s="1100"/>
      <c r="E47" s="1102"/>
      <c r="F47" s="1102"/>
      <c r="G47" s="1673"/>
      <c r="H47" s="1675"/>
      <c r="I47" s="1677"/>
      <c r="J47" s="1065"/>
      <c r="K47" s="121" t="s">
        <v>107</v>
      </c>
      <c r="L47" s="122"/>
      <c r="M47" s="122"/>
      <c r="N47" s="122"/>
      <c r="O47" s="117">
        <f t="shared" si="1"/>
        <v>0</v>
      </c>
      <c r="P47" s="122"/>
      <c r="Q47" s="122"/>
      <c r="R47" s="122"/>
      <c r="S47" s="117">
        <f t="shared" si="2"/>
        <v>0</v>
      </c>
      <c r="T47" s="122"/>
      <c r="U47" s="122"/>
      <c r="V47" s="122"/>
      <c r="W47" s="117">
        <f t="shared" si="3"/>
        <v>0</v>
      </c>
      <c r="X47" s="122"/>
      <c r="Y47" s="122"/>
      <c r="Z47" s="122"/>
      <c r="AA47" s="117">
        <f t="shared" si="4"/>
        <v>0</v>
      </c>
      <c r="AB47" s="122"/>
      <c r="AC47" s="123">
        <f t="shared" si="5"/>
        <v>0</v>
      </c>
      <c r="AD47" s="123" t="str">
        <f t="shared" si="6"/>
        <v>0</v>
      </c>
      <c r="AE47" s="124"/>
      <c r="AF47" s="1368"/>
      <c r="AG47" s="125"/>
    </row>
    <row r="48" spans="1:33" s="120" customFormat="1" ht="20.85" customHeight="1" x14ac:dyDescent="0.3">
      <c r="A48" s="1040"/>
      <c r="B48" s="1040"/>
      <c r="C48" s="1303"/>
      <c r="D48" s="1040"/>
      <c r="E48" s="1117"/>
      <c r="F48" s="1117"/>
      <c r="G48" s="1046"/>
      <c r="H48" s="1670"/>
      <c r="I48" s="1668"/>
      <c r="J48" s="1062">
        <f>DATEDIF(E48,F48,"m")</f>
        <v>0</v>
      </c>
      <c r="K48" s="115" t="s">
        <v>106</v>
      </c>
      <c r="L48" s="116"/>
      <c r="M48" s="116"/>
      <c r="N48" s="116"/>
      <c r="O48" s="117">
        <f t="shared" si="1"/>
        <v>0</v>
      </c>
      <c r="P48" s="116"/>
      <c r="Q48" s="116"/>
      <c r="R48" s="116"/>
      <c r="S48" s="117">
        <f t="shared" si="2"/>
        <v>0</v>
      </c>
      <c r="T48" s="116"/>
      <c r="U48" s="116"/>
      <c r="V48" s="116"/>
      <c r="W48" s="117">
        <f t="shared" si="3"/>
        <v>0</v>
      </c>
      <c r="X48" s="116"/>
      <c r="Y48" s="116"/>
      <c r="Z48" s="116"/>
      <c r="AA48" s="117">
        <f t="shared" si="4"/>
        <v>0</v>
      </c>
      <c r="AB48" s="116"/>
      <c r="AC48" s="118">
        <f t="shared" si="5"/>
        <v>0</v>
      </c>
      <c r="AD48" s="118" t="str">
        <f t="shared" si="6"/>
        <v>0</v>
      </c>
      <c r="AE48" s="119" t="str">
        <f ca="1">IF(OR(F48="", G48=""), "", IF(TODAY()&lt;F48, 0, IF(TODAY()&gt;G48, 1, (TODAY()-F48+1)/(G48-F48+1))))</f>
        <v/>
      </c>
      <c r="AF48" s="1048"/>
      <c r="AG48" s="98"/>
    </row>
    <row r="49" spans="1:33" s="120" customFormat="1" ht="20.85" customHeight="1" x14ac:dyDescent="0.3">
      <c r="A49" s="1041"/>
      <c r="B49" s="1041"/>
      <c r="C49" s="1304"/>
      <c r="D49" s="1041"/>
      <c r="E49" s="1118"/>
      <c r="F49" s="1118"/>
      <c r="G49" s="1047"/>
      <c r="H49" s="1671"/>
      <c r="I49" s="1669"/>
      <c r="J49" s="1063"/>
      <c r="K49" s="115" t="s">
        <v>107</v>
      </c>
      <c r="L49" s="116"/>
      <c r="M49" s="116"/>
      <c r="N49" s="116"/>
      <c r="O49" s="117">
        <f t="shared" si="1"/>
        <v>0</v>
      </c>
      <c r="P49" s="116"/>
      <c r="Q49" s="116"/>
      <c r="R49" s="116"/>
      <c r="S49" s="117">
        <f t="shared" si="2"/>
        <v>0</v>
      </c>
      <c r="T49" s="116"/>
      <c r="U49" s="116"/>
      <c r="V49" s="116"/>
      <c r="W49" s="117">
        <f t="shared" si="3"/>
        <v>0</v>
      </c>
      <c r="X49" s="116"/>
      <c r="Y49" s="116"/>
      <c r="Z49" s="116"/>
      <c r="AA49" s="117">
        <f t="shared" si="4"/>
        <v>0</v>
      </c>
      <c r="AB49" s="116"/>
      <c r="AC49" s="118">
        <f t="shared" si="5"/>
        <v>0</v>
      </c>
      <c r="AD49" s="118" t="str">
        <f t="shared" si="6"/>
        <v>0</v>
      </c>
      <c r="AE49" s="119"/>
      <c r="AF49" s="1049"/>
      <c r="AG49" s="98"/>
    </row>
    <row r="50" spans="1:33" s="120" customFormat="1" ht="20.85" customHeight="1" x14ac:dyDescent="0.3">
      <c r="A50" s="1142"/>
      <c r="B50" s="1099"/>
      <c r="C50" s="1363"/>
      <c r="D50" s="1099"/>
      <c r="E50" s="1101"/>
      <c r="F50" s="1101"/>
      <c r="G50" s="1672"/>
      <c r="H50" s="1674"/>
      <c r="I50" s="1676"/>
      <c r="J50" s="1064">
        <f>DATEDIF(E50,F50,"m")</f>
        <v>0</v>
      </c>
      <c r="K50" s="121" t="s">
        <v>106</v>
      </c>
      <c r="L50" s="122"/>
      <c r="M50" s="122"/>
      <c r="N50" s="122"/>
      <c r="O50" s="117">
        <f t="shared" si="1"/>
        <v>0</v>
      </c>
      <c r="P50" s="122"/>
      <c r="Q50" s="122"/>
      <c r="R50" s="122"/>
      <c r="S50" s="117">
        <f t="shared" si="2"/>
        <v>0</v>
      </c>
      <c r="T50" s="122"/>
      <c r="U50" s="122"/>
      <c r="V50" s="122"/>
      <c r="W50" s="117">
        <f t="shared" si="3"/>
        <v>0</v>
      </c>
      <c r="X50" s="122"/>
      <c r="Y50" s="122"/>
      <c r="Z50" s="122"/>
      <c r="AA50" s="117">
        <f t="shared" si="4"/>
        <v>0</v>
      </c>
      <c r="AB50" s="122"/>
      <c r="AC50" s="123">
        <f t="shared" si="5"/>
        <v>0</v>
      </c>
      <c r="AD50" s="123" t="str">
        <f t="shared" si="6"/>
        <v>0</v>
      </c>
      <c r="AE50" s="124" t="str">
        <f ca="1">IF(OR(F50="", G50=""), "", IF(TODAY()&lt;F50, 0, IF(TODAY()&gt;G50, 1, (TODAY()-F50+1)/(G50-F50+1))))</f>
        <v/>
      </c>
      <c r="AF50" s="1367"/>
      <c r="AG50" s="125"/>
    </row>
    <row r="51" spans="1:33" s="120" customFormat="1" ht="20.85" customHeight="1" x14ac:dyDescent="0.3">
      <c r="A51" s="1143"/>
      <c r="B51" s="1100"/>
      <c r="C51" s="1364"/>
      <c r="D51" s="1100"/>
      <c r="E51" s="1102"/>
      <c r="F51" s="1102"/>
      <c r="G51" s="1673"/>
      <c r="H51" s="1675"/>
      <c r="I51" s="1677"/>
      <c r="J51" s="1065"/>
      <c r="K51" s="121" t="s">
        <v>107</v>
      </c>
      <c r="L51" s="122"/>
      <c r="M51" s="122"/>
      <c r="N51" s="122"/>
      <c r="O51" s="117">
        <f t="shared" si="1"/>
        <v>0</v>
      </c>
      <c r="P51" s="122"/>
      <c r="Q51" s="122"/>
      <c r="R51" s="122"/>
      <c r="S51" s="117">
        <f t="shared" si="2"/>
        <v>0</v>
      </c>
      <c r="T51" s="122"/>
      <c r="U51" s="122"/>
      <c r="V51" s="122"/>
      <c r="W51" s="117">
        <f t="shared" si="3"/>
        <v>0</v>
      </c>
      <c r="X51" s="122"/>
      <c r="Y51" s="122"/>
      <c r="Z51" s="122"/>
      <c r="AA51" s="117">
        <f t="shared" si="4"/>
        <v>0</v>
      </c>
      <c r="AB51" s="122"/>
      <c r="AC51" s="123">
        <f t="shared" si="5"/>
        <v>0</v>
      </c>
      <c r="AD51" s="123" t="str">
        <f t="shared" si="6"/>
        <v>0</v>
      </c>
      <c r="AE51" s="124"/>
      <c r="AF51" s="1368"/>
      <c r="AG51" s="125"/>
    </row>
    <row r="52" spans="1:33" s="120" customFormat="1" ht="20.85" customHeight="1" x14ac:dyDescent="0.3">
      <c r="A52" s="1040"/>
      <c r="B52" s="1040"/>
      <c r="C52" s="1303"/>
      <c r="D52" s="1040"/>
      <c r="E52" s="1117"/>
      <c r="F52" s="1117"/>
      <c r="G52" s="1046"/>
      <c r="H52" s="1670"/>
      <c r="I52" s="1668"/>
      <c r="J52" s="1062">
        <f>DATEDIF(E52,F52,"m")</f>
        <v>0</v>
      </c>
      <c r="K52" s="115" t="s">
        <v>106</v>
      </c>
      <c r="L52" s="116"/>
      <c r="M52" s="116"/>
      <c r="N52" s="116"/>
      <c r="O52" s="117">
        <f t="shared" si="1"/>
        <v>0</v>
      </c>
      <c r="P52" s="116"/>
      <c r="Q52" s="116"/>
      <c r="R52" s="116"/>
      <c r="S52" s="117">
        <f t="shared" si="2"/>
        <v>0</v>
      </c>
      <c r="T52" s="116"/>
      <c r="U52" s="116"/>
      <c r="V52" s="116"/>
      <c r="W52" s="117">
        <f t="shared" si="3"/>
        <v>0</v>
      </c>
      <c r="X52" s="116"/>
      <c r="Y52" s="116"/>
      <c r="Z52" s="116"/>
      <c r="AA52" s="117">
        <f t="shared" si="4"/>
        <v>0</v>
      </c>
      <c r="AB52" s="116"/>
      <c r="AC52" s="118">
        <f t="shared" si="5"/>
        <v>0</v>
      </c>
      <c r="AD52" s="118" t="str">
        <f t="shared" si="6"/>
        <v>0</v>
      </c>
      <c r="AE52" s="119" t="str">
        <f ca="1">IF(OR(F52="", G52=""), "", IF(TODAY()&lt;F52, 0, IF(TODAY()&gt;G52, 1, (TODAY()-F52+1)/(G52-F52+1))))</f>
        <v/>
      </c>
      <c r="AF52" s="1048"/>
      <c r="AG52" s="98"/>
    </row>
    <row r="53" spans="1:33" s="120" customFormat="1" ht="20.85" customHeight="1" x14ac:dyDescent="0.3">
      <c r="A53" s="1041"/>
      <c r="B53" s="1041"/>
      <c r="C53" s="1304"/>
      <c r="D53" s="1041"/>
      <c r="E53" s="1118"/>
      <c r="F53" s="1118"/>
      <c r="G53" s="1047"/>
      <c r="H53" s="1671"/>
      <c r="I53" s="1669"/>
      <c r="J53" s="1063"/>
      <c r="K53" s="115" t="s">
        <v>107</v>
      </c>
      <c r="L53" s="116"/>
      <c r="M53" s="116"/>
      <c r="N53" s="116"/>
      <c r="O53" s="117">
        <f t="shared" si="1"/>
        <v>0</v>
      </c>
      <c r="P53" s="116"/>
      <c r="Q53" s="116"/>
      <c r="R53" s="116"/>
      <c r="S53" s="117">
        <f t="shared" si="2"/>
        <v>0</v>
      </c>
      <c r="T53" s="116"/>
      <c r="U53" s="116"/>
      <c r="V53" s="116"/>
      <c r="W53" s="117">
        <f t="shared" si="3"/>
        <v>0</v>
      </c>
      <c r="X53" s="116"/>
      <c r="Y53" s="116"/>
      <c r="Z53" s="116"/>
      <c r="AA53" s="117">
        <f t="shared" si="4"/>
        <v>0</v>
      </c>
      <c r="AB53" s="116"/>
      <c r="AC53" s="118">
        <f t="shared" si="5"/>
        <v>0</v>
      </c>
      <c r="AD53" s="118" t="str">
        <f t="shared" si="6"/>
        <v>0</v>
      </c>
      <c r="AE53" s="119"/>
      <c r="AF53" s="1049"/>
      <c r="AG53" s="98"/>
    </row>
    <row r="54" spans="1:33" s="120" customFormat="1" ht="20.85" customHeight="1" x14ac:dyDescent="0.3">
      <c r="A54" s="1142"/>
      <c r="B54" s="1099"/>
      <c r="C54" s="1363"/>
      <c r="D54" s="1099"/>
      <c r="E54" s="1101"/>
      <c r="F54" s="1101"/>
      <c r="G54" s="1672"/>
      <c r="H54" s="1674"/>
      <c r="I54" s="1676"/>
      <c r="J54" s="1064">
        <f>DATEDIF(E54,F54,"m")</f>
        <v>0</v>
      </c>
      <c r="K54" s="121" t="s">
        <v>106</v>
      </c>
      <c r="L54" s="122"/>
      <c r="M54" s="122"/>
      <c r="N54" s="122"/>
      <c r="O54" s="117">
        <f t="shared" si="1"/>
        <v>0</v>
      </c>
      <c r="P54" s="122"/>
      <c r="Q54" s="122"/>
      <c r="R54" s="122"/>
      <c r="S54" s="117">
        <f t="shared" si="2"/>
        <v>0</v>
      </c>
      <c r="T54" s="122"/>
      <c r="U54" s="122"/>
      <c r="V54" s="122"/>
      <c r="W54" s="117">
        <f t="shared" si="3"/>
        <v>0</v>
      </c>
      <c r="X54" s="122"/>
      <c r="Y54" s="122"/>
      <c r="Z54" s="122"/>
      <c r="AA54" s="117">
        <f t="shared" si="4"/>
        <v>0</v>
      </c>
      <c r="AB54" s="122"/>
      <c r="AC54" s="123">
        <f t="shared" si="5"/>
        <v>0</v>
      </c>
      <c r="AD54" s="123" t="str">
        <f t="shared" si="6"/>
        <v>0</v>
      </c>
      <c r="AE54" s="124" t="str">
        <f ca="1">IF(OR(F54="", G54=""), "", IF(TODAY()&lt;F54, 0, IF(TODAY()&gt;G54, 1, (TODAY()-F54+1)/(G54-F54+1))))</f>
        <v/>
      </c>
      <c r="AF54" s="1367"/>
      <c r="AG54" s="125"/>
    </row>
    <row r="55" spans="1:33" s="120" customFormat="1" ht="20.85" customHeight="1" x14ac:dyDescent="0.3">
      <c r="A55" s="1143"/>
      <c r="B55" s="1100"/>
      <c r="C55" s="1364"/>
      <c r="D55" s="1100"/>
      <c r="E55" s="1102"/>
      <c r="F55" s="1102"/>
      <c r="G55" s="1673"/>
      <c r="H55" s="1675"/>
      <c r="I55" s="1677"/>
      <c r="J55" s="1065"/>
      <c r="K55" s="121" t="s">
        <v>107</v>
      </c>
      <c r="L55" s="122"/>
      <c r="M55" s="122"/>
      <c r="N55" s="122"/>
      <c r="O55" s="117">
        <f t="shared" si="1"/>
        <v>0</v>
      </c>
      <c r="P55" s="122"/>
      <c r="Q55" s="122"/>
      <c r="R55" s="122"/>
      <c r="S55" s="117">
        <f t="shared" si="2"/>
        <v>0</v>
      </c>
      <c r="T55" s="122"/>
      <c r="U55" s="122"/>
      <c r="V55" s="122"/>
      <c r="W55" s="117">
        <f t="shared" si="3"/>
        <v>0</v>
      </c>
      <c r="X55" s="122"/>
      <c r="Y55" s="122"/>
      <c r="Z55" s="122"/>
      <c r="AA55" s="117">
        <f t="shared" si="4"/>
        <v>0</v>
      </c>
      <c r="AB55" s="122"/>
      <c r="AC55" s="123">
        <f t="shared" si="5"/>
        <v>0</v>
      </c>
      <c r="AD55" s="123" t="str">
        <f t="shared" si="6"/>
        <v>0</v>
      </c>
      <c r="AE55" s="124"/>
      <c r="AF55" s="1368"/>
      <c r="AG55" s="125"/>
    </row>
    <row r="56" spans="1:33" s="120" customFormat="1" ht="20.85" customHeight="1" x14ac:dyDescent="0.3">
      <c r="A56" s="1040"/>
      <c r="B56" s="1040"/>
      <c r="C56" s="1303"/>
      <c r="D56" s="1040"/>
      <c r="E56" s="1117"/>
      <c r="F56" s="1117"/>
      <c r="G56" s="1046"/>
      <c r="H56" s="1670"/>
      <c r="I56" s="1668"/>
      <c r="J56" s="1062">
        <f>DATEDIF(E56,F56,"m")</f>
        <v>0</v>
      </c>
      <c r="K56" s="115" t="s">
        <v>106</v>
      </c>
      <c r="L56" s="116"/>
      <c r="M56" s="116"/>
      <c r="N56" s="116"/>
      <c r="O56" s="117">
        <f t="shared" si="1"/>
        <v>0</v>
      </c>
      <c r="P56" s="116"/>
      <c r="Q56" s="116"/>
      <c r="R56" s="116"/>
      <c r="S56" s="117">
        <f t="shared" si="2"/>
        <v>0</v>
      </c>
      <c r="T56" s="116"/>
      <c r="U56" s="116"/>
      <c r="V56" s="116"/>
      <c r="W56" s="117">
        <f t="shared" si="3"/>
        <v>0</v>
      </c>
      <c r="X56" s="116"/>
      <c r="Y56" s="116"/>
      <c r="Z56" s="116"/>
      <c r="AA56" s="117">
        <f t="shared" si="4"/>
        <v>0</v>
      </c>
      <c r="AB56" s="116"/>
      <c r="AC56" s="118">
        <f t="shared" si="5"/>
        <v>0</v>
      </c>
      <c r="AD56" s="118" t="str">
        <f t="shared" si="6"/>
        <v>0</v>
      </c>
      <c r="AE56" s="119" t="str">
        <f ca="1">IF(OR(F56="", G56=""), "", IF(TODAY()&lt;F56, 0, IF(TODAY()&gt;G56, 1, (TODAY()-F56+1)/(G56-F56+1))))</f>
        <v/>
      </c>
      <c r="AF56" s="1048"/>
      <c r="AG56" s="98"/>
    </row>
    <row r="57" spans="1:33" s="120" customFormat="1" ht="20.85" customHeight="1" x14ac:dyDescent="0.3">
      <c r="A57" s="1041"/>
      <c r="B57" s="1041"/>
      <c r="C57" s="1304"/>
      <c r="D57" s="1041"/>
      <c r="E57" s="1118"/>
      <c r="F57" s="1118"/>
      <c r="G57" s="1047"/>
      <c r="H57" s="1671"/>
      <c r="I57" s="1669"/>
      <c r="J57" s="1063"/>
      <c r="K57" s="115" t="s">
        <v>107</v>
      </c>
      <c r="L57" s="116"/>
      <c r="M57" s="116"/>
      <c r="N57" s="116"/>
      <c r="O57" s="117">
        <f t="shared" si="1"/>
        <v>0</v>
      </c>
      <c r="P57" s="116"/>
      <c r="Q57" s="116"/>
      <c r="R57" s="116"/>
      <c r="S57" s="117">
        <f t="shared" si="2"/>
        <v>0</v>
      </c>
      <c r="T57" s="116"/>
      <c r="U57" s="116"/>
      <c r="V57" s="116"/>
      <c r="W57" s="117">
        <f t="shared" si="3"/>
        <v>0</v>
      </c>
      <c r="X57" s="116"/>
      <c r="Y57" s="116"/>
      <c r="Z57" s="116"/>
      <c r="AA57" s="117">
        <f t="shared" si="4"/>
        <v>0</v>
      </c>
      <c r="AB57" s="116"/>
      <c r="AC57" s="118">
        <f t="shared" si="5"/>
        <v>0</v>
      </c>
      <c r="AD57" s="118" t="str">
        <f t="shared" si="6"/>
        <v>0</v>
      </c>
      <c r="AE57" s="119"/>
      <c r="AF57" s="1049"/>
      <c r="AG57" s="98"/>
    </row>
    <row r="58" spans="1:33" s="120" customFormat="1" ht="20.85" customHeight="1" x14ac:dyDescent="0.3">
      <c r="A58" s="1142"/>
      <c r="B58" s="1099"/>
      <c r="C58" s="1363"/>
      <c r="D58" s="1099"/>
      <c r="E58" s="1101"/>
      <c r="F58" s="1101"/>
      <c r="G58" s="1672"/>
      <c r="H58" s="1674"/>
      <c r="I58" s="1676"/>
      <c r="J58" s="1064">
        <f>DATEDIF(E58,F58,"m")</f>
        <v>0</v>
      </c>
      <c r="K58" s="121" t="s">
        <v>106</v>
      </c>
      <c r="L58" s="122"/>
      <c r="M58" s="122"/>
      <c r="N58" s="122"/>
      <c r="O58" s="117">
        <f t="shared" si="1"/>
        <v>0</v>
      </c>
      <c r="P58" s="122"/>
      <c r="Q58" s="122"/>
      <c r="R58" s="122"/>
      <c r="S58" s="117">
        <f t="shared" si="2"/>
        <v>0</v>
      </c>
      <c r="T58" s="122"/>
      <c r="U58" s="122"/>
      <c r="V58" s="122"/>
      <c r="W58" s="117">
        <f t="shared" si="3"/>
        <v>0</v>
      </c>
      <c r="X58" s="122"/>
      <c r="Y58" s="122"/>
      <c r="Z58" s="122"/>
      <c r="AA58" s="117">
        <f t="shared" si="4"/>
        <v>0</v>
      </c>
      <c r="AB58" s="122"/>
      <c r="AC58" s="123">
        <f t="shared" si="5"/>
        <v>0</v>
      </c>
      <c r="AD58" s="123" t="str">
        <f t="shared" si="6"/>
        <v>0</v>
      </c>
      <c r="AE58" s="124" t="str">
        <f ca="1">IF(OR(F58="", G58=""), "", IF(TODAY()&lt;F58, 0, IF(TODAY()&gt;G58, 1, (TODAY()-F58+1)/(G58-F58+1))))</f>
        <v/>
      </c>
      <c r="AF58" s="1367"/>
      <c r="AG58" s="125"/>
    </row>
    <row r="59" spans="1:33" s="120" customFormat="1" ht="20.85" customHeight="1" x14ac:dyDescent="0.3">
      <c r="A59" s="1143"/>
      <c r="B59" s="1100"/>
      <c r="C59" s="1364"/>
      <c r="D59" s="1100"/>
      <c r="E59" s="1102"/>
      <c r="F59" s="1102"/>
      <c r="G59" s="1673"/>
      <c r="H59" s="1675"/>
      <c r="I59" s="1677"/>
      <c r="J59" s="1065"/>
      <c r="K59" s="121" t="s">
        <v>107</v>
      </c>
      <c r="L59" s="122"/>
      <c r="M59" s="122"/>
      <c r="N59" s="122"/>
      <c r="O59" s="117">
        <f t="shared" si="1"/>
        <v>0</v>
      </c>
      <c r="P59" s="122"/>
      <c r="Q59" s="122"/>
      <c r="R59" s="122"/>
      <c r="S59" s="117">
        <f t="shared" si="2"/>
        <v>0</v>
      </c>
      <c r="T59" s="122"/>
      <c r="U59" s="122"/>
      <c r="V59" s="122"/>
      <c r="W59" s="117">
        <f t="shared" si="3"/>
        <v>0</v>
      </c>
      <c r="X59" s="122"/>
      <c r="Y59" s="122"/>
      <c r="Z59" s="122"/>
      <c r="AA59" s="117">
        <f t="shared" si="4"/>
        <v>0</v>
      </c>
      <c r="AB59" s="122"/>
      <c r="AC59" s="123">
        <f t="shared" si="5"/>
        <v>0</v>
      </c>
      <c r="AD59" s="123" t="str">
        <f t="shared" si="6"/>
        <v>0</v>
      </c>
      <c r="AE59" s="124"/>
      <c r="AF59" s="1368"/>
      <c r="AG59" s="125"/>
    </row>
    <row r="60" spans="1:33" s="120" customFormat="1" ht="20.85" customHeight="1" x14ac:dyDescent="0.3">
      <c r="A60" s="1040"/>
      <c r="B60" s="1040"/>
      <c r="C60" s="1303"/>
      <c r="D60" s="1040"/>
      <c r="E60" s="1117"/>
      <c r="F60" s="1117"/>
      <c r="G60" s="1046"/>
      <c r="H60" s="1670"/>
      <c r="I60" s="1668"/>
      <c r="J60" s="1062">
        <f>DATEDIF(E60,F60,"m")</f>
        <v>0</v>
      </c>
      <c r="K60" s="115" t="s">
        <v>106</v>
      </c>
      <c r="L60" s="116"/>
      <c r="M60" s="116"/>
      <c r="N60" s="116"/>
      <c r="O60" s="117">
        <f t="shared" si="1"/>
        <v>0</v>
      </c>
      <c r="P60" s="116"/>
      <c r="Q60" s="116"/>
      <c r="R60" s="116"/>
      <c r="S60" s="117">
        <f t="shared" si="2"/>
        <v>0</v>
      </c>
      <c r="T60" s="116"/>
      <c r="U60" s="116"/>
      <c r="V60" s="116"/>
      <c r="W60" s="117">
        <f t="shared" si="3"/>
        <v>0</v>
      </c>
      <c r="X60" s="116"/>
      <c r="Y60" s="116"/>
      <c r="Z60" s="116"/>
      <c r="AA60" s="117">
        <f t="shared" si="4"/>
        <v>0</v>
      </c>
      <c r="AB60" s="116"/>
      <c r="AC60" s="118">
        <f t="shared" si="5"/>
        <v>0</v>
      </c>
      <c r="AD60" s="118" t="str">
        <f t="shared" si="6"/>
        <v>0</v>
      </c>
      <c r="AE60" s="119" t="str">
        <f ca="1">IF(OR(F60="", G60=""), "", IF(TODAY()&lt;F60, 0, IF(TODAY()&gt;G60, 1, (TODAY()-F60+1)/(G60-F60+1))))</f>
        <v/>
      </c>
      <c r="AF60" s="1048"/>
      <c r="AG60" s="98"/>
    </row>
    <row r="61" spans="1:33" s="120" customFormat="1" ht="20.85" customHeight="1" x14ac:dyDescent="0.3">
      <c r="A61" s="1041"/>
      <c r="B61" s="1041"/>
      <c r="C61" s="1304"/>
      <c r="D61" s="1041"/>
      <c r="E61" s="1118"/>
      <c r="F61" s="1118"/>
      <c r="G61" s="1047"/>
      <c r="H61" s="1671"/>
      <c r="I61" s="1669"/>
      <c r="J61" s="1063"/>
      <c r="K61" s="115" t="s">
        <v>107</v>
      </c>
      <c r="L61" s="116"/>
      <c r="M61" s="116"/>
      <c r="N61" s="116"/>
      <c r="O61" s="117">
        <f t="shared" si="1"/>
        <v>0</v>
      </c>
      <c r="P61" s="116"/>
      <c r="Q61" s="116"/>
      <c r="R61" s="116"/>
      <c r="S61" s="117">
        <f t="shared" si="2"/>
        <v>0</v>
      </c>
      <c r="T61" s="116"/>
      <c r="U61" s="116"/>
      <c r="V61" s="116"/>
      <c r="W61" s="117">
        <f t="shared" si="3"/>
        <v>0</v>
      </c>
      <c r="X61" s="116"/>
      <c r="Y61" s="116"/>
      <c r="Z61" s="116"/>
      <c r="AA61" s="117">
        <f t="shared" si="4"/>
        <v>0</v>
      </c>
      <c r="AB61" s="116"/>
      <c r="AC61" s="118">
        <f t="shared" si="5"/>
        <v>0</v>
      </c>
      <c r="AD61" s="118" t="str">
        <f t="shared" si="6"/>
        <v>0</v>
      </c>
      <c r="AE61" s="119"/>
      <c r="AF61" s="1049"/>
      <c r="AG61" s="98"/>
    </row>
    <row r="62" spans="1:33" s="120" customFormat="1" ht="20.85" customHeight="1" x14ac:dyDescent="0.3">
      <c r="A62" s="1142"/>
      <c r="B62" s="1099"/>
      <c r="C62" s="1363"/>
      <c r="D62" s="1099"/>
      <c r="E62" s="1101"/>
      <c r="F62" s="1101"/>
      <c r="G62" s="1672"/>
      <c r="H62" s="1674"/>
      <c r="I62" s="1676"/>
      <c r="J62" s="1064">
        <f>DATEDIF(E62,F62,"m")</f>
        <v>0</v>
      </c>
      <c r="K62" s="121" t="s">
        <v>106</v>
      </c>
      <c r="L62" s="122"/>
      <c r="M62" s="122"/>
      <c r="N62" s="122"/>
      <c r="O62" s="117">
        <f t="shared" si="1"/>
        <v>0</v>
      </c>
      <c r="P62" s="122"/>
      <c r="Q62" s="122"/>
      <c r="R62" s="122"/>
      <c r="S62" s="117">
        <f t="shared" si="2"/>
        <v>0</v>
      </c>
      <c r="T62" s="122"/>
      <c r="U62" s="122"/>
      <c r="V62" s="122"/>
      <c r="W62" s="117">
        <f t="shared" si="3"/>
        <v>0</v>
      </c>
      <c r="X62" s="122"/>
      <c r="Y62" s="122"/>
      <c r="Z62" s="122"/>
      <c r="AA62" s="117">
        <f t="shared" si="4"/>
        <v>0</v>
      </c>
      <c r="AB62" s="122"/>
      <c r="AC62" s="123">
        <f t="shared" si="5"/>
        <v>0</v>
      </c>
      <c r="AD62" s="123" t="str">
        <f t="shared" si="6"/>
        <v>0</v>
      </c>
      <c r="AE62" s="124" t="str">
        <f ca="1">IF(OR(F62="", G62=""), "", IF(TODAY()&lt;F62, 0, IF(TODAY()&gt;G62, 1, (TODAY()-F62+1)/(G62-F62+1))))</f>
        <v/>
      </c>
      <c r="AF62" s="1367"/>
      <c r="AG62" s="125"/>
    </row>
    <row r="63" spans="1:33" s="120" customFormat="1" ht="20.85" customHeight="1" x14ac:dyDescent="0.3">
      <c r="A63" s="1143"/>
      <c r="B63" s="1100"/>
      <c r="C63" s="1364"/>
      <c r="D63" s="1100"/>
      <c r="E63" s="1102"/>
      <c r="F63" s="1102"/>
      <c r="G63" s="1673"/>
      <c r="H63" s="1675"/>
      <c r="I63" s="1677"/>
      <c r="J63" s="1065"/>
      <c r="K63" s="121" t="s">
        <v>107</v>
      </c>
      <c r="L63" s="122"/>
      <c r="M63" s="122"/>
      <c r="N63" s="122"/>
      <c r="O63" s="117">
        <f t="shared" si="1"/>
        <v>0</v>
      </c>
      <c r="P63" s="122"/>
      <c r="Q63" s="122"/>
      <c r="R63" s="122"/>
      <c r="S63" s="117">
        <f t="shared" si="2"/>
        <v>0</v>
      </c>
      <c r="T63" s="122"/>
      <c r="U63" s="122"/>
      <c r="V63" s="122"/>
      <c r="W63" s="117">
        <f t="shared" si="3"/>
        <v>0</v>
      </c>
      <c r="X63" s="122"/>
      <c r="Y63" s="122"/>
      <c r="Z63" s="122"/>
      <c r="AA63" s="117">
        <f t="shared" si="4"/>
        <v>0</v>
      </c>
      <c r="AB63" s="122"/>
      <c r="AC63" s="123">
        <f t="shared" si="5"/>
        <v>0</v>
      </c>
      <c r="AD63" s="123" t="str">
        <f t="shared" si="6"/>
        <v>0</v>
      </c>
      <c r="AE63" s="124"/>
      <c r="AF63" s="1368"/>
      <c r="AG63" s="125"/>
    </row>
    <row r="64" spans="1:33" s="120" customFormat="1" ht="20.85" customHeight="1" x14ac:dyDescent="0.3">
      <c r="A64" s="1040"/>
      <c r="B64" s="1040"/>
      <c r="C64" s="1303"/>
      <c r="D64" s="1040"/>
      <c r="E64" s="1117"/>
      <c r="F64" s="1117"/>
      <c r="G64" s="1046"/>
      <c r="H64" s="1670"/>
      <c r="I64" s="1668"/>
      <c r="J64" s="1062">
        <f>DATEDIF(E64,F64,"m")</f>
        <v>0</v>
      </c>
      <c r="K64" s="115" t="s">
        <v>106</v>
      </c>
      <c r="L64" s="116"/>
      <c r="M64" s="116"/>
      <c r="N64" s="116"/>
      <c r="O64" s="117">
        <f t="shared" si="1"/>
        <v>0</v>
      </c>
      <c r="P64" s="116"/>
      <c r="Q64" s="116"/>
      <c r="R64" s="116"/>
      <c r="S64" s="117">
        <f t="shared" si="2"/>
        <v>0</v>
      </c>
      <c r="T64" s="116"/>
      <c r="U64" s="116"/>
      <c r="V64" s="116"/>
      <c r="W64" s="117">
        <f t="shared" si="3"/>
        <v>0</v>
      </c>
      <c r="X64" s="116"/>
      <c r="Y64" s="116"/>
      <c r="Z64" s="116"/>
      <c r="AA64" s="117">
        <f t="shared" si="4"/>
        <v>0</v>
      </c>
      <c r="AB64" s="116"/>
      <c r="AC64" s="118">
        <f t="shared" si="5"/>
        <v>0</v>
      </c>
      <c r="AD64" s="118" t="str">
        <f t="shared" si="6"/>
        <v>0</v>
      </c>
      <c r="AE64" s="119" t="str">
        <f ca="1">IF(OR(F64="", G64=""), "", IF(TODAY()&lt;F64, 0, IF(TODAY()&gt;G64, 1, (TODAY()-F64+1)/(G64-F64+1))))</f>
        <v/>
      </c>
      <c r="AF64" s="1048"/>
      <c r="AG64" s="98"/>
    </row>
    <row r="65" spans="1:33" s="120" customFormat="1" ht="20.85" customHeight="1" x14ac:dyDescent="0.3">
      <c r="A65" s="1041"/>
      <c r="B65" s="1041"/>
      <c r="C65" s="1304"/>
      <c r="D65" s="1041"/>
      <c r="E65" s="1118"/>
      <c r="F65" s="1118"/>
      <c r="G65" s="1047"/>
      <c r="H65" s="1671"/>
      <c r="I65" s="1669"/>
      <c r="J65" s="1063"/>
      <c r="K65" s="115" t="s">
        <v>107</v>
      </c>
      <c r="L65" s="116"/>
      <c r="M65" s="116"/>
      <c r="N65" s="116"/>
      <c r="O65" s="117">
        <f t="shared" si="1"/>
        <v>0</v>
      </c>
      <c r="P65" s="116"/>
      <c r="Q65" s="116"/>
      <c r="R65" s="116"/>
      <c r="S65" s="117">
        <f t="shared" si="2"/>
        <v>0</v>
      </c>
      <c r="T65" s="116"/>
      <c r="U65" s="116"/>
      <c r="V65" s="116"/>
      <c r="W65" s="117">
        <f t="shared" si="3"/>
        <v>0</v>
      </c>
      <c r="X65" s="116"/>
      <c r="Y65" s="116"/>
      <c r="Z65" s="116"/>
      <c r="AA65" s="117">
        <f t="shared" si="4"/>
        <v>0</v>
      </c>
      <c r="AB65" s="116"/>
      <c r="AC65" s="118">
        <f t="shared" si="5"/>
        <v>0</v>
      </c>
      <c r="AD65" s="118" t="str">
        <f t="shared" si="6"/>
        <v>0</v>
      </c>
      <c r="AE65" s="119"/>
      <c r="AF65" s="1049"/>
      <c r="AG65" s="98"/>
    </row>
    <row r="66" spans="1:33" s="120" customFormat="1" ht="20.85" customHeight="1" x14ac:dyDescent="0.3">
      <c r="A66" s="1142"/>
      <c r="B66" s="1099"/>
      <c r="C66" s="1363"/>
      <c r="D66" s="1099"/>
      <c r="E66" s="1101"/>
      <c r="F66" s="1101"/>
      <c r="G66" s="1672"/>
      <c r="H66" s="1674"/>
      <c r="I66" s="1676"/>
      <c r="J66" s="1064">
        <f>DATEDIF(E66,F66,"m")</f>
        <v>0</v>
      </c>
      <c r="K66" s="121" t="s">
        <v>106</v>
      </c>
      <c r="L66" s="122"/>
      <c r="M66" s="122"/>
      <c r="N66" s="122"/>
      <c r="O66" s="117">
        <f t="shared" si="1"/>
        <v>0</v>
      </c>
      <c r="P66" s="122"/>
      <c r="Q66" s="122"/>
      <c r="R66" s="122"/>
      <c r="S66" s="117">
        <f t="shared" si="2"/>
        <v>0</v>
      </c>
      <c r="T66" s="122"/>
      <c r="U66" s="122"/>
      <c r="V66" s="122"/>
      <c r="W66" s="117">
        <f t="shared" si="3"/>
        <v>0</v>
      </c>
      <c r="X66" s="122"/>
      <c r="Y66" s="122"/>
      <c r="Z66" s="122"/>
      <c r="AA66" s="117">
        <f t="shared" si="4"/>
        <v>0</v>
      </c>
      <c r="AB66" s="122"/>
      <c r="AC66" s="123">
        <f t="shared" si="5"/>
        <v>0</v>
      </c>
      <c r="AD66" s="123" t="str">
        <f t="shared" si="6"/>
        <v>0</v>
      </c>
      <c r="AE66" s="124" t="str">
        <f ca="1">IF(OR(F66="", G66=""), "", IF(TODAY()&lt;F66, 0, IF(TODAY()&gt;G66, 1, (TODAY()-F66+1)/(G66-F66+1))))</f>
        <v/>
      </c>
      <c r="AF66" s="1367"/>
      <c r="AG66" s="125"/>
    </row>
    <row r="67" spans="1:33" s="120" customFormat="1" ht="20.85" customHeight="1" x14ac:dyDescent="0.3">
      <c r="A67" s="1143"/>
      <c r="B67" s="1100"/>
      <c r="C67" s="1364"/>
      <c r="D67" s="1100"/>
      <c r="E67" s="1102"/>
      <c r="F67" s="1102"/>
      <c r="G67" s="1673"/>
      <c r="H67" s="1675"/>
      <c r="I67" s="1677"/>
      <c r="J67" s="1065"/>
      <c r="K67" s="121" t="s">
        <v>107</v>
      </c>
      <c r="L67" s="122"/>
      <c r="M67" s="122"/>
      <c r="N67" s="122"/>
      <c r="O67" s="117">
        <f t="shared" si="1"/>
        <v>0</v>
      </c>
      <c r="P67" s="122"/>
      <c r="Q67" s="122"/>
      <c r="R67" s="122"/>
      <c r="S67" s="117">
        <f t="shared" si="2"/>
        <v>0</v>
      </c>
      <c r="T67" s="122"/>
      <c r="U67" s="122"/>
      <c r="V67" s="122"/>
      <c r="W67" s="117">
        <f t="shared" si="3"/>
        <v>0</v>
      </c>
      <c r="X67" s="122"/>
      <c r="Y67" s="122"/>
      <c r="Z67" s="122"/>
      <c r="AA67" s="117">
        <f t="shared" si="4"/>
        <v>0</v>
      </c>
      <c r="AB67" s="122"/>
      <c r="AC67" s="123">
        <f t="shared" si="5"/>
        <v>0</v>
      </c>
      <c r="AD67" s="123" t="str">
        <f t="shared" si="6"/>
        <v>0</v>
      </c>
      <c r="AE67" s="124"/>
      <c r="AF67" s="1368"/>
      <c r="AG67" s="125"/>
    </row>
    <row r="68" spans="1:33" s="120" customFormat="1" ht="20.85" customHeight="1" x14ac:dyDescent="0.3"/>
    <row r="69" spans="1:33" x14ac:dyDescent="0.3">
      <c r="K69" s="151"/>
      <c r="L69" s="151">
        <v>46023</v>
      </c>
      <c r="M69" s="151">
        <v>46054</v>
      </c>
      <c r="N69" s="151">
        <v>46082</v>
      </c>
      <c r="O69" s="151">
        <v>46113</v>
      </c>
      <c r="P69" s="151">
        <v>46143</v>
      </c>
      <c r="Q69" s="151">
        <v>46174</v>
      </c>
      <c r="R69" s="151">
        <v>46204</v>
      </c>
      <c r="S69" s="151">
        <v>46235</v>
      </c>
      <c r="T69" s="151">
        <v>46266</v>
      </c>
      <c r="U69" s="151">
        <v>46296</v>
      </c>
      <c r="V69" s="151">
        <v>46327</v>
      </c>
      <c r="W69" s="151">
        <v>46357</v>
      </c>
      <c r="X69" s="151" t="s">
        <v>550</v>
      </c>
    </row>
    <row r="70" spans="1:33" x14ac:dyDescent="0.3">
      <c r="K70" s="151" t="s">
        <v>106</v>
      </c>
      <c r="L70" s="152" cm="1">
        <f t="array" ref="L70">SUMPRODUCT(
($K$16:$K$67="Previsto")*
INDEX($L$16:$AA$67,0,MATCH(L$69,$L$15:$AA$15,0))
)</f>
        <v>0</v>
      </c>
      <c r="M70" s="152" cm="1">
        <f t="array" ref="M70">SUMPRODUCT(
($K$16:$K$67="Previsto")*
INDEX($L$16:$AA$67,0,MATCH(M$69,$L$15:$AA$15,0))
)</f>
        <v>0</v>
      </c>
      <c r="N70" s="152" cm="1">
        <f t="array" ref="N70">SUMPRODUCT(
($K$16:$K$67="Previsto")*
INDEX($L$16:$AA$67,0,MATCH(N$69,$L$15:$AA$15,0))
)</f>
        <v>0</v>
      </c>
      <c r="O70" s="152" cm="1">
        <f t="array" ref="O70">SUMPRODUCT(
($K$16:$K$67="Previsto")*
INDEX($L$16:$AA$67,0,MATCH(O$69,$L$15:$AA$15,0))
)</f>
        <v>0</v>
      </c>
      <c r="P70" s="152" cm="1">
        <f t="array" ref="P70">SUMPRODUCT(
($K$16:$K$67="Previsto")*
INDEX($L$16:$AA$67,0,MATCH(P$69,$L$15:$AA$15,0))
)</f>
        <v>0</v>
      </c>
      <c r="Q70" s="152" cm="1">
        <f t="array" ref="Q70">SUMPRODUCT(
($K$16:$K$67="Previsto")*
INDEX($L$16:$AA$67,0,MATCH(Q$69,$L$15:$AA$15,0))
)</f>
        <v>0</v>
      </c>
      <c r="R70" s="152" cm="1">
        <f t="array" ref="R70">SUMPRODUCT(
($K$16:$K$67="Previsto")*
INDEX($L$16:$AA$67,0,MATCH(R$69,$L$15:$AA$15,0))
)</f>
        <v>0</v>
      </c>
      <c r="S70" s="152" cm="1">
        <f t="array" ref="S70">SUMPRODUCT(
($K$16:$K$67="Previsto")*
INDEX($L$16:$AA$67,0,MATCH(S$69,$L$15:$AA$15,0))
)</f>
        <v>0</v>
      </c>
      <c r="T70" s="152" cm="1">
        <f t="array" ref="T70">SUMPRODUCT(
($K$16:$K$67="Previsto")*
INDEX($L$16:$AA$67,0,MATCH(T$69,$L$15:$AA$15,0))
)</f>
        <v>0</v>
      </c>
      <c r="U70" s="152" cm="1">
        <f t="array" ref="U70">SUMPRODUCT(
($K$16:$K$67="Previsto")*
INDEX($L$16:$AA$67,0,MATCH(U$69,$L$15:$AA$15,0))
)</f>
        <v>0</v>
      </c>
      <c r="V70" s="152" cm="1">
        <f t="array" ref="V70">SUMPRODUCT(
($K$16:$K$67="Previsto")*
INDEX($L$16:$AA$67,0,MATCH(V$69,$L$15:$AA$15,0))
)</f>
        <v>0</v>
      </c>
      <c r="W70" s="152" cm="1">
        <f t="array" ref="W70">SUMPRODUCT(
($K$16:$K$67="Previsto")*
INDEX($L$16:$AA$67,0,MATCH(W$69,$L$15:$AA$15,0))
)</f>
        <v>0</v>
      </c>
      <c r="X70" s="152">
        <f>SUM(L70:W70)</f>
        <v>0</v>
      </c>
    </row>
    <row r="71" spans="1:33" x14ac:dyDescent="0.3">
      <c r="K71" s="153" t="s">
        <v>107</v>
      </c>
      <c r="L71" s="154" cm="1">
        <f t="array" ref="L71">SUMPRODUCT(
($K$16:$K$67="Real")*
INDEX($L$16:$AA$67,0,MATCH(L$69,$L$15:$AA$15,0))
)</f>
        <v>0</v>
      </c>
      <c r="M71" s="154" cm="1">
        <f t="array" ref="M71">SUMPRODUCT(
($K$16:$K$67="Real")*
INDEX($L$16:$AA$67,0,MATCH(M$69,$L$15:$AA$15,0))
)</f>
        <v>0</v>
      </c>
      <c r="N71" s="154" cm="1">
        <f t="array" ref="N71">SUMPRODUCT(
($K$16:$K$67="Real")*
INDEX($L$16:$AA$67,0,MATCH(N$69,$L$15:$AA$15,0))
)</f>
        <v>0</v>
      </c>
      <c r="O71" s="154" cm="1">
        <f t="array" ref="O71">SUMPRODUCT(
($K$16:$K$67="Real")*
INDEX($L$16:$AA$67,0,MATCH(O$69,$L$15:$AA$15,0))
)</f>
        <v>0</v>
      </c>
      <c r="P71" s="154" cm="1">
        <f t="array" ref="P71">SUMPRODUCT(
($K$16:$K$67="Real")*
INDEX($L$16:$AA$67,0,MATCH(P$69,$L$15:$AA$15,0))
)</f>
        <v>0</v>
      </c>
      <c r="Q71" s="154" cm="1">
        <f t="array" ref="Q71">SUMPRODUCT(
($K$16:$K$67="Real")*
INDEX($L$16:$AA$67,0,MATCH(Q$69,$L$15:$AA$15,0))
)</f>
        <v>0</v>
      </c>
      <c r="R71" s="154" cm="1">
        <f t="array" ref="R71">SUMPRODUCT(
($K$16:$K$67="Real")*
INDEX($L$16:$AA$67,0,MATCH(R$69,$L$15:$AA$15,0))
)</f>
        <v>0</v>
      </c>
      <c r="S71" s="154" cm="1">
        <f t="array" ref="S71">SUMPRODUCT(
($K$16:$K$67="Real")*
INDEX($L$16:$AA$67,0,MATCH(S$69,$L$15:$AA$15,0))
)</f>
        <v>0</v>
      </c>
      <c r="T71" s="154" cm="1">
        <f t="array" ref="T71">SUMPRODUCT(
($K$16:$K$67="Real")*
INDEX($L$16:$AA$67,0,MATCH(T$69,$L$15:$AA$15,0))
)</f>
        <v>0</v>
      </c>
      <c r="U71" s="154" cm="1">
        <f t="array" ref="U71">SUMPRODUCT(
($K$16:$K$67="Real")*
INDEX($L$16:$AA$67,0,MATCH(U$69,$L$15:$AA$15,0))
)</f>
        <v>0</v>
      </c>
      <c r="V71" s="154" cm="1">
        <f t="array" ref="V71">SUMPRODUCT(
($K$16:$K$67="Real")*
INDEX($L$16:$AA$67,0,MATCH(V$69,$L$15:$AA$15,0))
)</f>
        <v>0</v>
      </c>
      <c r="W71" s="154" cm="1">
        <f t="array" ref="W71">SUMPRODUCT(
($K$16:$K$67="Real")*
INDEX($L$16:$AA$67,0,MATCH(W$69,$L$15:$AA$15,0))
)</f>
        <v>0</v>
      </c>
      <c r="X71" s="154">
        <f>SUM(L71:W71)</f>
        <v>0</v>
      </c>
    </row>
    <row r="72" spans="1:33" x14ac:dyDescent="0.3">
      <c r="K72" s="160" t="s">
        <v>566</v>
      </c>
      <c r="L72" s="160" cm="1">
        <f t="array" ref="L72">SUMPRODUCT(
($E$16:$E$67&lt;&gt;"")*
($E$16:$E$67&lt;=L$69)*
(($F$16:$F$67="")+($F$16:$F$67&gt;=L$69))
)</f>
        <v>0</v>
      </c>
      <c r="M72" s="160" cm="1">
        <f t="array" ref="M72">SUMPRODUCT(
($E$16:$E$67&lt;&gt;"")*
($E$16:$E$67&lt;=M$69)*
(($F$16:$F$67="")+($F$16:$F$67&gt;=M$69))
)</f>
        <v>0</v>
      </c>
      <c r="N72" s="160" cm="1">
        <f t="array" ref="N72">SUMPRODUCT(
($E$16:$E$67&lt;&gt;"")*
($E$16:$E$67&lt;=N$69)*
(($F$16:$F$67="")+($F$16:$F$67&gt;=N$69))
)</f>
        <v>0</v>
      </c>
      <c r="O72" s="160" cm="1">
        <f t="array" ref="O72">SUMPRODUCT(
($E$16:$E$67&lt;&gt;"")*
($E$16:$E$67&lt;=O$69)*
(($F$16:$F$67="")+($F$16:$F$67&gt;=O$69))
)</f>
        <v>0</v>
      </c>
      <c r="P72" s="160" cm="1">
        <f t="array" ref="P72">SUMPRODUCT(
($E$16:$E$67&lt;&gt;"")*
($E$16:$E$67&lt;=P$69)*
(($F$16:$F$67="")+($F$16:$F$67&gt;=P$69))
)</f>
        <v>0</v>
      </c>
      <c r="Q72" s="160" cm="1">
        <f t="array" ref="Q72">SUMPRODUCT(
($E$16:$E$67&lt;&gt;"")*
($E$16:$E$67&lt;=Q$69)*
(($F$16:$F$67="")+($F$16:$F$67&gt;=Q$69))
)</f>
        <v>0</v>
      </c>
      <c r="R72" s="160" cm="1">
        <f t="array" ref="R72">SUMPRODUCT(
($E$16:$E$67&lt;&gt;"")*
($E$16:$E$67&lt;=R$69)*
(($F$16:$F$67="")+($F$16:$F$67&gt;=R$69))
)</f>
        <v>0</v>
      </c>
      <c r="S72" s="160" cm="1">
        <f t="array" ref="S72">SUMPRODUCT(
($E$16:$E$67&lt;&gt;"")*
($E$16:$E$67&lt;=S$69)*
(($F$16:$F$67="")+($F$16:$F$67&gt;=S$69))
)</f>
        <v>0</v>
      </c>
      <c r="T72" s="160" cm="1">
        <f t="array" ref="T72">SUMPRODUCT(
($E$16:$E$67&lt;&gt;"")*
($E$16:$E$67&lt;=T$69)*
(($F$16:$F$67="")+($F$16:$F$67&gt;=T$69))
)</f>
        <v>0</v>
      </c>
      <c r="U72" s="160" cm="1">
        <f t="array" ref="U72">SUMPRODUCT(
($E$16:$E$67&lt;&gt;"")*
($E$16:$E$67&lt;=U$69)*
(($F$16:$F$67="")+($F$16:$F$67&gt;=U$69))
)</f>
        <v>0</v>
      </c>
      <c r="V72" s="160" cm="1">
        <f t="array" ref="V72">SUMPRODUCT(
($E$16:$E$67&lt;&gt;"")*
($E$16:$E$67&lt;=V$69)*
(($F$16:$F$67="")+($F$16:$F$67&gt;=V$69))
)</f>
        <v>0</v>
      </c>
      <c r="W72" s="160" cm="1">
        <f t="array" ref="W72">SUMPRODUCT(
($E$16:$E$67&lt;&gt;"")*
($E$16:$E$67&lt;=W$69)*
(($F$16:$F$67="")+($F$16:$F$67&gt;=W$69))
)</f>
        <v>0</v>
      </c>
    </row>
  </sheetData>
  <sheetProtection algorithmName="SHA-512" hashValue="AJj9lLaFDXoBOROPgCM3zTpRPF5X80D6KAZQPnpq6SiodcjVsk9+yjCSi2pYVB5OF0PTV0FAld5HUW7z9QzoRw==" saltValue="yDKXGW24N5VUHWHm04cv7g==" spinCount="100000" sheet="1" objects="1" scenarios="1"/>
  <mergeCells count="313">
    <mergeCell ref="G66:G67"/>
    <mergeCell ref="H66:H67"/>
    <mergeCell ref="I66:I67"/>
    <mergeCell ref="J66:J67"/>
    <mergeCell ref="AF66:AF67"/>
    <mergeCell ref="A66:A67"/>
    <mergeCell ref="B66:B67"/>
    <mergeCell ref="C66:C67"/>
    <mergeCell ref="D66:D67"/>
    <mergeCell ref="E66:E67"/>
    <mergeCell ref="F66:F67"/>
    <mergeCell ref="F64:F65"/>
    <mergeCell ref="G64:G65"/>
    <mergeCell ref="H64:H65"/>
    <mergeCell ref="I64:I65"/>
    <mergeCell ref="J64:J65"/>
    <mergeCell ref="AF64:AF65"/>
    <mergeCell ref="G62:G63"/>
    <mergeCell ref="H62:H63"/>
    <mergeCell ref="I62:I63"/>
    <mergeCell ref="J62:J63"/>
    <mergeCell ref="AF62:AF63"/>
    <mergeCell ref="F62:F63"/>
    <mergeCell ref="A64:A65"/>
    <mergeCell ref="B64:B65"/>
    <mergeCell ref="C64:C65"/>
    <mergeCell ref="D64:D65"/>
    <mergeCell ref="E64:E65"/>
    <mergeCell ref="A62:A63"/>
    <mergeCell ref="B62:B63"/>
    <mergeCell ref="C62:C63"/>
    <mergeCell ref="D62:D63"/>
    <mergeCell ref="E62:E63"/>
    <mergeCell ref="F60:F61"/>
    <mergeCell ref="G60:G61"/>
    <mergeCell ref="H60:H61"/>
    <mergeCell ref="I60:I61"/>
    <mergeCell ref="J60:J61"/>
    <mergeCell ref="AF60:AF61"/>
    <mergeCell ref="G58:G59"/>
    <mergeCell ref="H58:H59"/>
    <mergeCell ref="I58:I59"/>
    <mergeCell ref="J58:J59"/>
    <mergeCell ref="AF58:AF59"/>
    <mergeCell ref="F58:F59"/>
    <mergeCell ref="A60:A61"/>
    <mergeCell ref="B60:B61"/>
    <mergeCell ref="C60:C61"/>
    <mergeCell ref="D60:D61"/>
    <mergeCell ref="E60:E61"/>
    <mergeCell ref="A58:A59"/>
    <mergeCell ref="B58:B59"/>
    <mergeCell ref="C58:C59"/>
    <mergeCell ref="D58:D59"/>
    <mergeCell ref="E58:E59"/>
    <mergeCell ref="F56:F57"/>
    <mergeCell ref="G56:G57"/>
    <mergeCell ref="H56:H57"/>
    <mergeCell ref="I56:I57"/>
    <mergeCell ref="J56:J57"/>
    <mergeCell ref="AF56:AF57"/>
    <mergeCell ref="G54:G55"/>
    <mergeCell ref="H54:H55"/>
    <mergeCell ref="I54:I55"/>
    <mergeCell ref="J54:J55"/>
    <mergeCell ref="AF54:AF55"/>
    <mergeCell ref="F54:F55"/>
    <mergeCell ref="A56:A57"/>
    <mergeCell ref="B56:B57"/>
    <mergeCell ref="C56:C57"/>
    <mergeCell ref="D56:D57"/>
    <mergeCell ref="E56:E57"/>
    <mergeCell ref="A54:A55"/>
    <mergeCell ref="B54:B55"/>
    <mergeCell ref="C54:C55"/>
    <mergeCell ref="D54:D55"/>
    <mergeCell ref="E54:E55"/>
    <mergeCell ref="F52:F53"/>
    <mergeCell ref="G52:G53"/>
    <mergeCell ref="H52:H53"/>
    <mergeCell ref="I52:I53"/>
    <mergeCell ref="J52:J53"/>
    <mergeCell ref="AF52:AF53"/>
    <mergeCell ref="G50:G51"/>
    <mergeCell ref="H50:H51"/>
    <mergeCell ref="I50:I51"/>
    <mergeCell ref="J50:J51"/>
    <mergeCell ref="AF50:AF51"/>
    <mergeCell ref="F50:F51"/>
    <mergeCell ref="A52:A53"/>
    <mergeCell ref="B52:B53"/>
    <mergeCell ref="C52:C53"/>
    <mergeCell ref="D52:D53"/>
    <mergeCell ref="E52:E53"/>
    <mergeCell ref="A50:A51"/>
    <mergeCell ref="B50:B51"/>
    <mergeCell ref="C50:C51"/>
    <mergeCell ref="D50:D51"/>
    <mergeCell ref="E50:E51"/>
    <mergeCell ref="F48:F49"/>
    <mergeCell ref="G48:G49"/>
    <mergeCell ref="H48:H49"/>
    <mergeCell ref="I48:I49"/>
    <mergeCell ref="J48:J49"/>
    <mergeCell ref="AF48:AF49"/>
    <mergeCell ref="G46:G47"/>
    <mergeCell ref="H46:H47"/>
    <mergeCell ref="I46:I47"/>
    <mergeCell ref="J46:J47"/>
    <mergeCell ref="AF46:AF47"/>
    <mergeCell ref="F46:F47"/>
    <mergeCell ref="A48:A49"/>
    <mergeCell ref="B48:B49"/>
    <mergeCell ref="C48:C49"/>
    <mergeCell ref="D48:D49"/>
    <mergeCell ref="E48:E49"/>
    <mergeCell ref="A46:A47"/>
    <mergeCell ref="B46:B47"/>
    <mergeCell ref="C46:C47"/>
    <mergeCell ref="D46:D47"/>
    <mergeCell ref="E46:E47"/>
    <mergeCell ref="F44:F45"/>
    <mergeCell ref="G44:G45"/>
    <mergeCell ref="H44:H45"/>
    <mergeCell ref="I44:I45"/>
    <mergeCell ref="J44:J45"/>
    <mergeCell ref="AF44:AF45"/>
    <mergeCell ref="G42:G43"/>
    <mergeCell ref="H42:H43"/>
    <mergeCell ref="I42:I43"/>
    <mergeCell ref="J42:J43"/>
    <mergeCell ref="AF42:AF43"/>
    <mergeCell ref="F42:F43"/>
    <mergeCell ref="A44:A45"/>
    <mergeCell ref="B44:B45"/>
    <mergeCell ref="C44:C45"/>
    <mergeCell ref="D44:D45"/>
    <mergeCell ref="E44:E45"/>
    <mergeCell ref="A42:A43"/>
    <mergeCell ref="B42:B43"/>
    <mergeCell ref="C42:C43"/>
    <mergeCell ref="D42:D43"/>
    <mergeCell ref="E42:E43"/>
    <mergeCell ref="F40:F41"/>
    <mergeCell ref="G40:G41"/>
    <mergeCell ref="H40:H41"/>
    <mergeCell ref="I40:I41"/>
    <mergeCell ref="J40:J41"/>
    <mergeCell ref="AF40:AF41"/>
    <mergeCell ref="G38:G39"/>
    <mergeCell ref="H38:H39"/>
    <mergeCell ref="I38:I39"/>
    <mergeCell ref="J38:J39"/>
    <mergeCell ref="AF38:AF39"/>
    <mergeCell ref="F38:F39"/>
    <mergeCell ref="A40:A41"/>
    <mergeCell ref="B40:B41"/>
    <mergeCell ref="C40:C41"/>
    <mergeCell ref="D40:D41"/>
    <mergeCell ref="E40:E41"/>
    <mergeCell ref="A38:A39"/>
    <mergeCell ref="B38:B39"/>
    <mergeCell ref="C38:C39"/>
    <mergeCell ref="D38:D39"/>
    <mergeCell ref="E38:E39"/>
    <mergeCell ref="F36:F37"/>
    <mergeCell ref="G36:G37"/>
    <mergeCell ref="H36:H37"/>
    <mergeCell ref="I36:I37"/>
    <mergeCell ref="J36:J37"/>
    <mergeCell ref="AF36:AF37"/>
    <mergeCell ref="G34:G35"/>
    <mergeCell ref="H34:H35"/>
    <mergeCell ref="I34:I35"/>
    <mergeCell ref="J34:J35"/>
    <mergeCell ref="AF34:AF35"/>
    <mergeCell ref="F34:F35"/>
    <mergeCell ref="A36:A37"/>
    <mergeCell ref="B36:B37"/>
    <mergeCell ref="C36:C37"/>
    <mergeCell ref="D36:D37"/>
    <mergeCell ref="E36:E37"/>
    <mergeCell ref="A34:A35"/>
    <mergeCell ref="B34:B35"/>
    <mergeCell ref="C34:C35"/>
    <mergeCell ref="D34:D35"/>
    <mergeCell ref="E34:E35"/>
    <mergeCell ref="F32:F33"/>
    <mergeCell ref="G32:G33"/>
    <mergeCell ref="H32:H33"/>
    <mergeCell ref="I32:I33"/>
    <mergeCell ref="J32:J33"/>
    <mergeCell ref="AF32:AF33"/>
    <mergeCell ref="G30:G31"/>
    <mergeCell ref="H30:H31"/>
    <mergeCell ref="I30:I31"/>
    <mergeCell ref="J30:J31"/>
    <mergeCell ref="AF30:AF31"/>
    <mergeCell ref="F30:F31"/>
    <mergeCell ref="A32:A33"/>
    <mergeCell ref="B32:B33"/>
    <mergeCell ref="C32:C33"/>
    <mergeCell ref="D32:D33"/>
    <mergeCell ref="E32:E33"/>
    <mergeCell ref="A30:A31"/>
    <mergeCell ref="B30:B31"/>
    <mergeCell ref="C30:C31"/>
    <mergeCell ref="D30:D31"/>
    <mergeCell ref="E30:E31"/>
    <mergeCell ref="F28:F29"/>
    <mergeCell ref="G28:G29"/>
    <mergeCell ref="H28:H29"/>
    <mergeCell ref="I28:I29"/>
    <mergeCell ref="J28:J29"/>
    <mergeCell ref="AF28:AF29"/>
    <mergeCell ref="G26:G27"/>
    <mergeCell ref="H26:H27"/>
    <mergeCell ref="I26:I27"/>
    <mergeCell ref="J26:J27"/>
    <mergeCell ref="AF26:AF27"/>
    <mergeCell ref="F26:F27"/>
    <mergeCell ref="A28:A29"/>
    <mergeCell ref="B28:B29"/>
    <mergeCell ref="C28:C29"/>
    <mergeCell ref="D28:D29"/>
    <mergeCell ref="E28:E29"/>
    <mergeCell ref="A26:A27"/>
    <mergeCell ref="B26:B27"/>
    <mergeCell ref="C26:C27"/>
    <mergeCell ref="D26:D27"/>
    <mergeCell ref="E26:E27"/>
    <mergeCell ref="J18:J19"/>
    <mergeCell ref="AF18:AF19"/>
    <mergeCell ref="A24:A25"/>
    <mergeCell ref="B24:B25"/>
    <mergeCell ref="C24:C25"/>
    <mergeCell ref="D24:D25"/>
    <mergeCell ref="E24:E25"/>
    <mergeCell ref="A22:A23"/>
    <mergeCell ref="B22:B23"/>
    <mergeCell ref="C22:C23"/>
    <mergeCell ref="D22:D23"/>
    <mergeCell ref="E22:E23"/>
    <mergeCell ref="F24:F25"/>
    <mergeCell ref="G24:G25"/>
    <mergeCell ref="H24:H25"/>
    <mergeCell ref="I24:I25"/>
    <mergeCell ref="J24:J25"/>
    <mergeCell ref="AF24:AF25"/>
    <mergeCell ref="G22:G23"/>
    <mergeCell ref="H22:H23"/>
    <mergeCell ref="I22:I23"/>
    <mergeCell ref="J22:J23"/>
    <mergeCell ref="AF22:AF23"/>
    <mergeCell ref="F22:F23"/>
    <mergeCell ref="A20:A21"/>
    <mergeCell ref="B20:B21"/>
    <mergeCell ref="C20:C21"/>
    <mergeCell ref="D20:D21"/>
    <mergeCell ref="E20:E21"/>
    <mergeCell ref="H16:H17"/>
    <mergeCell ref="I16:I17"/>
    <mergeCell ref="J16:J17"/>
    <mergeCell ref="AF16:AF17"/>
    <mergeCell ref="A18:A19"/>
    <mergeCell ref="B18:B19"/>
    <mergeCell ref="C18:C19"/>
    <mergeCell ref="D18:D19"/>
    <mergeCell ref="E18:E19"/>
    <mergeCell ref="F18:F19"/>
    <mergeCell ref="F20:F21"/>
    <mergeCell ref="G20:G21"/>
    <mergeCell ref="H20:H21"/>
    <mergeCell ref="I20:I21"/>
    <mergeCell ref="J20:J21"/>
    <mergeCell ref="AF20:AF21"/>
    <mergeCell ref="G18:G19"/>
    <mergeCell ref="H18:H19"/>
    <mergeCell ref="I18:I19"/>
    <mergeCell ref="T14:W14"/>
    <mergeCell ref="X14:AA14"/>
    <mergeCell ref="AD14:AG14"/>
    <mergeCell ref="A16:A17"/>
    <mergeCell ref="B16:B17"/>
    <mergeCell ref="C16:C17"/>
    <mergeCell ref="D16:D17"/>
    <mergeCell ref="E16:E17"/>
    <mergeCell ref="F16:F17"/>
    <mergeCell ref="G16:G17"/>
    <mergeCell ref="A7:E7"/>
    <mergeCell ref="G7:I7"/>
    <mergeCell ref="L12:N12"/>
    <mergeCell ref="A14:J14"/>
    <mergeCell ref="L14:O14"/>
    <mergeCell ref="P14:S14"/>
    <mergeCell ref="A5:B5"/>
    <mergeCell ref="C5:D5"/>
    <mergeCell ref="E5:F5"/>
    <mergeCell ref="G5:I5"/>
    <mergeCell ref="J5:L5"/>
    <mergeCell ref="M5:N5"/>
    <mergeCell ref="A4:B4"/>
    <mergeCell ref="C4:D4"/>
    <mergeCell ref="E4:F4"/>
    <mergeCell ref="G4:I4"/>
    <mergeCell ref="J4:L4"/>
    <mergeCell ref="M4:N4"/>
    <mergeCell ref="A1:N1"/>
    <mergeCell ref="O1:AB1"/>
    <mergeCell ref="AC1:AG1"/>
    <mergeCell ref="A2:N2"/>
    <mergeCell ref="O2:AB2"/>
    <mergeCell ref="AC2:AG2"/>
  </mergeCells>
  <conditionalFormatting sqref="E9:E11">
    <cfRule type="dataBar" priority="1">
      <dataBar showValue="0">
        <cfvo type="num" val="0"/>
        <cfvo type="num" val="1"/>
        <color rgb="FF00B050"/>
      </dataBar>
      <extLst>
        <ext xmlns:x14="http://schemas.microsoft.com/office/spreadsheetml/2009/9/main" uri="{B025F937-C7B1-47D3-B67F-A62EFF666E3E}">
          <x14:id>{F91A4645-2F68-47BA-A2F1-84101CDCDEEA}</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F91A4645-2F68-47BA-A2F1-84101CDCDEEA}">
            <x14:dataBar minLength="0" maxLength="100" border="1" direction="leftToRight">
              <x14:cfvo type="num">
                <xm:f>0</xm:f>
              </x14:cfvo>
              <x14:cfvo type="num">
                <xm:f>1</xm:f>
              </x14:cfvo>
              <x14:borderColor rgb="FF000099"/>
              <x14:negativeFillColor rgb="FFFF0000"/>
              <x14:axisColor rgb="FF000000"/>
            </x14:dataBar>
          </x14:cfRule>
          <xm:sqref>E9:E11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2FB86A5-9276-43CE-905F-9D590EBDA99A}">
          <x14:formula1>
            <xm:f>Parâmetros!$A$24:$A$26</xm:f>
          </x14:formula1>
          <xm:sqref>A16:A67</xm:sqref>
        </x14:dataValidation>
        <x14:dataValidation type="list" allowBlank="1" showInputMessage="1" showErrorMessage="1" xr:uid="{679C628A-AC67-4511-A5AD-17E2E967122F}">
          <x14:formula1>
            <xm:f>Parâmetros!$A$31:$A$33</xm:f>
          </x14:formula1>
          <xm:sqref>AF16:AF67</xm:sqref>
        </x14:dataValidation>
        <x14:dataValidation type="list" allowBlank="1" showInputMessage="1" showErrorMessage="1" xr:uid="{F46DCB7F-2DA0-4A5C-8C5C-5E0BF06D7463}">
          <x14:formula1>
            <xm:f>Parâmetros!$A$28:$A$29</xm:f>
          </x14:formula1>
          <xm:sqref>H16:H67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B2C2-BB68-4E03-B8CB-19B96147F1DD}">
  <dimension ref="A1:F55"/>
  <sheetViews>
    <sheetView workbookViewId="0">
      <selection activeCell="D3" sqref="D3"/>
    </sheetView>
  </sheetViews>
  <sheetFormatPr defaultRowHeight="14.4" x14ac:dyDescent="0.3"/>
  <cols>
    <col min="1" max="2" width="4.44140625" bestFit="1" customWidth="1"/>
    <col min="3" max="3" width="16.44140625" customWidth="1"/>
    <col min="4" max="4" width="49" bestFit="1" customWidth="1"/>
    <col min="5" max="5" width="160.44140625" bestFit="1" customWidth="1"/>
    <col min="6" max="6" width="16.44140625" bestFit="1" customWidth="1"/>
  </cols>
  <sheetData>
    <row r="1" spans="1:6" x14ac:dyDescent="0.3">
      <c r="A1" s="1679" t="s">
        <v>21</v>
      </c>
      <c r="B1" s="1678" t="s">
        <v>2213</v>
      </c>
      <c r="C1" s="1678"/>
      <c r="D1" s="1678"/>
      <c r="E1" s="1678"/>
      <c r="F1" s="1678"/>
    </row>
    <row r="2" spans="1:6" x14ac:dyDescent="0.3">
      <c r="A2" s="1679"/>
      <c r="B2" t="s">
        <v>2214</v>
      </c>
      <c r="C2" t="s">
        <v>2215</v>
      </c>
      <c r="D2" t="s">
        <v>2216</v>
      </c>
      <c r="E2" t="s">
        <v>2217</v>
      </c>
      <c r="F2" t="s">
        <v>72</v>
      </c>
    </row>
    <row r="3" spans="1:6" x14ac:dyDescent="0.3">
      <c r="A3" s="1679"/>
      <c r="B3" s="234" cm="1">
        <f t="array" ref="B3:B7">_xlfn.SEQUENCE(5)</f>
        <v>1</v>
      </c>
      <c r="C3" s="235">
        <f>MAX(Diadema!$I$55:$I$176)</f>
        <v>450000.00900000002</v>
      </c>
      <c r="D3" t="str">
        <f>INDEX(
    Diadema!$C$55:$C$176,
    MATCH(
        C3,
        Diadema!$I$55:$I$176,
        0
    )
)</f>
        <v>29 - DA000489Z_DA000490Z - STC Scania M_</v>
      </c>
      <c r="E3" t="str">
        <f>INDEX(
    Diadema!$E$55:$E$176,
    MATCH(
        C3,
        Diadema!$I$55:$I$176,
        0
    )
)</f>
        <v>Redução de 20mm no blank (0,46kg)/peça</v>
      </c>
      <c r="F3" t="str">
        <f>INDEX(
    Diadema!$A$55:$A$176,
    MATCH(
        C3,
        Diadema!$I$55:$I$176,
        0
    )
)</f>
        <v>BSW</v>
      </c>
    </row>
    <row r="4" spans="1:6" x14ac:dyDescent="0.3">
      <c r="A4" s="1679"/>
      <c r="B4" s="234">
        <v>2</v>
      </c>
      <c r="C4" s="235">
        <f>LARGE(Diadema!$I$55:$I$176,B4)</f>
        <v>331600</v>
      </c>
      <c r="D4" t="str">
        <f>INDEX(
    Diadema!$C$55:$C$176,
    MATCH(
        C4,
        Diadema!$I$55:$I$176,
        0
    )
)</f>
        <v>01 - Redução de peso bruto DA000489A</v>
      </c>
      <c r="E4" t="str">
        <f>INDEX(
    Diadema!$E$55:$E$176,
    MATCH(
        C4,
        Diadema!$I$55:$I$176,
        0
    )
)</f>
        <v>Peso bruto: de 4,27 Kg / peça para 4,18kg / peça</v>
      </c>
      <c r="F4" t="str">
        <f>INDEX(
    Diadema!$A$55:$A$176,
    MATCH(
        C4,
        Diadema!$I$55:$I$176,
        0
    )
)</f>
        <v>BSW</v>
      </c>
    </row>
    <row r="5" spans="1:6" x14ac:dyDescent="0.3">
      <c r="A5" s="1679"/>
      <c r="B5" s="234">
        <v>3</v>
      </c>
      <c r="C5" s="235">
        <f>LARGE(Diadema!$I$55:$I$176,B5)</f>
        <v>288000.00300000003</v>
      </c>
      <c r="D5" t="str">
        <f>INDEX(
    Diadema!$C$55:$C$176,
    MATCH(
        C5,
        Diadema!$I$55:$I$176,
        0
    )
)</f>
        <v>06 - Produtividade</v>
      </c>
      <c r="E5" t="str">
        <f>INDEX(
    Diadema!$E$55:$E$176,
    MATCH(
        C5,
        Diadema!$I$55:$I$176,
        0
    )
)</f>
        <v>Aumento da eficiência da rua 2, 3 e 4 \para 73,4%.</v>
      </c>
      <c r="F5" t="str">
        <f>INDEX(
    Diadema!$A$55:$A$176,
    MATCH(
        C5,
        Diadema!$I$55:$I$176,
        0
    )
)</f>
        <v>Redução de custo</v>
      </c>
    </row>
    <row r="6" spans="1:6" x14ac:dyDescent="0.3">
      <c r="A6" s="1679"/>
      <c r="B6" s="234">
        <v>4</v>
      </c>
      <c r="C6" s="235">
        <f>LARGE(Diadema!$I$55:$I$176,B6)</f>
        <v>288000</v>
      </c>
      <c r="D6" t="str">
        <f>INDEX(
    Diadema!$C$55:$C$176,
    MATCH(
        C6,
        Diadema!$I$55:$I$176,
        0
    )
)</f>
        <v>26 - Redução_de_MP - DJ000059Z_DJ000060Z</v>
      </c>
      <c r="E6" t="str">
        <f>INDEX(
    Diadema!$E$55:$E$176,
    MATCH(
        C6,
        Diadema!$I$55:$I$176,
        0
    )
)</f>
        <v xml:space="preserve">Redução no passo de corte do blank da coluna "B" da GM (40m). </v>
      </c>
      <c r="F6" t="str">
        <f>INDEX(
    Diadema!$A$55:$A$176,
    MATCH(
        C6,
        Diadema!$I$55:$I$176,
        0
    )
)</f>
        <v>BSW</v>
      </c>
    </row>
    <row r="7" spans="1:6" x14ac:dyDescent="0.3">
      <c r="A7" s="1679"/>
      <c r="B7" s="234">
        <v>5</v>
      </c>
      <c r="C7" s="235">
        <f>LARGE(Diadema!$I$55:$I$176,B7)</f>
        <v>270000</v>
      </c>
      <c r="D7" t="str">
        <f>INDEX(
    Diadema!$C$55:$C$176,
    MATCH(
        C7,
        Diadema!$I$55:$I$176,
        0
    )
)</f>
        <v>23 - Redução do peso bruto VW000581Z / VW000582Z</v>
      </c>
      <c r="E7" t="str">
        <f>INDEX(
    Diadema!$E$55:$E$176,
    MATCH(
        C7,
        Diadema!$I$55:$I$176,
        0
    )
)</f>
        <v>Reduzir o blank de 840mm para 820mm (passo).</v>
      </c>
      <c r="F7" t="str">
        <f>INDEX(
    Diadema!$A$55:$A$176,
    MATCH(
        C7,
        Diadema!$I$55:$I$176,
        0
    )
)</f>
        <v>BSW</v>
      </c>
    </row>
    <row r="8" spans="1:6" x14ac:dyDescent="0.3">
      <c r="B8" s="234"/>
    </row>
    <row r="9" spans="1:6" x14ac:dyDescent="0.3">
      <c r="A9" s="1679" t="s">
        <v>22</v>
      </c>
      <c r="B9" s="1678" t="s">
        <v>2218</v>
      </c>
      <c r="C9" s="1678"/>
      <c r="D9" s="1678"/>
      <c r="E9" s="1678"/>
      <c r="F9" s="1678"/>
    </row>
    <row r="10" spans="1:6" ht="14.85" customHeight="1" x14ac:dyDescent="0.3">
      <c r="A10" s="1679"/>
      <c r="B10" t="s">
        <v>2214</v>
      </c>
      <c r="C10" t="s">
        <v>2215</v>
      </c>
      <c r="D10" t="s">
        <v>2216</v>
      </c>
      <c r="E10" t="s">
        <v>2217</v>
      </c>
      <c r="F10" t="s">
        <v>72</v>
      </c>
    </row>
    <row r="11" spans="1:6" x14ac:dyDescent="0.3">
      <c r="A11" s="1679"/>
      <c r="B11" s="234" cm="1">
        <f t="array" ref="B11:B15">_xlfn.SEQUENCE(5)</f>
        <v>1</v>
      </c>
      <c r="C11" s="235">
        <f>MAX(Ferraz!$I$55:$I$114)</f>
        <v>3000000</v>
      </c>
      <c r="D11" t="str">
        <f>INDEX(
    Ferraz!$C$55:$C$114,
    MATCH(
        C11,
        Ferraz!$I$55:$I$114,
        0
    )
)</f>
        <v>01 - Clientes com baixa margem de contribuição.</v>
      </c>
      <c r="E11" t="str">
        <f>INDEX(
    Ferraz!$E$55:$E$114,
    MATCH(
        C11,
        Ferraz!$I$55:$I$114,
        0
    )
)</f>
        <v>Redução de itens com baixa margem de contribuição.</v>
      </c>
      <c r="F11" t="str">
        <f>INDEX(
    Ferraz!$A$55:$A$114,
    MATCH(
        C11,
        Ferraz!$I$55:$I$114,
        0
    )
)</f>
        <v>Redução de custo</v>
      </c>
    </row>
    <row r="12" spans="1:6" x14ac:dyDescent="0.3">
      <c r="A12" s="1679"/>
      <c r="B12" s="234">
        <v>2</v>
      </c>
      <c r="C12" s="235">
        <f>LARGE(Ferraz!$I$55:$I$114,B12)</f>
        <v>700000</v>
      </c>
      <c r="D12" t="str">
        <f>INDEX(
    Ferraz!$C$55:$C$114,
    MATCH(
        C12,
        Ferraz!$I$55:$I$114,
        0
    )
)</f>
        <v>16 - Tolerância das MP's</v>
      </c>
      <c r="E12" t="str">
        <f>INDEX(
    Ferraz!$E$55:$E$114,
    MATCH(
        C12,
        Ferraz!$I$55:$I$114,
        0
    )
)</f>
        <v>Redução do consumo de matéria prima com a diminuição da tolerância da espessura</v>
      </c>
      <c r="F12" t="str">
        <f>INDEX(
    Ferraz!$A$55:$A$114,
    MATCH(
        C12,
        Ferraz!$I$55:$I$114,
        0
    )
)</f>
        <v>BSW</v>
      </c>
    </row>
    <row r="13" spans="1:6" x14ac:dyDescent="0.3">
      <c r="A13" s="1679"/>
      <c r="B13" s="234">
        <v>3</v>
      </c>
      <c r="C13" s="235">
        <f>LARGE(Ferraz!$I$55:$I$114,B13)</f>
        <v>690000</v>
      </c>
      <c r="D13" t="str">
        <f>INDEX(
    Ferraz!$C$55:$C$114,
    MATCH(
        C13,
        Ferraz!$I$55:$I$114,
        0
    )
)</f>
        <v xml:space="preserve">05 - Nitrogênio da máquina laser </v>
      </c>
      <c r="E13" t="str">
        <f>INDEX(
    Ferraz!$E$55:$E$114,
    MATCH(
        C13,
        Ferraz!$I$55:$I$114,
        0
    )
)</f>
        <v>Implementação de corte com nitrogênio na laser</v>
      </c>
      <c r="F13" t="str">
        <f>INDEX(
    Ferraz!$A$55:$A$114,
    MATCH(
        C13,
        Ferraz!$I$55:$I$114,
        0
    )
)</f>
        <v>Você Resolve</v>
      </c>
    </row>
    <row r="14" spans="1:6" x14ac:dyDescent="0.3">
      <c r="A14" s="1679"/>
      <c r="B14" s="234">
        <v>4</v>
      </c>
      <c r="C14" s="235">
        <f>LARGE(Ferraz!$I$55:$I$114,B14)</f>
        <v>600000.00089999998</v>
      </c>
      <c r="D14" t="str">
        <f>INDEX(
    Ferraz!$C$55:$C$114,
    MATCH(
        C14,
        Ferraz!$I$55:$I$114,
        0
    )
)</f>
        <v xml:space="preserve">06 - Reaproveitamento de lixas </v>
      </c>
      <c r="E14" t="str">
        <f>INDEX(
    Ferraz!$E$55:$E$114,
    MATCH(
        C14,
        Ferraz!$I$55:$I$114,
        0
    )
)</f>
        <v>Criação de fluxo para reaproveitamento das lixas entre as operações da fábrica</v>
      </c>
      <c r="F14" t="str">
        <f>INDEX(
    Ferraz!$A$55:$A$114,
    MATCH(
        C14,
        Ferraz!$I$55:$I$114,
        0
    )
)</f>
        <v>Kaizen</v>
      </c>
    </row>
    <row r="15" spans="1:6" x14ac:dyDescent="0.3">
      <c r="A15" s="1679"/>
      <c r="B15" s="234">
        <v>5</v>
      </c>
      <c r="C15" s="235">
        <f>LARGE(Ferraz!$I$55:$I$114,B15)</f>
        <v>500000.00799999997</v>
      </c>
      <c r="D15" t="str">
        <f>INDEX(
    Ferraz!$C$55:$C$114,
    MATCH(
        C15,
        Ferraz!$I$55:$I$114,
        0
    )
)</f>
        <v xml:space="preserve">03 - Consumo de desmoldante </v>
      </c>
      <c r="E15" t="str">
        <f>INDEX(
    Ferraz!$E$55:$E$114,
    MATCH(
        C15,
        Ferraz!$I$55:$I$114,
        0
    )
)</f>
        <v xml:space="preserve">Redução do consumo de desmoldante (diluição, pulverização, eliminação de vazamentos e ajustes nos parâmetros de produção) </v>
      </c>
      <c r="F15" t="str">
        <f>INDEX(
    Ferraz!$A$55:$A$114,
    MATCH(
        C15,
        Ferraz!$I$55:$I$114,
        0
    )
)</f>
        <v>Redução de custo</v>
      </c>
    </row>
    <row r="17" spans="1:6" x14ac:dyDescent="0.3">
      <c r="A17" s="1679" t="s">
        <v>23</v>
      </c>
      <c r="B17" s="1678" t="s">
        <v>2219</v>
      </c>
      <c r="C17" s="1678"/>
      <c r="D17" s="1678"/>
      <c r="E17" s="1678"/>
      <c r="F17" s="1678"/>
    </row>
    <row r="18" spans="1:6" x14ac:dyDescent="0.3">
      <c r="A18" s="1679"/>
      <c r="B18" t="s">
        <v>2214</v>
      </c>
      <c r="C18" t="s">
        <v>2215</v>
      </c>
      <c r="D18" t="s">
        <v>2216</v>
      </c>
      <c r="E18" t="s">
        <v>2217</v>
      </c>
      <c r="F18" t="s">
        <v>72</v>
      </c>
    </row>
    <row r="19" spans="1:6" x14ac:dyDescent="0.3">
      <c r="A19" s="1679"/>
      <c r="B19" s="234" cm="1">
        <f t="array" ref="B19:B23">_xlfn.SEQUENCE(5)</f>
        <v>1</v>
      </c>
      <c r="C19" s="235">
        <f>MAX('São Leopoldo'!I55:I124)</f>
        <v>733701.49999999988</v>
      </c>
      <c r="D19" t="str">
        <f>INDEX(
    'São Leopoldo'!$C$55:$C$124,
    MATCH(
        C19,
        'São Leopoldo'!$I$55:$I$124,
        0
    )
)</f>
        <v>08 - Reestruturação</v>
      </c>
      <c r="E19" t="str">
        <f>INDEX(
    'São Leopoldo'!$E$55:$E$124,
    MATCH(
        C19,
        'São Leopoldo'!$I$55:$I$124,
        0
    )
)</f>
        <v>Reestruturação da folha de pagamento</v>
      </c>
      <c r="F19" t="str">
        <f>INDEX(
    'São Leopoldo'!$A$55:$A$124,
    MATCH(
        C19,
        'São Leopoldo'!$I$55:$I$124,
        0
    )
)</f>
        <v>Kaizen</v>
      </c>
    </row>
    <row r="20" spans="1:6" x14ac:dyDescent="0.3">
      <c r="A20" s="1679"/>
      <c r="B20" s="234">
        <v>2</v>
      </c>
      <c r="C20" s="235">
        <f>LARGE('São Leopoldo'!I55:I124,B20)</f>
        <v>218726.78</v>
      </c>
      <c r="D20" t="str">
        <f>INDEX(
    'São Leopoldo'!$C$55:$C$124,
    MATCH(
        C20,
        'São Leopoldo'!$I$55:$I$124,
        0
    )
)</f>
        <v>01 - Redução de Refugo</v>
      </c>
      <c r="E20" t="str">
        <f>INDEX(
    'São Leopoldo'!$E$55:$E$124,
    MATCH(
        C20,
        'São Leopoldo'!$I$55:$I$124,
        0
    )
)</f>
        <v>Análise dos processos dos principais itens com falha em produção e clientes a fim de reduzir as perdas.</v>
      </c>
      <c r="F20" t="str">
        <f>INDEX(
    'São Leopoldo'!$A$55:$A$124,
    MATCH(
        C20,
        'São Leopoldo'!$I$55:$I$124,
        0
    )
)</f>
        <v>Kaizen</v>
      </c>
    </row>
    <row r="21" spans="1:6" x14ac:dyDescent="0.3">
      <c r="A21" s="1679"/>
      <c r="B21" s="234">
        <v>3</v>
      </c>
      <c r="C21" s="235">
        <f>LARGE('São Leopoldo'!G56:G125,B21)</f>
        <v>46165</v>
      </c>
      <c r="D21" t="e">
        <f>INDEX(
    'São Leopoldo'!$C$55:$C$124,
    MATCH(
        C21,
        'São Leopoldo'!$I$55:$I$124,
        0
    )
)</f>
        <v>#N/A</v>
      </c>
      <c r="E21" t="e">
        <f>INDEX(
    'São Leopoldo'!$E$55:$E$124,
    MATCH(
        C21,
        'São Leopoldo'!$I$55:$I$124,
        0
    )
)</f>
        <v>#N/A</v>
      </c>
      <c r="F21" t="e">
        <f>INDEX(
    'São Leopoldo'!$A$55:$A$124,
    MATCH(
        C21,
        'São Leopoldo'!$I$55:$I$124,
        0
    )
)</f>
        <v>#N/A</v>
      </c>
    </row>
    <row r="22" spans="1:6" x14ac:dyDescent="0.3">
      <c r="A22" s="1679"/>
      <c r="B22" s="234">
        <v>4</v>
      </c>
      <c r="C22" s="235">
        <f>LARGE('São Leopoldo'!G57:G125,B22)</f>
        <v>46146</v>
      </c>
      <c r="D22" t="e">
        <f>INDEX(
    'São Leopoldo'!$C$55:$C$124,
    MATCH(
        C22,
        'São Leopoldo'!$I$55:$I$124,
        0
    )
)</f>
        <v>#N/A</v>
      </c>
      <c r="E22" t="e">
        <f>INDEX(
    'São Leopoldo'!$E$55:$E$124,
    MATCH(
        C22,
        'São Leopoldo'!$I$55:$I$124,
        0
    )
)</f>
        <v>#N/A</v>
      </c>
      <c r="F22" t="e">
        <f>INDEX(
    'São Leopoldo'!$A$55:$A$124,
    MATCH(
        C22,
        'São Leopoldo'!$I$55:$I$124,
        0
    )
)</f>
        <v>#N/A</v>
      </c>
    </row>
    <row r="23" spans="1:6" x14ac:dyDescent="0.3">
      <c r="A23" s="1679"/>
      <c r="B23" s="234">
        <v>5</v>
      </c>
      <c r="C23" s="235">
        <f>IFERROR(LARGE('São Leopoldo'!G58:G125,B23),"0")</f>
        <v>46146</v>
      </c>
      <c r="D23" t="e">
        <f>INDEX(
    'São Leopoldo'!$C$55:$C$124,
    MATCH(
        C23,
        'São Leopoldo'!$I$55:$I$124,
        0
    )
)</f>
        <v>#N/A</v>
      </c>
      <c r="E23" t="e">
        <f>INDEX(
    'São Leopoldo'!$E$55:$E$124,
    MATCH(
        C23,
        'São Leopoldo'!$I$55:$I$124,
        0
    )
)</f>
        <v>#N/A</v>
      </c>
      <c r="F23" t="e">
        <f>INDEX(
    'São Leopoldo'!$A$55:$A$124,
    MATCH(
        C23,
        'São Leopoldo'!$I$55:$I$124,
        0
    )
)</f>
        <v>#N/A</v>
      </c>
    </row>
    <row r="25" spans="1:6" x14ac:dyDescent="0.3">
      <c r="A25" s="1679" t="s">
        <v>24</v>
      </c>
      <c r="B25" s="1678" t="s">
        <v>2220</v>
      </c>
      <c r="C25" s="1678"/>
      <c r="D25" s="1678"/>
      <c r="E25" s="1678"/>
      <c r="F25" s="1678"/>
    </row>
    <row r="26" spans="1:6" x14ac:dyDescent="0.3">
      <c r="A26" s="1679"/>
      <c r="B26" t="s">
        <v>2214</v>
      </c>
      <c r="C26" t="s">
        <v>2215</v>
      </c>
      <c r="D26" t="s">
        <v>2216</v>
      </c>
      <c r="E26" t="s">
        <v>2217</v>
      </c>
      <c r="F26" t="s">
        <v>72</v>
      </c>
    </row>
    <row r="27" spans="1:6" x14ac:dyDescent="0.3">
      <c r="A27" s="1679"/>
      <c r="B27" s="234" cm="1">
        <f t="array" ref="B27:B31">_xlfn.SEQUENCE(5)</f>
        <v>1</v>
      </c>
      <c r="C27" s="235">
        <f>MAX(Jarinu!I55:I128)</f>
        <v>1063359</v>
      </c>
      <c r="D27" t="str">
        <f>INDEX(
    Jarinu!$C$55:$C$128,
    MATCH(
        C27,
        Jarinu!$I$55:$I$128,
        0
    )
)</f>
        <v>06 - Redução consumo MTP aplicando tolerância mínima</v>
      </c>
      <c r="E27" t="str">
        <f>INDEX(
    Jarinu!$E$55:$E$128,
    MATCH(
        C27,
        Jarinu!$I$55:$I$128,
        0
    )
)</f>
        <v>Implementar mean to-low em 14 itens (Curva A)</v>
      </c>
      <c r="F27" t="str">
        <f>INDEX(
    Jarinu!$A$55:$A$128,
    MATCH(
        C27,
        Jarinu!$I$55:$I$128,
        0
    )
)</f>
        <v>BSW</v>
      </c>
    </row>
    <row r="28" spans="1:6" x14ac:dyDescent="0.3">
      <c r="A28" s="1679"/>
      <c r="B28" s="234">
        <v>2</v>
      </c>
      <c r="C28" s="235">
        <f>LARGE(Jarinu!I55:I128,B28)</f>
        <v>513721</v>
      </c>
      <c r="D28" t="str">
        <f>INDEX(
    Jarinu!$C$55:$C$128,
    MATCH(
        C28,
        Jarinu!$I$55:$I$128,
        0
    )
)</f>
        <v>03 - Redução de consumo de MP dos blanks com a técnica de corte Wave</v>
      </c>
      <c r="E28" t="str">
        <f>INDEX(
    Jarinu!$E$55:$E$128,
    MATCH(
        C28,
        Jarinu!$I$55:$I$128,
        0
    )
)</f>
        <v>Inserir cortes wave nos blanks retangulares que são utilizados na prensa Isgec</v>
      </c>
      <c r="F28" t="str">
        <f>INDEX(
    Jarinu!$A$55:$A$128,
    MATCH(
        C28,
        Jarinu!$I$55:$I$128,
        0
    )
)</f>
        <v>BSW</v>
      </c>
    </row>
    <row r="29" spans="1:6" x14ac:dyDescent="0.3">
      <c r="A29" s="1679"/>
      <c r="B29" s="234">
        <v>3</v>
      </c>
      <c r="C29" s="235">
        <f>LARGE(Jarinu!G56:G129,B29)</f>
        <v>46143</v>
      </c>
      <c r="D29" t="e">
        <f>INDEX(
    Jarinu!$C$55:$C$128,
    MATCH(
        C29,
        Jarinu!$I$55:$I$128,
        0
    )
)</f>
        <v>#N/A</v>
      </c>
      <c r="E29" t="e">
        <f>INDEX(
    Jarinu!$E$55:$E$128,
    MATCH(
        C29,
        Jarinu!$I$55:$I$128,
        0
    )
)</f>
        <v>#N/A</v>
      </c>
      <c r="F29" t="e">
        <f>INDEX(
    Jarinu!$A$55:$A$128,
    MATCH(
        C29,
        Jarinu!$I$55:$I$128,
        0
    )
)</f>
        <v>#N/A</v>
      </c>
    </row>
    <row r="30" spans="1:6" x14ac:dyDescent="0.3">
      <c r="A30" s="1679"/>
      <c r="B30" s="234">
        <v>4</v>
      </c>
      <c r="C30" s="235">
        <f>LARGE(Jarinu!G57:G129,B30)</f>
        <v>46113</v>
      </c>
      <c r="D30" t="e">
        <f>INDEX(
    Jarinu!$C$55:$C$128,
    MATCH(
        C30,
        Jarinu!$I$55:$I$128,
        0
    )
)</f>
        <v>#N/A</v>
      </c>
      <c r="E30" t="e">
        <f>INDEX(
    Jarinu!$E$55:$E$128,
    MATCH(
        C30,
        Jarinu!$I$55:$I$128,
        0
    )
)</f>
        <v>#N/A</v>
      </c>
      <c r="F30" t="e">
        <f>INDEX(
    Jarinu!$A$55:$A$128,
    MATCH(
        C30,
        Jarinu!$I$55:$I$128,
        0
    )
)</f>
        <v>#N/A</v>
      </c>
    </row>
    <row r="31" spans="1:6" x14ac:dyDescent="0.3">
      <c r="A31" s="1679"/>
      <c r="B31" s="234">
        <v>5</v>
      </c>
      <c r="C31" s="235">
        <f>LARGE(Jarinu!G58:G129,B31)</f>
        <v>46113</v>
      </c>
      <c r="D31" t="e">
        <f>INDEX(
    Jarinu!$C$55:$C$128,
    MATCH(
        C31,
        Jarinu!$I$55:$I$128,
        0
    )
)</f>
        <v>#N/A</v>
      </c>
      <c r="E31" t="e">
        <f>INDEX(
    Jarinu!$E$55:$E$128,
    MATCH(
        C31,
        Jarinu!$I$55:$I$128,
        0
    )
)</f>
        <v>#N/A</v>
      </c>
      <c r="F31" t="e">
        <f>INDEX(
    Jarinu!$A$55:$A$128,
    MATCH(
        C31,
        Jarinu!$I$55:$I$128,
        0
    )
)</f>
        <v>#N/A</v>
      </c>
    </row>
    <row r="33" spans="1:6" x14ac:dyDescent="0.3">
      <c r="A33" s="1679" t="s">
        <v>25</v>
      </c>
      <c r="B33" s="1678" t="s">
        <v>2221</v>
      </c>
      <c r="C33" s="1678"/>
      <c r="D33" s="1678"/>
      <c r="E33" s="1678"/>
      <c r="F33" s="1678"/>
    </row>
    <row r="34" spans="1:6" x14ac:dyDescent="0.3">
      <c r="A34" s="1679"/>
      <c r="B34" t="s">
        <v>2214</v>
      </c>
      <c r="C34" t="s">
        <v>2215</v>
      </c>
      <c r="D34" t="s">
        <v>2216</v>
      </c>
      <c r="E34" t="s">
        <v>2217</v>
      </c>
      <c r="F34" t="s">
        <v>72</v>
      </c>
    </row>
    <row r="35" spans="1:6" x14ac:dyDescent="0.3">
      <c r="A35" s="1679"/>
      <c r="B35" s="234" cm="1">
        <f t="array" ref="B35:B39">_xlfn.SEQUENCE(5)</f>
        <v>1</v>
      </c>
      <c r="C35" s="237">
        <f>MAX(Anchieta!I59:I102)</f>
        <v>135000</v>
      </c>
      <c r="D35" t="str">
        <f>INDEX(
    Anchieta!$C$59:$C$102,
    MATCH(
        C35,
        Anchieta!$I$59:$I$102,
        0
    )
)</f>
        <v>03 - PRODUTOS QUÍMICOS KTL</v>
      </c>
      <c r="E35" t="str">
        <f>INDEX(
    Anchieta!$E$59:$E$102,
    MATCH(
        C35,
        Anchieta!$I$59:$I$102,
        0
    )
)</f>
        <v>Reduzir o consumo de produtos químicos utilizado no processo KTL</v>
      </c>
      <c r="F35" t="str">
        <f>INDEX(
    Anchieta!$A$59:$A$102,
    MATCH(
        C35,
        Anchieta!$I$59:$I$102,
        0
    )
)</f>
        <v>Redução de custo</v>
      </c>
    </row>
    <row r="36" spans="1:6" x14ac:dyDescent="0.3">
      <c r="A36" s="1679"/>
      <c r="B36" s="234">
        <v>2</v>
      </c>
      <c r="C36" s="235">
        <f>LARGE(Anchieta!I59:I102,B36)</f>
        <v>100000.0001</v>
      </c>
      <c r="D36" t="str">
        <f>INDEX(
    Anchieta!$C$59:$C$102,
    MATCH(
        C36,
        Anchieta!$I$59:$I$102,
        0
    )
)</f>
        <v>04 - GÁS</v>
      </c>
      <c r="E36" t="str">
        <f>INDEX(
    Anchieta!$E$59:$E$102,
    MATCH(
        C36,
        Anchieta!$I$59:$I$102,
        0
    )
)</f>
        <v>Reduzir o consumo de gás</v>
      </c>
      <c r="F36" t="str">
        <f>INDEX(
    Anchieta!$A$59:$A$102,
    MATCH(
        C36,
        Anchieta!$I$59:$I$102,
        0
    )
)</f>
        <v>Redução de custo</v>
      </c>
    </row>
    <row r="37" spans="1:6" x14ac:dyDescent="0.3">
      <c r="A37" s="1679"/>
      <c r="B37" s="234">
        <v>3</v>
      </c>
      <c r="C37" s="235">
        <f>LARGE(Anchieta!G60:G103,B37)</f>
        <v>46083</v>
      </c>
      <c r="D37" t="e">
        <f>INDEX(
    Anchieta!$C$59:$C$102,
    MATCH(
        C37,
        Anchieta!$I$59:$I$102,
        0
    )
)</f>
        <v>#N/A</v>
      </c>
      <c r="E37" t="e">
        <f>INDEX(
    Anchieta!$E$59:$E$102,
    MATCH(
        C37,
        Anchieta!$I$59:$I$102,
        0
    )
)</f>
        <v>#N/A</v>
      </c>
      <c r="F37" t="e">
        <f>INDEX(
    Anchieta!$A$59:$A$102,
    MATCH(
        C37,
        Anchieta!$I$59:$I$102,
        0
    )
)</f>
        <v>#N/A</v>
      </c>
    </row>
    <row r="38" spans="1:6" x14ac:dyDescent="0.3">
      <c r="A38" s="1679"/>
      <c r="B38" s="234">
        <v>4</v>
      </c>
      <c r="C38" s="235">
        <f>LARGE(Anchieta!G65:G103,B38)</f>
        <v>46054</v>
      </c>
      <c r="D38" t="e">
        <f>INDEX(
    Anchieta!$C$59:$C$102,
    MATCH(
        C38,
        Anchieta!$I$59:$I$102,
        0
    )
)</f>
        <v>#N/A</v>
      </c>
      <c r="E38" t="e">
        <f>INDEX(
    Anchieta!$E$59:$E$102,
    MATCH(
        C38,
        Anchieta!$I$59:$I$102,
        0
    )
)</f>
        <v>#N/A</v>
      </c>
      <c r="F38" t="e">
        <f>INDEX(
    Anchieta!$A$59:$A$102,
    MATCH(
        C38,
        Anchieta!$I$59:$I$102,
        0
    )
)</f>
        <v>#N/A</v>
      </c>
    </row>
    <row r="39" spans="1:6" x14ac:dyDescent="0.3">
      <c r="A39" s="1679"/>
      <c r="B39" s="234">
        <v>5</v>
      </c>
      <c r="C39" s="235">
        <f>LARGE(Anchieta!G66:G103,B39)</f>
        <v>46054</v>
      </c>
      <c r="D39" t="e">
        <f>INDEX(
    Anchieta!$C$59:$C$102,
    MATCH(
        C39,
        Anchieta!$I$59:$I$102,
        0
    )
)</f>
        <v>#N/A</v>
      </c>
      <c r="E39" t="e">
        <f>INDEX(
    Anchieta!$E$59:$E$102,
    MATCH(
        C39,
        Anchieta!$I$59:$I$102,
        0
    )
)</f>
        <v>#N/A</v>
      </c>
      <c r="F39" t="e">
        <f>INDEX(
    Anchieta!$A$59:$A$102,
    MATCH(
        C39,
        Anchieta!$I$59:$I$102,
        0
    )
)</f>
        <v>#N/A</v>
      </c>
    </row>
    <row r="41" spans="1:6" x14ac:dyDescent="0.3">
      <c r="A41" s="238"/>
    </row>
    <row r="42" spans="1:6" x14ac:dyDescent="0.3">
      <c r="A42" s="238"/>
    </row>
    <row r="43" spans="1:6" x14ac:dyDescent="0.3">
      <c r="A43" s="238"/>
    </row>
    <row r="44" spans="1:6" x14ac:dyDescent="0.3">
      <c r="A44" s="238"/>
    </row>
    <row r="45" spans="1:6" x14ac:dyDescent="0.3">
      <c r="A45" s="238"/>
    </row>
    <row r="46" spans="1:6" x14ac:dyDescent="0.3">
      <c r="A46" s="238"/>
    </row>
    <row r="47" spans="1:6" x14ac:dyDescent="0.3">
      <c r="A47" s="238"/>
    </row>
    <row r="49" spans="1:1" x14ac:dyDescent="0.3">
      <c r="A49" s="238"/>
    </row>
    <row r="50" spans="1:1" x14ac:dyDescent="0.3">
      <c r="A50" s="238"/>
    </row>
    <row r="51" spans="1:1" x14ac:dyDescent="0.3">
      <c r="A51" s="238"/>
    </row>
    <row r="52" spans="1:1" x14ac:dyDescent="0.3">
      <c r="A52" s="238"/>
    </row>
    <row r="53" spans="1:1" x14ac:dyDescent="0.3">
      <c r="A53" s="238"/>
    </row>
    <row r="54" spans="1:1" x14ac:dyDescent="0.3">
      <c r="A54" s="238"/>
    </row>
    <row r="55" spans="1:1" x14ac:dyDescent="0.3">
      <c r="A55" s="238"/>
    </row>
  </sheetData>
  <mergeCells count="10">
    <mergeCell ref="B33:F33"/>
    <mergeCell ref="A1:A7"/>
    <mergeCell ref="A9:A15"/>
    <mergeCell ref="A17:A23"/>
    <mergeCell ref="A25:A31"/>
    <mergeCell ref="A33:A39"/>
    <mergeCell ref="B1:F1"/>
    <mergeCell ref="B9:F9"/>
    <mergeCell ref="B17:F17"/>
    <mergeCell ref="B25:F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4214-D214-42AE-A2BE-25FCFC60A902}">
  <dimension ref="A1:AH73"/>
  <sheetViews>
    <sheetView zoomScale="85" zoomScaleNormal="85" workbookViewId="0">
      <selection activeCell="K9" sqref="K9"/>
    </sheetView>
  </sheetViews>
  <sheetFormatPr defaultColWidth="8.5546875" defaultRowHeight="14.4" x14ac:dyDescent="0.3"/>
  <cols>
    <col min="1" max="1" width="22.5546875"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38.44140625" style="62" customWidth="1"/>
    <col min="10" max="10" width="11" style="62" customWidth="1"/>
    <col min="11" max="32" width="13.44140625" style="62" customWidth="1"/>
    <col min="33" max="33" width="146.5546875" style="62" customWidth="1"/>
    <col min="34" max="16384" width="8.5546875" style="62"/>
  </cols>
  <sheetData>
    <row r="1" spans="1:34" ht="50.1" customHeight="1" x14ac:dyDescent="0.3">
      <c r="A1" s="1181" t="s">
        <v>2222</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2"/>
      <c r="AE1" s="1182"/>
      <c r="AF1" s="1182"/>
      <c r="AG1" s="1182"/>
    </row>
    <row r="2" spans="1:34"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4"/>
      <c r="AE2" s="1184"/>
      <c r="AF2" s="1184"/>
      <c r="AG2" s="1184"/>
    </row>
    <row r="3" spans="1:34"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4" ht="22.35" customHeight="1" x14ac:dyDescent="0.3">
      <c r="A4" s="1185" t="s">
        <v>2206</v>
      </c>
      <c r="B4" s="1185"/>
      <c r="C4" s="1186" t="s">
        <v>2207</v>
      </c>
      <c r="D4" s="1186"/>
      <c r="E4" s="1187" t="s">
        <v>50</v>
      </c>
      <c r="F4" s="1187"/>
      <c r="G4" s="1188" t="s">
        <v>51</v>
      </c>
      <c r="H4" s="1188"/>
      <c r="I4" s="1188"/>
      <c r="J4" s="1185" t="s">
        <v>53</v>
      </c>
      <c r="K4" s="1660"/>
      <c r="L4" s="1660"/>
      <c r="M4" s="1185" t="s">
        <v>54</v>
      </c>
      <c r="N4" s="1660"/>
      <c r="O4" s="47"/>
      <c r="P4" s="47"/>
      <c r="Q4" s="47"/>
      <c r="R4" s="47"/>
      <c r="S4" s="47"/>
      <c r="T4" s="47"/>
      <c r="U4" s="47"/>
      <c r="V4" s="47"/>
      <c r="W4" s="47"/>
      <c r="X4" s="47"/>
      <c r="Y4" s="47"/>
      <c r="Z4" s="47"/>
      <c r="AA4" s="47"/>
      <c r="AB4" s="47"/>
      <c r="AC4" s="47"/>
      <c r="AD4" s="47"/>
      <c r="AE4" s="47"/>
      <c r="AF4" s="47"/>
      <c r="AG4" s="47"/>
    </row>
    <row r="5" spans="1:34" ht="45" customHeight="1" x14ac:dyDescent="0.3">
      <c r="A5" s="1196">
        <v>0</v>
      </c>
      <c r="B5" s="1196"/>
      <c r="C5" s="1197">
        <f>SUM(G17:G68)</f>
        <v>0</v>
      </c>
      <c r="D5" s="1197"/>
      <c r="E5" s="1198">
        <f>SUM(I17:I68)</f>
        <v>0</v>
      </c>
      <c r="F5" s="1198"/>
      <c r="G5" s="1078">
        <f>SUMIF(L17:L68,"Real",AD17:AD68)</f>
        <v>0</v>
      </c>
      <c r="H5" s="1078"/>
      <c r="I5" s="1078"/>
      <c r="J5" s="1684" t="str">
        <f>IF(A5=0,"0",G5/A5)</f>
        <v>0</v>
      </c>
      <c r="K5" s="1685"/>
      <c r="L5" s="1685"/>
      <c r="M5" s="1060">
        <f ca="1">SUM(H9:H11)</f>
        <v>0</v>
      </c>
      <c r="N5" s="1061"/>
      <c r="O5" s="47"/>
      <c r="P5" s="47"/>
      <c r="Q5" s="47"/>
      <c r="R5" s="47"/>
      <c r="S5" s="47"/>
      <c r="T5" s="47"/>
      <c r="U5" s="47"/>
      <c r="V5" s="47"/>
      <c r="W5" s="47"/>
      <c r="X5" s="47"/>
      <c r="Y5" s="47"/>
      <c r="Z5" s="47"/>
      <c r="AA5" s="47"/>
      <c r="AB5" s="47"/>
      <c r="AC5" s="47"/>
      <c r="AD5" s="47"/>
      <c r="AE5" s="47"/>
      <c r="AF5" s="47"/>
      <c r="AG5" s="47"/>
    </row>
    <row r="6" spans="1:34"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4" ht="22.35" customHeight="1" x14ac:dyDescent="0.3">
      <c r="A7" s="1059" t="s">
        <v>2208</v>
      </c>
      <c r="B7" s="1059"/>
      <c r="C7" s="1059"/>
      <c r="D7" s="1059"/>
      <c r="E7" s="1059"/>
      <c r="F7" s="29"/>
      <c r="G7" s="1059" t="s">
        <v>59</v>
      </c>
      <c r="H7" s="1059"/>
      <c r="I7" s="1059"/>
      <c r="J7" s="20"/>
      <c r="K7" s="20"/>
      <c r="L7" s="20"/>
      <c r="M7" s="20"/>
      <c r="N7" s="20"/>
      <c r="O7" s="47"/>
      <c r="P7" s="47"/>
      <c r="Q7" s="47"/>
      <c r="R7" s="47"/>
      <c r="S7" s="47"/>
      <c r="T7" s="47"/>
      <c r="U7" s="47"/>
      <c r="V7" s="47"/>
      <c r="W7" s="47"/>
      <c r="X7" s="47"/>
      <c r="Y7" s="47"/>
      <c r="Z7" s="47"/>
      <c r="AA7" s="47"/>
      <c r="AB7" s="47"/>
      <c r="AC7" s="47"/>
      <c r="AD7" s="47"/>
      <c r="AE7" s="47"/>
      <c r="AF7" s="47"/>
      <c r="AG7" s="47"/>
    </row>
    <row r="8" spans="1:34" ht="18" customHeight="1" x14ac:dyDescent="0.3">
      <c r="A8" s="15" t="s">
        <v>62</v>
      </c>
      <c r="B8" s="15" t="s">
        <v>63</v>
      </c>
      <c r="C8" s="15" t="s">
        <v>64</v>
      </c>
      <c r="D8" s="15" t="s">
        <v>66</v>
      </c>
      <c r="E8" s="15" t="s">
        <v>131</v>
      </c>
      <c r="F8" s="29"/>
      <c r="G8" s="15" t="s">
        <v>67</v>
      </c>
      <c r="H8" s="15" t="s">
        <v>63</v>
      </c>
      <c r="I8" s="15" t="s">
        <v>68</v>
      </c>
      <c r="J8" s="20"/>
      <c r="K8" s="20"/>
      <c r="L8" s="20"/>
      <c r="M8" s="20"/>
      <c r="N8" s="20"/>
      <c r="O8" s="47"/>
      <c r="P8" s="47"/>
      <c r="Q8" s="47"/>
      <c r="R8" s="47"/>
      <c r="S8" s="47"/>
      <c r="T8" s="47"/>
      <c r="U8" s="47"/>
      <c r="V8" s="47"/>
      <c r="W8" s="47"/>
      <c r="X8" s="47"/>
      <c r="Y8" s="47"/>
      <c r="Z8" s="47"/>
      <c r="AA8" s="47"/>
      <c r="AB8" s="47"/>
      <c r="AC8" s="47"/>
      <c r="AD8" s="47"/>
      <c r="AE8" s="47"/>
      <c r="AF8" s="47"/>
      <c r="AG8" s="47"/>
    </row>
    <row r="9" spans="1:34" ht="18" customHeight="1" x14ac:dyDescent="0.3">
      <c r="A9" s="16" t="s">
        <v>76</v>
      </c>
      <c r="B9" s="17">
        <f>COUNTIF($A$17:$A$68,A9)</f>
        <v>0</v>
      </c>
      <c r="C9" s="18">
        <f>SUMIF($A$17:$A$68,A9,$I$17:$I$68)</f>
        <v>0</v>
      </c>
      <c r="D9" s="60" t="str">
        <f>IF($C$13=0,"",C9/$C$13)</f>
        <v/>
      </c>
      <c r="E9" s="19" t="str">
        <f>D9</f>
        <v/>
      </c>
      <c r="F9" s="29"/>
      <c r="G9" s="21" t="s">
        <v>77</v>
      </c>
      <c r="H9" s="24">
        <f ca="1">COUNTIF($AF$17:$AF$68,G9)</f>
        <v>0</v>
      </c>
      <c r="I9" s="193">
        <f>SUMIF($AG$17:$AG$68,G9,$G$17:$G$68)</f>
        <v>0</v>
      </c>
      <c r="J9" s="20"/>
      <c r="K9" s="20"/>
      <c r="L9" s="20"/>
      <c r="M9" s="20"/>
      <c r="N9" s="20"/>
      <c r="O9" s="47"/>
      <c r="P9" s="47"/>
      <c r="Q9" s="47"/>
      <c r="R9" s="47"/>
      <c r="S9" s="47"/>
      <c r="T9" s="47"/>
      <c r="U9" s="47"/>
      <c r="V9" s="47"/>
      <c r="W9" s="47"/>
      <c r="X9" s="47"/>
      <c r="Y9" s="47"/>
      <c r="Z9" s="47"/>
      <c r="AA9" s="47"/>
      <c r="AB9" s="47"/>
      <c r="AC9" s="47"/>
      <c r="AD9" s="47"/>
      <c r="AE9" s="47"/>
      <c r="AF9" s="47"/>
      <c r="AG9" s="47"/>
    </row>
    <row r="10" spans="1:34" ht="15.6" customHeight="1" x14ac:dyDescent="0.3">
      <c r="A10" s="16" t="s">
        <v>79</v>
      </c>
      <c r="B10" s="17">
        <f>COUNTIF($A$17:$A$68,A10)</f>
        <v>0</v>
      </c>
      <c r="C10" s="18">
        <f>SUMIF($A$17:$A$68,A10,$I$17:$I$68)</f>
        <v>0</v>
      </c>
      <c r="D10" s="60" t="str">
        <f t="shared" ref="D10:D11" si="0">IF($C$13=0,"",C10/$C$13)</f>
        <v/>
      </c>
      <c r="E10" s="19" t="str">
        <f t="shared" ref="E10:E11" si="1">D10</f>
        <v/>
      </c>
      <c r="F10" s="29"/>
      <c r="G10" s="22" t="s">
        <v>80</v>
      </c>
      <c r="H10" s="25">
        <f ca="1">COUNTIF($AF$17:$AF$68,G10)</f>
        <v>0</v>
      </c>
      <c r="I10" s="194">
        <f>SUMIF($AG$17:$AG$68,G10,$G$17:$G$68)</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4" ht="15.6" customHeight="1" x14ac:dyDescent="0.3">
      <c r="A11" s="16" t="s">
        <v>82</v>
      </c>
      <c r="B11" s="17">
        <f>COUNTIF($A$17:$A$68,A11)</f>
        <v>0</v>
      </c>
      <c r="C11" s="18">
        <f>SUMIF($A$17:$A$68,A11,$I$17:$I$68)</f>
        <v>0</v>
      </c>
      <c r="D11" s="60" t="str">
        <f t="shared" si="0"/>
        <v/>
      </c>
      <c r="E11" s="19" t="str">
        <f t="shared" si="1"/>
        <v/>
      </c>
      <c r="F11" s="29"/>
      <c r="G11" s="23" t="s">
        <v>83</v>
      </c>
      <c r="H11" s="26">
        <f>COUNTIF($AG$17:$AG$68,G11)</f>
        <v>0</v>
      </c>
      <c r="I11" s="195">
        <f>SUMIF($AG$17:$AG$68,G11,$G$17:$G$68)</f>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4" ht="15.6" customHeight="1" x14ac:dyDescent="0.3">
      <c r="A12" s="16" t="s">
        <v>85</v>
      </c>
      <c r="B12" s="17">
        <f>COUNTIF($A$17:$A$68,A12)</f>
        <v>0</v>
      </c>
      <c r="C12" s="18">
        <f>SUMIF($A$17:$A$68,A12,$I$17:$I$68)</f>
        <v>0</v>
      </c>
      <c r="D12" s="60" t="str">
        <f t="shared" ref="D12" si="2">IF($C$13=0,"",C12/$C$13)</f>
        <v/>
      </c>
      <c r="E12" s="19" t="str">
        <f t="shared" ref="E12" si="3">D12</f>
        <v/>
      </c>
      <c r="F12" s="29"/>
      <c r="G12" s="20"/>
      <c r="H12" s="20"/>
      <c r="I12" s="20"/>
      <c r="J12" s="20"/>
      <c r="K12" s="20"/>
      <c r="L12" s="20"/>
      <c r="M12" s="20"/>
      <c r="N12" s="20"/>
      <c r="O12" s="47"/>
      <c r="P12" s="47"/>
      <c r="Q12" s="47"/>
      <c r="R12" s="47"/>
      <c r="S12" s="47"/>
      <c r="T12" s="47"/>
      <c r="U12" s="47"/>
      <c r="V12" s="47"/>
      <c r="W12" s="47"/>
      <c r="X12" s="47"/>
      <c r="Y12" s="47"/>
      <c r="Z12" s="47"/>
      <c r="AA12" s="47"/>
      <c r="AB12" s="47"/>
      <c r="AC12" s="47"/>
      <c r="AD12" s="47"/>
      <c r="AE12" s="47"/>
      <c r="AF12" s="47"/>
      <c r="AG12" s="47"/>
    </row>
    <row r="13" spans="1:34" ht="18" x14ac:dyDescent="0.35">
      <c r="A13" s="173" t="s">
        <v>29</v>
      </c>
      <c r="B13" s="174">
        <f>SUM(B9:B12)</f>
        <v>0</v>
      </c>
      <c r="C13" s="30">
        <f>SUM(C9:C12)</f>
        <v>0</v>
      </c>
      <c r="D13" s="171" t="str">
        <f>IF(C13=0,"0%",AVERAGE(D9:D12))</f>
        <v>0%</v>
      </c>
      <c r="E13" s="20"/>
      <c r="F13" s="29"/>
      <c r="G13" s="20"/>
      <c r="H13" s="20"/>
      <c r="I13" s="20"/>
      <c r="J13" s="20"/>
      <c r="K13" s="176"/>
      <c r="L13" s="1661"/>
      <c r="M13" s="1661"/>
      <c r="N13" s="1661"/>
      <c r="O13" s="47"/>
      <c r="P13" s="47"/>
      <c r="Q13" s="47"/>
      <c r="R13" s="47"/>
      <c r="S13" s="47"/>
      <c r="T13" s="47"/>
      <c r="U13" s="47"/>
      <c r="V13" s="47"/>
      <c r="W13" s="47"/>
      <c r="X13" s="47"/>
      <c r="Y13" s="47"/>
      <c r="Z13" s="47"/>
      <c r="AA13" s="47"/>
      <c r="AB13" s="47"/>
      <c r="AC13" s="47"/>
      <c r="AD13" s="47"/>
      <c r="AE13" s="47"/>
      <c r="AF13" s="47"/>
      <c r="AG13" s="47"/>
    </row>
    <row r="14" spans="1:34"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row>
    <row r="15" spans="1:34" ht="15.6" x14ac:dyDescent="0.3">
      <c r="A15" s="208" t="s">
        <v>252</v>
      </c>
      <c r="B15" s="208"/>
      <c r="C15" s="208"/>
      <c r="D15" s="208"/>
      <c r="E15" s="208"/>
      <c r="F15" s="208"/>
      <c r="G15" s="208"/>
      <c r="H15" s="208"/>
      <c r="I15" s="208"/>
      <c r="J15" s="82"/>
      <c r="K15" s="208"/>
      <c r="L15" s="82"/>
      <c r="M15" s="204" t="s">
        <v>253</v>
      </c>
      <c r="N15" s="204"/>
      <c r="O15" s="204"/>
      <c r="P15" s="204"/>
      <c r="Q15" s="204" t="s">
        <v>254</v>
      </c>
      <c r="R15" s="204"/>
      <c r="S15" s="204"/>
      <c r="T15" s="204"/>
      <c r="U15" s="204" t="s">
        <v>255</v>
      </c>
      <c r="V15" s="204"/>
      <c r="W15" s="204"/>
      <c r="X15" s="204"/>
      <c r="Y15" s="204" t="s">
        <v>256</v>
      </c>
      <c r="Z15" s="204"/>
      <c r="AA15" s="204"/>
      <c r="AB15" s="204"/>
      <c r="AC15" s="83"/>
      <c r="AD15" s="83"/>
      <c r="AE15" s="82"/>
      <c r="AF15" s="82"/>
      <c r="AG15" s="82"/>
      <c r="AH15" s="82"/>
    </row>
    <row r="16" spans="1:34" ht="36" x14ac:dyDescent="0.3">
      <c r="A16" s="84" t="s">
        <v>914</v>
      </c>
      <c r="B16" s="84" t="s">
        <v>259</v>
      </c>
      <c r="C16" s="84" t="s">
        <v>261</v>
      </c>
      <c r="D16" s="84" t="s">
        <v>262</v>
      </c>
      <c r="E16" s="84" t="s">
        <v>263</v>
      </c>
      <c r="F16" s="84" t="s">
        <v>264</v>
      </c>
      <c r="G16" s="84" t="s">
        <v>2210</v>
      </c>
      <c r="H16" s="7" t="s">
        <v>916</v>
      </c>
      <c r="I16" s="7" t="s">
        <v>270</v>
      </c>
      <c r="J16" s="84" t="s">
        <v>67</v>
      </c>
      <c r="K16" s="84" t="s">
        <v>2223</v>
      </c>
      <c r="L16" s="84"/>
      <c r="M16" s="85">
        <v>46023</v>
      </c>
      <c r="N16" s="85">
        <v>46054</v>
      </c>
      <c r="O16" s="85">
        <v>46082</v>
      </c>
      <c r="P16" s="86" t="s">
        <v>273</v>
      </c>
      <c r="Q16" s="85">
        <v>46113</v>
      </c>
      <c r="R16" s="85">
        <v>46143</v>
      </c>
      <c r="S16" s="85">
        <v>46174</v>
      </c>
      <c r="T16" s="86" t="s">
        <v>274</v>
      </c>
      <c r="U16" s="85">
        <v>46204</v>
      </c>
      <c r="V16" s="85">
        <v>46235</v>
      </c>
      <c r="W16" s="85">
        <v>46266</v>
      </c>
      <c r="X16" s="86" t="s">
        <v>275</v>
      </c>
      <c r="Y16" s="85">
        <v>46296</v>
      </c>
      <c r="Z16" s="85">
        <v>46327</v>
      </c>
      <c r="AA16" s="85">
        <v>46357</v>
      </c>
      <c r="AB16" s="84" t="s">
        <v>276</v>
      </c>
      <c r="AC16" s="84" t="s">
        <v>277</v>
      </c>
      <c r="AD16" s="84" t="s">
        <v>277</v>
      </c>
      <c r="AE16" s="84" t="s">
        <v>2212</v>
      </c>
      <c r="AF16" s="84" t="s">
        <v>272</v>
      </c>
      <c r="AG16" s="84" t="s">
        <v>67</v>
      </c>
      <c r="AH16" s="84" t="s">
        <v>278</v>
      </c>
    </row>
    <row r="17" spans="1:34" s="120" customFormat="1" ht="20.85" customHeight="1" x14ac:dyDescent="0.3">
      <c r="A17" s="1040"/>
      <c r="B17" s="1040"/>
      <c r="C17" s="1303"/>
      <c r="D17" s="1040"/>
      <c r="E17" s="1117"/>
      <c r="F17" s="1117"/>
      <c r="G17" s="1046"/>
      <c r="H17" s="1686"/>
      <c r="I17" s="1682"/>
      <c r="J17" s="1048"/>
      <c r="K17" s="1062"/>
      <c r="L17" s="115" t="s">
        <v>106</v>
      </c>
      <c r="M17" s="116"/>
      <c r="N17" s="116"/>
      <c r="O17" s="116"/>
      <c r="P17" s="117">
        <f>SUM(M17:O17)</f>
        <v>0</v>
      </c>
      <c r="Q17" s="116"/>
      <c r="R17" s="116"/>
      <c r="S17" s="116"/>
      <c r="T17" s="117">
        <f t="shared" ref="T17:T42" si="4">SUM(Q17:S17)</f>
        <v>0</v>
      </c>
      <c r="U17" s="116"/>
      <c r="V17" s="116"/>
      <c r="W17" s="116"/>
      <c r="X17" s="117">
        <f t="shared" ref="X17:X68" si="5">SUM(U17:W17)</f>
        <v>0</v>
      </c>
      <c r="Y17" s="116"/>
      <c r="Z17" s="116"/>
      <c r="AA17" s="116"/>
      <c r="AB17" s="117">
        <f t="shared" ref="AB17:AB68" si="6">SUM(Y17:AA17)</f>
        <v>0</v>
      </c>
      <c r="AC17" s="116"/>
      <c r="AD17" s="118">
        <f>SUM(Q17,U17,Y17,AC17)</f>
        <v>0</v>
      </c>
      <c r="AE17" s="118" t="str">
        <f>IF(K17=0,"0",AD17/K17)</f>
        <v>0</v>
      </c>
      <c r="AF17" s="119" t="str">
        <f ca="1">IF(OR(F17="", G17=""), "", IF(TODAY()&lt;F17, 0, IF(TODAY()&gt;G17, 1, (TODAY()-F17+1)/(G17-F17+1))))</f>
        <v/>
      </c>
      <c r="AG17" s="183"/>
      <c r="AH17" s="98"/>
    </row>
    <row r="18" spans="1:34" s="120" customFormat="1" ht="20.85" customHeight="1" x14ac:dyDescent="0.3">
      <c r="A18" s="1041"/>
      <c r="B18" s="1041"/>
      <c r="C18" s="1304"/>
      <c r="D18" s="1041"/>
      <c r="E18" s="1118"/>
      <c r="F18" s="1118"/>
      <c r="G18" s="1047"/>
      <c r="H18" s="1687"/>
      <c r="I18" s="1683"/>
      <c r="J18" s="1049"/>
      <c r="K18" s="1063"/>
      <c r="L18" s="115" t="s">
        <v>107</v>
      </c>
      <c r="M18" s="116"/>
      <c r="N18" s="116"/>
      <c r="O18" s="116"/>
      <c r="P18" s="117">
        <f>SUM(M18:O18)</f>
        <v>0</v>
      </c>
      <c r="Q18" s="116"/>
      <c r="R18" s="116"/>
      <c r="S18" s="116"/>
      <c r="T18" s="117">
        <f t="shared" si="4"/>
        <v>0</v>
      </c>
      <c r="U18" s="116"/>
      <c r="V18" s="116"/>
      <c r="W18" s="116"/>
      <c r="X18" s="117">
        <f t="shared" si="5"/>
        <v>0</v>
      </c>
      <c r="Y18" s="116"/>
      <c r="Z18" s="116"/>
      <c r="AA18" s="116"/>
      <c r="AB18" s="117">
        <f t="shared" si="6"/>
        <v>0</v>
      </c>
      <c r="AC18" s="116"/>
      <c r="AD18" s="118">
        <f t="shared" ref="AD18:AD68" si="7">SUM(Q18,U18,Y18,AC18)</f>
        <v>0</v>
      </c>
      <c r="AE18" s="118" t="str">
        <f t="shared" ref="AE18:AE68" si="8">IF(K18=0,"0",AD18/K18)</f>
        <v>0</v>
      </c>
      <c r="AF18" s="119"/>
      <c r="AG18" s="184"/>
      <c r="AH18" s="98"/>
    </row>
    <row r="19" spans="1:34" s="120" customFormat="1" ht="20.85" customHeight="1" x14ac:dyDescent="0.3">
      <c r="A19" s="1142"/>
      <c r="B19" s="1099"/>
      <c r="C19" s="1363"/>
      <c r="D19" s="1099"/>
      <c r="E19" s="1101"/>
      <c r="F19" s="1101"/>
      <c r="G19" s="1672"/>
      <c r="H19" s="1674"/>
      <c r="I19" s="1680"/>
      <c r="J19" s="1367"/>
      <c r="K19" s="1064"/>
      <c r="L19" s="121" t="s">
        <v>106</v>
      </c>
      <c r="M19" s="122"/>
      <c r="N19" s="122"/>
      <c r="O19" s="122"/>
      <c r="P19" s="117">
        <f t="shared" ref="P19:P43" si="9">SUM(M19:O19)</f>
        <v>0</v>
      </c>
      <c r="Q19" s="122"/>
      <c r="R19" s="122"/>
      <c r="S19" s="122"/>
      <c r="T19" s="117">
        <f t="shared" si="4"/>
        <v>0</v>
      </c>
      <c r="U19" s="122"/>
      <c r="V19" s="122"/>
      <c r="W19" s="122"/>
      <c r="X19" s="117">
        <f t="shared" si="5"/>
        <v>0</v>
      </c>
      <c r="Y19" s="122"/>
      <c r="Z19" s="122"/>
      <c r="AA19" s="122"/>
      <c r="AB19" s="117">
        <f t="shared" si="6"/>
        <v>0</v>
      </c>
      <c r="AC19" s="122"/>
      <c r="AD19" s="123">
        <f t="shared" si="7"/>
        <v>0</v>
      </c>
      <c r="AE19" s="123" t="str">
        <f t="shared" si="8"/>
        <v>0</v>
      </c>
      <c r="AF19" s="124" t="str">
        <f ca="1">IF(OR(F19="", G19=""), "", IF(TODAY()&lt;F19, 0, IF(TODAY()&gt;G19, 1, (TODAY()-F19+1)/(G19-F19+1))))</f>
        <v/>
      </c>
      <c r="AG19" s="206"/>
      <c r="AH19" s="125"/>
    </row>
    <row r="20" spans="1:34" s="120" customFormat="1" ht="20.85" customHeight="1" x14ac:dyDescent="0.3">
      <c r="A20" s="1143"/>
      <c r="B20" s="1100"/>
      <c r="C20" s="1364"/>
      <c r="D20" s="1100"/>
      <c r="E20" s="1102"/>
      <c r="F20" s="1102"/>
      <c r="G20" s="1673"/>
      <c r="H20" s="1675"/>
      <c r="I20" s="1681"/>
      <c r="J20" s="1368"/>
      <c r="K20" s="1065"/>
      <c r="L20" s="121" t="s">
        <v>107</v>
      </c>
      <c r="M20" s="122"/>
      <c r="N20" s="122"/>
      <c r="O20" s="122"/>
      <c r="P20" s="117">
        <f t="shared" si="9"/>
        <v>0</v>
      </c>
      <c r="Q20" s="122"/>
      <c r="R20" s="122"/>
      <c r="S20" s="122"/>
      <c r="T20" s="117">
        <f t="shared" si="4"/>
        <v>0</v>
      </c>
      <c r="U20" s="122"/>
      <c r="V20" s="122"/>
      <c r="W20" s="122"/>
      <c r="X20" s="117">
        <f t="shared" si="5"/>
        <v>0</v>
      </c>
      <c r="Y20" s="122"/>
      <c r="Z20" s="122"/>
      <c r="AA20" s="122"/>
      <c r="AB20" s="117">
        <f t="shared" si="6"/>
        <v>0</v>
      </c>
      <c r="AC20" s="122"/>
      <c r="AD20" s="123">
        <f t="shared" si="7"/>
        <v>0</v>
      </c>
      <c r="AE20" s="123" t="str">
        <f t="shared" si="8"/>
        <v>0</v>
      </c>
      <c r="AF20" s="124"/>
      <c r="AG20" s="207"/>
      <c r="AH20" s="125"/>
    </row>
    <row r="21" spans="1:34" s="120" customFormat="1" ht="20.85" customHeight="1" x14ac:dyDescent="0.3">
      <c r="A21" s="1040"/>
      <c r="B21" s="1040"/>
      <c r="C21" s="1303"/>
      <c r="D21" s="1040"/>
      <c r="E21" s="1117"/>
      <c r="F21" s="1117"/>
      <c r="G21" s="1046"/>
      <c r="H21" s="1670"/>
      <c r="I21" s="1682"/>
      <c r="J21" s="1048"/>
      <c r="K21" s="1062"/>
      <c r="L21" s="115" t="s">
        <v>106</v>
      </c>
      <c r="M21" s="116"/>
      <c r="N21" s="116"/>
      <c r="O21" s="116"/>
      <c r="P21" s="117">
        <f t="shared" si="9"/>
        <v>0</v>
      </c>
      <c r="Q21" s="116"/>
      <c r="R21" s="116"/>
      <c r="S21" s="116"/>
      <c r="T21" s="117">
        <f t="shared" si="4"/>
        <v>0</v>
      </c>
      <c r="U21" s="116"/>
      <c r="V21" s="116"/>
      <c r="W21" s="116"/>
      <c r="X21" s="117">
        <f t="shared" si="5"/>
        <v>0</v>
      </c>
      <c r="Y21" s="116"/>
      <c r="Z21" s="116"/>
      <c r="AA21" s="116"/>
      <c r="AB21" s="117">
        <f t="shared" si="6"/>
        <v>0</v>
      </c>
      <c r="AC21" s="116"/>
      <c r="AD21" s="118">
        <f t="shared" si="7"/>
        <v>0</v>
      </c>
      <c r="AE21" s="118" t="str">
        <f t="shared" si="8"/>
        <v>0</v>
      </c>
      <c r="AF21" s="119" t="str">
        <f ca="1">IF(OR(F21="", G21=""), "", IF(TODAY()&lt;F21, 0, IF(TODAY()&gt;G21, 1, (TODAY()-F21+1)/(G21-F21+1))))</f>
        <v/>
      </c>
      <c r="AG21" s="183"/>
      <c r="AH21" s="98"/>
    </row>
    <row r="22" spans="1:34" s="120" customFormat="1" ht="20.85" customHeight="1" x14ac:dyDescent="0.3">
      <c r="A22" s="1041"/>
      <c r="B22" s="1041"/>
      <c r="C22" s="1304"/>
      <c r="D22" s="1041"/>
      <c r="E22" s="1118"/>
      <c r="F22" s="1118"/>
      <c r="G22" s="1047"/>
      <c r="H22" s="1671"/>
      <c r="I22" s="1683"/>
      <c r="J22" s="1049"/>
      <c r="K22" s="1063"/>
      <c r="L22" s="115" t="s">
        <v>107</v>
      </c>
      <c r="M22" s="116"/>
      <c r="N22" s="116"/>
      <c r="O22" s="116"/>
      <c r="P22" s="117">
        <f t="shared" si="9"/>
        <v>0</v>
      </c>
      <c r="Q22" s="116"/>
      <c r="R22" s="116"/>
      <c r="S22" s="116"/>
      <c r="T22" s="117">
        <f t="shared" si="4"/>
        <v>0</v>
      </c>
      <c r="U22" s="116"/>
      <c r="V22" s="116"/>
      <c r="W22" s="116"/>
      <c r="X22" s="117">
        <f t="shared" si="5"/>
        <v>0</v>
      </c>
      <c r="Y22" s="116"/>
      <c r="Z22" s="116"/>
      <c r="AA22" s="116"/>
      <c r="AB22" s="117">
        <f t="shared" si="6"/>
        <v>0</v>
      </c>
      <c r="AC22" s="116"/>
      <c r="AD22" s="118">
        <f t="shared" si="7"/>
        <v>0</v>
      </c>
      <c r="AE22" s="118" t="str">
        <f t="shared" si="8"/>
        <v>0</v>
      </c>
      <c r="AF22" s="119"/>
      <c r="AG22" s="184"/>
      <c r="AH22" s="98"/>
    </row>
    <row r="23" spans="1:34" s="120" customFormat="1" ht="20.85" customHeight="1" x14ac:dyDescent="0.3">
      <c r="A23" s="1142"/>
      <c r="B23" s="1099"/>
      <c r="C23" s="1363"/>
      <c r="D23" s="1099"/>
      <c r="E23" s="1101"/>
      <c r="F23" s="1101"/>
      <c r="G23" s="1672"/>
      <c r="H23" s="1674"/>
      <c r="I23" s="1680"/>
      <c r="J23" s="1367"/>
      <c r="K23" s="1064"/>
      <c r="L23" s="121" t="s">
        <v>106</v>
      </c>
      <c r="M23" s="122"/>
      <c r="N23" s="122"/>
      <c r="O23" s="122"/>
      <c r="P23" s="117">
        <f t="shared" si="9"/>
        <v>0</v>
      </c>
      <c r="Q23" s="122"/>
      <c r="R23" s="122"/>
      <c r="S23" s="122"/>
      <c r="T23" s="117">
        <f t="shared" si="4"/>
        <v>0</v>
      </c>
      <c r="U23" s="122"/>
      <c r="V23" s="122"/>
      <c r="W23" s="122"/>
      <c r="X23" s="117">
        <f t="shared" si="5"/>
        <v>0</v>
      </c>
      <c r="Y23" s="122"/>
      <c r="Z23" s="122"/>
      <c r="AA23" s="122"/>
      <c r="AB23" s="117">
        <f t="shared" si="6"/>
        <v>0</v>
      </c>
      <c r="AC23" s="122"/>
      <c r="AD23" s="123">
        <f t="shared" si="7"/>
        <v>0</v>
      </c>
      <c r="AE23" s="123" t="str">
        <f t="shared" si="8"/>
        <v>0</v>
      </c>
      <c r="AF23" s="124" t="str">
        <f ca="1">IF(OR(F23="", G23=""), "", IF(TODAY()&lt;F23, 0, IF(TODAY()&gt;G23, 1, (TODAY()-F23+1)/(G23-F23+1))))</f>
        <v/>
      </c>
      <c r="AG23" s="206"/>
      <c r="AH23" s="125"/>
    </row>
    <row r="24" spans="1:34" s="120" customFormat="1" ht="20.85" customHeight="1" x14ac:dyDescent="0.3">
      <c r="A24" s="1143"/>
      <c r="B24" s="1100"/>
      <c r="C24" s="1364"/>
      <c r="D24" s="1100"/>
      <c r="E24" s="1102"/>
      <c r="F24" s="1102"/>
      <c r="G24" s="1673"/>
      <c r="H24" s="1675"/>
      <c r="I24" s="1681"/>
      <c r="J24" s="1368"/>
      <c r="K24" s="1065"/>
      <c r="L24" s="121" t="s">
        <v>107</v>
      </c>
      <c r="M24" s="122"/>
      <c r="N24" s="122"/>
      <c r="O24" s="122"/>
      <c r="P24" s="117">
        <f t="shared" si="9"/>
        <v>0</v>
      </c>
      <c r="Q24" s="122"/>
      <c r="R24" s="122"/>
      <c r="S24" s="122"/>
      <c r="T24" s="117">
        <f t="shared" si="4"/>
        <v>0</v>
      </c>
      <c r="U24" s="122"/>
      <c r="V24" s="122"/>
      <c r="W24" s="122"/>
      <c r="X24" s="117">
        <f t="shared" si="5"/>
        <v>0</v>
      </c>
      <c r="Y24" s="122"/>
      <c r="Z24" s="122"/>
      <c r="AA24" s="122"/>
      <c r="AB24" s="117">
        <f t="shared" si="6"/>
        <v>0</v>
      </c>
      <c r="AC24" s="122"/>
      <c r="AD24" s="123">
        <f t="shared" si="7"/>
        <v>0</v>
      </c>
      <c r="AE24" s="123" t="str">
        <f t="shared" si="8"/>
        <v>0</v>
      </c>
      <c r="AF24" s="124"/>
      <c r="AG24" s="207"/>
      <c r="AH24" s="125"/>
    </row>
    <row r="25" spans="1:34" s="120" customFormat="1" ht="20.85" customHeight="1" x14ac:dyDescent="0.3">
      <c r="A25" s="1040"/>
      <c r="B25" s="1040"/>
      <c r="C25" s="1303"/>
      <c r="D25" s="1040"/>
      <c r="E25" s="1117"/>
      <c r="F25" s="1117"/>
      <c r="G25" s="1046"/>
      <c r="H25" s="1670"/>
      <c r="I25" s="1682"/>
      <c r="J25" s="1048"/>
      <c r="K25" s="1062"/>
      <c r="L25" s="115" t="s">
        <v>106</v>
      </c>
      <c r="M25" s="116"/>
      <c r="N25" s="116"/>
      <c r="O25" s="116"/>
      <c r="P25" s="117">
        <f t="shared" si="9"/>
        <v>0</v>
      </c>
      <c r="Q25" s="116"/>
      <c r="R25" s="116"/>
      <c r="S25" s="116"/>
      <c r="T25" s="117">
        <f t="shared" si="4"/>
        <v>0</v>
      </c>
      <c r="U25" s="116"/>
      <c r="V25" s="116"/>
      <c r="W25" s="116"/>
      <c r="X25" s="117">
        <f t="shared" si="5"/>
        <v>0</v>
      </c>
      <c r="Y25" s="116"/>
      <c r="Z25" s="116"/>
      <c r="AA25" s="116"/>
      <c r="AB25" s="117">
        <f t="shared" si="6"/>
        <v>0</v>
      </c>
      <c r="AC25" s="116"/>
      <c r="AD25" s="118">
        <f t="shared" si="7"/>
        <v>0</v>
      </c>
      <c r="AE25" s="118" t="str">
        <f t="shared" si="8"/>
        <v>0</v>
      </c>
      <c r="AF25" s="119" t="str">
        <f ca="1">IF(OR(F25="", G25=""), "", IF(TODAY()&lt;F25, 0, IF(TODAY()&gt;G25, 1, (TODAY()-F25+1)/(G25-F25+1))))</f>
        <v/>
      </c>
      <c r="AG25" s="183"/>
      <c r="AH25" s="98"/>
    </row>
    <row r="26" spans="1:34" s="120" customFormat="1" ht="20.85" customHeight="1" x14ac:dyDescent="0.3">
      <c r="A26" s="1041"/>
      <c r="B26" s="1041"/>
      <c r="C26" s="1304"/>
      <c r="D26" s="1041"/>
      <c r="E26" s="1118"/>
      <c r="F26" s="1118"/>
      <c r="G26" s="1047"/>
      <c r="H26" s="1671"/>
      <c r="I26" s="1683"/>
      <c r="J26" s="1049"/>
      <c r="K26" s="1063"/>
      <c r="L26" s="115" t="s">
        <v>107</v>
      </c>
      <c r="M26" s="116"/>
      <c r="N26" s="116"/>
      <c r="O26" s="116"/>
      <c r="P26" s="117">
        <f t="shared" si="9"/>
        <v>0</v>
      </c>
      <c r="Q26" s="116"/>
      <c r="R26" s="116"/>
      <c r="S26" s="116"/>
      <c r="T26" s="117">
        <f t="shared" si="4"/>
        <v>0</v>
      </c>
      <c r="U26" s="116"/>
      <c r="V26" s="116"/>
      <c r="W26" s="116"/>
      <c r="X26" s="117">
        <f t="shared" si="5"/>
        <v>0</v>
      </c>
      <c r="Y26" s="116"/>
      <c r="Z26" s="116"/>
      <c r="AA26" s="116"/>
      <c r="AB26" s="117">
        <f t="shared" si="6"/>
        <v>0</v>
      </c>
      <c r="AC26" s="116"/>
      <c r="AD26" s="118">
        <f t="shared" si="7"/>
        <v>0</v>
      </c>
      <c r="AE26" s="118" t="str">
        <f t="shared" si="8"/>
        <v>0</v>
      </c>
      <c r="AF26" s="119"/>
      <c r="AG26" s="184"/>
      <c r="AH26" s="98"/>
    </row>
    <row r="27" spans="1:34" s="120" customFormat="1" ht="20.85" customHeight="1" x14ac:dyDescent="0.3">
      <c r="A27" s="1142"/>
      <c r="B27" s="1099"/>
      <c r="C27" s="1363"/>
      <c r="D27" s="1099"/>
      <c r="E27" s="1101"/>
      <c r="F27" s="1101"/>
      <c r="G27" s="1672"/>
      <c r="H27" s="1674"/>
      <c r="I27" s="1680"/>
      <c r="J27" s="1367"/>
      <c r="K27" s="1064"/>
      <c r="L27" s="121" t="s">
        <v>106</v>
      </c>
      <c r="M27" s="122"/>
      <c r="N27" s="122"/>
      <c r="O27" s="122"/>
      <c r="P27" s="117">
        <f t="shared" si="9"/>
        <v>0</v>
      </c>
      <c r="Q27" s="122"/>
      <c r="R27" s="122"/>
      <c r="S27" s="122"/>
      <c r="T27" s="117">
        <f t="shared" si="4"/>
        <v>0</v>
      </c>
      <c r="U27" s="122"/>
      <c r="V27" s="122"/>
      <c r="W27" s="122"/>
      <c r="X27" s="117">
        <f t="shared" si="5"/>
        <v>0</v>
      </c>
      <c r="Y27" s="122"/>
      <c r="Z27" s="122"/>
      <c r="AA27" s="122"/>
      <c r="AB27" s="117">
        <f t="shared" si="6"/>
        <v>0</v>
      </c>
      <c r="AC27" s="122"/>
      <c r="AD27" s="123">
        <f t="shared" si="7"/>
        <v>0</v>
      </c>
      <c r="AE27" s="123" t="str">
        <f t="shared" si="8"/>
        <v>0</v>
      </c>
      <c r="AF27" s="124" t="str">
        <f ca="1">IF(OR(F27="", G27=""), "", IF(TODAY()&lt;F27, 0, IF(TODAY()&gt;G27, 1, (TODAY()-F27+1)/(G27-F27+1))))</f>
        <v/>
      </c>
      <c r="AG27" s="206"/>
      <c r="AH27" s="125"/>
    </row>
    <row r="28" spans="1:34" s="120" customFormat="1" ht="20.85" customHeight="1" x14ac:dyDescent="0.3">
      <c r="A28" s="1143"/>
      <c r="B28" s="1100"/>
      <c r="C28" s="1364"/>
      <c r="D28" s="1100"/>
      <c r="E28" s="1102"/>
      <c r="F28" s="1102"/>
      <c r="G28" s="1673"/>
      <c r="H28" s="1675"/>
      <c r="I28" s="1681"/>
      <c r="J28" s="1368"/>
      <c r="K28" s="1065"/>
      <c r="L28" s="121" t="s">
        <v>107</v>
      </c>
      <c r="M28" s="122"/>
      <c r="N28" s="122"/>
      <c r="O28" s="122"/>
      <c r="P28" s="117">
        <f t="shared" si="9"/>
        <v>0</v>
      </c>
      <c r="Q28" s="122"/>
      <c r="R28" s="122"/>
      <c r="S28" s="122"/>
      <c r="T28" s="117">
        <f t="shared" si="4"/>
        <v>0</v>
      </c>
      <c r="U28" s="122"/>
      <c r="V28" s="122"/>
      <c r="W28" s="122"/>
      <c r="X28" s="117">
        <f t="shared" si="5"/>
        <v>0</v>
      </c>
      <c r="Y28" s="122"/>
      <c r="Z28" s="122"/>
      <c r="AA28" s="122"/>
      <c r="AB28" s="117">
        <f t="shared" si="6"/>
        <v>0</v>
      </c>
      <c r="AC28" s="122"/>
      <c r="AD28" s="123">
        <f t="shared" si="7"/>
        <v>0</v>
      </c>
      <c r="AE28" s="123" t="str">
        <f t="shared" si="8"/>
        <v>0</v>
      </c>
      <c r="AF28" s="124"/>
      <c r="AG28" s="207"/>
      <c r="AH28" s="125"/>
    </row>
    <row r="29" spans="1:34" s="120" customFormat="1" ht="20.85" customHeight="1" x14ac:dyDescent="0.3">
      <c r="A29" s="1040"/>
      <c r="B29" s="1040"/>
      <c r="C29" s="1303"/>
      <c r="D29" s="1040"/>
      <c r="E29" s="1117"/>
      <c r="F29" s="1117"/>
      <c r="G29" s="1046"/>
      <c r="H29" s="1670"/>
      <c r="I29" s="1682"/>
      <c r="J29" s="1048"/>
      <c r="K29" s="1062"/>
      <c r="L29" s="115" t="s">
        <v>106</v>
      </c>
      <c r="M29" s="116"/>
      <c r="N29" s="116"/>
      <c r="O29" s="116"/>
      <c r="P29" s="117">
        <f t="shared" si="9"/>
        <v>0</v>
      </c>
      <c r="Q29" s="116"/>
      <c r="R29" s="116"/>
      <c r="S29" s="116"/>
      <c r="T29" s="117">
        <f t="shared" si="4"/>
        <v>0</v>
      </c>
      <c r="U29" s="116"/>
      <c r="V29" s="116"/>
      <c r="W29" s="116"/>
      <c r="X29" s="117">
        <f t="shared" si="5"/>
        <v>0</v>
      </c>
      <c r="Y29" s="116"/>
      <c r="Z29" s="116"/>
      <c r="AA29" s="116"/>
      <c r="AB29" s="117">
        <f t="shared" si="6"/>
        <v>0</v>
      </c>
      <c r="AC29" s="116"/>
      <c r="AD29" s="118">
        <f t="shared" si="7"/>
        <v>0</v>
      </c>
      <c r="AE29" s="118" t="str">
        <f t="shared" si="8"/>
        <v>0</v>
      </c>
      <c r="AF29" s="119" t="str">
        <f ca="1">IF(OR(F29="", G29=""), "", IF(TODAY()&lt;F29, 0, IF(TODAY()&gt;G29, 1, (TODAY()-F29+1)/(G29-F29+1))))</f>
        <v/>
      </c>
      <c r="AG29" s="183"/>
      <c r="AH29" s="98"/>
    </row>
    <row r="30" spans="1:34" s="120" customFormat="1" ht="20.85" customHeight="1" x14ac:dyDescent="0.3">
      <c r="A30" s="1041"/>
      <c r="B30" s="1041"/>
      <c r="C30" s="1304"/>
      <c r="D30" s="1041"/>
      <c r="E30" s="1118"/>
      <c r="F30" s="1118"/>
      <c r="G30" s="1047"/>
      <c r="H30" s="1671"/>
      <c r="I30" s="1683"/>
      <c r="J30" s="1049"/>
      <c r="K30" s="1063"/>
      <c r="L30" s="115" t="s">
        <v>107</v>
      </c>
      <c r="M30" s="116"/>
      <c r="N30" s="116"/>
      <c r="O30" s="116"/>
      <c r="P30" s="117">
        <f t="shared" si="9"/>
        <v>0</v>
      </c>
      <c r="Q30" s="116"/>
      <c r="R30" s="116"/>
      <c r="S30" s="116"/>
      <c r="T30" s="117">
        <f t="shared" si="4"/>
        <v>0</v>
      </c>
      <c r="U30" s="116"/>
      <c r="V30" s="116"/>
      <c r="W30" s="116"/>
      <c r="X30" s="117">
        <f t="shared" si="5"/>
        <v>0</v>
      </c>
      <c r="Y30" s="116"/>
      <c r="Z30" s="116"/>
      <c r="AA30" s="116"/>
      <c r="AB30" s="117">
        <f t="shared" si="6"/>
        <v>0</v>
      </c>
      <c r="AC30" s="116"/>
      <c r="AD30" s="118">
        <f t="shared" si="7"/>
        <v>0</v>
      </c>
      <c r="AE30" s="118" t="str">
        <f t="shared" si="8"/>
        <v>0</v>
      </c>
      <c r="AF30" s="119"/>
      <c r="AG30" s="184"/>
      <c r="AH30" s="98"/>
    </row>
    <row r="31" spans="1:34" s="120" customFormat="1" ht="20.85" customHeight="1" x14ac:dyDescent="0.3">
      <c r="A31" s="1142"/>
      <c r="B31" s="1099"/>
      <c r="C31" s="1363"/>
      <c r="D31" s="1099"/>
      <c r="E31" s="1101"/>
      <c r="F31" s="1101"/>
      <c r="G31" s="1672"/>
      <c r="H31" s="1674"/>
      <c r="I31" s="1680"/>
      <c r="J31" s="1367"/>
      <c r="K31" s="1064"/>
      <c r="L31" s="121" t="s">
        <v>106</v>
      </c>
      <c r="M31" s="122"/>
      <c r="N31" s="122"/>
      <c r="O31" s="122"/>
      <c r="P31" s="117">
        <f t="shared" si="9"/>
        <v>0</v>
      </c>
      <c r="Q31" s="122"/>
      <c r="R31" s="122"/>
      <c r="S31" s="122"/>
      <c r="T31" s="117">
        <f t="shared" si="4"/>
        <v>0</v>
      </c>
      <c r="U31" s="122"/>
      <c r="V31" s="122"/>
      <c r="W31" s="122"/>
      <c r="X31" s="117">
        <f t="shared" si="5"/>
        <v>0</v>
      </c>
      <c r="Y31" s="122"/>
      <c r="Z31" s="122"/>
      <c r="AA31" s="122"/>
      <c r="AB31" s="117">
        <f t="shared" si="6"/>
        <v>0</v>
      </c>
      <c r="AC31" s="122"/>
      <c r="AD31" s="123">
        <f t="shared" si="7"/>
        <v>0</v>
      </c>
      <c r="AE31" s="123" t="str">
        <f t="shared" si="8"/>
        <v>0</v>
      </c>
      <c r="AF31" s="124" t="str">
        <f ca="1">IF(OR(F31="", G31=""), "", IF(TODAY()&lt;F31, 0, IF(TODAY()&gt;G31, 1, (TODAY()-F31+1)/(G31-F31+1))))</f>
        <v/>
      </c>
      <c r="AG31" s="206"/>
      <c r="AH31" s="125"/>
    </row>
    <row r="32" spans="1:34" s="120" customFormat="1" ht="20.85" customHeight="1" x14ac:dyDescent="0.3">
      <c r="A32" s="1143"/>
      <c r="B32" s="1100"/>
      <c r="C32" s="1364"/>
      <c r="D32" s="1100"/>
      <c r="E32" s="1102"/>
      <c r="F32" s="1102"/>
      <c r="G32" s="1673"/>
      <c r="H32" s="1675"/>
      <c r="I32" s="1681"/>
      <c r="J32" s="1368"/>
      <c r="K32" s="1065"/>
      <c r="L32" s="121" t="s">
        <v>107</v>
      </c>
      <c r="M32" s="122"/>
      <c r="N32" s="122"/>
      <c r="O32" s="122"/>
      <c r="P32" s="117">
        <f t="shared" si="9"/>
        <v>0</v>
      </c>
      <c r="Q32" s="122"/>
      <c r="R32" s="122"/>
      <c r="S32" s="122"/>
      <c r="T32" s="117">
        <f t="shared" si="4"/>
        <v>0</v>
      </c>
      <c r="U32" s="122"/>
      <c r="V32" s="122"/>
      <c r="W32" s="122"/>
      <c r="X32" s="117">
        <f t="shared" si="5"/>
        <v>0</v>
      </c>
      <c r="Y32" s="122"/>
      <c r="Z32" s="122"/>
      <c r="AA32" s="122"/>
      <c r="AB32" s="117">
        <f t="shared" si="6"/>
        <v>0</v>
      </c>
      <c r="AC32" s="122"/>
      <c r="AD32" s="123">
        <f t="shared" si="7"/>
        <v>0</v>
      </c>
      <c r="AE32" s="123" t="str">
        <f t="shared" si="8"/>
        <v>0</v>
      </c>
      <c r="AF32" s="124"/>
      <c r="AG32" s="207"/>
      <c r="AH32" s="125"/>
    </row>
    <row r="33" spans="1:34" s="120" customFormat="1" ht="20.85" customHeight="1" x14ac:dyDescent="0.3">
      <c r="A33" s="1040"/>
      <c r="B33" s="1040"/>
      <c r="C33" s="1303"/>
      <c r="D33" s="1040"/>
      <c r="E33" s="1117"/>
      <c r="F33" s="1117"/>
      <c r="G33" s="1046"/>
      <c r="H33" s="1670"/>
      <c r="I33" s="1682"/>
      <c r="J33" s="1048"/>
      <c r="K33" s="1062"/>
      <c r="L33" s="115" t="s">
        <v>106</v>
      </c>
      <c r="M33" s="116"/>
      <c r="N33" s="116"/>
      <c r="O33" s="116"/>
      <c r="P33" s="117">
        <f t="shared" si="9"/>
        <v>0</v>
      </c>
      <c r="Q33" s="116"/>
      <c r="R33" s="116"/>
      <c r="S33" s="116"/>
      <c r="T33" s="117">
        <f t="shared" si="4"/>
        <v>0</v>
      </c>
      <c r="U33" s="116"/>
      <c r="V33" s="116"/>
      <c r="W33" s="116"/>
      <c r="X33" s="117">
        <f t="shared" si="5"/>
        <v>0</v>
      </c>
      <c r="Y33" s="116"/>
      <c r="Z33" s="116"/>
      <c r="AA33" s="116"/>
      <c r="AB33" s="117">
        <f t="shared" si="6"/>
        <v>0</v>
      </c>
      <c r="AC33" s="116"/>
      <c r="AD33" s="118">
        <f t="shared" si="7"/>
        <v>0</v>
      </c>
      <c r="AE33" s="118" t="str">
        <f t="shared" si="8"/>
        <v>0</v>
      </c>
      <c r="AF33" s="119" t="str">
        <f ca="1">IF(OR(F33="", G33=""), "", IF(TODAY()&lt;F33, 0, IF(TODAY()&gt;G33, 1, (TODAY()-F33+1)/(G33-F33+1))))</f>
        <v/>
      </c>
      <c r="AG33" s="183"/>
      <c r="AH33" s="98"/>
    </row>
    <row r="34" spans="1:34" s="120" customFormat="1" ht="20.85" customHeight="1" x14ac:dyDescent="0.3">
      <c r="A34" s="1041"/>
      <c r="B34" s="1041"/>
      <c r="C34" s="1304"/>
      <c r="D34" s="1041"/>
      <c r="E34" s="1118"/>
      <c r="F34" s="1118"/>
      <c r="G34" s="1047"/>
      <c r="H34" s="1671"/>
      <c r="I34" s="1683"/>
      <c r="J34" s="1049"/>
      <c r="K34" s="1063"/>
      <c r="L34" s="115" t="s">
        <v>107</v>
      </c>
      <c r="M34" s="116"/>
      <c r="N34" s="116"/>
      <c r="O34" s="116"/>
      <c r="P34" s="117">
        <f t="shared" si="9"/>
        <v>0</v>
      </c>
      <c r="Q34" s="116"/>
      <c r="R34" s="116"/>
      <c r="S34" s="116"/>
      <c r="T34" s="117">
        <f t="shared" si="4"/>
        <v>0</v>
      </c>
      <c r="U34" s="116"/>
      <c r="V34" s="116"/>
      <c r="W34" s="116"/>
      <c r="X34" s="117">
        <f t="shared" si="5"/>
        <v>0</v>
      </c>
      <c r="Y34" s="116"/>
      <c r="Z34" s="116"/>
      <c r="AA34" s="116"/>
      <c r="AB34" s="117">
        <f t="shared" si="6"/>
        <v>0</v>
      </c>
      <c r="AC34" s="116"/>
      <c r="AD34" s="118">
        <f t="shared" si="7"/>
        <v>0</v>
      </c>
      <c r="AE34" s="118" t="str">
        <f t="shared" si="8"/>
        <v>0</v>
      </c>
      <c r="AF34" s="119"/>
      <c r="AG34" s="184"/>
      <c r="AH34" s="98"/>
    </row>
    <row r="35" spans="1:34" s="120" customFormat="1" ht="20.85" customHeight="1" x14ac:dyDescent="0.3">
      <c r="A35" s="1142"/>
      <c r="B35" s="1099"/>
      <c r="C35" s="1363"/>
      <c r="D35" s="1099"/>
      <c r="E35" s="1101"/>
      <c r="F35" s="1101"/>
      <c r="G35" s="1672"/>
      <c r="H35" s="1674"/>
      <c r="I35" s="1680"/>
      <c r="J35" s="1367"/>
      <c r="K35" s="1064"/>
      <c r="L35" s="121" t="s">
        <v>106</v>
      </c>
      <c r="M35" s="122"/>
      <c r="N35" s="122"/>
      <c r="O35" s="122"/>
      <c r="P35" s="117">
        <f t="shared" si="9"/>
        <v>0</v>
      </c>
      <c r="Q35" s="122"/>
      <c r="R35" s="122"/>
      <c r="S35" s="122"/>
      <c r="T35" s="117">
        <f t="shared" si="4"/>
        <v>0</v>
      </c>
      <c r="U35" s="122"/>
      <c r="V35" s="122"/>
      <c r="W35" s="122"/>
      <c r="X35" s="117">
        <f t="shared" si="5"/>
        <v>0</v>
      </c>
      <c r="Y35" s="122"/>
      <c r="Z35" s="122"/>
      <c r="AA35" s="122"/>
      <c r="AB35" s="117">
        <f t="shared" si="6"/>
        <v>0</v>
      </c>
      <c r="AC35" s="122"/>
      <c r="AD35" s="123">
        <f t="shared" si="7"/>
        <v>0</v>
      </c>
      <c r="AE35" s="123" t="str">
        <f t="shared" si="8"/>
        <v>0</v>
      </c>
      <c r="AF35" s="124" t="str">
        <f ca="1">IF(OR(F35="", G35=""), "", IF(TODAY()&lt;F35, 0, IF(TODAY()&gt;G35, 1, (TODAY()-F35+1)/(G35-F35+1))))</f>
        <v/>
      </c>
      <c r="AG35" s="206"/>
      <c r="AH35" s="125"/>
    </row>
    <row r="36" spans="1:34" s="120" customFormat="1" ht="20.85" customHeight="1" x14ac:dyDescent="0.3">
      <c r="A36" s="1143"/>
      <c r="B36" s="1100"/>
      <c r="C36" s="1364"/>
      <c r="D36" s="1100"/>
      <c r="E36" s="1102"/>
      <c r="F36" s="1102"/>
      <c r="G36" s="1673"/>
      <c r="H36" s="1675"/>
      <c r="I36" s="1681"/>
      <c r="J36" s="1368"/>
      <c r="K36" s="1065"/>
      <c r="L36" s="121" t="s">
        <v>107</v>
      </c>
      <c r="M36" s="122"/>
      <c r="N36" s="122"/>
      <c r="O36" s="122"/>
      <c r="P36" s="117">
        <f t="shared" si="9"/>
        <v>0</v>
      </c>
      <c r="Q36" s="122"/>
      <c r="R36" s="122"/>
      <c r="S36" s="122"/>
      <c r="T36" s="117">
        <f t="shared" si="4"/>
        <v>0</v>
      </c>
      <c r="U36" s="122"/>
      <c r="V36" s="122"/>
      <c r="W36" s="122"/>
      <c r="X36" s="117">
        <f t="shared" si="5"/>
        <v>0</v>
      </c>
      <c r="Y36" s="122"/>
      <c r="Z36" s="122"/>
      <c r="AA36" s="122"/>
      <c r="AB36" s="117">
        <f t="shared" si="6"/>
        <v>0</v>
      </c>
      <c r="AC36" s="122"/>
      <c r="AD36" s="123">
        <f t="shared" si="7"/>
        <v>0</v>
      </c>
      <c r="AE36" s="123" t="str">
        <f t="shared" si="8"/>
        <v>0</v>
      </c>
      <c r="AF36" s="124"/>
      <c r="AG36" s="207"/>
      <c r="AH36" s="125"/>
    </row>
    <row r="37" spans="1:34" s="120" customFormat="1" ht="20.85" customHeight="1" x14ac:dyDescent="0.3">
      <c r="A37" s="1040"/>
      <c r="B37" s="1040"/>
      <c r="C37" s="1303"/>
      <c r="D37" s="1040"/>
      <c r="E37" s="1117"/>
      <c r="F37" s="1117"/>
      <c r="G37" s="1046"/>
      <c r="H37" s="1670"/>
      <c r="I37" s="1682"/>
      <c r="J37" s="1048"/>
      <c r="K37" s="1062"/>
      <c r="L37" s="115" t="s">
        <v>106</v>
      </c>
      <c r="M37" s="116"/>
      <c r="N37" s="116"/>
      <c r="O37" s="116"/>
      <c r="P37" s="117">
        <f t="shared" si="9"/>
        <v>0</v>
      </c>
      <c r="Q37" s="116"/>
      <c r="R37" s="116"/>
      <c r="S37" s="116"/>
      <c r="T37" s="117">
        <f t="shared" si="4"/>
        <v>0</v>
      </c>
      <c r="U37" s="116"/>
      <c r="V37" s="116"/>
      <c r="W37" s="116"/>
      <c r="X37" s="117">
        <f t="shared" si="5"/>
        <v>0</v>
      </c>
      <c r="Y37" s="116"/>
      <c r="Z37" s="116"/>
      <c r="AA37" s="116"/>
      <c r="AB37" s="117">
        <f t="shared" si="6"/>
        <v>0</v>
      </c>
      <c r="AC37" s="116"/>
      <c r="AD37" s="118">
        <f t="shared" si="7"/>
        <v>0</v>
      </c>
      <c r="AE37" s="118" t="str">
        <f t="shared" si="8"/>
        <v>0</v>
      </c>
      <c r="AF37" s="119" t="str">
        <f ca="1">IF(OR(F37="", G37=""), "", IF(TODAY()&lt;F37, 0, IF(TODAY()&gt;G37, 1, (TODAY()-F37+1)/(G37-F37+1))))</f>
        <v/>
      </c>
      <c r="AG37" s="183"/>
      <c r="AH37" s="98"/>
    </row>
    <row r="38" spans="1:34" s="120" customFormat="1" ht="20.85" customHeight="1" x14ac:dyDescent="0.3">
      <c r="A38" s="1041"/>
      <c r="B38" s="1041"/>
      <c r="C38" s="1304"/>
      <c r="D38" s="1041"/>
      <c r="E38" s="1118"/>
      <c r="F38" s="1118"/>
      <c r="G38" s="1047"/>
      <c r="H38" s="1671"/>
      <c r="I38" s="1683"/>
      <c r="J38" s="1049"/>
      <c r="K38" s="1063"/>
      <c r="L38" s="115" t="s">
        <v>107</v>
      </c>
      <c r="M38" s="116"/>
      <c r="N38" s="116"/>
      <c r="O38" s="116"/>
      <c r="P38" s="117">
        <f t="shared" si="9"/>
        <v>0</v>
      </c>
      <c r="Q38" s="116"/>
      <c r="R38" s="116"/>
      <c r="S38" s="116"/>
      <c r="T38" s="117">
        <f t="shared" si="4"/>
        <v>0</v>
      </c>
      <c r="U38" s="116"/>
      <c r="V38" s="116"/>
      <c r="W38" s="116"/>
      <c r="X38" s="117">
        <f t="shared" si="5"/>
        <v>0</v>
      </c>
      <c r="Y38" s="116"/>
      <c r="Z38" s="116"/>
      <c r="AA38" s="116"/>
      <c r="AB38" s="117">
        <f t="shared" si="6"/>
        <v>0</v>
      </c>
      <c r="AC38" s="116"/>
      <c r="AD38" s="118">
        <f t="shared" si="7"/>
        <v>0</v>
      </c>
      <c r="AE38" s="118" t="str">
        <f t="shared" si="8"/>
        <v>0</v>
      </c>
      <c r="AF38" s="119"/>
      <c r="AG38" s="184"/>
      <c r="AH38" s="98"/>
    </row>
    <row r="39" spans="1:34" s="120" customFormat="1" ht="20.85" customHeight="1" x14ac:dyDescent="0.3">
      <c r="A39" s="1142"/>
      <c r="B39" s="1099"/>
      <c r="C39" s="1363"/>
      <c r="D39" s="1099"/>
      <c r="E39" s="1101"/>
      <c r="F39" s="1101"/>
      <c r="G39" s="1672"/>
      <c r="H39" s="1674"/>
      <c r="I39" s="1680"/>
      <c r="J39" s="1367"/>
      <c r="K39" s="1064"/>
      <c r="L39" s="121" t="s">
        <v>106</v>
      </c>
      <c r="M39" s="122"/>
      <c r="N39" s="122"/>
      <c r="O39" s="122"/>
      <c r="P39" s="117">
        <f t="shared" si="9"/>
        <v>0</v>
      </c>
      <c r="Q39" s="122"/>
      <c r="R39" s="122"/>
      <c r="S39" s="122"/>
      <c r="T39" s="117">
        <f t="shared" si="4"/>
        <v>0</v>
      </c>
      <c r="U39" s="122"/>
      <c r="V39" s="122"/>
      <c r="W39" s="122"/>
      <c r="X39" s="117">
        <f t="shared" si="5"/>
        <v>0</v>
      </c>
      <c r="Y39" s="122"/>
      <c r="Z39" s="122"/>
      <c r="AA39" s="122"/>
      <c r="AB39" s="117">
        <f t="shared" si="6"/>
        <v>0</v>
      </c>
      <c r="AC39" s="122"/>
      <c r="AD39" s="123">
        <f t="shared" si="7"/>
        <v>0</v>
      </c>
      <c r="AE39" s="123" t="str">
        <f t="shared" si="8"/>
        <v>0</v>
      </c>
      <c r="AF39" s="124" t="str">
        <f ca="1">IF(OR(F39="", G39=""), "", IF(TODAY()&lt;F39, 0, IF(TODAY()&gt;G39, 1, (TODAY()-F39+1)/(G39-F39+1))))</f>
        <v/>
      </c>
      <c r="AG39" s="206"/>
      <c r="AH39" s="125"/>
    </row>
    <row r="40" spans="1:34" s="120" customFormat="1" ht="20.85" customHeight="1" x14ac:dyDescent="0.3">
      <c r="A40" s="1143"/>
      <c r="B40" s="1100"/>
      <c r="C40" s="1364"/>
      <c r="D40" s="1100"/>
      <c r="E40" s="1102"/>
      <c r="F40" s="1102"/>
      <c r="G40" s="1673"/>
      <c r="H40" s="1675"/>
      <c r="I40" s="1681"/>
      <c r="J40" s="1368"/>
      <c r="K40" s="1065"/>
      <c r="L40" s="121" t="s">
        <v>107</v>
      </c>
      <c r="M40" s="122"/>
      <c r="N40" s="122"/>
      <c r="O40" s="122"/>
      <c r="P40" s="117">
        <f t="shared" si="9"/>
        <v>0</v>
      </c>
      <c r="Q40" s="122"/>
      <c r="R40" s="122"/>
      <c r="S40" s="122"/>
      <c r="T40" s="117">
        <f t="shared" si="4"/>
        <v>0</v>
      </c>
      <c r="U40" s="122"/>
      <c r="V40" s="122"/>
      <c r="W40" s="122"/>
      <c r="X40" s="117">
        <f t="shared" si="5"/>
        <v>0</v>
      </c>
      <c r="Y40" s="122"/>
      <c r="Z40" s="122"/>
      <c r="AA40" s="122"/>
      <c r="AB40" s="117">
        <f t="shared" si="6"/>
        <v>0</v>
      </c>
      <c r="AC40" s="122"/>
      <c r="AD40" s="123">
        <f t="shared" si="7"/>
        <v>0</v>
      </c>
      <c r="AE40" s="123" t="str">
        <f t="shared" si="8"/>
        <v>0</v>
      </c>
      <c r="AF40" s="124"/>
      <c r="AG40" s="207"/>
      <c r="AH40" s="125"/>
    </row>
    <row r="41" spans="1:34" s="120" customFormat="1" ht="20.85" customHeight="1" x14ac:dyDescent="0.3">
      <c r="A41" s="1040"/>
      <c r="B41" s="1040"/>
      <c r="C41" s="1303"/>
      <c r="D41" s="1040"/>
      <c r="E41" s="1117"/>
      <c r="F41" s="1117"/>
      <c r="G41" s="1046"/>
      <c r="H41" s="1670"/>
      <c r="I41" s="1682"/>
      <c r="J41" s="1048"/>
      <c r="K41" s="1062"/>
      <c r="L41" s="115" t="s">
        <v>106</v>
      </c>
      <c r="M41" s="116"/>
      <c r="N41" s="116"/>
      <c r="O41" s="116"/>
      <c r="P41" s="117">
        <f t="shared" si="9"/>
        <v>0</v>
      </c>
      <c r="Q41" s="116"/>
      <c r="R41" s="116"/>
      <c r="S41" s="116"/>
      <c r="T41" s="117">
        <f t="shared" si="4"/>
        <v>0</v>
      </c>
      <c r="U41" s="116"/>
      <c r="V41" s="116"/>
      <c r="W41" s="116"/>
      <c r="X41" s="117">
        <f t="shared" si="5"/>
        <v>0</v>
      </c>
      <c r="Y41" s="116"/>
      <c r="Z41" s="116"/>
      <c r="AA41" s="116"/>
      <c r="AB41" s="117">
        <f t="shared" si="6"/>
        <v>0</v>
      </c>
      <c r="AC41" s="116"/>
      <c r="AD41" s="118">
        <f t="shared" si="7"/>
        <v>0</v>
      </c>
      <c r="AE41" s="118" t="str">
        <f t="shared" si="8"/>
        <v>0</v>
      </c>
      <c r="AF41" s="119" t="str">
        <f ca="1">IF(OR(F41="", G41=""), "", IF(TODAY()&lt;F41, 0, IF(TODAY()&gt;G41, 1, (TODAY()-F41+1)/(G41-F41+1))))</f>
        <v/>
      </c>
      <c r="AG41" s="183"/>
      <c r="AH41" s="98"/>
    </row>
    <row r="42" spans="1:34" s="120" customFormat="1" ht="20.85" customHeight="1" x14ac:dyDescent="0.3">
      <c r="A42" s="1041"/>
      <c r="B42" s="1041"/>
      <c r="C42" s="1304"/>
      <c r="D42" s="1041"/>
      <c r="E42" s="1118"/>
      <c r="F42" s="1118"/>
      <c r="G42" s="1047"/>
      <c r="H42" s="1671"/>
      <c r="I42" s="1683"/>
      <c r="J42" s="1049"/>
      <c r="K42" s="1063"/>
      <c r="L42" s="115" t="s">
        <v>107</v>
      </c>
      <c r="M42" s="116"/>
      <c r="N42" s="116"/>
      <c r="O42" s="116"/>
      <c r="P42" s="117">
        <f t="shared" si="9"/>
        <v>0</v>
      </c>
      <c r="Q42" s="116"/>
      <c r="R42" s="116"/>
      <c r="S42" s="116"/>
      <c r="T42" s="117">
        <f t="shared" si="4"/>
        <v>0</v>
      </c>
      <c r="U42" s="116"/>
      <c r="V42" s="116"/>
      <c r="W42" s="116"/>
      <c r="X42" s="117">
        <f t="shared" si="5"/>
        <v>0</v>
      </c>
      <c r="Y42" s="116"/>
      <c r="Z42" s="116"/>
      <c r="AA42" s="116"/>
      <c r="AB42" s="117">
        <f t="shared" si="6"/>
        <v>0</v>
      </c>
      <c r="AC42" s="116"/>
      <c r="AD42" s="118">
        <f t="shared" si="7"/>
        <v>0</v>
      </c>
      <c r="AE42" s="118" t="str">
        <f t="shared" si="8"/>
        <v>0</v>
      </c>
      <c r="AF42" s="119"/>
      <c r="AG42" s="184"/>
      <c r="AH42" s="98"/>
    </row>
    <row r="43" spans="1:34" s="120" customFormat="1" ht="20.85" customHeight="1" x14ac:dyDescent="0.3">
      <c r="A43" s="1142"/>
      <c r="B43" s="1099"/>
      <c r="C43" s="1363"/>
      <c r="D43" s="1099"/>
      <c r="E43" s="1101"/>
      <c r="F43" s="1101"/>
      <c r="G43" s="1672"/>
      <c r="H43" s="1674"/>
      <c r="I43" s="1680"/>
      <c r="J43" s="1367"/>
      <c r="K43" s="1064"/>
      <c r="L43" s="121" t="s">
        <v>106</v>
      </c>
      <c r="M43" s="122"/>
      <c r="N43" s="122"/>
      <c r="O43" s="122"/>
      <c r="P43" s="117">
        <f t="shared" si="9"/>
        <v>0</v>
      </c>
      <c r="Q43" s="122"/>
      <c r="R43" s="122"/>
      <c r="S43" s="122"/>
      <c r="T43" s="117">
        <f t="shared" ref="T43:T56" si="10">SUM(Q43:S43)</f>
        <v>0</v>
      </c>
      <c r="U43" s="122"/>
      <c r="V43" s="122"/>
      <c r="W43" s="122"/>
      <c r="X43" s="117">
        <f t="shared" si="5"/>
        <v>0</v>
      </c>
      <c r="Y43" s="122"/>
      <c r="Z43" s="122"/>
      <c r="AA43" s="122"/>
      <c r="AB43" s="117">
        <f t="shared" si="6"/>
        <v>0</v>
      </c>
      <c r="AC43" s="122"/>
      <c r="AD43" s="123">
        <f t="shared" si="7"/>
        <v>0</v>
      </c>
      <c r="AE43" s="123" t="str">
        <f t="shared" si="8"/>
        <v>0</v>
      </c>
      <c r="AF43" s="124" t="str">
        <f ca="1">IF(OR(F43="", G43=""), "", IF(TODAY()&lt;F43, 0, IF(TODAY()&gt;G43, 1, (TODAY()-F43+1)/(G43-F43+1))))</f>
        <v/>
      </c>
      <c r="AG43" s="206"/>
      <c r="AH43" s="125"/>
    </row>
    <row r="44" spans="1:34" s="120" customFormat="1" ht="20.85" customHeight="1" x14ac:dyDescent="0.3">
      <c r="A44" s="1143"/>
      <c r="B44" s="1100"/>
      <c r="C44" s="1364"/>
      <c r="D44" s="1100"/>
      <c r="E44" s="1102"/>
      <c r="F44" s="1102"/>
      <c r="G44" s="1673"/>
      <c r="H44" s="1675"/>
      <c r="I44" s="1681"/>
      <c r="J44" s="1368"/>
      <c r="K44" s="1065"/>
      <c r="L44" s="121" t="s">
        <v>107</v>
      </c>
      <c r="M44" s="122"/>
      <c r="N44" s="122"/>
      <c r="O44" s="122"/>
      <c r="P44" s="117">
        <f t="shared" ref="P44:P56" si="11">SUM(M44:O44)</f>
        <v>0</v>
      </c>
      <c r="Q44" s="122"/>
      <c r="R44" s="122"/>
      <c r="S44" s="122"/>
      <c r="T44" s="117">
        <f t="shared" si="10"/>
        <v>0</v>
      </c>
      <c r="U44" s="122"/>
      <c r="V44" s="122"/>
      <c r="W44" s="122"/>
      <c r="X44" s="117">
        <f t="shared" si="5"/>
        <v>0</v>
      </c>
      <c r="Y44" s="122"/>
      <c r="Z44" s="122"/>
      <c r="AA44" s="122"/>
      <c r="AB44" s="117">
        <f t="shared" si="6"/>
        <v>0</v>
      </c>
      <c r="AC44" s="122"/>
      <c r="AD44" s="123">
        <f t="shared" si="7"/>
        <v>0</v>
      </c>
      <c r="AE44" s="123" t="str">
        <f t="shared" si="8"/>
        <v>0</v>
      </c>
      <c r="AF44" s="124"/>
      <c r="AG44" s="207"/>
      <c r="AH44" s="125"/>
    </row>
    <row r="45" spans="1:34" s="120" customFormat="1" ht="20.85" customHeight="1" x14ac:dyDescent="0.3">
      <c r="A45" s="1040"/>
      <c r="B45" s="1040"/>
      <c r="C45" s="1303"/>
      <c r="D45" s="1040"/>
      <c r="E45" s="1117"/>
      <c r="F45" s="1117"/>
      <c r="G45" s="1046"/>
      <c r="H45" s="1670"/>
      <c r="I45" s="1682"/>
      <c r="J45" s="1048"/>
      <c r="K45" s="1062"/>
      <c r="L45" s="115" t="s">
        <v>106</v>
      </c>
      <c r="M45" s="116"/>
      <c r="N45" s="116"/>
      <c r="O45" s="116"/>
      <c r="P45" s="117">
        <f t="shared" si="11"/>
        <v>0</v>
      </c>
      <c r="Q45" s="116"/>
      <c r="R45" s="116"/>
      <c r="S45" s="116"/>
      <c r="T45" s="117">
        <f t="shared" si="10"/>
        <v>0</v>
      </c>
      <c r="U45" s="116"/>
      <c r="V45" s="116"/>
      <c r="W45" s="116"/>
      <c r="X45" s="117">
        <f t="shared" si="5"/>
        <v>0</v>
      </c>
      <c r="Y45" s="116"/>
      <c r="Z45" s="116"/>
      <c r="AA45" s="116"/>
      <c r="AB45" s="117">
        <f t="shared" si="6"/>
        <v>0</v>
      </c>
      <c r="AC45" s="116"/>
      <c r="AD45" s="118">
        <f t="shared" si="7"/>
        <v>0</v>
      </c>
      <c r="AE45" s="118" t="str">
        <f t="shared" si="8"/>
        <v>0</v>
      </c>
      <c r="AF45" s="119" t="str">
        <f ca="1">IF(OR(F45="", G45=""), "", IF(TODAY()&lt;F45, 0, IF(TODAY()&gt;G45, 1, (TODAY()-F45+1)/(G45-F45+1))))</f>
        <v/>
      </c>
      <c r="AG45" s="183"/>
      <c r="AH45" s="98"/>
    </row>
    <row r="46" spans="1:34" s="120" customFormat="1" ht="20.85" customHeight="1" x14ac:dyDescent="0.3">
      <c r="A46" s="1041"/>
      <c r="B46" s="1041"/>
      <c r="C46" s="1304"/>
      <c r="D46" s="1041"/>
      <c r="E46" s="1118"/>
      <c r="F46" s="1118"/>
      <c r="G46" s="1047"/>
      <c r="H46" s="1671"/>
      <c r="I46" s="1683"/>
      <c r="J46" s="1049"/>
      <c r="K46" s="1063"/>
      <c r="L46" s="115" t="s">
        <v>107</v>
      </c>
      <c r="M46" s="116"/>
      <c r="N46" s="116"/>
      <c r="O46" s="116"/>
      <c r="P46" s="117">
        <f t="shared" si="11"/>
        <v>0</v>
      </c>
      <c r="Q46" s="116"/>
      <c r="R46" s="116"/>
      <c r="S46" s="116"/>
      <c r="T46" s="117">
        <f t="shared" si="10"/>
        <v>0</v>
      </c>
      <c r="U46" s="116"/>
      <c r="V46" s="116"/>
      <c r="W46" s="116"/>
      <c r="X46" s="117">
        <f t="shared" si="5"/>
        <v>0</v>
      </c>
      <c r="Y46" s="116"/>
      <c r="Z46" s="116"/>
      <c r="AA46" s="116"/>
      <c r="AB46" s="117">
        <f t="shared" si="6"/>
        <v>0</v>
      </c>
      <c r="AC46" s="116"/>
      <c r="AD46" s="118">
        <f t="shared" si="7"/>
        <v>0</v>
      </c>
      <c r="AE46" s="118" t="str">
        <f t="shared" si="8"/>
        <v>0</v>
      </c>
      <c r="AF46" s="119"/>
      <c r="AG46" s="184"/>
      <c r="AH46" s="98"/>
    </row>
    <row r="47" spans="1:34" s="120" customFormat="1" ht="20.85" customHeight="1" x14ac:dyDescent="0.3">
      <c r="A47" s="1142"/>
      <c r="B47" s="1099"/>
      <c r="C47" s="1363"/>
      <c r="D47" s="1099"/>
      <c r="E47" s="1101"/>
      <c r="F47" s="1101"/>
      <c r="G47" s="1672"/>
      <c r="H47" s="1674"/>
      <c r="I47" s="1680"/>
      <c r="J47" s="1367"/>
      <c r="K47" s="1064"/>
      <c r="L47" s="121" t="s">
        <v>106</v>
      </c>
      <c r="M47" s="122"/>
      <c r="N47" s="122"/>
      <c r="O47" s="122"/>
      <c r="P47" s="117">
        <f t="shared" si="11"/>
        <v>0</v>
      </c>
      <c r="Q47" s="122"/>
      <c r="R47" s="122"/>
      <c r="S47" s="122"/>
      <c r="T47" s="117">
        <f t="shared" si="10"/>
        <v>0</v>
      </c>
      <c r="U47" s="122"/>
      <c r="V47" s="122"/>
      <c r="W47" s="122"/>
      <c r="X47" s="117">
        <f t="shared" si="5"/>
        <v>0</v>
      </c>
      <c r="Y47" s="122"/>
      <c r="Z47" s="122"/>
      <c r="AA47" s="122"/>
      <c r="AB47" s="117">
        <f t="shared" si="6"/>
        <v>0</v>
      </c>
      <c r="AC47" s="122"/>
      <c r="AD47" s="123">
        <f t="shared" si="7"/>
        <v>0</v>
      </c>
      <c r="AE47" s="123" t="str">
        <f t="shared" si="8"/>
        <v>0</v>
      </c>
      <c r="AF47" s="124" t="str">
        <f ca="1">IF(OR(F47="", G47=""), "", IF(TODAY()&lt;F47, 0, IF(TODAY()&gt;G47, 1, (TODAY()-F47+1)/(G47-F47+1))))</f>
        <v/>
      </c>
      <c r="AG47" s="206"/>
      <c r="AH47" s="125"/>
    </row>
    <row r="48" spans="1:34" s="120" customFormat="1" ht="20.85" customHeight="1" x14ac:dyDescent="0.3">
      <c r="A48" s="1143"/>
      <c r="B48" s="1100"/>
      <c r="C48" s="1364"/>
      <c r="D48" s="1100"/>
      <c r="E48" s="1102"/>
      <c r="F48" s="1102"/>
      <c r="G48" s="1673"/>
      <c r="H48" s="1675"/>
      <c r="I48" s="1681"/>
      <c r="J48" s="1368"/>
      <c r="K48" s="1065"/>
      <c r="L48" s="121" t="s">
        <v>107</v>
      </c>
      <c r="M48" s="122"/>
      <c r="N48" s="122"/>
      <c r="O48" s="122"/>
      <c r="P48" s="117">
        <f t="shared" si="11"/>
        <v>0</v>
      </c>
      <c r="Q48" s="122"/>
      <c r="R48" s="122"/>
      <c r="S48" s="122"/>
      <c r="T48" s="117">
        <f t="shared" si="10"/>
        <v>0</v>
      </c>
      <c r="U48" s="122"/>
      <c r="V48" s="122"/>
      <c r="W48" s="122"/>
      <c r="X48" s="117">
        <f t="shared" si="5"/>
        <v>0</v>
      </c>
      <c r="Y48" s="122"/>
      <c r="Z48" s="122"/>
      <c r="AA48" s="122"/>
      <c r="AB48" s="117">
        <f t="shared" si="6"/>
        <v>0</v>
      </c>
      <c r="AC48" s="122"/>
      <c r="AD48" s="123">
        <f t="shared" si="7"/>
        <v>0</v>
      </c>
      <c r="AE48" s="123" t="str">
        <f t="shared" si="8"/>
        <v>0</v>
      </c>
      <c r="AF48" s="124"/>
      <c r="AG48" s="207"/>
      <c r="AH48" s="125"/>
    </row>
    <row r="49" spans="1:34" s="120" customFormat="1" ht="20.85" customHeight="1" x14ac:dyDescent="0.3">
      <c r="A49" s="1040"/>
      <c r="B49" s="1040"/>
      <c r="C49" s="1303"/>
      <c r="D49" s="1040"/>
      <c r="E49" s="1117"/>
      <c r="F49" s="1117"/>
      <c r="G49" s="1046"/>
      <c r="H49" s="1670"/>
      <c r="I49" s="1682"/>
      <c r="J49" s="1048"/>
      <c r="K49" s="1062"/>
      <c r="L49" s="115" t="s">
        <v>106</v>
      </c>
      <c r="M49" s="116"/>
      <c r="N49" s="116"/>
      <c r="O49" s="116"/>
      <c r="P49" s="117">
        <f t="shared" si="11"/>
        <v>0</v>
      </c>
      <c r="Q49" s="116"/>
      <c r="R49" s="116"/>
      <c r="S49" s="116"/>
      <c r="T49" s="117">
        <f t="shared" si="10"/>
        <v>0</v>
      </c>
      <c r="U49" s="116"/>
      <c r="V49" s="116"/>
      <c r="W49" s="116"/>
      <c r="X49" s="117">
        <f t="shared" si="5"/>
        <v>0</v>
      </c>
      <c r="Y49" s="116"/>
      <c r="Z49" s="116"/>
      <c r="AA49" s="116"/>
      <c r="AB49" s="117">
        <f t="shared" si="6"/>
        <v>0</v>
      </c>
      <c r="AC49" s="116"/>
      <c r="AD49" s="118">
        <f t="shared" si="7"/>
        <v>0</v>
      </c>
      <c r="AE49" s="118" t="str">
        <f t="shared" si="8"/>
        <v>0</v>
      </c>
      <c r="AF49" s="119" t="str">
        <f ca="1">IF(OR(F49="", G49=""), "", IF(TODAY()&lt;F49, 0, IF(TODAY()&gt;G49, 1, (TODAY()-F49+1)/(G49-F49+1))))</f>
        <v/>
      </c>
      <c r="AG49" s="183"/>
      <c r="AH49" s="98"/>
    </row>
    <row r="50" spans="1:34" s="120" customFormat="1" ht="20.85" customHeight="1" x14ac:dyDescent="0.3">
      <c r="A50" s="1041"/>
      <c r="B50" s="1041"/>
      <c r="C50" s="1304"/>
      <c r="D50" s="1041"/>
      <c r="E50" s="1118"/>
      <c r="F50" s="1118"/>
      <c r="G50" s="1047"/>
      <c r="H50" s="1671"/>
      <c r="I50" s="1683"/>
      <c r="J50" s="1049"/>
      <c r="K50" s="1063"/>
      <c r="L50" s="115" t="s">
        <v>107</v>
      </c>
      <c r="M50" s="116"/>
      <c r="N50" s="116"/>
      <c r="O50" s="116"/>
      <c r="P50" s="117">
        <f t="shared" si="11"/>
        <v>0</v>
      </c>
      <c r="Q50" s="116"/>
      <c r="R50" s="116"/>
      <c r="S50" s="116"/>
      <c r="T50" s="117">
        <f t="shared" si="10"/>
        <v>0</v>
      </c>
      <c r="U50" s="116"/>
      <c r="V50" s="116"/>
      <c r="W50" s="116"/>
      <c r="X50" s="117">
        <f t="shared" si="5"/>
        <v>0</v>
      </c>
      <c r="Y50" s="116"/>
      <c r="Z50" s="116"/>
      <c r="AA50" s="116"/>
      <c r="AB50" s="117">
        <f t="shared" si="6"/>
        <v>0</v>
      </c>
      <c r="AC50" s="116"/>
      <c r="AD50" s="118">
        <f t="shared" si="7"/>
        <v>0</v>
      </c>
      <c r="AE50" s="118" t="str">
        <f t="shared" si="8"/>
        <v>0</v>
      </c>
      <c r="AF50" s="119"/>
      <c r="AG50" s="184"/>
      <c r="AH50" s="98"/>
    </row>
    <row r="51" spans="1:34" s="120" customFormat="1" ht="20.85" customHeight="1" x14ac:dyDescent="0.3">
      <c r="A51" s="1142"/>
      <c r="B51" s="1099"/>
      <c r="C51" s="1363"/>
      <c r="D51" s="1099"/>
      <c r="E51" s="1101"/>
      <c r="F51" s="1101"/>
      <c r="G51" s="1672"/>
      <c r="H51" s="1674"/>
      <c r="I51" s="1680"/>
      <c r="J51" s="1367"/>
      <c r="K51" s="1064"/>
      <c r="L51" s="121" t="s">
        <v>106</v>
      </c>
      <c r="M51" s="122"/>
      <c r="N51" s="122"/>
      <c r="O51" s="122"/>
      <c r="P51" s="117">
        <f t="shared" si="11"/>
        <v>0</v>
      </c>
      <c r="Q51" s="122"/>
      <c r="R51" s="122"/>
      <c r="S51" s="122"/>
      <c r="T51" s="117">
        <f t="shared" si="10"/>
        <v>0</v>
      </c>
      <c r="U51" s="122"/>
      <c r="V51" s="122"/>
      <c r="W51" s="122"/>
      <c r="X51" s="117">
        <f t="shared" si="5"/>
        <v>0</v>
      </c>
      <c r="Y51" s="122"/>
      <c r="Z51" s="122"/>
      <c r="AA51" s="122"/>
      <c r="AB51" s="117">
        <f t="shared" si="6"/>
        <v>0</v>
      </c>
      <c r="AC51" s="122"/>
      <c r="AD51" s="123">
        <f t="shared" si="7"/>
        <v>0</v>
      </c>
      <c r="AE51" s="123" t="str">
        <f t="shared" si="8"/>
        <v>0</v>
      </c>
      <c r="AF51" s="124" t="str">
        <f ca="1">IF(OR(F51="", G51=""), "", IF(TODAY()&lt;F51, 0, IF(TODAY()&gt;G51, 1, (TODAY()-F51+1)/(G51-F51+1))))</f>
        <v/>
      </c>
      <c r="AG51" s="206"/>
      <c r="AH51" s="125"/>
    </row>
    <row r="52" spans="1:34" s="120" customFormat="1" ht="20.85" customHeight="1" x14ac:dyDescent="0.3">
      <c r="A52" s="1143"/>
      <c r="B52" s="1100"/>
      <c r="C52" s="1364"/>
      <c r="D52" s="1100"/>
      <c r="E52" s="1102"/>
      <c r="F52" s="1102"/>
      <c r="G52" s="1673"/>
      <c r="H52" s="1675"/>
      <c r="I52" s="1681"/>
      <c r="J52" s="1368"/>
      <c r="K52" s="1065"/>
      <c r="L52" s="121" t="s">
        <v>107</v>
      </c>
      <c r="M52" s="122"/>
      <c r="N52" s="122"/>
      <c r="O52" s="122"/>
      <c r="P52" s="117">
        <f t="shared" si="11"/>
        <v>0</v>
      </c>
      <c r="Q52" s="122"/>
      <c r="R52" s="122"/>
      <c r="S52" s="122"/>
      <c r="T52" s="117">
        <f t="shared" si="10"/>
        <v>0</v>
      </c>
      <c r="U52" s="122"/>
      <c r="V52" s="122"/>
      <c r="W52" s="122"/>
      <c r="X52" s="117">
        <f t="shared" si="5"/>
        <v>0</v>
      </c>
      <c r="Y52" s="122"/>
      <c r="Z52" s="122"/>
      <c r="AA52" s="122"/>
      <c r="AB52" s="117">
        <f t="shared" si="6"/>
        <v>0</v>
      </c>
      <c r="AC52" s="122"/>
      <c r="AD52" s="123">
        <f t="shared" si="7"/>
        <v>0</v>
      </c>
      <c r="AE52" s="123" t="str">
        <f t="shared" si="8"/>
        <v>0</v>
      </c>
      <c r="AF52" s="124"/>
      <c r="AG52" s="207"/>
      <c r="AH52" s="125"/>
    </row>
    <row r="53" spans="1:34" s="120" customFormat="1" ht="20.85" customHeight="1" x14ac:dyDescent="0.3">
      <c r="A53" s="1040"/>
      <c r="B53" s="1040"/>
      <c r="C53" s="1303"/>
      <c r="D53" s="1040"/>
      <c r="E53" s="1117"/>
      <c r="F53" s="1117"/>
      <c r="G53" s="1046"/>
      <c r="H53" s="1670"/>
      <c r="I53" s="1682"/>
      <c r="J53" s="1048"/>
      <c r="K53" s="1062"/>
      <c r="L53" s="115" t="s">
        <v>106</v>
      </c>
      <c r="M53" s="116"/>
      <c r="N53" s="116"/>
      <c r="O53" s="116"/>
      <c r="P53" s="117">
        <f t="shared" si="11"/>
        <v>0</v>
      </c>
      <c r="Q53" s="116"/>
      <c r="R53" s="116"/>
      <c r="S53" s="116"/>
      <c r="T53" s="117">
        <f t="shared" si="10"/>
        <v>0</v>
      </c>
      <c r="U53" s="116"/>
      <c r="V53" s="116"/>
      <c r="W53" s="116"/>
      <c r="X53" s="117">
        <f t="shared" si="5"/>
        <v>0</v>
      </c>
      <c r="Y53" s="116"/>
      <c r="Z53" s="116"/>
      <c r="AA53" s="116"/>
      <c r="AB53" s="117">
        <f t="shared" si="6"/>
        <v>0</v>
      </c>
      <c r="AC53" s="116"/>
      <c r="AD53" s="118">
        <f t="shared" si="7"/>
        <v>0</v>
      </c>
      <c r="AE53" s="118" t="str">
        <f t="shared" si="8"/>
        <v>0</v>
      </c>
      <c r="AF53" s="119" t="str">
        <f ca="1">IF(OR(F53="", G53=""), "", IF(TODAY()&lt;F53, 0, IF(TODAY()&gt;G53, 1, (TODAY()-F53+1)/(G53-F53+1))))</f>
        <v/>
      </c>
      <c r="AG53" s="183"/>
      <c r="AH53" s="98"/>
    </row>
    <row r="54" spans="1:34" s="120" customFormat="1" ht="20.85" customHeight="1" x14ac:dyDescent="0.3">
      <c r="A54" s="1041"/>
      <c r="B54" s="1041"/>
      <c r="C54" s="1304"/>
      <c r="D54" s="1041"/>
      <c r="E54" s="1118"/>
      <c r="F54" s="1118"/>
      <c r="G54" s="1047"/>
      <c r="H54" s="1671"/>
      <c r="I54" s="1683"/>
      <c r="J54" s="1049"/>
      <c r="K54" s="1063"/>
      <c r="L54" s="115" t="s">
        <v>107</v>
      </c>
      <c r="M54" s="116"/>
      <c r="N54" s="116"/>
      <c r="O54" s="116"/>
      <c r="P54" s="117">
        <f t="shared" si="11"/>
        <v>0</v>
      </c>
      <c r="Q54" s="116"/>
      <c r="R54" s="116"/>
      <c r="S54" s="116"/>
      <c r="T54" s="117">
        <f t="shared" si="10"/>
        <v>0</v>
      </c>
      <c r="U54" s="116"/>
      <c r="V54" s="116"/>
      <c r="W54" s="116"/>
      <c r="X54" s="117">
        <f t="shared" si="5"/>
        <v>0</v>
      </c>
      <c r="Y54" s="116"/>
      <c r="Z54" s="116"/>
      <c r="AA54" s="116"/>
      <c r="AB54" s="117">
        <f t="shared" si="6"/>
        <v>0</v>
      </c>
      <c r="AC54" s="116"/>
      <c r="AD54" s="118">
        <f t="shared" si="7"/>
        <v>0</v>
      </c>
      <c r="AE54" s="118" t="str">
        <f t="shared" si="8"/>
        <v>0</v>
      </c>
      <c r="AF54" s="119"/>
      <c r="AG54" s="184"/>
      <c r="AH54" s="98"/>
    </row>
    <row r="55" spans="1:34" s="120" customFormat="1" ht="20.85" customHeight="1" x14ac:dyDescent="0.3">
      <c r="A55" s="1142"/>
      <c r="B55" s="1099"/>
      <c r="C55" s="1363"/>
      <c r="D55" s="1099"/>
      <c r="E55" s="1101"/>
      <c r="F55" s="1101"/>
      <c r="G55" s="1672"/>
      <c r="H55" s="1674"/>
      <c r="I55" s="1680"/>
      <c r="J55" s="1367"/>
      <c r="K55" s="1064"/>
      <c r="L55" s="121" t="s">
        <v>106</v>
      </c>
      <c r="M55" s="122"/>
      <c r="N55" s="122"/>
      <c r="O55" s="122"/>
      <c r="P55" s="117">
        <f t="shared" si="11"/>
        <v>0</v>
      </c>
      <c r="Q55" s="122"/>
      <c r="R55" s="122"/>
      <c r="S55" s="122"/>
      <c r="T55" s="117">
        <f t="shared" si="10"/>
        <v>0</v>
      </c>
      <c r="U55" s="122"/>
      <c r="V55" s="122"/>
      <c r="W55" s="122"/>
      <c r="X55" s="117">
        <f t="shared" si="5"/>
        <v>0</v>
      </c>
      <c r="Y55" s="122"/>
      <c r="Z55" s="122"/>
      <c r="AA55" s="122"/>
      <c r="AB55" s="117">
        <f t="shared" si="6"/>
        <v>0</v>
      </c>
      <c r="AC55" s="122"/>
      <c r="AD55" s="123">
        <f t="shared" si="7"/>
        <v>0</v>
      </c>
      <c r="AE55" s="123" t="str">
        <f t="shared" si="8"/>
        <v>0</v>
      </c>
      <c r="AF55" s="124" t="str">
        <f ca="1">IF(OR(F55="", G55=""), "", IF(TODAY()&lt;F55, 0, IF(TODAY()&gt;G55, 1, (TODAY()-F55+1)/(G55-F55+1))))</f>
        <v/>
      </c>
      <c r="AG55" s="206"/>
      <c r="AH55" s="125"/>
    </row>
    <row r="56" spans="1:34" s="120" customFormat="1" ht="20.85" customHeight="1" x14ac:dyDescent="0.3">
      <c r="A56" s="1143"/>
      <c r="B56" s="1100"/>
      <c r="C56" s="1364"/>
      <c r="D56" s="1100"/>
      <c r="E56" s="1102"/>
      <c r="F56" s="1102"/>
      <c r="G56" s="1673"/>
      <c r="H56" s="1675"/>
      <c r="I56" s="1681"/>
      <c r="J56" s="1368"/>
      <c r="K56" s="1065"/>
      <c r="L56" s="121" t="s">
        <v>107</v>
      </c>
      <c r="M56" s="122"/>
      <c r="N56" s="122"/>
      <c r="O56" s="122"/>
      <c r="P56" s="117">
        <f t="shared" si="11"/>
        <v>0</v>
      </c>
      <c r="Q56" s="122"/>
      <c r="R56" s="122"/>
      <c r="S56" s="122"/>
      <c r="T56" s="117">
        <f t="shared" si="10"/>
        <v>0</v>
      </c>
      <c r="U56" s="122"/>
      <c r="V56" s="122"/>
      <c r="W56" s="122"/>
      <c r="X56" s="117">
        <f t="shared" si="5"/>
        <v>0</v>
      </c>
      <c r="Y56" s="122"/>
      <c r="Z56" s="122"/>
      <c r="AA56" s="122"/>
      <c r="AB56" s="117">
        <f t="shared" si="6"/>
        <v>0</v>
      </c>
      <c r="AC56" s="122"/>
      <c r="AD56" s="123">
        <f t="shared" si="7"/>
        <v>0</v>
      </c>
      <c r="AE56" s="123" t="str">
        <f t="shared" si="8"/>
        <v>0</v>
      </c>
      <c r="AF56" s="124"/>
      <c r="AG56" s="207"/>
      <c r="AH56" s="125"/>
    </row>
    <row r="57" spans="1:34" s="120" customFormat="1" ht="20.85" customHeight="1" x14ac:dyDescent="0.3">
      <c r="A57" s="1040"/>
      <c r="B57" s="1040"/>
      <c r="C57" s="1303"/>
      <c r="D57" s="1040"/>
      <c r="E57" s="1117"/>
      <c r="F57" s="1117"/>
      <c r="G57" s="1046"/>
      <c r="H57" s="1670"/>
      <c r="I57" s="1682"/>
      <c r="J57" s="1048"/>
      <c r="K57" s="1062"/>
      <c r="L57" s="115" t="s">
        <v>106</v>
      </c>
      <c r="M57" s="116"/>
      <c r="N57" s="116"/>
      <c r="O57" s="116"/>
      <c r="P57" s="117">
        <f t="shared" ref="P57:P68" si="12">SUM(M57:O57)</f>
        <v>0</v>
      </c>
      <c r="Q57" s="116"/>
      <c r="R57" s="116"/>
      <c r="S57" s="116"/>
      <c r="T57" s="117">
        <f t="shared" ref="T57:T68" si="13">SUM(Q57:S57)</f>
        <v>0</v>
      </c>
      <c r="U57" s="116"/>
      <c r="V57" s="116"/>
      <c r="W57" s="116"/>
      <c r="X57" s="117">
        <f t="shared" si="5"/>
        <v>0</v>
      </c>
      <c r="Y57" s="116"/>
      <c r="Z57" s="116"/>
      <c r="AA57" s="116"/>
      <c r="AB57" s="117">
        <f t="shared" si="6"/>
        <v>0</v>
      </c>
      <c r="AC57" s="116"/>
      <c r="AD57" s="118">
        <f t="shared" si="7"/>
        <v>0</v>
      </c>
      <c r="AE57" s="118" t="str">
        <f t="shared" si="8"/>
        <v>0</v>
      </c>
      <c r="AF57" s="119" t="str">
        <f ca="1">IF(OR(F57="", G57=""), "", IF(TODAY()&lt;F57, 0, IF(TODAY()&gt;G57, 1, (TODAY()-F57+1)/(G57-F57+1))))</f>
        <v/>
      </c>
      <c r="AG57" s="183"/>
      <c r="AH57" s="98"/>
    </row>
    <row r="58" spans="1:34" s="120" customFormat="1" ht="20.85" customHeight="1" x14ac:dyDescent="0.3">
      <c r="A58" s="1041"/>
      <c r="B58" s="1041"/>
      <c r="C58" s="1304"/>
      <c r="D58" s="1041"/>
      <c r="E58" s="1118"/>
      <c r="F58" s="1118"/>
      <c r="G58" s="1047"/>
      <c r="H58" s="1671"/>
      <c r="I58" s="1683"/>
      <c r="J58" s="1049"/>
      <c r="K58" s="1063"/>
      <c r="L58" s="115" t="s">
        <v>107</v>
      </c>
      <c r="M58" s="116"/>
      <c r="N58" s="116"/>
      <c r="O58" s="116"/>
      <c r="P58" s="117">
        <f t="shared" si="12"/>
        <v>0</v>
      </c>
      <c r="Q58" s="116"/>
      <c r="R58" s="116"/>
      <c r="S58" s="116"/>
      <c r="T58" s="117">
        <f t="shared" si="13"/>
        <v>0</v>
      </c>
      <c r="U58" s="116"/>
      <c r="V58" s="116"/>
      <c r="W58" s="116"/>
      <c r="X58" s="117">
        <f t="shared" si="5"/>
        <v>0</v>
      </c>
      <c r="Y58" s="116"/>
      <c r="Z58" s="116"/>
      <c r="AA58" s="116"/>
      <c r="AB58" s="117">
        <f t="shared" si="6"/>
        <v>0</v>
      </c>
      <c r="AC58" s="116"/>
      <c r="AD58" s="118">
        <f t="shared" si="7"/>
        <v>0</v>
      </c>
      <c r="AE58" s="118" t="str">
        <f t="shared" si="8"/>
        <v>0</v>
      </c>
      <c r="AF58" s="119"/>
      <c r="AG58" s="184"/>
      <c r="AH58" s="98"/>
    </row>
    <row r="59" spans="1:34" s="120" customFormat="1" ht="20.85" customHeight="1" x14ac:dyDescent="0.3">
      <c r="A59" s="1142"/>
      <c r="B59" s="1099"/>
      <c r="C59" s="1363"/>
      <c r="D59" s="1099"/>
      <c r="E59" s="1101"/>
      <c r="F59" s="1101"/>
      <c r="G59" s="1672"/>
      <c r="H59" s="1674"/>
      <c r="I59" s="1680"/>
      <c r="J59" s="1367"/>
      <c r="K59" s="1064"/>
      <c r="L59" s="121" t="s">
        <v>106</v>
      </c>
      <c r="M59" s="122"/>
      <c r="N59" s="122"/>
      <c r="O59" s="122"/>
      <c r="P59" s="117">
        <f t="shared" si="12"/>
        <v>0</v>
      </c>
      <c r="Q59" s="122"/>
      <c r="R59" s="122"/>
      <c r="S59" s="122"/>
      <c r="T59" s="117">
        <f t="shared" si="13"/>
        <v>0</v>
      </c>
      <c r="U59" s="122"/>
      <c r="V59" s="122"/>
      <c r="W59" s="122"/>
      <c r="X59" s="117">
        <f t="shared" si="5"/>
        <v>0</v>
      </c>
      <c r="Y59" s="122"/>
      <c r="Z59" s="122"/>
      <c r="AA59" s="122"/>
      <c r="AB59" s="117">
        <f t="shared" si="6"/>
        <v>0</v>
      </c>
      <c r="AC59" s="122"/>
      <c r="AD59" s="123">
        <f t="shared" si="7"/>
        <v>0</v>
      </c>
      <c r="AE59" s="123" t="str">
        <f t="shared" si="8"/>
        <v>0</v>
      </c>
      <c r="AF59" s="124" t="str">
        <f ca="1">IF(OR(F59="", G59=""), "", IF(TODAY()&lt;F59, 0, IF(TODAY()&gt;G59, 1, (TODAY()-F59+1)/(G59-F59+1))))</f>
        <v/>
      </c>
      <c r="AG59" s="206"/>
      <c r="AH59" s="125"/>
    </row>
    <row r="60" spans="1:34" s="120" customFormat="1" ht="20.85" customHeight="1" x14ac:dyDescent="0.3">
      <c r="A60" s="1143"/>
      <c r="B60" s="1100"/>
      <c r="C60" s="1364"/>
      <c r="D60" s="1100"/>
      <c r="E60" s="1102"/>
      <c r="F60" s="1102"/>
      <c r="G60" s="1673"/>
      <c r="H60" s="1675"/>
      <c r="I60" s="1681"/>
      <c r="J60" s="1368"/>
      <c r="K60" s="1065"/>
      <c r="L60" s="121" t="s">
        <v>107</v>
      </c>
      <c r="M60" s="122"/>
      <c r="N60" s="122"/>
      <c r="O60" s="122"/>
      <c r="P60" s="117">
        <f t="shared" si="12"/>
        <v>0</v>
      </c>
      <c r="Q60" s="122"/>
      <c r="R60" s="122"/>
      <c r="S60" s="122"/>
      <c r="T60" s="117">
        <f t="shared" si="13"/>
        <v>0</v>
      </c>
      <c r="U60" s="122"/>
      <c r="V60" s="122"/>
      <c r="W60" s="122"/>
      <c r="X60" s="117">
        <f t="shared" si="5"/>
        <v>0</v>
      </c>
      <c r="Y60" s="122"/>
      <c r="Z60" s="122"/>
      <c r="AA60" s="122"/>
      <c r="AB60" s="117">
        <f t="shared" si="6"/>
        <v>0</v>
      </c>
      <c r="AC60" s="122"/>
      <c r="AD60" s="123">
        <f t="shared" si="7"/>
        <v>0</v>
      </c>
      <c r="AE60" s="123" t="str">
        <f t="shared" si="8"/>
        <v>0</v>
      </c>
      <c r="AF60" s="124"/>
      <c r="AG60" s="207"/>
      <c r="AH60" s="125"/>
    </row>
    <row r="61" spans="1:34" s="120" customFormat="1" ht="20.85" customHeight="1" x14ac:dyDescent="0.3">
      <c r="A61" s="1040"/>
      <c r="B61" s="1040"/>
      <c r="C61" s="1303"/>
      <c r="D61" s="1040"/>
      <c r="E61" s="1117"/>
      <c r="F61" s="1117"/>
      <c r="G61" s="1046"/>
      <c r="H61" s="1670"/>
      <c r="I61" s="1682"/>
      <c r="J61" s="1048"/>
      <c r="K61" s="1062"/>
      <c r="L61" s="115" t="s">
        <v>106</v>
      </c>
      <c r="M61" s="116"/>
      <c r="N61" s="116"/>
      <c r="O61" s="116"/>
      <c r="P61" s="117">
        <f t="shared" si="12"/>
        <v>0</v>
      </c>
      <c r="Q61" s="116"/>
      <c r="R61" s="116"/>
      <c r="S61" s="116"/>
      <c r="T61" s="117">
        <f t="shared" si="13"/>
        <v>0</v>
      </c>
      <c r="U61" s="116"/>
      <c r="V61" s="116"/>
      <c r="W61" s="116"/>
      <c r="X61" s="117">
        <f t="shared" si="5"/>
        <v>0</v>
      </c>
      <c r="Y61" s="116"/>
      <c r="Z61" s="116"/>
      <c r="AA61" s="116"/>
      <c r="AB61" s="117">
        <f t="shared" si="6"/>
        <v>0</v>
      </c>
      <c r="AC61" s="116"/>
      <c r="AD61" s="118">
        <f t="shared" si="7"/>
        <v>0</v>
      </c>
      <c r="AE61" s="118" t="str">
        <f t="shared" si="8"/>
        <v>0</v>
      </c>
      <c r="AF61" s="119" t="str">
        <f ca="1">IF(OR(F61="", G61=""), "", IF(TODAY()&lt;F61, 0, IF(TODAY()&gt;G61, 1, (TODAY()-F61+1)/(G61-F61+1))))</f>
        <v/>
      </c>
      <c r="AG61" s="183"/>
      <c r="AH61" s="98"/>
    </row>
    <row r="62" spans="1:34" s="120" customFormat="1" ht="20.85" customHeight="1" x14ac:dyDescent="0.3">
      <c r="A62" s="1041"/>
      <c r="B62" s="1041"/>
      <c r="C62" s="1304"/>
      <c r="D62" s="1041"/>
      <c r="E62" s="1118"/>
      <c r="F62" s="1118"/>
      <c r="G62" s="1047"/>
      <c r="H62" s="1671"/>
      <c r="I62" s="1683"/>
      <c r="J62" s="1049"/>
      <c r="K62" s="1063"/>
      <c r="L62" s="115" t="s">
        <v>107</v>
      </c>
      <c r="M62" s="116"/>
      <c r="N62" s="116"/>
      <c r="O62" s="116"/>
      <c r="P62" s="117">
        <f t="shared" si="12"/>
        <v>0</v>
      </c>
      <c r="Q62" s="116"/>
      <c r="R62" s="116"/>
      <c r="S62" s="116"/>
      <c r="T62" s="117">
        <f t="shared" si="13"/>
        <v>0</v>
      </c>
      <c r="U62" s="116"/>
      <c r="V62" s="116"/>
      <c r="W62" s="116"/>
      <c r="X62" s="117">
        <f t="shared" si="5"/>
        <v>0</v>
      </c>
      <c r="Y62" s="116"/>
      <c r="Z62" s="116"/>
      <c r="AA62" s="116"/>
      <c r="AB62" s="117">
        <f t="shared" si="6"/>
        <v>0</v>
      </c>
      <c r="AC62" s="116"/>
      <c r="AD62" s="118">
        <f t="shared" si="7"/>
        <v>0</v>
      </c>
      <c r="AE62" s="118" t="str">
        <f t="shared" si="8"/>
        <v>0</v>
      </c>
      <c r="AF62" s="119"/>
      <c r="AG62" s="184"/>
      <c r="AH62" s="98"/>
    </row>
    <row r="63" spans="1:34" s="120" customFormat="1" ht="20.85" customHeight="1" x14ac:dyDescent="0.3">
      <c r="A63" s="1142"/>
      <c r="B63" s="1099"/>
      <c r="C63" s="1363"/>
      <c r="D63" s="1099"/>
      <c r="E63" s="1101"/>
      <c r="F63" s="1101"/>
      <c r="G63" s="1672"/>
      <c r="H63" s="1674"/>
      <c r="I63" s="1680"/>
      <c r="J63" s="1367"/>
      <c r="K63" s="1064"/>
      <c r="L63" s="121" t="s">
        <v>106</v>
      </c>
      <c r="M63" s="122"/>
      <c r="N63" s="122"/>
      <c r="O63" s="122"/>
      <c r="P63" s="117">
        <f t="shared" si="12"/>
        <v>0</v>
      </c>
      <c r="Q63" s="122"/>
      <c r="R63" s="122"/>
      <c r="S63" s="122"/>
      <c r="T63" s="117">
        <f t="shared" si="13"/>
        <v>0</v>
      </c>
      <c r="U63" s="122"/>
      <c r="V63" s="122"/>
      <c r="W63" s="122"/>
      <c r="X63" s="117">
        <f t="shared" si="5"/>
        <v>0</v>
      </c>
      <c r="Y63" s="122"/>
      <c r="Z63" s="122"/>
      <c r="AA63" s="122"/>
      <c r="AB63" s="117">
        <f t="shared" si="6"/>
        <v>0</v>
      </c>
      <c r="AC63" s="122"/>
      <c r="AD63" s="123">
        <f t="shared" si="7"/>
        <v>0</v>
      </c>
      <c r="AE63" s="123" t="str">
        <f t="shared" si="8"/>
        <v>0</v>
      </c>
      <c r="AF63" s="124" t="str">
        <f ca="1">IF(OR(F63="", G63=""), "", IF(TODAY()&lt;F63, 0, IF(TODAY()&gt;G63, 1, (TODAY()-F63+1)/(G63-F63+1))))</f>
        <v/>
      </c>
      <c r="AG63" s="206"/>
      <c r="AH63" s="125"/>
    </row>
    <row r="64" spans="1:34" s="120" customFormat="1" ht="20.85" customHeight="1" x14ac:dyDescent="0.3">
      <c r="A64" s="1143"/>
      <c r="B64" s="1100"/>
      <c r="C64" s="1364"/>
      <c r="D64" s="1100"/>
      <c r="E64" s="1102"/>
      <c r="F64" s="1102"/>
      <c r="G64" s="1673"/>
      <c r="H64" s="1675"/>
      <c r="I64" s="1681"/>
      <c r="J64" s="1368"/>
      <c r="K64" s="1065"/>
      <c r="L64" s="121" t="s">
        <v>107</v>
      </c>
      <c r="M64" s="122"/>
      <c r="N64" s="122"/>
      <c r="O64" s="122"/>
      <c r="P64" s="117">
        <f t="shared" si="12"/>
        <v>0</v>
      </c>
      <c r="Q64" s="122"/>
      <c r="R64" s="122"/>
      <c r="S64" s="122"/>
      <c r="T64" s="117">
        <f t="shared" si="13"/>
        <v>0</v>
      </c>
      <c r="U64" s="122"/>
      <c r="V64" s="122"/>
      <c r="W64" s="122"/>
      <c r="X64" s="117">
        <f t="shared" si="5"/>
        <v>0</v>
      </c>
      <c r="Y64" s="122"/>
      <c r="Z64" s="122"/>
      <c r="AA64" s="122"/>
      <c r="AB64" s="117">
        <f t="shared" si="6"/>
        <v>0</v>
      </c>
      <c r="AC64" s="122"/>
      <c r="AD64" s="123">
        <f t="shared" si="7"/>
        <v>0</v>
      </c>
      <c r="AE64" s="123" t="str">
        <f t="shared" si="8"/>
        <v>0</v>
      </c>
      <c r="AF64" s="124"/>
      <c r="AG64" s="207"/>
      <c r="AH64" s="125"/>
    </row>
    <row r="65" spans="1:34" s="120" customFormat="1" ht="20.85" customHeight="1" x14ac:dyDescent="0.3">
      <c r="A65" s="1040"/>
      <c r="B65" s="1040"/>
      <c r="C65" s="1303"/>
      <c r="D65" s="1040"/>
      <c r="E65" s="1117"/>
      <c r="F65" s="1117"/>
      <c r="G65" s="1046"/>
      <c r="H65" s="1670"/>
      <c r="I65" s="1682"/>
      <c r="J65" s="1048"/>
      <c r="K65" s="1062"/>
      <c r="L65" s="115" t="s">
        <v>106</v>
      </c>
      <c r="M65" s="116"/>
      <c r="N65" s="116"/>
      <c r="O65" s="116"/>
      <c r="P65" s="117">
        <f t="shared" si="12"/>
        <v>0</v>
      </c>
      <c r="Q65" s="116"/>
      <c r="R65" s="116"/>
      <c r="S65" s="116"/>
      <c r="T65" s="117">
        <f t="shared" si="13"/>
        <v>0</v>
      </c>
      <c r="U65" s="116"/>
      <c r="V65" s="116"/>
      <c r="W65" s="116"/>
      <c r="X65" s="117">
        <f t="shared" si="5"/>
        <v>0</v>
      </c>
      <c r="Y65" s="116"/>
      <c r="Z65" s="116"/>
      <c r="AA65" s="116"/>
      <c r="AB65" s="117">
        <f t="shared" si="6"/>
        <v>0</v>
      </c>
      <c r="AC65" s="116"/>
      <c r="AD65" s="118">
        <f t="shared" si="7"/>
        <v>0</v>
      </c>
      <c r="AE65" s="118" t="str">
        <f t="shared" si="8"/>
        <v>0</v>
      </c>
      <c r="AF65" s="119" t="str">
        <f ca="1">IF(OR(F65="", G65=""), "", IF(TODAY()&lt;F65, 0, IF(TODAY()&gt;G65, 1, (TODAY()-F65+1)/(G65-F65+1))))</f>
        <v/>
      </c>
      <c r="AG65" s="183"/>
      <c r="AH65" s="98"/>
    </row>
    <row r="66" spans="1:34" s="120" customFormat="1" ht="20.85" customHeight="1" x14ac:dyDescent="0.3">
      <c r="A66" s="1041"/>
      <c r="B66" s="1041"/>
      <c r="C66" s="1304"/>
      <c r="D66" s="1041"/>
      <c r="E66" s="1118"/>
      <c r="F66" s="1118"/>
      <c r="G66" s="1047"/>
      <c r="H66" s="1671"/>
      <c r="I66" s="1683"/>
      <c r="J66" s="1049"/>
      <c r="K66" s="1063"/>
      <c r="L66" s="115" t="s">
        <v>107</v>
      </c>
      <c r="M66" s="116"/>
      <c r="N66" s="116"/>
      <c r="O66" s="116"/>
      <c r="P66" s="117">
        <f t="shared" si="12"/>
        <v>0</v>
      </c>
      <c r="Q66" s="116"/>
      <c r="R66" s="116"/>
      <c r="S66" s="116"/>
      <c r="T66" s="117">
        <f t="shared" si="13"/>
        <v>0</v>
      </c>
      <c r="U66" s="116"/>
      <c r="V66" s="116"/>
      <c r="W66" s="116"/>
      <c r="X66" s="117">
        <f t="shared" si="5"/>
        <v>0</v>
      </c>
      <c r="Y66" s="116"/>
      <c r="Z66" s="116"/>
      <c r="AA66" s="116"/>
      <c r="AB66" s="117">
        <f t="shared" si="6"/>
        <v>0</v>
      </c>
      <c r="AC66" s="116"/>
      <c r="AD66" s="118">
        <f t="shared" si="7"/>
        <v>0</v>
      </c>
      <c r="AE66" s="118" t="str">
        <f t="shared" si="8"/>
        <v>0</v>
      </c>
      <c r="AF66" s="119"/>
      <c r="AG66" s="184"/>
      <c r="AH66" s="98"/>
    </row>
    <row r="67" spans="1:34" s="120" customFormat="1" ht="20.85" customHeight="1" x14ac:dyDescent="0.3">
      <c r="A67" s="1142"/>
      <c r="B67" s="1099"/>
      <c r="C67" s="1363"/>
      <c r="D67" s="1099"/>
      <c r="E67" s="1101"/>
      <c r="F67" s="1101"/>
      <c r="G67" s="1672"/>
      <c r="H67" s="1674"/>
      <c r="I67" s="1680"/>
      <c r="J67" s="1367"/>
      <c r="K67" s="1064"/>
      <c r="L67" s="121" t="s">
        <v>106</v>
      </c>
      <c r="M67" s="122"/>
      <c r="N67" s="122"/>
      <c r="O67" s="122"/>
      <c r="P67" s="117">
        <f t="shared" si="12"/>
        <v>0</v>
      </c>
      <c r="Q67" s="122"/>
      <c r="R67" s="122"/>
      <c r="S67" s="122"/>
      <c r="T67" s="117">
        <f t="shared" si="13"/>
        <v>0</v>
      </c>
      <c r="U67" s="122"/>
      <c r="V67" s="122"/>
      <c r="W67" s="122"/>
      <c r="X67" s="117">
        <f t="shared" si="5"/>
        <v>0</v>
      </c>
      <c r="Y67" s="122"/>
      <c r="Z67" s="122"/>
      <c r="AA67" s="122"/>
      <c r="AB67" s="117">
        <f t="shared" si="6"/>
        <v>0</v>
      </c>
      <c r="AC67" s="122"/>
      <c r="AD67" s="123">
        <f t="shared" si="7"/>
        <v>0</v>
      </c>
      <c r="AE67" s="123" t="str">
        <f t="shared" si="8"/>
        <v>0</v>
      </c>
      <c r="AF67" s="124" t="str">
        <f ca="1">IF(OR(F67="", G67=""), "", IF(TODAY()&lt;F67, 0, IF(TODAY()&gt;G67, 1, (TODAY()-F67+1)/(G67-F67+1))))</f>
        <v/>
      </c>
      <c r="AG67" s="206"/>
      <c r="AH67" s="125"/>
    </row>
    <row r="68" spans="1:34" s="120" customFormat="1" ht="20.85" customHeight="1" x14ac:dyDescent="0.3">
      <c r="A68" s="1143"/>
      <c r="B68" s="1100"/>
      <c r="C68" s="1364"/>
      <c r="D68" s="1100"/>
      <c r="E68" s="1102"/>
      <c r="F68" s="1102"/>
      <c r="G68" s="1673"/>
      <c r="H68" s="1675"/>
      <c r="I68" s="1681"/>
      <c r="J68" s="1368"/>
      <c r="K68" s="1065"/>
      <c r="L68" s="121" t="s">
        <v>107</v>
      </c>
      <c r="M68" s="122"/>
      <c r="N68" s="122"/>
      <c r="O68" s="122"/>
      <c r="P68" s="117">
        <f t="shared" si="12"/>
        <v>0</v>
      </c>
      <c r="Q68" s="122"/>
      <c r="R68" s="122"/>
      <c r="S68" s="122"/>
      <c r="T68" s="117">
        <f t="shared" si="13"/>
        <v>0</v>
      </c>
      <c r="U68" s="122"/>
      <c r="V68" s="122"/>
      <c r="W68" s="122"/>
      <c r="X68" s="117">
        <f t="shared" si="5"/>
        <v>0</v>
      </c>
      <c r="Y68" s="122"/>
      <c r="Z68" s="122"/>
      <c r="AA68" s="122"/>
      <c r="AB68" s="117">
        <f t="shared" si="6"/>
        <v>0</v>
      </c>
      <c r="AC68" s="122"/>
      <c r="AD68" s="123">
        <f t="shared" si="7"/>
        <v>0</v>
      </c>
      <c r="AE68" s="123" t="str">
        <f t="shared" si="8"/>
        <v>0</v>
      </c>
      <c r="AF68" s="124"/>
      <c r="AG68" s="207"/>
      <c r="AH68" s="125"/>
    </row>
    <row r="69" spans="1:34" s="120" customFormat="1" ht="20.85" customHeight="1" x14ac:dyDescent="0.3"/>
    <row r="70" spans="1:34" x14ac:dyDescent="0.3">
      <c r="K70" s="151"/>
      <c r="L70" s="151">
        <v>46023</v>
      </c>
      <c r="M70" s="151">
        <v>46054</v>
      </c>
      <c r="N70" s="151">
        <v>46082</v>
      </c>
      <c r="O70" s="151">
        <v>46113</v>
      </c>
      <c r="P70" s="151">
        <v>46143</v>
      </c>
      <c r="Q70" s="151">
        <v>46174</v>
      </c>
      <c r="R70" s="151">
        <v>46204</v>
      </c>
      <c r="S70" s="151">
        <v>46235</v>
      </c>
      <c r="T70" s="151">
        <v>46266</v>
      </c>
      <c r="U70" s="151">
        <v>46296</v>
      </c>
      <c r="V70" s="151">
        <v>46327</v>
      </c>
      <c r="W70" s="151">
        <v>46357</v>
      </c>
      <c r="X70" s="151" t="s">
        <v>550</v>
      </c>
    </row>
    <row r="71" spans="1:34" x14ac:dyDescent="0.3">
      <c r="K71" s="151" t="s">
        <v>106</v>
      </c>
      <c r="L71" s="152" cm="1">
        <f t="array" ref="L71">SUMPRODUCT(
($L$17:$L$68="Previsto")*
INDEX($M$17:$AB$68,0,MATCH(L$70,$M$16:$AB$16,0))
)</f>
        <v>0</v>
      </c>
      <c r="M71" s="152" cm="1">
        <f t="array" ref="M71">SUMPRODUCT(
($L$17:$L$68="Previsto")*
INDEX($M$17:$AB$68,0,MATCH(M$70,$M$16:$AB$16,0))
)</f>
        <v>0</v>
      </c>
      <c r="N71" s="152" cm="1">
        <f t="array" ref="N71">SUMPRODUCT(
($L$17:$L$68="Previsto")*
INDEX($M$17:$AB$68,0,MATCH(N$70,$M$16:$AB$16,0))
)</f>
        <v>0</v>
      </c>
      <c r="O71" s="152" cm="1">
        <f t="array" ref="O71">SUMPRODUCT(
($L$17:$L$68="Previsto")*
INDEX($M$17:$AB$68,0,MATCH(O$70,$M$16:$AB$16,0))
)</f>
        <v>0</v>
      </c>
      <c r="P71" s="152" cm="1">
        <f t="array" ref="P71">SUMPRODUCT(
($L$17:$L$68="Previsto")*
INDEX($M$17:$AB$68,0,MATCH(P$70,$M$16:$AB$16,0))
)</f>
        <v>0</v>
      </c>
      <c r="Q71" s="152" cm="1">
        <f t="array" ref="Q71">SUMPRODUCT(
($L$17:$L$68="Previsto")*
INDEX($M$17:$AB$68,0,MATCH(Q$70,$M$16:$AB$16,0))
)</f>
        <v>0</v>
      </c>
      <c r="R71" s="152" cm="1">
        <f t="array" ref="R71">SUMPRODUCT(
($L$17:$L$68="Previsto")*
INDEX($M$17:$AB$68,0,MATCH(R$70,$M$16:$AB$16,0))
)</f>
        <v>0</v>
      </c>
      <c r="S71" s="152" cm="1">
        <f t="array" ref="S71">SUMPRODUCT(
($L$17:$L$68="Previsto")*
INDEX($M$17:$AB$68,0,MATCH(S$70,$M$16:$AB$16,0))
)</f>
        <v>0</v>
      </c>
      <c r="T71" s="152" cm="1">
        <f t="array" ref="T71">SUMPRODUCT(
($L$17:$L$68="Previsto")*
INDEX($M$17:$AB$68,0,MATCH(T$70,$M$16:$AB$16,0))
)</f>
        <v>0</v>
      </c>
      <c r="U71" s="152" cm="1">
        <f t="array" ref="U71">SUMPRODUCT(
($L$17:$L$68="Previsto")*
INDEX($M$17:$AB$68,0,MATCH(U$70,$M$16:$AB$16,0))
)</f>
        <v>0</v>
      </c>
      <c r="V71" s="152" cm="1">
        <f t="array" ref="V71">SUMPRODUCT(
($L$17:$L$68="Previsto")*
INDEX($M$17:$AB$68,0,MATCH(V$70,$M$16:$AB$16,0))
)</f>
        <v>0</v>
      </c>
      <c r="W71" s="152" cm="1">
        <f t="array" ref="W71">SUMPRODUCT(
($L$17:$L$68="Previsto")*
INDEX($M$17:$AB$68,0,MATCH(W$70,$M$16:$AB$16,0))
)</f>
        <v>0</v>
      </c>
      <c r="X71" s="152">
        <f>SUM(L71:W71)</f>
        <v>0</v>
      </c>
    </row>
    <row r="72" spans="1:34" x14ac:dyDescent="0.3">
      <c r="K72" s="153" t="s">
        <v>107</v>
      </c>
      <c r="L72" s="154" cm="1">
        <f t="array" ref="L72">SUMPRODUCT(
($L$17:$L$68="Real")*
INDEX($M$17:$AB$68,0,MATCH(L$70,$M$16:$AB$16,0))
)</f>
        <v>0</v>
      </c>
      <c r="M72" s="154" cm="1">
        <f t="array" ref="M72">SUMPRODUCT(
($L$17:$L$68="Real")*
INDEX($M$17:$AB$68,0,MATCH(M$70,$M$16:$AB$16,0))
)</f>
        <v>0</v>
      </c>
      <c r="N72" s="154" cm="1">
        <f t="array" ref="N72">SUMPRODUCT(
($L$17:$L$68="Real")*
INDEX($M$17:$AB$68,0,MATCH(N$70,$M$16:$AB$16,0))
)</f>
        <v>0</v>
      </c>
      <c r="O72" s="154" cm="1">
        <f t="array" ref="O72">SUMPRODUCT(
($L$17:$L$68="Real")*
INDEX($M$17:$AB$68,0,MATCH(O$70,$M$16:$AB$16,0))
)</f>
        <v>0</v>
      </c>
      <c r="P72" s="154" cm="1">
        <f t="array" ref="P72">SUMPRODUCT(
($L$17:$L$68="Real")*
INDEX($M$17:$AB$68,0,MATCH(P$70,$M$16:$AB$16,0))
)</f>
        <v>0</v>
      </c>
      <c r="Q72" s="154" cm="1">
        <f t="array" ref="Q72">SUMPRODUCT(
($L$17:$L$68="Real")*
INDEX($M$17:$AB$68,0,MATCH(Q$70,$M$16:$AB$16,0))
)</f>
        <v>0</v>
      </c>
      <c r="R72" s="154" cm="1">
        <f t="array" ref="R72">SUMPRODUCT(
($L$17:$L$68="Real")*
INDEX($M$17:$AB$68,0,MATCH(R$70,$M$16:$AB$16,0))
)</f>
        <v>0</v>
      </c>
      <c r="S72" s="154" cm="1">
        <f t="array" ref="S72">SUMPRODUCT(
($L$17:$L$68="Real")*
INDEX($M$17:$AB$68,0,MATCH(S$70,$M$16:$AB$16,0))
)</f>
        <v>0</v>
      </c>
      <c r="T72" s="154" cm="1">
        <f t="array" ref="T72">SUMPRODUCT(
($L$17:$L$68="Real")*
INDEX($M$17:$AB$68,0,MATCH(T$70,$M$16:$AB$16,0))
)</f>
        <v>0</v>
      </c>
      <c r="U72" s="154" cm="1">
        <f t="array" ref="U72">SUMPRODUCT(
($L$17:$L$68="Real")*
INDEX($M$17:$AB$68,0,MATCH(U$70,$M$16:$AB$16,0))
)</f>
        <v>0</v>
      </c>
      <c r="V72" s="154" cm="1">
        <f t="array" ref="V72">SUMPRODUCT(
($L$17:$L$68="Real")*
INDEX($M$17:$AB$68,0,MATCH(V$70,$M$16:$AB$16,0))
)</f>
        <v>0</v>
      </c>
      <c r="W72" s="154" cm="1">
        <f t="array" ref="W72">SUMPRODUCT(
($L$17:$L$68="Real")*
INDEX($M$17:$AB$68,0,MATCH(W$70,$M$16:$AB$16,0))
)</f>
        <v>0</v>
      </c>
      <c r="X72" s="154">
        <f>SUM(L72:W72)</f>
        <v>0</v>
      </c>
    </row>
    <row r="73" spans="1:34" x14ac:dyDescent="0.3">
      <c r="K73" s="160" t="s">
        <v>566</v>
      </c>
      <c r="L73" s="160" cm="1">
        <f t="array" ref="L73">SUMPRODUCT(
($E$17:$E$68&lt;&gt;"")*
($E$17:$E$68&lt;=L$70)*
(($F$17:$F$68="")+($F$17:$F$68&gt;=L$70))
)</f>
        <v>0</v>
      </c>
      <c r="M73" s="160" cm="1">
        <f t="array" ref="M73">SUMPRODUCT(
($E$17:$E$68&lt;&gt;"")*
($E$17:$E$68&lt;=M$70)*
(($F$17:$F$68="")+($F$17:$F$68&gt;=M$70))
)</f>
        <v>0</v>
      </c>
      <c r="N73" s="160" cm="1">
        <f t="array" ref="N73">SUMPRODUCT(
($E$17:$E$68&lt;&gt;"")*
($E$17:$E$68&lt;=N$70)*
(($F$17:$F$68="")+($F$17:$F$68&gt;=N$70))
)</f>
        <v>0</v>
      </c>
      <c r="O73" s="160" cm="1">
        <f t="array" ref="O73">SUMPRODUCT(
($E$17:$E$68&lt;&gt;"")*
($E$17:$E$68&lt;=O$70)*
(($F$17:$F$68="")+($F$17:$F$68&gt;=O$70))
)</f>
        <v>0</v>
      </c>
      <c r="P73" s="160" cm="1">
        <f t="array" ref="P73">SUMPRODUCT(
($E$17:$E$68&lt;&gt;"")*
($E$17:$E$68&lt;=P$70)*
(($F$17:$F$68="")+($F$17:$F$68&gt;=P$70))
)</f>
        <v>0</v>
      </c>
      <c r="Q73" s="160" cm="1">
        <f t="array" ref="Q73">SUMPRODUCT(
($E$17:$E$68&lt;&gt;"")*
($E$17:$E$68&lt;=Q$70)*
(($F$17:$F$68="")+($F$17:$F$68&gt;=Q$70))
)</f>
        <v>0</v>
      </c>
      <c r="R73" s="160" cm="1">
        <f t="array" ref="R73">SUMPRODUCT(
($E$17:$E$68&lt;&gt;"")*
($E$17:$E$68&lt;=R$70)*
(($F$17:$F$68="")+($F$17:$F$68&gt;=R$70))
)</f>
        <v>0</v>
      </c>
      <c r="S73" s="160" cm="1">
        <f t="array" ref="S73">SUMPRODUCT(
($E$17:$E$68&lt;&gt;"")*
($E$17:$E$68&lt;=S$70)*
(($F$17:$F$68="")+($F$17:$F$68&gt;=S$70))
)</f>
        <v>0</v>
      </c>
      <c r="T73" s="160" cm="1">
        <f t="array" ref="T73">SUMPRODUCT(
($E$17:$E$68&lt;&gt;"")*
($E$17:$E$68&lt;=T$70)*
(($F$17:$F$68="")+($F$17:$F$68&gt;=T$70))
)</f>
        <v>0</v>
      </c>
      <c r="U73" s="160" cm="1">
        <f t="array" ref="U73">SUMPRODUCT(
($E$17:$E$68&lt;&gt;"")*
($E$17:$E$68&lt;=U$70)*
(($F$17:$F$68="")+($F$17:$F$68&gt;=U$70))
)</f>
        <v>0</v>
      </c>
      <c r="V73" s="160" cm="1">
        <f t="array" ref="V73">SUMPRODUCT(
($E$17:$E$68&lt;&gt;"")*
($E$17:$E$68&lt;=V$70)*
(($F$17:$F$68="")+($F$17:$F$68&gt;=V$70))
)</f>
        <v>0</v>
      </c>
      <c r="W73" s="160" cm="1">
        <f t="array" ref="W73">SUMPRODUCT(
($E$17:$E$68&lt;&gt;"")*
($E$17:$E$68&lt;=W$70)*
(($F$17:$F$68="")+($F$17:$F$68&gt;=W$70))
)</f>
        <v>0</v>
      </c>
    </row>
  </sheetData>
  <sheetProtection algorithmName="SHA-512" hashValue="Tb/2vprWqgIaWowAN4O/zH2bqcVGqYyqW30eos3NLlNJZswKLTj3qbzsr0UncCiYPYz3B/UPoU6OygAyLUYzPQ==" saltValue="cSb3hXOtEw3WquSf4jdfBQ==" spinCount="100000" sheet="1" objects="1" scenarios="1"/>
  <mergeCells count="307">
    <mergeCell ref="O1:AB1"/>
    <mergeCell ref="AC1:AG1"/>
    <mergeCell ref="O2:AB2"/>
    <mergeCell ref="AC2:AG2"/>
    <mergeCell ref="A1:N1"/>
    <mergeCell ref="A2:N2"/>
    <mergeCell ref="A4:B4"/>
    <mergeCell ref="C4:D4"/>
    <mergeCell ref="E4:F4"/>
    <mergeCell ref="G4:I4"/>
    <mergeCell ref="J4:L4"/>
    <mergeCell ref="M4:N4"/>
    <mergeCell ref="K17:K18"/>
    <mergeCell ref="J17:J18"/>
    <mergeCell ref="M5:N5"/>
    <mergeCell ref="A7:E7"/>
    <mergeCell ref="G7:I7"/>
    <mergeCell ref="L13:N13"/>
    <mergeCell ref="A5:B5"/>
    <mergeCell ref="C5:D5"/>
    <mergeCell ref="E5:F5"/>
    <mergeCell ref="G5:I5"/>
    <mergeCell ref="J5:L5"/>
    <mergeCell ref="A17:A18"/>
    <mergeCell ref="B17:B18"/>
    <mergeCell ref="C17:C18"/>
    <mergeCell ref="D17:D18"/>
    <mergeCell ref="E17:E18"/>
    <mergeCell ref="F17:F18"/>
    <mergeCell ref="G17:G18"/>
    <mergeCell ref="H17:H18"/>
    <mergeCell ref="I17:I18"/>
    <mergeCell ref="K21:K22"/>
    <mergeCell ref="F19:F20"/>
    <mergeCell ref="G19:G20"/>
    <mergeCell ref="H19:H20"/>
    <mergeCell ref="I19:I20"/>
    <mergeCell ref="K19:K20"/>
    <mergeCell ref="A19:A20"/>
    <mergeCell ref="B19:B20"/>
    <mergeCell ref="C19:C20"/>
    <mergeCell ref="D19:D20"/>
    <mergeCell ref="E19:E20"/>
    <mergeCell ref="J19:J20"/>
    <mergeCell ref="J21:J22"/>
    <mergeCell ref="A21:A22"/>
    <mergeCell ref="B21:B22"/>
    <mergeCell ref="C21:C22"/>
    <mergeCell ref="D21:D22"/>
    <mergeCell ref="E21:E22"/>
    <mergeCell ref="F21:F22"/>
    <mergeCell ref="G21:G22"/>
    <mergeCell ref="H21:H22"/>
    <mergeCell ref="I21:I22"/>
    <mergeCell ref="K25:K26"/>
    <mergeCell ref="F23:F24"/>
    <mergeCell ref="G23:G24"/>
    <mergeCell ref="H23:H24"/>
    <mergeCell ref="I23:I24"/>
    <mergeCell ref="K23:K24"/>
    <mergeCell ref="A23:A24"/>
    <mergeCell ref="B23:B24"/>
    <mergeCell ref="C23:C24"/>
    <mergeCell ref="D23:D24"/>
    <mergeCell ref="E23:E24"/>
    <mergeCell ref="J23:J24"/>
    <mergeCell ref="J25:J26"/>
    <mergeCell ref="A25:A26"/>
    <mergeCell ref="B25:B26"/>
    <mergeCell ref="C25:C26"/>
    <mergeCell ref="D25:D26"/>
    <mergeCell ref="E25:E26"/>
    <mergeCell ref="F25:F26"/>
    <mergeCell ref="G25:G26"/>
    <mergeCell ref="H25:H26"/>
    <mergeCell ref="I25:I26"/>
    <mergeCell ref="K29:K30"/>
    <mergeCell ref="F27:F28"/>
    <mergeCell ref="G27:G28"/>
    <mergeCell ref="H27:H28"/>
    <mergeCell ref="I27:I28"/>
    <mergeCell ref="K27:K28"/>
    <mergeCell ref="A27:A28"/>
    <mergeCell ref="B27:B28"/>
    <mergeCell ref="C27:C28"/>
    <mergeCell ref="D27:D28"/>
    <mergeCell ref="E27:E28"/>
    <mergeCell ref="J27:J28"/>
    <mergeCell ref="J29:J30"/>
    <mergeCell ref="A29:A30"/>
    <mergeCell ref="B29:B30"/>
    <mergeCell ref="C29:C30"/>
    <mergeCell ref="D29:D30"/>
    <mergeCell ref="E29:E30"/>
    <mergeCell ref="F29:F30"/>
    <mergeCell ref="G29:G30"/>
    <mergeCell ref="H29:H30"/>
    <mergeCell ref="I29:I30"/>
    <mergeCell ref="K33:K34"/>
    <mergeCell ref="F31:F32"/>
    <mergeCell ref="G31:G32"/>
    <mergeCell ref="H31:H32"/>
    <mergeCell ref="I31:I32"/>
    <mergeCell ref="K31:K32"/>
    <mergeCell ref="A31:A32"/>
    <mergeCell ref="B31:B32"/>
    <mergeCell ref="C31:C32"/>
    <mergeCell ref="D31:D32"/>
    <mergeCell ref="E31:E32"/>
    <mergeCell ref="J31:J32"/>
    <mergeCell ref="J33:J34"/>
    <mergeCell ref="A33:A34"/>
    <mergeCell ref="B33:B34"/>
    <mergeCell ref="C33:C34"/>
    <mergeCell ref="D33:D34"/>
    <mergeCell ref="E33:E34"/>
    <mergeCell ref="F33:F34"/>
    <mergeCell ref="G33:G34"/>
    <mergeCell ref="H33:H34"/>
    <mergeCell ref="I33:I34"/>
    <mergeCell ref="K37:K38"/>
    <mergeCell ref="F35:F36"/>
    <mergeCell ref="G35:G36"/>
    <mergeCell ref="H35:H36"/>
    <mergeCell ref="I35:I36"/>
    <mergeCell ref="K35:K36"/>
    <mergeCell ref="A35:A36"/>
    <mergeCell ref="B35:B36"/>
    <mergeCell ref="C35:C36"/>
    <mergeCell ref="D35:D36"/>
    <mergeCell ref="E35:E36"/>
    <mergeCell ref="J35:J36"/>
    <mergeCell ref="J37:J38"/>
    <mergeCell ref="A37:A38"/>
    <mergeCell ref="B37:B38"/>
    <mergeCell ref="C37:C38"/>
    <mergeCell ref="D37:D38"/>
    <mergeCell ref="E37:E38"/>
    <mergeCell ref="F37:F38"/>
    <mergeCell ref="G37:G38"/>
    <mergeCell ref="H37:H38"/>
    <mergeCell ref="I37:I38"/>
    <mergeCell ref="K41:K42"/>
    <mergeCell ref="F39:F40"/>
    <mergeCell ref="G39:G40"/>
    <mergeCell ref="H39:H40"/>
    <mergeCell ref="I39:I40"/>
    <mergeCell ref="K39:K40"/>
    <mergeCell ref="A39:A40"/>
    <mergeCell ref="B39:B40"/>
    <mergeCell ref="C39:C40"/>
    <mergeCell ref="D39:D40"/>
    <mergeCell ref="E39:E40"/>
    <mergeCell ref="J39:J40"/>
    <mergeCell ref="J41:J42"/>
    <mergeCell ref="A41:A42"/>
    <mergeCell ref="B41:B42"/>
    <mergeCell ref="C41:C42"/>
    <mergeCell ref="D41:D42"/>
    <mergeCell ref="E41:E42"/>
    <mergeCell ref="F41:F42"/>
    <mergeCell ref="G41:G42"/>
    <mergeCell ref="H41:H42"/>
    <mergeCell ref="I41:I42"/>
    <mergeCell ref="K45:K46"/>
    <mergeCell ref="F43:F44"/>
    <mergeCell ref="G43:G44"/>
    <mergeCell ref="H43:H44"/>
    <mergeCell ref="I43:I44"/>
    <mergeCell ref="K43:K44"/>
    <mergeCell ref="A43:A44"/>
    <mergeCell ref="B43:B44"/>
    <mergeCell ref="C43:C44"/>
    <mergeCell ref="D43:D44"/>
    <mergeCell ref="E43:E44"/>
    <mergeCell ref="J43:J44"/>
    <mergeCell ref="J45:J46"/>
    <mergeCell ref="A45:A46"/>
    <mergeCell ref="B45:B46"/>
    <mergeCell ref="C45:C46"/>
    <mergeCell ref="D45:D46"/>
    <mergeCell ref="E45:E46"/>
    <mergeCell ref="F45:F46"/>
    <mergeCell ref="G45:G46"/>
    <mergeCell ref="H45:H46"/>
    <mergeCell ref="I45:I46"/>
    <mergeCell ref="K49:K50"/>
    <mergeCell ref="F47:F48"/>
    <mergeCell ref="G47:G48"/>
    <mergeCell ref="H47:H48"/>
    <mergeCell ref="I47:I48"/>
    <mergeCell ref="K47:K48"/>
    <mergeCell ref="A47:A48"/>
    <mergeCell ref="B47:B48"/>
    <mergeCell ref="C47:C48"/>
    <mergeCell ref="D47:D48"/>
    <mergeCell ref="E47:E48"/>
    <mergeCell ref="J47:J48"/>
    <mergeCell ref="J49:J50"/>
    <mergeCell ref="A49:A50"/>
    <mergeCell ref="B49:B50"/>
    <mergeCell ref="C49:C50"/>
    <mergeCell ref="D49:D50"/>
    <mergeCell ref="E49:E50"/>
    <mergeCell ref="F49:F50"/>
    <mergeCell ref="G49:G50"/>
    <mergeCell ref="H49:H50"/>
    <mergeCell ref="I49:I50"/>
    <mergeCell ref="K53:K54"/>
    <mergeCell ref="F51:F52"/>
    <mergeCell ref="G51:G52"/>
    <mergeCell ref="H51:H52"/>
    <mergeCell ref="I51:I52"/>
    <mergeCell ref="K51:K52"/>
    <mergeCell ref="A51:A52"/>
    <mergeCell ref="B51:B52"/>
    <mergeCell ref="C51:C52"/>
    <mergeCell ref="D51:D52"/>
    <mergeCell ref="E51:E52"/>
    <mergeCell ref="J51:J52"/>
    <mergeCell ref="J53:J54"/>
    <mergeCell ref="A53:A54"/>
    <mergeCell ref="B53:B54"/>
    <mergeCell ref="C53:C54"/>
    <mergeCell ref="D53:D54"/>
    <mergeCell ref="E53:E54"/>
    <mergeCell ref="F53:F54"/>
    <mergeCell ref="G53:G54"/>
    <mergeCell ref="H53:H54"/>
    <mergeCell ref="I53:I54"/>
    <mergeCell ref="K57:K58"/>
    <mergeCell ref="F55:F56"/>
    <mergeCell ref="G55:G56"/>
    <mergeCell ref="H55:H56"/>
    <mergeCell ref="I55:I56"/>
    <mergeCell ref="K55:K56"/>
    <mergeCell ref="A55:A56"/>
    <mergeCell ref="B55:B56"/>
    <mergeCell ref="C55:C56"/>
    <mergeCell ref="D55:D56"/>
    <mergeCell ref="E55:E56"/>
    <mergeCell ref="J55:J56"/>
    <mergeCell ref="J57:J58"/>
    <mergeCell ref="A57:A58"/>
    <mergeCell ref="B57:B58"/>
    <mergeCell ref="C57:C58"/>
    <mergeCell ref="D57:D58"/>
    <mergeCell ref="E57:E58"/>
    <mergeCell ref="F57:F58"/>
    <mergeCell ref="G57:G58"/>
    <mergeCell ref="H57:H58"/>
    <mergeCell ref="I57:I58"/>
    <mergeCell ref="K61:K62"/>
    <mergeCell ref="F59:F60"/>
    <mergeCell ref="G59:G60"/>
    <mergeCell ref="H59:H60"/>
    <mergeCell ref="I59:I60"/>
    <mergeCell ref="K59:K60"/>
    <mergeCell ref="A59:A60"/>
    <mergeCell ref="B59:B60"/>
    <mergeCell ref="C59:C60"/>
    <mergeCell ref="D59:D60"/>
    <mergeCell ref="E59:E60"/>
    <mergeCell ref="J59:J60"/>
    <mergeCell ref="J61:J62"/>
    <mergeCell ref="A61:A62"/>
    <mergeCell ref="B61:B62"/>
    <mergeCell ref="C61:C62"/>
    <mergeCell ref="D61:D62"/>
    <mergeCell ref="E61:E62"/>
    <mergeCell ref="F61:F62"/>
    <mergeCell ref="G61:G62"/>
    <mergeCell ref="H61:H62"/>
    <mergeCell ref="I61:I62"/>
    <mergeCell ref="K65:K66"/>
    <mergeCell ref="F63:F64"/>
    <mergeCell ref="G63:G64"/>
    <mergeCell ref="H63:H64"/>
    <mergeCell ref="I63:I64"/>
    <mergeCell ref="K63:K64"/>
    <mergeCell ref="A63:A64"/>
    <mergeCell ref="B63:B64"/>
    <mergeCell ref="C63:C64"/>
    <mergeCell ref="D63:D64"/>
    <mergeCell ref="E63:E64"/>
    <mergeCell ref="J63:J64"/>
    <mergeCell ref="J65:J66"/>
    <mergeCell ref="A65:A66"/>
    <mergeCell ref="B65:B66"/>
    <mergeCell ref="C65:C66"/>
    <mergeCell ref="D65:D66"/>
    <mergeCell ref="E65:E66"/>
    <mergeCell ref="F65:F66"/>
    <mergeCell ref="G65:G66"/>
    <mergeCell ref="H65:H66"/>
    <mergeCell ref="I65:I66"/>
    <mergeCell ref="F67:F68"/>
    <mergeCell ref="G67:G68"/>
    <mergeCell ref="H67:H68"/>
    <mergeCell ref="I67:I68"/>
    <mergeCell ref="K67:K68"/>
    <mergeCell ref="A67:A68"/>
    <mergeCell ref="B67:B68"/>
    <mergeCell ref="C67:C68"/>
    <mergeCell ref="D67:D68"/>
    <mergeCell ref="E67:E68"/>
    <mergeCell ref="J67:J68"/>
  </mergeCells>
  <conditionalFormatting sqref="E9:E12">
    <cfRule type="dataBar" priority="1">
      <dataBar showValue="0">
        <cfvo type="num" val="0"/>
        <cfvo type="num" val="1"/>
        <color rgb="FF00B050"/>
      </dataBar>
      <extLst>
        <ext xmlns:x14="http://schemas.microsoft.com/office/spreadsheetml/2009/9/main" uri="{B025F937-C7B1-47D3-B67F-A62EFF666E3E}">
          <x14:id>{A242E975-305F-4CC5-A0D0-4158A61CA254}</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A242E975-305F-4CC5-A0D0-4158A61CA254}">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F0421A3A-8110-4A70-9D75-BFD296217DF5}">
          <x14:formula1>
            <xm:f>Parâmetros!$A$24:$A$27</xm:f>
          </x14:formula1>
          <xm:sqref>A17:A68</xm:sqref>
        </x14:dataValidation>
        <x14:dataValidation type="list" allowBlank="1" showInputMessage="1" showErrorMessage="1" xr:uid="{E403B9C6-5736-4CFB-B061-D74176A52A1D}">
          <x14:formula1>
            <xm:f>Parâmetros!$A$31:$A$33</xm:f>
          </x14:formula1>
          <xm:sqref>AG17:AG68 J17 J19 J21 J25 J29 J33 J37 J41 J45 J49 J53 J57 J61 J65 J23 J27 J31 J35 J39 J43 J47 J51 J55 J59 J63 J67</xm:sqref>
        </x14:dataValidation>
        <x14:dataValidation type="list" allowBlank="1" showInputMessage="1" showErrorMessage="1" xr:uid="{F979005F-E22B-403E-B7C2-D6454ED118C7}">
          <x14:formula1>
            <xm:f>Parâmetros!$A$28:$A$29</xm:f>
          </x14:formula1>
          <xm:sqref>H17:H68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3A69-35B8-4FEA-BCDA-C02BAC1E4593}">
  <dimension ref="A1:AG73"/>
  <sheetViews>
    <sheetView zoomScale="85" zoomScaleNormal="85" workbookViewId="0">
      <selection activeCell="K16" sqref="K16:K68"/>
    </sheetView>
  </sheetViews>
  <sheetFormatPr defaultColWidth="8.5546875" defaultRowHeight="14.4" x14ac:dyDescent="0.3"/>
  <cols>
    <col min="1" max="1" width="16"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38.44140625" style="62" customWidth="1"/>
    <col min="10" max="32" width="13.44140625" style="62" customWidth="1"/>
    <col min="33" max="33" width="146.5546875" style="62" customWidth="1"/>
    <col min="34" max="16384" width="8.5546875" style="62"/>
  </cols>
  <sheetData>
    <row r="1" spans="1:33" ht="50.1" customHeight="1" x14ac:dyDescent="0.3">
      <c r="A1" s="1181" t="s">
        <v>2224</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2"/>
      <c r="AE1" s="1182"/>
      <c r="AF1" s="1182"/>
      <c r="AG1" s="1182"/>
    </row>
    <row r="2" spans="1:33"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4"/>
      <c r="AE2" s="1184"/>
      <c r="AF2" s="1184"/>
      <c r="AG2" s="1184"/>
    </row>
    <row r="3" spans="1:33"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3" ht="22.35" customHeight="1" x14ac:dyDescent="0.3">
      <c r="A4" s="1185" t="s">
        <v>2206</v>
      </c>
      <c r="B4" s="1185"/>
      <c r="C4" s="1186" t="s">
        <v>2207</v>
      </c>
      <c r="D4" s="1186"/>
      <c r="E4" s="1187" t="s">
        <v>50</v>
      </c>
      <c r="F4" s="1187"/>
      <c r="G4" s="1188" t="s">
        <v>51</v>
      </c>
      <c r="H4" s="1188"/>
      <c r="I4" s="1188"/>
      <c r="J4" s="1185" t="s">
        <v>53</v>
      </c>
      <c r="K4" s="1660"/>
      <c r="L4" s="1660"/>
      <c r="M4" s="1185" t="s">
        <v>54</v>
      </c>
      <c r="N4" s="1660"/>
      <c r="O4" s="47"/>
      <c r="P4" s="47"/>
      <c r="Q4" s="47"/>
      <c r="R4" s="47"/>
      <c r="S4" s="47"/>
      <c r="T4" s="47"/>
      <c r="U4" s="47"/>
      <c r="V4" s="47"/>
      <c r="W4" s="47"/>
      <c r="X4" s="47"/>
      <c r="Y4" s="47"/>
      <c r="Z4" s="47"/>
      <c r="AA4" s="47"/>
      <c r="AB4" s="47"/>
      <c r="AC4" s="47"/>
      <c r="AD4" s="47"/>
      <c r="AE4" s="47"/>
      <c r="AF4" s="47"/>
      <c r="AG4" s="47"/>
    </row>
    <row r="5" spans="1:33" ht="45" customHeight="1" x14ac:dyDescent="0.3">
      <c r="A5" s="1196">
        <v>0</v>
      </c>
      <c r="B5" s="1196"/>
      <c r="C5" s="1197">
        <f>SUM(G17:G68)</f>
        <v>0</v>
      </c>
      <c r="D5" s="1197"/>
      <c r="E5" s="1198">
        <f>SUM(I17:I68)</f>
        <v>0</v>
      </c>
      <c r="F5" s="1198"/>
      <c r="G5" s="1078">
        <f>SUMIF(L17:L68,"Real",AD17:AD68)</f>
        <v>0</v>
      </c>
      <c r="H5" s="1078"/>
      <c r="I5" s="1078"/>
      <c r="J5" s="1684" t="str">
        <f>IF(A5=0,"0",G5/A5)</f>
        <v>0</v>
      </c>
      <c r="K5" s="1685"/>
      <c r="L5" s="1685"/>
      <c r="M5" s="1060">
        <f ca="1">SUM(H9:H11)</f>
        <v>0</v>
      </c>
      <c r="N5" s="1061"/>
      <c r="O5" s="47"/>
      <c r="P5" s="47"/>
      <c r="Q5" s="47"/>
      <c r="R5" s="47"/>
      <c r="S5" s="47"/>
      <c r="T5" s="47"/>
      <c r="U5" s="47"/>
      <c r="V5" s="47"/>
      <c r="W5" s="47"/>
      <c r="X5" s="47"/>
      <c r="Y5" s="47"/>
      <c r="Z5" s="47"/>
      <c r="AA5" s="47"/>
      <c r="AB5" s="47"/>
      <c r="AC5" s="47"/>
      <c r="AD5" s="47"/>
      <c r="AE5" s="47"/>
      <c r="AF5" s="47"/>
      <c r="AG5" s="47"/>
    </row>
    <row r="6" spans="1:33"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3" ht="22.35" customHeight="1" x14ac:dyDescent="0.3">
      <c r="A7" s="1059" t="s">
        <v>2208</v>
      </c>
      <c r="B7" s="1059"/>
      <c r="C7" s="1059"/>
      <c r="D7" s="1059"/>
      <c r="E7" s="1059"/>
      <c r="F7" s="29"/>
      <c r="G7" s="1059" t="s">
        <v>59</v>
      </c>
      <c r="H7" s="1059"/>
      <c r="I7" s="1059"/>
      <c r="J7" s="20"/>
      <c r="K7" s="20"/>
      <c r="L7" s="20"/>
      <c r="M7" s="20"/>
      <c r="N7" s="20"/>
      <c r="O7" s="47"/>
      <c r="P7" s="47"/>
      <c r="Q7" s="47"/>
      <c r="R7" s="47"/>
      <c r="S7" s="47"/>
      <c r="T7" s="47"/>
      <c r="U7" s="47"/>
      <c r="V7" s="47"/>
      <c r="W7" s="47"/>
      <c r="X7" s="47"/>
      <c r="Y7" s="47"/>
      <c r="Z7" s="47"/>
      <c r="AA7" s="47"/>
      <c r="AB7" s="47"/>
      <c r="AC7" s="47"/>
      <c r="AD7" s="47"/>
      <c r="AE7" s="47"/>
      <c r="AF7" s="47"/>
      <c r="AG7" s="47"/>
    </row>
    <row r="8" spans="1:33" ht="18" customHeight="1" x14ac:dyDescent="0.3">
      <c r="A8" s="15" t="s">
        <v>62</v>
      </c>
      <c r="B8" s="15" t="s">
        <v>63</v>
      </c>
      <c r="C8" s="15" t="s">
        <v>64</v>
      </c>
      <c r="D8" s="15" t="s">
        <v>66</v>
      </c>
      <c r="E8" s="15" t="s">
        <v>131</v>
      </c>
      <c r="F8" s="29"/>
      <c r="G8" s="15" t="s">
        <v>67</v>
      </c>
      <c r="H8" s="15" t="s">
        <v>63</v>
      </c>
      <c r="I8" s="15" t="s">
        <v>68</v>
      </c>
      <c r="J8" s="20"/>
      <c r="K8" s="20"/>
      <c r="L8" s="20"/>
      <c r="M8" s="20"/>
      <c r="N8" s="20"/>
      <c r="O8" s="47"/>
      <c r="P8" s="47"/>
      <c r="Q8" s="47"/>
      <c r="R8" s="47"/>
      <c r="S8" s="47"/>
      <c r="T8" s="47"/>
      <c r="U8" s="47"/>
      <c r="V8" s="47"/>
      <c r="W8" s="47"/>
      <c r="X8" s="47"/>
      <c r="Y8" s="47"/>
      <c r="Z8" s="47"/>
      <c r="AA8" s="47"/>
      <c r="AB8" s="47"/>
      <c r="AC8" s="47"/>
      <c r="AD8" s="47"/>
      <c r="AE8" s="47"/>
      <c r="AF8" s="47"/>
      <c r="AG8" s="47"/>
    </row>
    <row r="9" spans="1:33" ht="18" customHeight="1" x14ac:dyDescent="0.3">
      <c r="A9" s="16" t="s">
        <v>76</v>
      </c>
      <c r="B9" s="17">
        <f>COUNTIF($A$17:$A$68,A9)</f>
        <v>0</v>
      </c>
      <c r="C9" s="18">
        <f>SUMIF($A$17:$A$68,A9,$I$17:$I$68)</f>
        <v>0</v>
      </c>
      <c r="D9" s="191" t="str">
        <f>IF($C$13=0,"",C9/$C$13)</f>
        <v/>
      </c>
      <c r="E9" s="19" t="str">
        <f>D9</f>
        <v/>
      </c>
      <c r="F9" s="29"/>
      <c r="G9" s="21" t="s">
        <v>77</v>
      </c>
      <c r="H9" s="24">
        <f ca="1">COUNTIF($AF$17:$AF$68,G9)</f>
        <v>0</v>
      </c>
      <c r="I9" s="193">
        <f>SUMIF($J$17:$J$68,G9,$G$17:$G$68)</f>
        <v>0</v>
      </c>
      <c r="J9" s="20"/>
      <c r="K9" s="20"/>
      <c r="L9" s="20"/>
      <c r="M9" s="20"/>
      <c r="N9" s="20"/>
      <c r="O9" s="47"/>
      <c r="P9" s="47"/>
      <c r="Q9" s="47"/>
      <c r="R9" s="47"/>
      <c r="S9" s="47"/>
      <c r="T9" s="47"/>
      <c r="U9" s="47"/>
      <c r="V9" s="47"/>
      <c r="W9" s="47"/>
      <c r="X9" s="47"/>
      <c r="Y9" s="47"/>
      <c r="Z9" s="47"/>
      <c r="AA9" s="47"/>
      <c r="AB9" s="47"/>
      <c r="AC9" s="47"/>
      <c r="AD9" s="47"/>
      <c r="AE9" s="47"/>
      <c r="AF9" s="47"/>
      <c r="AG9" s="47"/>
    </row>
    <row r="10" spans="1:33" ht="15.6" customHeight="1" x14ac:dyDescent="0.3">
      <c r="A10" s="16" t="s">
        <v>79</v>
      </c>
      <c r="B10" s="17">
        <f>COUNTIF($A$17:$A$68,A10)</f>
        <v>0</v>
      </c>
      <c r="C10" s="18">
        <f>SUMIF($A$17:$A$68,A10,$I$17:$I$68)</f>
        <v>0</v>
      </c>
      <c r="D10" s="191" t="str">
        <f>IF($C$13=0,"",C10/$C$13)</f>
        <v/>
      </c>
      <c r="E10" s="19" t="str">
        <f>D10</f>
        <v/>
      </c>
      <c r="F10" s="29"/>
      <c r="G10" s="22" t="s">
        <v>80</v>
      </c>
      <c r="H10" s="25">
        <f ca="1">COUNTIF($AF$17:$AF$68,G10)</f>
        <v>0</v>
      </c>
      <c r="I10" s="194">
        <f>SUMIF($J$17:$J$68,G10,$G$17:$G$68)</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3" ht="15.6" customHeight="1" x14ac:dyDescent="0.3">
      <c r="A11" s="16" t="s">
        <v>82</v>
      </c>
      <c r="B11" s="17">
        <f>COUNTIF($A$17:$A$68,A11)</f>
        <v>0</v>
      </c>
      <c r="C11" s="18">
        <f>SUMIF($A$17:$A$68,A11,$I$17:$I$68)</f>
        <v>0</v>
      </c>
      <c r="D11" s="191" t="str">
        <f>IF($C$13=0,"",C11/$C$13)</f>
        <v/>
      </c>
      <c r="E11" s="19" t="str">
        <f>D11</f>
        <v/>
      </c>
      <c r="F11" s="29"/>
      <c r="G11" s="23" t="s">
        <v>83</v>
      </c>
      <c r="H11" s="26">
        <f>COUNTIF($J$17:$J$68,G11)</f>
        <v>0</v>
      </c>
      <c r="I11" s="195">
        <f>SUMIF($J$17:$J$68,G11,$G$17:$G$68)</f>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3" ht="15.6" customHeight="1" x14ac:dyDescent="0.3">
      <c r="A12" s="16" t="s">
        <v>85</v>
      </c>
      <c r="B12" s="17">
        <f>COUNTIF($A$17:$A$68,A12)</f>
        <v>0</v>
      </c>
      <c r="C12" s="18">
        <f>SUMIF($A$17:$A$68,A12,$I$17:$I$68)</f>
        <v>0</v>
      </c>
      <c r="D12" s="191" t="str">
        <f>IF($C$13=0,"",C12/$C$13)</f>
        <v/>
      </c>
      <c r="E12" s="19" t="str">
        <f>D12</f>
        <v/>
      </c>
      <c r="F12" s="29"/>
      <c r="G12" s="29"/>
      <c r="H12" s="29"/>
      <c r="I12" s="29"/>
      <c r="J12" s="20"/>
      <c r="K12" s="20"/>
      <c r="L12" s="20"/>
      <c r="M12" s="20"/>
      <c r="N12" s="20"/>
      <c r="O12" s="47"/>
      <c r="P12" s="47"/>
      <c r="Q12" s="47"/>
      <c r="R12" s="47"/>
      <c r="S12" s="47"/>
      <c r="T12" s="47"/>
      <c r="U12" s="47"/>
      <c r="V12" s="47"/>
      <c r="W12" s="47"/>
      <c r="X12" s="47"/>
      <c r="Y12" s="47"/>
      <c r="Z12" s="47"/>
      <c r="AA12" s="47"/>
      <c r="AB12" s="47"/>
      <c r="AC12" s="47"/>
      <c r="AD12" s="47"/>
      <c r="AE12" s="47"/>
      <c r="AF12" s="47"/>
      <c r="AG12" s="47"/>
    </row>
    <row r="13" spans="1:33" ht="18" x14ac:dyDescent="0.35">
      <c r="A13" s="173" t="s">
        <v>29</v>
      </c>
      <c r="B13" s="174">
        <f>SUM(B9:B12)</f>
        <v>0</v>
      </c>
      <c r="C13" s="30">
        <f>SUM(C9:C12)</f>
        <v>0</v>
      </c>
      <c r="D13" s="171" t="str">
        <f>IF(C13=0,"0%",AVERAGE(D9:D12))</f>
        <v>0%</v>
      </c>
      <c r="E13" s="20"/>
      <c r="F13" s="29"/>
      <c r="G13" s="20"/>
      <c r="H13" s="20"/>
      <c r="I13" s="20"/>
      <c r="J13" s="20"/>
      <c r="K13" s="176"/>
      <c r="L13" s="1661"/>
      <c r="M13" s="1661"/>
      <c r="N13" s="1661"/>
      <c r="O13" s="47"/>
      <c r="P13" s="47"/>
      <c r="Q13" s="47"/>
      <c r="R13" s="47"/>
      <c r="S13" s="47"/>
      <c r="T13" s="47"/>
      <c r="U13" s="47"/>
      <c r="V13" s="47"/>
      <c r="W13" s="47"/>
      <c r="X13" s="47"/>
      <c r="Y13" s="47"/>
      <c r="Z13" s="47"/>
      <c r="AA13" s="47"/>
      <c r="AB13" s="47"/>
      <c r="AC13" s="47"/>
      <c r="AD13" s="47"/>
      <c r="AE13" s="47"/>
      <c r="AF13" s="47"/>
      <c r="AG13" s="47"/>
    </row>
    <row r="14" spans="1:33"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row>
    <row r="15" spans="1:33" ht="15.6" x14ac:dyDescent="0.3">
      <c r="A15" s="208" t="s">
        <v>252</v>
      </c>
      <c r="B15" s="208"/>
      <c r="C15" s="208"/>
      <c r="D15" s="208"/>
      <c r="E15" s="208"/>
      <c r="F15" s="208"/>
      <c r="G15" s="208"/>
      <c r="H15" s="208"/>
      <c r="I15" s="208"/>
      <c r="J15" s="82"/>
      <c r="K15" s="208"/>
      <c r="L15" s="82"/>
      <c r="M15" s="204" t="s">
        <v>253</v>
      </c>
      <c r="N15" s="204"/>
      <c r="O15" s="204"/>
      <c r="P15" s="204"/>
      <c r="Q15" s="204" t="s">
        <v>254</v>
      </c>
      <c r="R15" s="204"/>
      <c r="S15" s="204"/>
      <c r="T15" s="204"/>
      <c r="U15" s="204" t="s">
        <v>255</v>
      </c>
      <c r="V15" s="204"/>
      <c r="W15" s="204"/>
      <c r="X15" s="204"/>
      <c r="Y15" s="204" t="s">
        <v>256</v>
      </c>
      <c r="Z15" s="204"/>
      <c r="AA15" s="204"/>
      <c r="AB15" s="204"/>
      <c r="AC15" s="83"/>
      <c r="AD15" s="83"/>
      <c r="AE15" s="82"/>
      <c r="AF15" s="82"/>
      <c r="AG15" s="82"/>
    </row>
    <row r="16" spans="1:33" ht="36" x14ac:dyDescent="0.3">
      <c r="A16" s="84" t="s">
        <v>914</v>
      </c>
      <c r="B16" s="84" t="s">
        <v>259</v>
      </c>
      <c r="C16" s="84" t="s">
        <v>261</v>
      </c>
      <c r="D16" s="84" t="s">
        <v>262</v>
      </c>
      <c r="E16" s="84" t="s">
        <v>263</v>
      </c>
      <c r="F16" s="84" t="s">
        <v>264</v>
      </c>
      <c r="G16" s="84" t="s">
        <v>2210</v>
      </c>
      <c r="H16" s="7" t="s">
        <v>916</v>
      </c>
      <c r="I16" s="7" t="s">
        <v>270</v>
      </c>
      <c r="J16" s="84" t="s">
        <v>67</v>
      </c>
      <c r="K16" s="84" t="s">
        <v>2223</v>
      </c>
      <c r="L16" s="84"/>
      <c r="M16" s="85">
        <v>46023</v>
      </c>
      <c r="N16" s="85">
        <v>46054</v>
      </c>
      <c r="O16" s="85">
        <v>46082</v>
      </c>
      <c r="P16" s="86" t="s">
        <v>273</v>
      </c>
      <c r="Q16" s="85">
        <v>46113</v>
      </c>
      <c r="R16" s="85">
        <v>46143</v>
      </c>
      <c r="S16" s="85">
        <v>46174</v>
      </c>
      <c r="T16" s="86" t="s">
        <v>274</v>
      </c>
      <c r="U16" s="85">
        <v>46204</v>
      </c>
      <c r="V16" s="85">
        <v>46235</v>
      </c>
      <c r="W16" s="85">
        <v>46266</v>
      </c>
      <c r="X16" s="86" t="s">
        <v>275</v>
      </c>
      <c r="Y16" s="85">
        <v>46296</v>
      </c>
      <c r="Z16" s="85">
        <v>46327</v>
      </c>
      <c r="AA16" s="85">
        <v>46357</v>
      </c>
      <c r="AB16" s="84" t="s">
        <v>276</v>
      </c>
      <c r="AC16" s="84" t="s">
        <v>277</v>
      </c>
      <c r="AD16" s="84" t="s">
        <v>277</v>
      </c>
      <c r="AE16" s="84" t="s">
        <v>2212</v>
      </c>
      <c r="AF16" s="84" t="s">
        <v>272</v>
      </c>
      <c r="AG16" s="84" t="s">
        <v>278</v>
      </c>
    </row>
    <row r="17" spans="1:33" s="120" customFormat="1" ht="20.85" customHeight="1" x14ac:dyDescent="0.3">
      <c r="A17" s="1040"/>
      <c r="B17" s="1040"/>
      <c r="C17" s="1303"/>
      <c r="D17" s="1040"/>
      <c r="E17" s="1117"/>
      <c r="F17" s="1117"/>
      <c r="G17" s="1046"/>
      <c r="H17" s="1666"/>
      <c r="I17" s="1668"/>
      <c r="J17" s="1048"/>
      <c r="K17" s="1062"/>
      <c r="L17" s="115" t="s">
        <v>106</v>
      </c>
      <c r="M17" s="116"/>
      <c r="N17" s="116"/>
      <c r="O17" s="116"/>
      <c r="P17" s="117">
        <f t="shared" ref="P17:P48" si="0">SUM(M17:O17)</f>
        <v>0</v>
      </c>
      <c r="Q17" s="116"/>
      <c r="R17" s="116"/>
      <c r="S17" s="116"/>
      <c r="T17" s="117">
        <f t="shared" ref="T17:T48" si="1">SUM(Q17:S17)</f>
        <v>0</v>
      </c>
      <c r="U17" s="116"/>
      <c r="V17" s="116"/>
      <c r="W17" s="116"/>
      <c r="X17" s="117">
        <f t="shared" ref="X17:X48" si="2">SUM(U17:W17)</f>
        <v>0</v>
      </c>
      <c r="Y17" s="116"/>
      <c r="Z17" s="116"/>
      <c r="AA17" s="116"/>
      <c r="AB17" s="117">
        <f t="shared" ref="AB17:AB48" si="3">SUM(Y17:AA17)</f>
        <v>0</v>
      </c>
      <c r="AC17" s="116"/>
      <c r="AD17" s="118">
        <f t="shared" ref="AD17:AD48" si="4">SUM(Q17,U17,Y17,AC17)</f>
        <v>0</v>
      </c>
      <c r="AE17" s="118" t="str">
        <f t="shared" ref="AE17:AE48" si="5">IF(K17=0,"0",AD17/K17)</f>
        <v>0</v>
      </c>
      <c r="AF17" s="119" t="str">
        <f ca="1">IF(OR(F17="", G17=""), "", IF(TODAY()&lt;F17, 0, IF(TODAY()&gt;G17, 1, (TODAY()-F17+1)/(G17-F17+1))))</f>
        <v/>
      </c>
      <c r="AG17" s="98"/>
    </row>
    <row r="18" spans="1:33" s="120" customFormat="1" ht="20.85" customHeight="1" x14ac:dyDescent="0.3">
      <c r="A18" s="1041"/>
      <c r="B18" s="1041"/>
      <c r="C18" s="1304"/>
      <c r="D18" s="1041"/>
      <c r="E18" s="1118"/>
      <c r="F18" s="1118"/>
      <c r="G18" s="1047"/>
      <c r="H18" s="1667"/>
      <c r="I18" s="1669"/>
      <c r="J18" s="1049"/>
      <c r="K18" s="1063"/>
      <c r="L18" s="115" t="s">
        <v>107</v>
      </c>
      <c r="M18" s="116"/>
      <c r="N18" s="116"/>
      <c r="O18" s="116"/>
      <c r="P18" s="117">
        <f t="shared" si="0"/>
        <v>0</v>
      </c>
      <c r="Q18" s="116"/>
      <c r="R18" s="116"/>
      <c r="S18" s="116"/>
      <c r="T18" s="117">
        <f t="shared" si="1"/>
        <v>0</v>
      </c>
      <c r="U18" s="116"/>
      <c r="V18" s="116"/>
      <c r="W18" s="116"/>
      <c r="X18" s="117">
        <f t="shared" si="2"/>
        <v>0</v>
      </c>
      <c r="Y18" s="116"/>
      <c r="Z18" s="116"/>
      <c r="AA18" s="116"/>
      <c r="AB18" s="117">
        <f t="shared" si="3"/>
        <v>0</v>
      </c>
      <c r="AC18" s="116"/>
      <c r="AD18" s="118">
        <f t="shared" si="4"/>
        <v>0</v>
      </c>
      <c r="AE18" s="118" t="str">
        <f t="shared" si="5"/>
        <v>0</v>
      </c>
      <c r="AF18" s="119"/>
      <c r="AG18" s="98"/>
    </row>
    <row r="19" spans="1:33" s="120" customFormat="1" ht="20.85" customHeight="1" x14ac:dyDescent="0.3">
      <c r="A19" s="1142"/>
      <c r="B19" s="1099"/>
      <c r="C19" s="1363"/>
      <c r="D19" s="1099"/>
      <c r="E19" s="1101"/>
      <c r="F19" s="1101"/>
      <c r="G19" s="1672"/>
      <c r="H19" s="1674"/>
      <c r="I19" s="1676"/>
      <c r="J19" s="1367"/>
      <c r="K19" s="1064"/>
      <c r="L19" s="121" t="s">
        <v>106</v>
      </c>
      <c r="M19" s="122"/>
      <c r="N19" s="122"/>
      <c r="O19" s="122"/>
      <c r="P19" s="117">
        <f t="shared" si="0"/>
        <v>0</v>
      </c>
      <c r="Q19" s="122"/>
      <c r="R19" s="122"/>
      <c r="S19" s="122"/>
      <c r="T19" s="117">
        <f t="shared" si="1"/>
        <v>0</v>
      </c>
      <c r="U19" s="122"/>
      <c r="V19" s="122"/>
      <c r="W19" s="122"/>
      <c r="X19" s="117">
        <f t="shared" si="2"/>
        <v>0</v>
      </c>
      <c r="Y19" s="122"/>
      <c r="Z19" s="122"/>
      <c r="AA19" s="122"/>
      <c r="AB19" s="117">
        <f t="shared" si="3"/>
        <v>0</v>
      </c>
      <c r="AC19" s="122"/>
      <c r="AD19" s="123">
        <f t="shared" si="4"/>
        <v>0</v>
      </c>
      <c r="AE19" s="123" t="str">
        <f t="shared" si="5"/>
        <v>0</v>
      </c>
      <c r="AF19" s="124" t="str">
        <f ca="1">IF(OR(F19="", G19=""), "", IF(TODAY()&lt;F19, 0, IF(TODAY()&gt;G19, 1, (TODAY()-F19+1)/(G19-F19+1))))</f>
        <v/>
      </c>
      <c r="AG19" s="125"/>
    </row>
    <row r="20" spans="1:33" s="120" customFormat="1" ht="20.85" customHeight="1" x14ac:dyDescent="0.3">
      <c r="A20" s="1143"/>
      <c r="B20" s="1100"/>
      <c r="C20" s="1364"/>
      <c r="D20" s="1100"/>
      <c r="E20" s="1102"/>
      <c r="F20" s="1102"/>
      <c r="G20" s="1673"/>
      <c r="H20" s="1675"/>
      <c r="I20" s="1677"/>
      <c r="J20" s="1368"/>
      <c r="K20" s="1065"/>
      <c r="L20" s="121" t="s">
        <v>107</v>
      </c>
      <c r="M20" s="122"/>
      <c r="N20" s="122"/>
      <c r="O20" s="122"/>
      <c r="P20" s="117">
        <f t="shared" si="0"/>
        <v>0</v>
      </c>
      <c r="Q20" s="122"/>
      <c r="R20" s="122"/>
      <c r="S20" s="122"/>
      <c r="T20" s="117">
        <f t="shared" si="1"/>
        <v>0</v>
      </c>
      <c r="U20" s="122"/>
      <c r="V20" s="122"/>
      <c r="W20" s="122"/>
      <c r="X20" s="117">
        <f t="shared" si="2"/>
        <v>0</v>
      </c>
      <c r="Y20" s="122"/>
      <c r="Z20" s="122"/>
      <c r="AA20" s="122"/>
      <c r="AB20" s="117">
        <f t="shared" si="3"/>
        <v>0</v>
      </c>
      <c r="AC20" s="122"/>
      <c r="AD20" s="123">
        <f t="shared" si="4"/>
        <v>0</v>
      </c>
      <c r="AE20" s="123" t="str">
        <f t="shared" si="5"/>
        <v>0</v>
      </c>
      <c r="AF20" s="124"/>
      <c r="AG20" s="125"/>
    </row>
    <row r="21" spans="1:33" s="120" customFormat="1" ht="20.85" customHeight="1" x14ac:dyDescent="0.3">
      <c r="A21" s="1040"/>
      <c r="B21" s="1040"/>
      <c r="C21" s="1303"/>
      <c r="D21" s="1040"/>
      <c r="E21" s="1117"/>
      <c r="F21" s="1117"/>
      <c r="G21" s="1046"/>
      <c r="H21" s="1670"/>
      <c r="I21" s="1668"/>
      <c r="J21" s="1048"/>
      <c r="K21" s="1062"/>
      <c r="L21" s="115" t="s">
        <v>106</v>
      </c>
      <c r="M21" s="116"/>
      <c r="N21" s="116"/>
      <c r="O21" s="116"/>
      <c r="P21" s="117">
        <f t="shared" si="0"/>
        <v>0</v>
      </c>
      <c r="Q21" s="116"/>
      <c r="R21" s="116"/>
      <c r="S21" s="116"/>
      <c r="T21" s="117">
        <f t="shared" si="1"/>
        <v>0</v>
      </c>
      <c r="U21" s="116"/>
      <c r="V21" s="116"/>
      <c r="W21" s="116"/>
      <c r="X21" s="117">
        <f t="shared" si="2"/>
        <v>0</v>
      </c>
      <c r="Y21" s="116"/>
      <c r="Z21" s="116"/>
      <c r="AA21" s="116"/>
      <c r="AB21" s="117">
        <f t="shared" si="3"/>
        <v>0</v>
      </c>
      <c r="AC21" s="116"/>
      <c r="AD21" s="118">
        <f t="shared" si="4"/>
        <v>0</v>
      </c>
      <c r="AE21" s="118" t="str">
        <f t="shared" si="5"/>
        <v>0</v>
      </c>
      <c r="AF21" s="119" t="str">
        <f ca="1">IF(OR(F21="", G21=""), "", IF(TODAY()&lt;F21, 0, IF(TODAY()&gt;G21, 1, (TODAY()-F21+1)/(G21-F21+1))))</f>
        <v/>
      </c>
      <c r="AG21" s="98"/>
    </row>
    <row r="22" spans="1:33" s="120" customFormat="1" ht="20.85" customHeight="1" x14ac:dyDescent="0.3">
      <c r="A22" s="1041"/>
      <c r="B22" s="1041"/>
      <c r="C22" s="1304"/>
      <c r="D22" s="1041"/>
      <c r="E22" s="1118"/>
      <c r="F22" s="1118"/>
      <c r="G22" s="1047"/>
      <c r="H22" s="1671"/>
      <c r="I22" s="1669"/>
      <c r="J22" s="1049"/>
      <c r="K22" s="1063"/>
      <c r="L22" s="115" t="s">
        <v>107</v>
      </c>
      <c r="M22" s="116"/>
      <c r="N22" s="116"/>
      <c r="O22" s="116"/>
      <c r="P22" s="117">
        <f t="shared" si="0"/>
        <v>0</v>
      </c>
      <c r="Q22" s="116"/>
      <c r="R22" s="116"/>
      <c r="S22" s="116"/>
      <c r="T22" s="117">
        <f t="shared" si="1"/>
        <v>0</v>
      </c>
      <c r="U22" s="116"/>
      <c r="V22" s="116"/>
      <c r="W22" s="116"/>
      <c r="X22" s="117">
        <f t="shared" si="2"/>
        <v>0</v>
      </c>
      <c r="Y22" s="116"/>
      <c r="Z22" s="116"/>
      <c r="AA22" s="116"/>
      <c r="AB22" s="117">
        <f t="shared" si="3"/>
        <v>0</v>
      </c>
      <c r="AC22" s="116"/>
      <c r="AD22" s="118">
        <f t="shared" si="4"/>
        <v>0</v>
      </c>
      <c r="AE22" s="118" t="str">
        <f t="shared" si="5"/>
        <v>0</v>
      </c>
      <c r="AF22" s="119"/>
      <c r="AG22" s="98"/>
    </row>
    <row r="23" spans="1:33" s="120" customFormat="1" ht="20.85" customHeight="1" x14ac:dyDescent="0.3">
      <c r="A23" s="1142"/>
      <c r="B23" s="1099"/>
      <c r="C23" s="1363"/>
      <c r="D23" s="1099"/>
      <c r="E23" s="1101"/>
      <c r="F23" s="1101"/>
      <c r="G23" s="1672"/>
      <c r="H23" s="1674"/>
      <c r="I23" s="1676"/>
      <c r="J23" s="1367"/>
      <c r="K23" s="1064"/>
      <c r="L23" s="121" t="s">
        <v>106</v>
      </c>
      <c r="M23" s="122"/>
      <c r="N23" s="122"/>
      <c r="O23" s="122"/>
      <c r="P23" s="117">
        <f t="shared" si="0"/>
        <v>0</v>
      </c>
      <c r="Q23" s="122"/>
      <c r="R23" s="122"/>
      <c r="S23" s="122"/>
      <c r="T23" s="117">
        <f t="shared" si="1"/>
        <v>0</v>
      </c>
      <c r="U23" s="122"/>
      <c r="V23" s="122"/>
      <c r="W23" s="122"/>
      <c r="X23" s="117">
        <f t="shared" si="2"/>
        <v>0</v>
      </c>
      <c r="Y23" s="122"/>
      <c r="Z23" s="122"/>
      <c r="AA23" s="122"/>
      <c r="AB23" s="117">
        <f t="shared" si="3"/>
        <v>0</v>
      </c>
      <c r="AC23" s="122"/>
      <c r="AD23" s="123">
        <f t="shared" si="4"/>
        <v>0</v>
      </c>
      <c r="AE23" s="123" t="str">
        <f t="shared" si="5"/>
        <v>0</v>
      </c>
      <c r="AF23" s="124" t="str">
        <f ca="1">IF(OR(F23="", G23=""), "", IF(TODAY()&lt;F23, 0, IF(TODAY()&gt;G23, 1, (TODAY()-F23+1)/(G23-F23+1))))</f>
        <v/>
      </c>
      <c r="AG23" s="125"/>
    </row>
    <row r="24" spans="1:33" s="120" customFormat="1" ht="20.85" customHeight="1" x14ac:dyDescent="0.3">
      <c r="A24" s="1143"/>
      <c r="B24" s="1100"/>
      <c r="C24" s="1364"/>
      <c r="D24" s="1100"/>
      <c r="E24" s="1102"/>
      <c r="F24" s="1102"/>
      <c r="G24" s="1673"/>
      <c r="H24" s="1675"/>
      <c r="I24" s="1677"/>
      <c r="J24" s="1368"/>
      <c r="K24" s="1065"/>
      <c r="L24" s="121" t="s">
        <v>107</v>
      </c>
      <c r="M24" s="122"/>
      <c r="N24" s="122"/>
      <c r="O24" s="122"/>
      <c r="P24" s="117">
        <f t="shared" si="0"/>
        <v>0</v>
      </c>
      <c r="Q24" s="122"/>
      <c r="R24" s="122"/>
      <c r="S24" s="122"/>
      <c r="T24" s="117">
        <f t="shared" si="1"/>
        <v>0</v>
      </c>
      <c r="U24" s="122"/>
      <c r="V24" s="122"/>
      <c r="W24" s="122"/>
      <c r="X24" s="117">
        <f t="shared" si="2"/>
        <v>0</v>
      </c>
      <c r="Y24" s="122"/>
      <c r="Z24" s="122"/>
      <c r="AA24" s="122"/>
      <c r="AB24" s="117">
        <f t="shared" si="3"/>
        <v>0</v>
      </c>
      <c r="AC24" s="122"/>
      <c r="AD24" s="123">
        <f t="shared" si="4"/>
        <v>0</v>
      </c>
      <c r="AE24" s="123" t="str">
        <f t="shared" si="5"/>
        <v>0</v>
      </c>
      <c r="AF24" s="124"/>
      <c r="AG24" s="125"/>
    </row>
    <row r="25" spans="1:33" s="120" customFormat="1" ht="20.85" customHeight="1" x14ac:dyDescent="0.3">
      <c r="A25" s="1040"/>
      <c r="B25" s="1040"/>
      <c r="C25" s="1303"/>
      <c r="D25" s="1040"/>
      <c r="E25" s="1117"/>
      <c r="F25" s="1117"/>
      <c r="G25" s="1046"/>
      <c r="H25" s="1670"/>
      <c r="I25" s="1668"/>
      <c r="J25" s="1048"/>
      <c r="K25" s="1062"/>
      <c r="L25" s="115" t="s">
        <v>106</v>
      </c>
      <c r="M25" s="116"/>
      <c r="N25" s="116"/>
      <c r="O25" s="116"/>
      <c r="P25" s="117">
        <f t="shared" si="0"/>
        <v>0</v>
      </c>
      <c r="Q25" s="116"/>
      <c r="R25" s="116"/>
      <c r="S25" s="116"/>
      <c r="T25" s="117">
        <f t="shared" si="1"/>
        <v>0</v>
      </c>
      <c r="U25" s="116"/>
      <c r="V25" s="116"/>
      <c r="W25" s="116"/>
      <c r="X25" s="117">
        <f t="shared" si="2"/>
        <v>0</v>
      </c>
      <c r="Y25" s="116"/>
      <c r="Z25" s="116"/>
      <c r="AA25" s="116"/>
      <c r="AB25" s="117">
        <f t="shared" si="3"/>
        <v>0</v>
      </c>
      <c r="AC25" s="116"/>
      <c r="AD25" s="118">
        <f t="shared" si="4"/>
        <v>0</v>
      </c>
      <c r="AE25" s="118" t="str">
        <f t="shared" si="5"/>
        <v>0</v>
      </c>
      <c r="AF25" s="119" t="str">
        <f ca="1">IF(OR(F25="", G25=""), "", IF(TODAY()&lt;F25, 0, IF(TODAY()&gt;G25, 1, (TODAY()-F25+1)/(G25-F25+1))))</f>
        <v/>
      </c>
      <c r="AG25" s="98"/>
    </row>
    <row r="26" spans="1:33" s="120" customFormat="1" ht="20.85" customHeight="1" x14ac:dyDescent="0.3">
      <c r="A26" s="1041"/>
      <c r="B26" s="1041"/>
      <c r="C26" s="1304"/>
      <c r="D26" s="1041"/>
      <c r="E26" s="1118"/>
      <c r="F26" s="1118"/>
      <c r="G26" s="1047"/>
      <c r="H26" s="1671"/>
      <c r="I26" s="1669"/>
      <c r="J26" s="1049"/>
      <c r="K26" s="1063"/>
      <c r="L26" s="115" t="s">
        <v>107</v>
      </c>
      <c r="M26" s="116"/>
      <c r="N26" s="116"/>
      <c r="O26" s="116"/>
      <c r="P26" s="117">
        <f t="shared" si="0"/>
        <v>0</v>
      </c>
      <c r="Q26" s="116"/>
      <c r="R26" s="116"/>
      <c r="S26" s="116"/>
      <c r="T26" s="117">
        <f t="shared" si="1"/>
        <v>0</v>
      </c>
      <c r="U26" s="116"/>
      <c r="V26" s="116"/>
      <c r="W26" s="116"/>
      <c r="X26" s="117">
        <f t="shared" si="2"/>
        <v>0</v>
      </c>
      <c r="Y26" s="116"/>
      <c r="Z26" s="116"/>
      <c r="AA26" s="116"/>
      <c r="AB26" s="117">
        <f t="shared" si="3"/>
        <v>0</v>
      </c>
      <c r="AC26" s="116"/>
      <c r="AD26" s="118">
        <f t="shared" si="4"/>
        <v>0</v>
      </c>
      <c r="AE26" s="118" t="str">
        <f t="shared" si="5"/>
        <v>0</v>
      </c>
      <c r="AF26" s="119"/>
      <c r="AG26" s="98"/>
    </row>
    <row r="27" spans="1:33" s="120" customFormat="1" ht="20.85" customHeight="1" x14ac:dyDescent="0.3">
      <c r="A27" s="1142"/>
      <c r="B27" s="1099"/>
      <c r="C27" s="1363"/>
      <c r="D27" s="1099"/>
      <c r="E27" s="1101"/>
      <c r="F27" s="1101"/>
      <c r="G27" s="1672"/>
      <c r="H27" s="1674"/>
      <c r="I27" s="1676"/>
      <c r="J27" s="1367"/>
      <c r="K27" s="1064"/>
      <c r="L27" s="121" t="s">
        <v>106</v>
      </c>
      <c r="M27" s="122"/>
      <c r="N27" s="122"/>
      <c r="O27" s="122"/>
      <c r="P27" s="117">
        <f t="shared" si="0"/>
        <v>0</v>
      </c>
      <c r="Q27" s="122"/>
      <c r="R27" s="122"/>
      <c r="S27" s="122"/>
      <c r="T27" s="117">
        <f t="shared" si="1"/>
        <v>0</v>
      </c>
      <c r="U27" s="122"/>
      <c r="V27" s="122"/>
      <c r="W27" s="122"/>
      <c r="X27" s="117">
        <f t="shared" si="2"/>
        <v>0</v>
      </c>
      <c r="Y27" s="122"/>
      <c r="Z27" s="122"/>
      <c r="AA27" s="122"/>
      <c r="AB27" s="117">
        <f t="shared" si="3"/>
        <v>0</v>
      </c>
      <c r="AC27" s="122"/>
      <c r="AD27" s="123">
        <f t="shared" si="4"/>
        <v>0</v>
      </c>
      <c r="AE27" s="123" t="str">
        <f t="shared" si="5"/>
        <v>0</v>
      </c>
      <c r="AF27" s="124" t="str">
        <f ca="1">IF(OR(F27="", G27=""), "", IF(TODAY()&lt;F27, 0, IF(TODAY()&gt;G27, 1, (TODAY()-F27+1)/(G27-F27+1))))</f>
        <v/>
      </c>
      <c r="AG27" s="125"/>
    </row>
    <row r="28" spans="1:33" s="120" customFormat="1" ht="20.85" customHeight="1" x14ac:dyDescent="0.3">
      <c r="A28" s="1143"/>
      <c r="B28" s="1100"/>
      <c r="C28" s="1364"/>
      <c r="D28" s="1100"/>
      <c r="E28" s="1102"/>
      <c r="F28" s="1102"/>
      <c r="G28" s="1673"/>
      <c r="H28" s="1675"/>
      <c r="I28" s="1677"/>
      <c r="J28" s="1368"/>
      <c r="K28" s="1065"/>
      <c r="L28" s="121" t="s">
        <v>107</v>
      </c>
      <c r="M28" s="122"/>
      <c r="N28" s="122"/>
      <c r="O28" s="122"/>
      <c r="P28" s="117">
        <f t="shared" si="0"/>
        <v>0</v>
      </c>
      <c r="Q28" s="122"/>
      <c r="R28" s="122"/>
      <c r="S28" s="122"/>
      <c r="T28" s="117">
        <f t="shared" si="1"/>
        <v>0</v>
      </c>
      <c r="U28" s="122"/>
      <c r="V28" s="122"/>
      <c r="W28" s="122"/>
      <c r="X28" s="117">
        <f t="shared" si="2"/>
        <v>0</v>
      </c>
      <c r="Y28" s="122"/>
      <c r="Z28" s="122"/>
      <c r="AA28" s="122"/>
      <c r="AB28" s="117">
        <f t="shared" si="3"/>
        <v>0</v>
      </c>
      <c r="AC28" s="122"/>
      <c r="AD28" s="123">
        <f t="shared" si="4"/>
        <v>0</v>
      </c>
      <c r="AE28" s="123" t="str">
        <f t="shared" si="5"/>
        <v>0</v>
      </c>
      <c r="AF28" s="124"/>
      <c r="AG28" s="125"/>
    </row>
    <row r="29" spans="1:33" s="120" customFormat="1" ht="20.85" customHeight="1" x14ac:dyDescent="0.3">
      <c r="A29" s="1040"/>
      <c r="B29" s="1040"/>
      <c r="C29" s="1303"/>
      <c r="D29" s="1040"/>
      <c r="E29" s="1117"/>
      <c r="F29" s="1117"/>
      <c r="G29" s="1046"/>
      <c r="H29" s="1670"/>
      <c r="I29" s="1668"/>
      <c r="J29" s="1048"/>
      <c r="K29" s="1062"/>
      <c r="L29" s="115" t="s">
        <v>106</v>
      </c>
      <c r="M29" s="116"/>
      <c r="N29" s="116"/>
      <c r="O29" s="116"/>
      <c r="P29" s="117">
        <f t="shared" si="0"/>
        <v>0</v>
      </c>
      <c r="Q29" s="116"/>
      <c r="R29" s="116"/>
      <c r="S29" s="116"/>
      <c r="T29" s="117">
        <f t="shared" si="1"/>
        <v>0</v>
      </c>
      <c r="U29" s="116"/>
      <c r="V29" s="116"/>
      <c r="W29" s="116"/>
      <c r="X29" s="117">
        <f t="shared" si="2"/>
        <v>0</v>
      </c>
      <c r="Y29" s="116"/>
      <c r="Z29" s="116"/>
      <c r="AA29" s="116"/>
      <c r="AB29" s="117">
        <f t="shared" si="3"/>
        <v>0</v>
      </c>
      <c r="AC29" s="116"/>
      <c r="AD29" s="118">
        <f t="shared" si="4"/>
        <v>0</v>
      </c>
      <c r="AE29" s="118" t="str">
        <f t="shared" si="5"/>
        <v>0</v>
      </c>
      <c r="AF29" s="119" t="str">
        <f ca="1">IF(OR(F29="", G29=""), "", IF(TODAY()&lt;F29, 0, IF(TODAY()&gt;G29, 1, (TODAY()-F29+1)/(G29-F29+1))))</f>
        <v/>
      </c>
      <c r="AG29" s="98"/>
    </row>
    <row r="30" spans="1:33" s="120" customFormat="1" ht="20.85" customHeight="1" x14ac:dyDescent="0.3">
      <c r="A30" s="1041"/>
      <c r="B30" s="1041"/>
      <c r="C30" s="1304"/>
      <c r="D30" s="1041"/>
      <c r="E30" s="1118"/>
      <c r="F30" s="1118"/>
      <c r="G30" s="1047"/>
      <c r="H30" s="1671"/>
      <c r="I30" s="1669"/>
      <c r="J30" s="1049"/>
      <c r="K30" s="1063"/>
      <c r="L30" s="115" t="s">
        <v>107</v>
      </c>
      <c r="M30" s="116"/>
      <c r="N30" s="116"/>
      <c r="O30" s="116"/>
      <c r="P30" s="117">
        <f t="shared" si="0"/>
        <v>0</v>
      </c>
      <c r="Q30" s="116"/>
      <c r="R30" s="116"/>
      <c r="S30" s="116"/>
      <c r="T30" s="117">
        <f t="shared" si="1"/>
        <v>0</v>
      </c>
      <c r="U30" s="116"/>
      <c r="V30" s="116"/>
      <c r="W30" s="116"/>
      <c r="X30" s="117">
        <f t="shared" si="2"/>
        <v>0</v>
      </c>
      <c r="Y30" s="116"/>
      <c r="Z30" s="116"/>
      <c r="AA30" s="116"/>
      <c r="AB30" s="117">
        <f t="shared" si="3"/>
        <v>0</v>
      </c>
      <c r="AC30" s="116"/>
      <c r="AD30" s="118">
        <f t="shared" si="4"/>
        <v>0</v>
      </c>
      <c r="AE30" s="118" t="str">
        <f t="shared" si="5"/>
        <v>0</v>
      </c>
      <c r="AF30" s="119"/>
      <c r="AG30" s="98"/>
    </row>
    <row r="31" spans="1:33" s="120" customFormat="1" ht="20.85" customHeight="1" x14ac:dyDescent="0.3">
      <c r="A31" s="1142"/>
      <c r="B31" s="1099"/>
      <c r="C31" s="1363"/>
      <c r="D31" s="1099"/>
      <c r="E31" s="1101"/>
      <c r="F31" s="1101"/>
      <c r="G31" s="1672"/>
      <c r="H31" s="1674"/>
      <c r="I31" s="1676"/>
      <c r="J31" s="1367"/>
      <c r="K31" s="1064"/>
      <c r="L31" s="121" t="s">
        <v>106</v>
      </c>
      <c r="M31" s="122"/>
      <c r="N31" s="122"/>
      <c r="O31" s="122"/>
      <c r="P31" s="117">
        <f t="shared" si="0"/>
        <v>0</v>
      </c>
      <c r="Q31" s="122"/>
      <c r="R31" s="122"/>
      <c r="S31" s="122"/>
      <c r="T31" s="117">
        <f t="shared" si="1"/>
        <v>0</v>
      </c>
      <c r="U31" s="122"/>
      <c r="V31" s="122"/>
      <c r="W31" s="122"/>
      <c r="X31" s="117">
        <f t="shared" si="2"/>
        <v>0</v>
      </c>
      <c r="Y31" s="122"/>
      <c r="Z31" s="122"/>
      <c r="AA31" s="122"/>
      <c r="AB31" s="117">
        <f t="shared" si="3"/>
        <v>0</v>
      </c>
      <c r="AC31" s="122"/>
      <c r="AD31" s="123">
        <f t="shared" si="4"/>
        <v>0</v>
      </c>
      <c r="AE31" s="123" t="str">
        <f t="shared" si="5"/>
        <v>0</v>
      </c>
      <c r="AF31" s="124" t="str">
        <f ca="1">IF(OR(F31="", G31=""), "", IF(TODAY()&lt;F31, 0, IF(TODAY()&gt;G31, 1, (TODAY()-F31+1)/(G31-F31+1))))</f>
        <v/>
      </c>
      <c r="AG31" s="125"/>
    </row>
    <row r="32" spans="1:33" s="120" customFormat="1" ht="20.85" customHeight="1" x14ac:dyDescent="0.3">
      <c r="A32" s="1143"/>
      <c r="B32" s="1100"/>
      <c r="C32" s="1364"/>
      <c r="D32" s="1100"/>
      <c r="E32" s="1102"/>
      <c r="F32" s="1102"/>
      <c r="G32" s="1673"/>
      <c r="H32" s="1675"/>
      <c r="I32" s="1677"/>
      <c r="J32" s="1368"/>
      <c r="K32" s="1065"/>
      <c r="L32" s="121" t="s">
        <v>107</v>
      </c>
      <c r="M32" s="122"/>
      <c r="N32" s="122"/>
      <c r="O32" s="122"/>
      <c r="P32" s="117">
        <f t="shared" si="0"/>
        <v>0</v>
      </c>
      <c r="Q32" s="122"/>
      <c r="R32" s="122"/>
      <c r="S32" s="122"/>
      <c r="T32" s="117">
        <f t="shared" si="1"/>
        <v>0</v>
      </c>
      <c r="U32" s="122"/>
      <c r="V32" s="122"/>
      <c r="W32" s="122"/>
      <c r="X32" s="117">
        <f t="shared" si="2"/>
        <v>0</v>
      </c>
      <c r="Y32" s="122"/>
      <c r="Z32" s="122"/>
      <c r="AA32" s="122"/>
      <c r="AB32" s="117">
        <f t="shared" si="3"/>
        <v>0</v>
      </c>
      <c r="AC32" s="122"/>
      <c r="AD32" s="123">
        <f t="shared" si="4"/>
        <v>0</v>
      </c>
      <c r="AE32" s="123" t="str">
        <f t="shared" si="5"/>
        <v>0</v>
      </c>
      <c r="AF32" s="124"/>
      <c r="AG32" s="125"/>
    </row>
    <row r="33" spans="1:33" s="120" customFormat="1" ht="20.85" customHeight="1" x14ac:dyDescent="0.3">
      <c r="A33" s="1040"/>
      <c r="B33" s="1040"/>
      <c r="C33" s="1303"/>
      <c r="D33" s="1040"/>
      <c r="E33" s="1117"/>
      <c r="F33" s="1117"/>
      <c r="G33" s="1046"/>
      <c r="H33" s="1670"/>
      <c r="I33" s="1668"/>
      <c r="J33" s="1048"/>
      <c r="K33" s="1062"/>
      <c r="L33" s="115" t="s">
        <v>106</v>
      </c>
      <c r="M33" s="116"/>
      <c r="N33" s="116"/>
      <c r="O33" s="116"/>
      <c r="P33" s="117">
        <f t="shared" si="0"/>
        <v>0</v>
      </c>
      <c r="Q33" s="116"/>
      <c r="R33" s="116"/>
      <c r="S33" s="116"/>
      <c r="T33" s="117">
        <f t="shared" si="1"/>
        <v>0</v>
      </c>
      <c r="U33" s="116"/>
      <c r="V33" s="116"/>
      <c r="W33" s="116"/>
      <c r="X33" s="117">
        <f t="shared" si="2"/>
        <v>0</v>
      </c>
      <c r="Y33" s="116"/>
      <c r="Z33" s="116"/>
      <c r="AA33" s="116"/>
      <c r="AB33" s="117">
        <f t="shared" si="3"/>
        <v>0</v>
      </c>
      <c r="AC33" s="116"/>
      <c r="AD33" s="118">
        <f t="shared" si="4"/>
        <v>0</v>
      </c>
      <c r="AE33" s="118" t="str">
        <f t="shared" si="5"/>
        <v>0</v>
      </c>
      <c r="AF33" s="119" t="str">
        <f ca="1">IF(OR(F33="", G33=""), "", IF(TODAY()&lt;F33, 0, IF(TODAY()&gt;G33, 1, (TODAY()-F33+1)/(G33-F33+1))))</f>
        <v/>
      </c>
      <c r="AG33" s="98"/>
    </row>
    <row r="34" spans="1:33" s="120" customFormat="1" ht="20.85" customHeight="1" x14ac:dyDescent="0.3">
      <c r="A34" s="1041"/>
      <c r="B34" s="1041"/>
      <c r="C34" s="1304"/>
      <c r="D34" s="1041"/>
      <c r="E34" s="1118"/>
      <c r="F34" s="1118"/>
      <c r="G34" s="1047"/>
      <c r="H34" s="1671"/>
      <c r="I34" s="1669"/>
      <c r="J34" s="1049"/>
      <c r="K34" s="1063"/>
      <c r="L34" s="115" t="s">
        <v>107</v>
      </c>
      <c r="M34" s="116"/>
      <c r="N34" s="116"/>
      <c r="O34" s="116"/>
      <c r="P34" s="117">
        <f t="shared" si="0"/>
        <v>0</v>
      </c>
      <c r="Q34" s="116"/>
      <c r="R34" s="116"/>
      <c r="S34" s="116"/>
      <c r="T34" s="117">
        <f t="shared" si="1"/>
        <v>0</v>
      </c>
      <c r="U34" s="116"/>
      <c r="V34" s="116"/>
      <c r="W34" s="116"/>
      <c r="X34" s="117">
        <f t="shared" si="2"/>
        <v>0</v>
      </c>
      <c r="Y34" s="116"/>
      <c r="Z34" s="116"/>
      <c r="AA34" s="116"/>
      <c r="AB34" s="117">
        <f t="shared" si="3"/>
        <v>0</v>
      </c>
      <c r="AC34" s="116"/>
      <c r="AD34" s="118">
        <f t="shared" si="4"/>
        <v>0</v>
      </c>
      <c r="AE34" s="118" t="str">
        <f t="shared" si="5"/>
        <v>0</v>
      </c>
      <c r="AF34" s="119"/>
      <c r="AG34" s="98"/>
    </row>
    <row r="35" spans="1:33" s="120" customFormat="1" ht="20.85" customHeight="1" x14ac:dyDescent="0.3">
      <c r="A35" s="1142"/>
      <c r="B35" s="1099"/>
      <c r="C35" s="1363"/>
      <c r="D35" s="1099"/>
      <c r="E35" s="1101"/>
      <c r="F35" s="1101"/>
      <c r="G35" s="1672"/>
      <c r="H35" s="1674"/>
      <c r="I35" s="1676"/>
      <c r="J35" s="1367"/>
      <c r="K35" s="1064"/>
      <c r="L35" s="121" t="s">
        <v>106</v>
      </c>
      <c r="M35" s="122"/>
      <c r="N35" s="122"/>
      <c r="O35" s="122"/>
      <c r="P35" s="117">
        <f t="shared" si="0"/>
        <v>0</v>
      </c>
      <c r="Q35" s="122"/>
      <c r="R35" s="122"/>
      <c r="S35" s="122"/>
      <c r="T35" s="117">
        <f t="shared" si="1"/>
        <v>0</v>
      </c>
      <c r="U35" s="122"/>
      <c r="V35" s="122"/>
      <c r="W35" s="122"/>
      <c r="X35" s="117">
        <f t="shared" si="2"/>
        <v>0</v>
      </c>
      <c r="Y35" s="122"/>
      <c r="Z35" s="122"/>
      <c r="AA35" s="122"/>
      <c r="AB35" s="117">
        <f t="shared" si="3"/>
        <v>0</v>
      </c>
      <c r="AC35" s="122"/>
      <c r="AD35" s="123">
        <f t="shared" si="4"/>
        <v>0</v>
      </c>
      <c r="AE35" s="123" t="str">
        <f t="shared" si="5"/>
        <v>0</v>
      </c>
      <c r="AF35" s="124" t="str">
        <f ca="1">IF(OR(F35="", G35=""), "", IF(TODAY()&lt;F35, 0, IF(TODAY()&gt;G35, 1, (TODAY()-F35+1)/(G35-F35+1))))</f>
        <v/>
      </c>
      <c r="AG35" s="125"/>
    </row>
    <row r="36" spans="1:33" s="120" customFormat="1" ht="20.85" customHeight="1" x14ac:dyDescent="0.3">
      <c r="A36" s="1143"/>
      <c r="B36" s="1100"/>
      <c r="C36" s="1364"/>
      <c r="D36" s="1100"/>
      <c r="E36" s="1102"/>
      <c r="F36" s="1102"/>
      <c r="G36" s="1673"/>
      <c r="H36" s="1675"/>
      <c r="I36" s="1677"/>
      <c r="J36" s="1368"/>
      <c r="K36" s="1065"/>
      <c r="L36" s="121" t="s">
        <v>107</v>
      </c>
      <c r="M36" s="122"/>
      <c r="N36" s="122"/>
      <c r="O36" s="122"/>
      <c r="P36" s="117">
        <f t="shared" si="0"/>
        <v>0</v>
      </c>
      <c r="Q36" s="122"/>
      <c r="R36" s="122"/>
      <c r="S36" s="122"/>
      <c r="T36" s="117">
        <f t="shared" si="1"/>
        <v>0</v>
      </c>
      <c r="U36" s="122"/>
      <c r="V36" s="122"/>
      <c r="W36" s="122"/>
      <c r="X36" s="117">
        <f t="shared" si="2"/>
        <v>0</v>
      </c>
      <c r="Y36" s="122"/>
      <c r="Z36" s="122"/>
      <c r="AA36" s="122"/>
      <c r="AB36" s="117">
        <f t="shared" si="3"/>
        <v>0</v>
      </c>
      <c r="AC36" s="122"/>
      <c r="AD36" s="123">
        <f t="shared" si="4"/>
        <v>0</v>
      </c>
      <c r="AE36" s="123" t="str">
        <f t="shared" si="5"/>
        <v>0</v>
      </c>
      <c r="AF36" s="124"/>
      <c r="AG36" s="125"/>
    </row>
    <row r="37" spans="1:33" s="120" customFormat="1" ht="20.85" customHeight="1" x14ac:dyDescent="0.3">
      <c r="A37" s="1040"/>
      <c r="B37" s="1040"/>
      <c r="C37" s="1303"/>
      <c r="D37" s="1040"/>
      <c r="E37" s="1117"/>
      <c r="F37" s="1117"/>
      <c r="G37" s="1046"/>
      <c r="H37" s="1670"/>
      <c r="I37" s="1668"/>
      <c r="J37" s="1048"/>
      <c r="K37" s="1062"/>
      <c r="L37" s="115" t="s">
        <v>106</v>
      </c>
      <c r="M37" s="116"/>
      <c r="N37" s="116"/>
      <c r="O37" s="116"/>
      <c r="P37" s="117">
        <f t="shared" si="0"/>
        <v>0</v>
      </c>
      <c r="Q37" s="116"/>
      <c r="R37" s="116"/>
      <c r="S37" s="116"/>
      <c r="T37" s="117">
        <f t="shared" si="1"/>
        <v>0</v>
      </c>
      <c r="U37" s="116"/>
      <c r="V37" s="116"/>
      <c r="W37" s="116"/>
      <c r="X37" s="117">
        <f t="shared" si="2"/>
        <v>0</v>
      </c>
      <c r="Y37" s="116"/>
      <c r="Z37" s="116"/>
      <c r="AA37" s="116"/>
      <c r="AB37" s="117">
        <f t="shared" si="3"/>
        <v>0</v>
      </c>
      <c r="AC37" s="116"/>
      <c r="AD37" s="118">
        <f t="shared" si="4"/>
        <v>0</v>
      </c>
      <c r="AE37" s="118" t="str">
        <f t="shared" si="5"/>
        <v>0</v>
      </c>
      <c r="AF37" s="119" t="str">
        <f ca="1">IF(OR(F37="", G37=""), "", IF(TODAY()&lt;F37, 0, IF(TODAY()&gt;G37, 1, (TODAY()-F37+1)/(G37-F37+1))))</f>
        <v/>
      </c>
      <c r="AG37" s="98"/>
    </row>
    <row r="38" spans="1:33" s="120" customFormat="1" ht="20.85" customHeight="1" x14ac:dyDescent="0.3">
      <c r="A38" s="1041"/>
      <c r="B38" s="1041"/>
      <c r="C38" s="1304"/>
      <c r="D38" s="1041"/>
      <c r="E38" s="1118"/>
      <c r="F38" s="1118"/>
      <c r="G38" s="1047"/>
      <c r="H38" s="1671"/>
      <c r="I38" s="1669"/>
      <c r="J38" s="1049"/>
      <c r="K38" s="1063"/>
      <c r="L38" s="115" t="s">
        <v>107</v>
      </c>
      <c r="M38" s="116"/>
      <c r="N38" s="116"/>
      <c r="O38" s="116"/>
      <c r="P38" s="117">
        <f t="shared" si="0"/>
        <v>0</v>
      </c>
      <c r="Q38" s="116"/>
      <c r="R38" s="116"/>
      <c r="S38" s="116"/>
      <c r="T38" s="117">
        <f t="shared" si="1"/>
        <v>0</v>
      </c>
      <c r="U38" s="116"/>
      <c r="V38" s="116"/>
      <c r="W38" s="116"/>
      <c r="X38" s="117">
        <f t="shared" si="2"/>
        <v>0</v>
      </c>
      <c r="Y38" s="116"/>
      <c r="Z38" s="116"/>
      <c r="AA38" s="116"/>
      <c r="AB38" s="117">
        <f t="shared" si="3"/>
        <v>0</v>
      </c>
      <c r="AC38" s="116"/>
      <c r="AD38" s="118">
        <f t="shared" si="4"/>
        <v>0</v>
      </c>
      <c r="AE38" s="118" t="str">
        <f t="shared" si="5"/>
        <v>0</v>
      </c>
      <c r="AF38" s="119"/>
      <c r="AG38" s="98"/>
    </row>
    <row r="39" spans="1:33" s="120" customFormat="1" ht="20.85" customHeight="1" x14ac:dyDescent="0.3">
      <c r="A39" s="1142"/>
      <c r="B39" s="1099"/>
      <c r="C39" s="1363"/>
      <c r="D39" s="1099"/>
      <c r="E39" s="1101"/>
      <c r="F39" s="1101"/>
      <c r="G39" s="1672"/>
      <c r="H39" s="1674"/>
      <c r="I39" s="1676"/>
      <c r="J39" s="1367"/>
      <c r="K39" s="1064"/>
      <c r="L39" s="121" t="s">
        <v>106</v>
      </c>
      <c r="M39" s="122"/>
      <c r="N39" s="122"/>
      <c r="O39" s="122"/>
      <c r="P39" s="117">
        <f t="shared" si="0"/>
        <v>0</v>
      </c>
      <c r="Q39" s="122"/>
      <c r="R39" s="122"/>
      <c r="S39" s="122"/>
      <c r="T39" s="117">
        <f t="shared" si="1"/>
        <v>0</v>
      </c>
      <c r="U39" s="122"/>
      <c r="V39" s="122"/>
      <c r="W39" s="122"/>
      <c r="X39" s="117">
        <f t="shared" si="2"/>
        <v>0</v>
      </c>
      <c r="Y39" s="122"/>
      <c r="Z39" s="122"/>
      <c r="AA39" s="122"/>
      <c r="AB39" s="117">
        <f t="shared" si="3"/>
        <v>0</v>
      </c>
      <c r="AC39" s="122"/>
      <c r="AD39" s="123">
        <f t="shared" si="4"/>
        <v>0</v>
      </c>
      <c r="AE39" s="123" t="str">
        <f t="shared" si="5"/>
        <v>0</v>
      </c>
      <c r="AF39" s="124" t="str">
        <f ca="1">IF(OR(F39="", G39=""), "", IF(TODAY()&lt;F39, 0, IF(TODAY()&gt;G39, 1, (TODAY()-F39+1)/(G39-F39+1))))</f>
        <v/>
      </c>
      <c r="AG39" s="125"/>
    </row>
    <row r="40" spans="1:33" s="120" customFormat="1" ht="20.85" customHeight="1" x14ac:dyDescent="0.3">
      <c r="A40" s="1143"/>
      <c r="B40" s="1100"/>
      <c r="C40" s="1364"/>
      <c r="D40" s="1100"/>
      <c r="E40" s="1102"/>
      <c r="F40" s="1102"/>
      <c r="G40" s="1673"/>
      <c r="H40" s="1675"/>
      <c r="I40" s="1677"/>
      <c r="J40" s="1368"/>
      <c r="K40" s="1065"/>
      <c r="L40" s="121" t="s">
        <v>107</v>
      </c>
      <c r="M40" s="122"/>
      <c r="N40" s="122"/>
      <c r="O40" s="122"/>
      <c r="P40" s="117">
        <f t="shared" si="0"/>
        <v>0</v>
      </c>
      <c r="Q40" s="122"/>
      <c r="R40" s="122"/>
      <c r="S40" s="122"/>
      <c r="T40" s="117">
        <f t="shared" si="1"/>
        <v>0</v>
      </c>
      <c r="U40" s="122"/>
      <c r="V40" s="122"/>
      <c r="W40" s="122"/>
      <c r="X40" s="117">
        <f t="shared" si="2"/>
        <v>0</v>
      </c>
      <c r="Y40" s="122"/>
      <c r="Z40" s="122"/>
      <c r="AA40" s="122"/>
      <c r="AB40" s="117">
        <f t="shared" si="3"/>
        <v>0</v>
      </c>
      <c r="AC40" s="122"/>
      <c r="AD40" s="123">
        <f t="shared" si="4"/>
        <v>0</v>
      </c>
      <c r="AE40" s="123" t="str">
        <f t="shared" si="5"/>
        <v>0</v>
      </c>
      <c r="AF40" s="124"/>
      <c r="AG40" s="125"/>
    </row>
    <row r="41" spans="1:33" s="120" customFormat="1" ht="20.85" customHeight="1" x14ac:dyDescent="0.3">
      <c r="A41" s="1040"/>
      <c r="B41" s="1040"/>
      <c r="C41" s="1303"/>
      <c r="D41" s="1040"/>
      <c r="E41" s="1117"/>
      <c r="F41" s="1117"/>
      <c r="G41" s="1046"/>
      <c r="H41" s="1670"/>
      <c r="I41" s="1668"/>
      <c r="J41" s="1048"/>
      <c r="K41" s="1062"/>
      <c r="L41" s="115" t="s">
        <v>106</v>
      </c>
      <c r="M41" s="116"/>
      <c r="N41" s="116"/>
      <c r="O41" s="116"/>
      <c r="P41" s="117">
        <f t="shared" si="0"/>
        <v>0</v>
      </c>
      <c r="Q41" s="116"/>
      <c r="R41" s="116"/>
      <c r="S41" s="116"/>
      <c r="T41" s="117">
        <f t="shared" si="1"/>
        <v>0</v>
      </c>
      <c r="U41" s="116"/>
      <c r="V41" s="116"/>
      <c r="W41" s="116"/>
      <c r="X41" s="117">
        <f t="shared" si="2"/>
        <v>0</v>
      </c>
      <c r="Y41" s="116"/>
      <c r="Z41" s="116"/>
      <c r="AA41" s="116"/>
      <c r="AB41" s="117">
        <f t="shared" si="3"/>
        <v>0</v>
      </c>
      <c r="AC41" s="116"/>
      <c r="AD41" s="118">
        <f t="shared" si="4"/>
        <v>0</v>
      </c>
      <c r="AE41" s="118" t="str">
        <f t="shared" si="5"/>
        <v>0</v>
      </c>
      <c r="AF41" s="119" t="str">
        <f ca="1">IF(OR(F41="", G41=""), "", IF(TODAY()&lt;F41, 0, IF(TODAY()&gt;G41, 1, (TODAY()-F41+1)/(G41-F41+1))))</f>
        <v/>
      </c>
      <c r="AG41" s="98"/>
    </row>
    <row r="42" spans="1:33" s="120" customFormat="1" ht="20.85" customHeight="1" x14ac:dyDescent="0.3">
      <c r="A42" s="1041"/>
      <c r="B42" s="1041"/>
      <c r="C42" s="1304"/>
      <c r="D42" s="1041"/>
      <c r="E42" s="1118"/>
      <c r="F42" s="1118"/>
      <c r="G42" s="1047"/>
      <c r="H42" s="1671"/>
      <c r="I42" s="1669"/>
      <c r="J42" s="1049"/>
      <c r="K42" s="1063"/>
      <c r="L42" s="115" t="s">
        <v>107</v>
      </c>
      <c r="M42" s="116"/>
      <c r="N42" s="116"/>
      <c r="O42" s="116"/>
      <c r="P42" s="117">
        <f t="shared" si="0"/>
        <v>0</v>
      </c>
      <c r="Q42" s="116"/>
      <c r="R42" s="116"/>
      <c r="S42" s="116"/>
      <c r="T42" s="117">
        <f t="shared" si="1"/>
        <v>0</v>
      </c>
      <c r="U42" s="116"/>
      <c r="V42" s="116"/>
      <c r="W42" s="116"/>
      <c r="X42" s="117">
        <f t="shared" si="2"/>
        <v>0</v>
      </c>
      <c r="Y42" s="116"/>
      <c r="Z42" s="116"/>
      <c r="AA42" s="116"/>
      <c r="AB42" s="117">
        <f t="shared" si="3"/>
        <v>0</v>
      </c>
      <c r="AC42" s="116"/>
      <c r="AD42" s="118">
        <f t="shared" si="4"/>
        <v>0</v>
      </c>
      <c r="AE42" s="118" t="str">
        <f t="shared" si="5"/>
        <v>0</v>
      </c>
      <c r="AF42" s="119"/>
      <c r="AG42" s="98"/>
    </row>
    <row r="43" spans="1:33" s="120" customFormat="1" ht="20.85" customHeight="1" x14ac:dyDescent="0.3">
      <c r="A43" s="1142"/>
      <c r="B43" s="1099"/>
      <c r="C43" s="1363"/>
      <c r="D43" s="1099"/>
      <c r="E43" s="1101"/>
      <c r="F43" s="1101"/>
      <c r="G43" s="1672"/>
      <c r="H43" s="1674"/>
      <c r="I43" s="1676"/>
      <c r="J43" s="1367"/>
      <c r="K43" s="1064"/>
      <c r="L43" s="121" t="s">
        <v>106</v>
      </c>
      <c r="M43" s="122"/>
      <c r="N43" s="122"/>
      <c r="O43" s="122"/>
      <c r="P43" s="117">
        <f t="shared" si="0"/>
        <v>0</v>
      </c>
      <c r="Q43" s="122"/>
      <c r="R43" s="122"/>
      <c r="S43" s="122"/>
      <c r="T43" s="117">
        <f t="shared" si="1"/>
        <v>0</v>
      </c>
      <c r="U43" s="122"/>
      <c r="V43" s="122"/>
      <c r="W43" s="122"/>
      <c r="X43" s="117">
        <f t="shared" si="2"/>
        <v>0</v>
      </c>
      <c r="Y43" s="122"/>
      <c r="Z43" s="122"/>
      <c r="AA43" s="122"/>
      <c r="AB43" s="117">
        <f t="shared" si="3"/>
        <v>0</v>
      </c>
      <c r="AC43" s="122"/>
      <c r="AD43" s="123">
        <f t="shared" si="4"/>
        <v>0</v>
      </c>
      <c r="AE43" s="123" t="str">
        <f t="shared" si="5"/>
        <v>0</v>
      </c>
      <c r="AF43" s="124" t="str">
        <f ca="1">IF(OR(F43="", G43=""), "", IF(TODAY()&lt;F43, 0, IF(TODAY()&gt;G43, 1, (TODAY()-F43+1)/(G43-F43+1))))</f>
        <v/>
      </c>
      <c r="AG43" s="125"/>
    </row>
    <row r="44" spans="1:33" s="120" customFormat="1" ht="20.85" customHeight="1" x14ac:dyDescent="0.3">
      <c r="A44" s="1143"/>
      <c r="B44" s="1100"/>
      <c r="C44" s="1364"/>
      <c r="D44" s="1100"/>
      <c r="E44" s="1102"/>
      <c r="F44" s="1102"/>
      <c r="G44" s="1673"/>
      <c r="H44" s="1675"/>
      <c r="I44" s="1677"/>
      <c r="J44" s="1368"/>
      <c r="K44" s="1065"/>
      <c r="L44" s="121" t="s">
        <v>107</v>
      </c>
      <c r="M44" s="122"/>
      <c r="N44" s="122"/>
      <c r="O44" s="122"/>
      <c r="P44" s="117">
        <f t="shared" si="0"/>
        <v>0</v>
      </c>
      <c r="Q44" s="122"/>
      <c r="R44" s="122"/>
      <c r="S44" s="122"/>
      <c r="T44" s="117">
        <f t="shared" si="1"/>
        <v>0</v>
      </c>
      <c r="U44" s="122"/>
      <c r="V44" s="122"/>
      <c r="W44" s="122"/>
      <c r="X44" s="117">
        <f t="shared" si="2"/>
        <v>0</v>
      </c>
      <c r="Y44" s="122"/>
      <c r="Z44" s="122"/>
      <c r="AA44" s="122"/>
      <c r="AB44" s="117">
        <f t="shared" si="3"/>
        <v>0</v>
      </c>
      <c r="AC44" s="122"/>
      <c r="AD44" s="123">
        <f t="shared" si="4"/>
        <v>0</v>
      </c>
      <c r="AE44" s="123" t="str">
        <f t="shared" si="5"/>
        <v>0</v>
      </c>
      <c r="AF44" s="124"/>
      <c r="AG44" s="125"/>
    </row>
    <row r="45" spans="1:33" s="120" customFormat="1" ht="20.85" customHeight="1" x14ac:dyDescent="0.3">
      <c r="A45" s="1040"/>
      <c r="B45" s="1040"/>
      <c r="C45" s="1303"/>
      <c r="D45" s="1040"/>
      <c r="E45" s="1117"/>
      <c r="F45" s="1117"/>
      <c r="G45" s="1046"/>
      <c r="H45" s="1670"/>
      <c r="I45" s="1668"/>
      <c r="J45" s="1048"/>
      <c r="K45" s="1062"/>
      <c r="L45" s="115" t="s">
        <v>106</v>
      </c>
      <c r="M45" s="116"/>
      <c r="N45" s="116"/>
      <c r="O45" s="116"/>
      <c r="P45" s="117">
        <f t="shared" si="0"/>
        <v>0</v>
      </c>
      <c r="Q45" s="116"/>
      <c r="R45" s="116"/>
      <c r="S45" s="116"/>
      <c r="T45" s="117">
        <f t="shared" si="1"/>
        <v>0</v>
      </c>
      <c r="U45" s="116"/>
      <c r="V45" s="116"/>
      <c r="W45" s="116"/>
      <c r="X45" s="117">
        <f t="shared" si="2"/>
        <v>0</v>
      </c>
      <c r="Y45" s="116"/>
      <c r="Z45" s="116"/>
      <c r="AA45" s="116"/>
      <c r="AB45" s="117">
        <f t="shared" si="3"/>
        <v>0</v>
      </c>
      <c r="AC45" s="116"/>
      <c r="AD45" s="118">
        <f t="shared" si="4"/>
        <v>0</v>
      </c>
      <c r="AE45" s="118" t="str">
        <f t="shared" si="5"/>
        <v>0</v>
      </c>
      <c r="AF45" s="119" t="str">
        <f ca="1">IF(OR(F45="", G45=""), "", IF(TODAY()&lt;F45, 0, IF(TODAY()&gt;G45, 1, (TODAY()-F45+1)/(G45-F45+1))))</f>
        <v/>
      </c>
      <c r="AG45" s="98"/>
    </row>
    <row r="46" spans="1:33" s="120" customFormat="1" ht="20.85" customHeight="1" x14ac:dyDescent="0.3">
      <c r="A46" s="1041"/>
      <c r="B46" s="1041"/>
      <c r="C46" s="1304"/>
      <c r="D46" s="1041"/>
      <c r="E46" s="1118"/>
      <c r="F46" s="1118"/>
      <c r="G46" s="1047"/>
      <c r="H46" s="1671"/>
      <c r="I46" s="1669"/>
      <c r="J46" s="1049"/>
      <c r="K46" s="1063"/>
      <c r="L46" s="115" t="s">
        <v>107</v>
      </c>
      <c r="M46" s="116"/>
      <c r="N46" s="116"/>
      <c r="O46" s="116"/>
      <c r="P46" s="117">
        <f t="shared" si="0"/>
        <v>0</v>
      </c>
      <c r="Q46" s="116"/>
      <c r="R46" s="116"/>
      <c r="S46" s="116"/>
      <c r="T46" s="117">
        <f t="shared" si="1"/>
        <v>0</v>
      </c>
      <c r="U46" s="116"/>
      <c r="V46" s="116"/>
      <c r="W46" s="116"/>
      <c r="X46" s="117">
        <f t="shared" si="2"/>
        <v>0</v>
      </c>
      <c r="Y46" s="116"/>
      <c r="Z46" s="116"/>
      <c r="AA46" s="116"/>
      <c r="AB46" s="117">
        <f t="shared" si="3"/>
        <v>0</v>
      </c>
      <c r="AC46" s="116"/>
      <c r="AD46" s="118">
        <f t="shared" si="4"/>
        <v>0</v>
      </c>
      <c r="AE46" s="118" t="str">
        <f t="shared" si="5"/>
        <v>0</v>
      </c>
      <c r="AF46" s="119"/>
      <c r="AG46" s="98"/>
    </row>
    <row r="47" spans="1:33" s="120" customFormat="1" ht="20.85" customHeight="1" x14ac:dyDescent="0.3">
      <c r="A47" s="1142"/>
      <c r="B47" s="1099"/>
      <c r="C47" s="1363"/>
      <c r="D47" s="1099"/>
      <c r="E47" s="1101"/>
      <c r="F47" s="1101"/>
      <c r="G47" s="1672"/>
      <c r="H47" s="1674"/>
      <c r="I47" s="1676"/>
      <c r="J47" s="1367"/>
      <c r="K47" s="1064"/>
      <c r="L47" s="121" t="s">
        <v>106</v>
      </c>
      <c r="M47" s="122"/>
      <c r="N47" s="122"/>
      <c r="O47" s="122"/>
      <c r="P47" s="117">
        <f t="shared" si="0"/>
        <v>0</v>
      </c>
      <c r="Q47" s="122"/>
      <c r="R47" s="122"/>
      <c r="S47" s="122"/>
      <c r="T47" s="117">
        <f t="shared" si="1"/>
        <v>0</v>
      </c>
      <c r="U47" s="122"/>
      <c r="V47" s="122"/>
      <c r="W47" s="122"/>
      <c r="X47" s="117">
        <f t="shared" si="2"/>
        <v>0</v>
      </c>
      <c r="Y47" s="122"/>
      <c r="Z47" s="122"/>
      <c r="AA47" s="122"/>
      <c r="AB47" s="117">
        <f t="shared" si="3"/>
        <v>0</v>
      </c>
      <c r="AC47" s="122"/>
      <c r="AD47" s="123">
        <f t="shared" si="4"/>
        <v>0</v>
      </c>
      <c r="AE47" s="123" t="str">
        <f t="shared" si="5"/>
        <v>0</v>
      </c>
      <c r="AF47" s="124" t="str">
        <f ca="1">IF(OR(F47="", G47=""), "", IF(TODAY()&lt;F47, 0, IF(TODAY()&gt;G47, 1, (TODAY()-F47+1)/(G47-F47+1))))</f>
        <v/>
      </c>
      <c r="AG47" s="125"/>
    </row>
    <row r="48" spans="1:33" s="120" customFormat="1" ht="20.85" customHeight="1" x14ac:dyDescent="0.3">
      <c r="A48" s="1143"/>
      <c r="B48" s="1100"/>
      <c r="C48" s="1364"/>
      <c r="D48" s="1100"/>
      <c r="E48" s="1102"/>
      <c r="F48" s="1102"/>
      <c r="G48" s="1673"/>
      <c r="H48" s="1675"/>
      <c r="I48" s="1677"/>
      <c r="J48" s="1368"/>
      <c r="K48" s="1065"/>
      <c r="L48" s="121" t="s">
        <v>107</v>
      </c>
      <c r="M48" s="122"/>
      <c r="N48" s="122"/>
      <c r="O48" s="122"/>
      <c r="P48" s="117">
        <f t="shared" si="0"/>
        <v>0</v>
      </c>
      <c r="Q48" s="122"/>
      <c r="R48" s="122"/>
      <c r="S48" s="122"/>
      <c r="T48" s="117">
        <f t="shared" si="1"/>
        <v>0</v>
      </c>
      <c r="U48" s="122"/>
      <c r="V48" s="122"/>
      <c r="W48" s="122"/>
      <c r="X48" s="117">
        <f t="shared" si="2"/>
        <v>0</v>
      </c>
      <c r="Y48" s="122"/>
      <c r="Z48" s="122"/>
      <c r="AA48" s="122"/>
      <c r="AB48" s="117">
        <f t="shared" si="3"/>
        <v>0</v>
      </c>
      <c r="AC48" s="122"/>
      <c r="AD48" s="123">
        <f t="shared" si="4"/>
        <v>0</v>
      </c>
      <c r="AE48" s="123" t="str">
        <f t="shared" si="5"/>
        <v>0</v>
      </c>
      <c r="AF48" s="124"/>
      <c r="AG48" s="125"/>
    </row>
    <row r="49" spans="1:33" s="120" customFormat="1" ht="20.85" customHeight="1" x14ac:dyDescent="0.3">
      <c r="A49" s="1040"/>
      <c r="B49" s="1040"/>
      <c r="C49" s="1303"/>
      <c r="D49" s="1040"/>
      <c r="E49" s="1117"/>
      <c r="F49" s="1117"/>
      <c r="G49" s="1046"/>
      <c r="H49" s="1670"/>
      <c r="I49" s="1668"/>
      <c r="J49" s="1048"/>
      <c r="K49" s="1062"/>
      <c r="L49" s="115" t="s">
        <v>106</v>
      </c>
      <c r="M49" s="116"/>
      <c r="N49" s="116"/>
      <c r="O49" s="116"/>
      <c r="P49" s="117">
        <f t="shared" ref="P49:P68" si="6">SUM(M49:O49)</f>
        <v>0</v>
      </c>
      <c r="Q49" s="116"/>
      <c r="R49" s="116"/>
      <c r="S49" s="116"/>
      <c r="T49" s="117">
        <f t="shared" ref="T49:T68" si="7">SUM(Q49:S49)</f>
        <v>0</v>
      </c>
      <c r="U49" s="116"/>
      <c r="V49" s="116"/>
      <c r="W49" s="116"/>
      <c r="X49" s="117">
        <f t="shared" ref="X49:X68" si="8">SUM(U49:W49)</f>
        <v>0</v>
      </c>
      <c r="Y49" s="116"/>
      <c r="Z49" s="116"/>
      <c r="AA49" s="116"/>
      <c r="AB49" s="117">
        <f t="shared" ref="AB49:AB68" si="9">SUM(Y49:AA49)</f>
        <v>0</v>
      </c>
      <c r="AC49" s="116"/>
      <c r="AD49" s="118">
        <f t="shared" ref="AD49:AD68" si="10">SUM(Q49,U49,Y49,AC49)</f>
        <v>0</v>
      </c>
      <c r="AE49" s="118" t="str">
        <f t="shared" ref="AE49:AE68" si="11">IF(K49=0,"0",AD49/K49)</f>
        <v>0</v>
      </c>
      <c r="AF49" s="119" t="str">
        <f ca="1">IF(OR(F49="", G49=""), "", IF(TODAY()&lt;F49, 0, IF(TODAY()&gt;G49, 1, (TODAY()-F49+1)/(G49-F49+1))))</f>
        <v/>
      </c>
      <c r="AG49" s="98"/>
    </row>
    <row r="50" spans="1:33" s="120" customFormat="1" ht="20.85" customHeight="1" x14ac:dyDescent="0.3">
      <c r="A50" s="1041"/>
      <c r="B50" s="1041"/>
      <c r="C50" s="1304"/>
      <c r="D50" s="1041"/>
      <c r="E50" s="1118"/>
      <c r="F50" s="1118"/>
      <c r="G50" s="1047"/>
      <c r="H50" s="1671"/>
      <c r="I50" s="1669"/>
      <c r="J50" s="1049"/>
      <c r="K50" s="1063"/>
      <c r="L50" s="115" t="s">
        <v>107</v>
      </c>
      <c r="M50" s="116"/>
      <c r="N50" s="116"/>
      <c r="O50" s="116"/>
      <c r="P50" s="117">
        <f t="shared" si="6"/>
        <v>0</v>
      </c>
      <c r="Q50" s="116"/>
      <c r="R50" s="116"/>
      <c r="S50" s="116"/>
      <c r="T50" s="117">
        <f t="shared" si="7"/>
        <v>0</v>
      </c>
      <c r="U50" s="116"/>
      <c r="V50" s="116"/>
      <c r="W50" s="116"/>
      <c r="X50" s="117">
        <f t="shared" si="8"/>
        <v>0</v>
      </c>
      <c r="Y50" s="116"/>
      <c r="Z50" s="116"/>
      <c r="AA50" s="116"/>
      <c r="AB50" s="117">
        <f t="shared" si="9"/>
        <v>0</v>
      </c>
      <c r="AC50" s="116"/>
      <c r="AD50" s="118">
        <f t="shared" si="10"/>
        <v>0</v>
      </c>
      <c r="AE50" s="118" t="str">
        <f t="shared" si="11"/>
        <v>0</v>
      </c>
      <c r="AF50" s="119"/>
      <c r="AG50" s="98"/>
    </row>
    <row r="51" spans="1:33" s="120" customFormat="1" ht="20.85" customHeight="1" x14ac:dyDescent="0.3">
      <c r="A51" s="1142"/>
      <c r="B51" s="1099"/>
      <c r="C51" s="1363"/>
      <c r="D51" s="1099"/>
      <c r="E51" s="1101"/>
      <c r="F51" s="1101"/>
      <c r="G51" s="1672"/>
      <c r="H51" s="1674"/>
      <c r="I51" s="1676"/>
      <c r="J51" s="1367"/>
      <c r="K51" s="1064"/>
      <c r="L51" s="121" t="s">
        <v>106</v>
      </c>
      <c r="M51" s="122"/>
      <c r="N51" s="122"/>
      <c r="O51" s="122"/>
      <c r="P51" s="117">
        <f t="shared" si="6"/>
        <v>0</v>
      </c>
      <c r="Q51" s="122"/>
      <c r="R51" s="122"/>
      <c r="S51" s="122"/>
      <c r="T51" s="117">
        <f t="shared" si="7"/>
        <v>0</v>
      </c>
      <c r="U51" s="122"/>
      <c r="V51" s="122"/>
      <c r="W51" s="122"/>
      <c r="X51" s="117">
        <f t="shared" si="8"/>
        <v>0</v>
      </c>
      <c r="Y51" s="122"/>
      <c r="Z51" s="122"/>
      <c r="AA51" s="122"/>
      <c r="AB51" s="117">
        <f t="shared" si="9"/>
        <v>0</v>
      </c>
      <c r="AC51" s="122"/>
      <c r="AD51" s="123">
        <f t="shared" si="10"/>
        <v>0</v>
      </c>
      <c r="AE51" s="123" t="str">
        <f t="shared" si="11"/>
        <v>0</v>
      </c>
      <c r="AF51" s="124" t="str">
        <f ca="1">IF(OR(F51="", G51=""), "", IF(TODAY()&lt;F51, 0, IF(TODAY()&gt;G51, 1, (TODAY()-F51+1)/(G51-F51+1))))</f>
        <v/>
      </c>
      <c r="AG51" s="125"/>
    </row>
    <row r="52" spans="1:33" s="120" customFormat="1" ht="20.85" customHeight="1" x14ac:dyDescent="0.3">
      <c r="A52" s="1143"/>
      <c r="B52" s="1100"/>
      <c r="C52" s="1364"/>
      <c r="D52" s="1100"/>
      <c r="E52" s="1102"/>
      <c r="F52" s="1102"/>
      <c r="G52" s="1673"/>
      <c r="H52" s="1675"/>
      <c r="I52" s="1677"/>
      <c r="J52" s="1368"/>
      <c r="K52" s="1065"/>
      <c r="L52" s="121" t="s">
        <v>107</v>
      </c>
      <c r="M52" s="122"/>
      <c r="N52" s="122"/>
      <c r="O52" s="122"/>
      <c r="P52" s="117">
        <f t="shared" si="6"/>
        <v>0</v>
      </c>
      <c r="Q52" s="122"/>
      <c r="R52" s="122"/>
      <c r="S52" s="122"/>
      <c r="T52" s="117">
        <f t="shared" si="7"/>
        <v>0</v>
      </c>
      <c r="U52" s="122"/>
      <c r="V52" s="122"/>
      <c r="W52" s="122"/>
      <c r="X52" s="117">
        <f t="shared" si="8"/>
        <v>0</v>
      </c>
      <c r="Y52" s="122"/>
      <c r="Z52" s="122"/>
      <c r="AA52" s="122"/>
      <c r="AB52" s="117">
        <f t="shared" si="9"/>
        <v>0</v>
      </c>
      <c r="AC52" s="122"/>
      <c r="AD52" s="123">
        <f t="shared" si="10"/>
        <v>0</v>
      </c>
      <c r="AE52" s="123" t="str">
        <f t="shared" si="11"/>
        <v>0</v>
      </c>
      <c r="AF52" s="124"/>
      <c r="AG52" s="125"/>
    </row>
    <row r="53" spans="1:33" s="120" customFormat="1" ht="20.85" customHeight="1" x14ac:dyDescent="0.3">
      <c r="A53" s="1040"/>
      <c r="B53" s="1040"/>
      <c r="C53" s="1303"/>
      <c r="D53" s="1040"/>
      <c r="E53" s="1117"/>
      <c r="F53" s="1117"/>
      <c r="G53" s="1046"/>
      <c r="H53" s="1670"/>
      <c r="I53" s="1668"/>
      <c r="J53" s="1048"/>
      <c r="K53" s="1062"/>
      <c r="L53" s="115" t="s">
        <v>106</v>
      </c>
      <c r="M53" s="116"/>
      <c r="N53" s="116"/>
      <c r="O53" s="116"/>
      <c r="P53" s="117">
        <f t="shared" si="6"/>
        <v>0</v>
      </c>
      <c r="Q53" s="116"/>
      <c r="R53" s="116"/>
      <c r="S53" s="116"/>
      <c r="T53" s="117">
        <f t="shared" si="7"/>
        <v>0</v>
      </c>
      <c r="U53" s="116"/>
      <c r="V53" s="116"/>
      <c r="W53" s="116"/>
      <c r="X53" s="117">
        <f t="shared" si="8"/>
        <v>0</v>
      </c>
      <c r="Y53" s="116"/>
      <c r="Z53" s="116"/>
      <c r="AA53" s="116"/>
      <c r="AB53" s="117">
        <f t="shared" si="9"/>
        <v>0</v>
      </c>
      <c r="AC53" s="116"/>
      <c r="AD53" s="118">
        <f t="shared" si="10"/>
        <v>0</v>
      </c>
      <c r="AE53" s="118" t="str">
        <f t="shared" si="11"/>
        <v>0</v>
      </c>
      <c r="AF53" s="119" t="str">
        <f ca="1">IF(OR(F53="", G53=""), "", IF(TODAY()&lt;F53, 0, IF(TODAY()&gt;G53, 1, (TODAY()-F53+1)/(G53-F53+1))))</f>
        <v/>
      </c>
      <c r="AG53" s="98"/>
    </row>
    <row r="54" spans="1:33" s="120" customFormat="1" ht="20.85" customHeight="1" x14ac:dyDescent="0.3">
      <c r="A54" s="1041"/>
      <c r="B54" s="1041"/>
      <c r="C54" s="1304"/>
      <c r="D54" s="1041"/>
      <c r="E54" s="1118"/>
      <c r="F54" s="1118"/>
      <c r="G54" s="1047"/>
      <c r="H54" s="1671"/>
      <c r="I54" s="1669"/>
      <c r="J54" s="1049"/>
      <c r="K54" s="1063"/>
      <c r="L54" s="115" t="s">
        <v>107</v>
      </c>
      <c r="M54" s="116"/>
      <c r="N54" s="116"/>
      <c r="O54" s="116"/>
      <c r="P54" s="117">
        <f t="shared" si="6"/>
        <v>0</v>
      </c>
      <c r="Q54" s="116"/>
      <c r="R54" s="116"/>
      <c r="S54" s="116"/>
      <c r="T54" s="117">
        <f t="shared" si="7"/>
        <v>0</v>
      </c>
      <c r="U54" s="116"/>
      <c r="V54" s="116"/>
      <c r="W54" s="116"/>
      <c r="X54" s="117">
        <f t="shared" si="8"/>
        <v>0</v>
      </c>
      <c r="Y54" s="116"/>
      <c r="Z54" s="116"/>
      <c r="AA54" s="116"/>
      <c r="AB54" s="117">
        <f t="shared" si="9"/>
        <v>0</v>
      </c>
      <c r="AC54" s="116"/>
      <c r="AD54" s="118">
        <f t="shared" si="10"/>
        <v>0</v>
      </c>
      <c r="AE54" s="118" t="str">
        <f t="shared" si="11"/>
        <v>0</v>
      </c>
      <c r="AF54" s="119"/>
      <c r="AG54" s="98"/>
    </row>
    <row r="55" spans="1:33" s="120" customFormat="1" ht="20.85" customHeight="1" x14ac:dyDescent="0.3">
      <c r="A55" s="1142"/>
      <c r="B55" s="1099"/>
      <c r="C55" s="1363"/>
      <c r="D55" s="1099"/>
      <c r="E55" s="1101"/>
      <c r="F55" s="1101"/>
      <c r="G55" s="1672"/>
      <c r="H55" s="1674"/>
      <c r="I55" s="1676"/>
      <c r="J55" s="1367"/>
      <c r="K55" s="1064"/>
      <c r="L55" s="121" t="s">
        <v>106</v>
      </c>
      <c r="M55" s="122"/>
      <c r="N55" s="122"/>
      <c r="O55" s="122"/>
      <c r="P55" s="117">
        <f t="shared" si="6"/>
        <v>0</v>
      </c>
      <c r="Q55" s="122"/>
      <c r="R55" s="122"/>
      <c r="S55" s="122"/>
      <c r="T55" s="117">
        <f t="shared" si="7"/>
        <v>0</v>
      </c>
      <c r="U55" s="122"/>
      <c r="V55" s="122"/>
      <c r="W55" s="122"/>
      <c r="X55" s="117">
        <f t="shared" si="8"/>
        <v>0</v>
      </c>
      <c r="Y55" s="122"/>
      <c r="Z55" s="122"/>
      <c r="AA55" s="122"/>
      <c r="AB55" s="117">
        <f t="shared" si="9"/>
        <v>0</v>
      </c>
      <c r="AC55" s="122"/>
      <c r="AD55" s="123">
        <f t="shared" si="10"/>
        <v>0</v>
      </c>
      <c r="AE55" s="123" t="str">
        <f t="shared" si="11"/>
        <v>0</v>
      </c>
      <c r="AF55" s="124" t="str">
        <f ca="1">IF(OR(F55="", G55=""), "", IF(TODAY()&lt;F55, 0, IF(TODAY()&gt;G55, 1, (TODAY()-F55+1)/(G55-F55+1))))</f>
        <v/>
      </c>
      <c r="AG55" s="125"/>
    </row>
    <row r="56" spans="1:33" s="120" customFormat="1" ht="20.85" customHeight="1" x14ac:dyDescent="0.3">
      <c r="A56" s="1143"/>
      <c r="B56" s="1100"/>
      <c r="C56" s="1364"/>
      <c r="D56" s="1100"/>
      <c r="E56" s="1102"/>
      <c r="F56" s="1102"/>
      <c r="G56" s="1673"/>
      <c r="H56" s="1675"/>
      <c r="I56" s="1677"/>
      <c r="J56" s="1368"/>
      <c r="K56" s="1065"/>
      <c r="L56" s="121" t="s">
        <v>107</v>
      </c>
      <c r="M56" s="122"/>
      <c r="N56" s="122"/>
      <c r="O56" s="122"/>
      <c r="P56" s="117">
        <f t="shared" si="6"/>
        <v>0</v>
      </c>
      <c r="Q56" s="122"/>
      <c r="R56" s="122"/>
      <c r="S56" s="122"/>
      <c r="T56" s="117">
        <f t="shared" si="7"/>
        <v>0</v>
      </c>
      <c r="U56" s="122"/>
      <c r="V56" s="122"/>
      <c r="W56" s="122"/>
      <c r="X56" s="117">
        <f t="shared" si="8"/>
        <v>0</v>
      </c>
      <c r="Y56" s="122"/>
      <c r="Z56" s="122"/>
      <c r="AA56" s="122"/>
      <c r="AB56" s="117">
        <f t="shared" si="9"/>
        <v>0</v>
      </c>
      <c r="AC56" s="122"/>
      <c r="AD56" s="123">
        <f t="shared" si="10"/>
        <v>0</v>
      </c>
      <c r="AE56" s="123" t="str">
        <f t="shared" si="11"/>
        <v>0</v>
      </c>
      <c r="AF56" s="124"/>
      <c r="AG56" s="125"/>
    </row>
    <row r="57" spans="1:33" s="120" customFormat="1" ht="20.85" customHeight="1" x14ac:dyDescent="0.3">
      <c r="A57" s="1040"/>
      <c r="B57" s="1040"/>
      <c r="C57" s="1303"/>
      <c r="D57" s="1040"/>
      <c r="E57" s="1117"/>
      <c r="F57" s="1117"/>
      <c r="G57" s="1046"/>
      <c r="H57" s="1670"/>
      <c r="I57" s="1668"/>
      <c r="J57" s="1048"/>
      <c r="K57" s="1062"/>
      <c r="L57" s="115" t="s">
        <v>106</v>
      </c>
      <c r="M57" s="116"/>
      <c r="N57" s="116"/>
      <c r="O57" s="116"/>
      <c r="P57" s="117">
        <f t="shared" si="6"/>
        <v>0</v>
      </c>
      <c r="Q57" s="116"/>
      <c r="R57" s="116"/>
      <c r="S57" s="116"/>
      <c r="T57" s="117">
        <f t="shared" si="7"/>
        <v>0</v>
      </c>
      <c r="U57" s="116"/>
      <c r="V57" s="116"/>
      <c r="W57" s="116"/>
      <c r="X57" s="117">
        <f t="shared" si="8"/>
        <v>0</v>
      </c>
      <c r="Y57" s="116"/>
      <c r="Z57" s="116"/>
      <c r="AA57" s="116"/>
      <c r="AB57" s="117">
        <f t="shared" si="9"/>
        <v>0</v>
      </c>
      <c r="AC57" s="116"/>
      <c r="AD57" s="118">
        <f t="shared" si="10"/>
        <v>0</v>
      </c>
      <c r="AE57" s="118" t="str">
        <f t="shared" si="11"/>
        <v>0</v>
      </c>
      <c r="AF57" s="119" t="str">
        <f ca="1">IF(OR(F57="", G57=""), "", IF(TODAY()&lt;F57, 0, IF(TODAY()&gt;G57, 1, (TODAY()-F57+1)/(G57-F57+1))))</f>
        <v/>
      </c>
      <c r="AG57" s="98"/>
    </row>
    <row r="58" spans="1:33" s="120" customFormat="1" ht="20.85" customHeight="1" x14ac:dyDescent="0.3">
      <c r="A58" s="1041"/>
      <c r="B58" s="1041"/>
      <c r="C58" s="1304"/>
      <c r="D58" s="1041"/>
      <c r="E58" s="1118"/>
      <c r="F58" s="1118"/>
      <c r="G58" s="1047"/>
      <c r="H58" s="1671"/>
      <c r="I58" s="1669"/>
      <c r="J58" s="1049"/>
      <c r="K58" s="1063"/>
      <c r="L58" s="115" t="s">
        <v>107</v>
      </c>
      <c r="M58" s="116"/>
      <c r="N58" s="116"/>
      <c r="O58" s="116"/>
      <c r="P58" s="117">
        <f t="shared" si="6"/>
        <v>0</v>
      </c>
      <c r="Q58" s="116"/>
      <c r="R58" s="116"/>
      <c r="S58" s="116"/>
      <c r="T58" s="117">
        <f t="shared" si="7"/>
        <v>0</v>
      </c>
      <c r="U58" s="116"/>
      <c r="V58" s="116"/>
      <c r="W58" s="116"/>
      <c r="X58" s="117">
        <f t="shared" si="8"/>
        <v>0</v>
      </c>
      <c r="Y58" s="116"/>
      <c r="Z58" s="116"/>
      <c r="AA58" s="116"/>
      <c r="AB58" s="117">
        <f t="shared" si="9"/>
        <v>0</v>
      </c>
      <c r="AC58" s="116"/>
      <c r="AD58" s="118">
        <f t="shared" si="10"/>
        <v>0</v>
      </c>
      <c r="AE58" s="118" t="str">
        <f t="shared" si="11"/>
        <v>0</v>
      </c>
      <c r="AF58" s="119"/>
      <c r="AG58" s="98"/>
    </row>
    <row r="59" spans="1:33" s="120" customFormat="1" ht="20.85" customHeight="1" x14ac:dyDescent="0.3">
      <c r="A59" s="1142"/>
      <c r="B59" s="1099"/>
      <c r="C59" s="1363"/>
      <c r="D59" s="1099"/>
      <c r="E59" s="1101"/>
      <c r="F59" s="1101"/>
      <c r="G59" s="1672"/>
      <c r="H59" s="1674"/>
      <c r="I59" s="1676"/>
      <c r="J59" s="1367"/>
      <c r="K59" s="1064"/>
      <c r="L59" s="121" t="s">
        <v>106</v>
      </c>
      <c r="M59" s="122"/>
      <c r="N59" s="122"/>
      <c r="O59" s="122"/>
      <c r="P59" s="117">
        <f t="shared" si="6"/>
        <v>0</v>
      </c>
      <c r="Q59" s="122"/>
      <c r="R59" s="122"/>
      <c r="S59" s="122"/>
      <c r="T59" s="117">
        <f t="shared" si="7"/>
        <v>0</v>
      </c>
      <c r="U59" s="122"/>
      <c r="V59" s="122"/>
      <c r="W59" s="122"/>
      <c r="X59" s="117">
        <f t="shared" si="8"/>
        <v>0</v>
      </c>
      <c r="Y59" s="122"/>
      <c r="Z59" s="122"/>
      <c r="AA59" s="122"/>
      <c r="AB59" s="117">
        <f t="shared" si="9"/>
        <v>0</v>
      </c>
      <c r="AC59" s="122"/>
      <c r="AD59" s="123">
        <f t="shared" si="10"/>
        <v>0</v>
      </c>
      <c r="AE59" s="123" t="str">
        <f t="shared" si="11"/>
        <v>0</v>
      </c>
      <c r="AF59" s="124" t="str">
        <f ca="1">IF(OR(F59="", G59=""), "", IF(TODAY()&lt;F59, 0, IF(TODAY()&gt;G59, 1, (TODAY()-F59+1)/(G59-F59+1))))</f>
        <v/>
      </c>
      <c r="AG59" s="125"/>
    </row>
    <row r="60" spans="1:33" s="120" customFormat="1" ht="20.85" customHeight="1" x14ac:dyDescent="0.3">
      <c r="A60" s="1143"/>
      <c r="B60" s="1100"/>
      <c r="C60" s="1364"/>
      <c r="D60" s="1100"/>
      <c r="E60" s="1102"/>
      <c r="F60" s="1102"/>
      <c r="G60" s="1673"/>
      <c r="H60" s="1675"/>
      <c r="I60" s="1677"/>
      <c r="J60" s="1368"/>
      <c r="K60" s="1065"/>
      <c r="L60" s="121" t="s">
        <v>107</v>
      </c>
      <c r="M60" s="122"/>
      <c r="N60" s="122"/>
      <c r="O60" s="122"/>
      <c r="P60" s="117">
        <f t="shared" si="6"/>
        <v>0</v>
      </c>
      <c r="Q60" s="122"/>
      <c r="R60" s="122"/>
      <c r="S60" s="122"/>
      <c r="T60" s="117">
        <f t="shared" si="7"/>
        <v>0</v>
      </c>
      <c r="U60" s="122"/>
      <c r="V60" s="122"/>
      <c r="W60" s="122"/>
      <c r="X60" s="117">
        <f t="shared" si="8"/>
        <v>0</v>
      </c>
      <c r="Y60" s="122"/>
      <c r="Z60" s="122"/>
      <c r="AA60" s="122"/>
      <c r="AB60" s="117">
        <f t="shared" si="9"/>
        <v>0</v>
      </c>
      <c r="AC60" s="122"/>
      <c r="AD60" s="123">
        <f t="shared" si="10"/>
        <v>0</v>
      </c>
      <c r="AE60" s="123" t="str">
        <f t="shared" si="11"/>
        <v>0</v>
      </c>
      <c r="AF60" s="124"/>
      <c r="AG60" s="125"/>
    </row>
    <row r="61" spans="1:33" s="120" customFormat="1" ht="20.85" customHeight="1" x14ac:dyDescent="0.3">
      <c r="A61" s="1040"/>
      <c r="B61" s="1040"/>
      <c r="C61" s="1303"/>
      <c r="D61" s="1040"/>
      <c r="E61" s="1117"/>
      <c r="F61" s="1117"/>
      <c r="G61" s="1046"/>
      <c r="H61" s="1670"/>
      <c r="I61" s="1668"/>
      <c r="J61" s="1048"/>
      <c r="K61" s="1062"/>
      <c r="L61" s="115" t="s">
        <v>106</v>
      </c>
      <c r="M61" s="116"/>
      <c r="N61" s="116"/>
      <c r="O61" s="116"/>
      <c r="P61" s="117">
        <f t="shared" si="6"/>
        <v>0</v>
      </c>
      <c r="Q61" s="116"/>
      <c r="R61" s="116"/>
      <c r="S61" s="116"/>
      <c r="T61" s="117">
        <f t="shared" si="7"/>
        <v>0</v>
      </c>
      <c r="U61" s="116"/>
      <c r="V61" s="116"/>
      <c r="W61" s="116"/>
      <c r="X61" s="117">
        <f t="shared" si="8"/>
        <v>0</v>
      </c>
      <c r="Y61" s="116"/>
      <c r="Z61" s="116"/>
      <c r="AA61" s="116"/>
      <c r="AB61" s="117">
        <f t="shared" si="9"/>
        <v>0</v>
      </c>
      <c r="AC61" s="116"/>
      <c r="AD61" s="118">
        <f t="shared" si="10"/>
        <v>0</v>
      </c>
      <c r="AE61" s="118" t="str">
        <f t="shared" si="11"/>
        <v>0</v>
      </c>
      <c r="AF61" s="119" t="str">
        <f ca="1">IF(OR(F61="", G61=""), "", IF(TODAY()&lt;F61, 0, IF(TODAY()&gt;G61, 1, (TODAY()-F61+1)/(G61-F61+1))))</f>
        <v/>
      </c>
      <c r="AG61" s="98"/>
    </row>
    <row r="62" spans="1:33" s="120" customFormat="1" ht="20.85" customHeight="1" x14ac:dyDescent="0.3">
      <c r="A62" s="1041"/>
      <c r="B62" s="1041"/>
      <c r="C62" s="1304"/>
      <c r="D62" s="1041"/>
      <c r="E62" s="1118"/>
      <c r="F62" s="1118"/>
      <c r="G62" s="1047"/>
      <c r="H62" s="1671"/>
      <c r="I62" s="1669"/>
      <c r="J62" s="1049"/>
      <c r="K62" s="1063"/>
      <c r="L62" s="115" t="s">
        <v>107</v>
      </c>
      <c r="M62" s="116"/>
      <c r="N62" s="116"/>
      <c r="O62" s="116"/>
      <c r="P62" s="117">
        <f t="shared" si="6"/>
        <v>0</v>
      </c>
      <c r="Q62" s="116"/>
      <c r="R62" s="116"/>
      <c r="S62" s="116"/>
      <c r="T62" s="117">
        <f t="shared" si="7"/>
        <v>0</v>
      </c>
      <c r="U62" s="116"/>
      <c r="V62" s="116"/>
      <c r="W62" s="116"/>
      <c r="X62" s="117">
        <f t="shared" si="8"/>
        <v>0</v>
      </c>
      <c r="Y62" s="116"/>
      <c r="Z62" s="116"/>
      <c r="AA62" s="116"/>
      <c r="AB62" s="117">
        <f t="shared" si="9"/>
        <v>0</v>
      </c>
      <c r="AC62" s="116"/>
      <c r="AD62" s="118">
        <f t="shared" si="10"/>
        <v>0</v>
      </c>
      <c r="AE62" s="118" t="str">
        <f t="shared" si="11"/>
        <v>0</v>
      </c>
      <c r="AF62" s="119"/>
      <c r="AG62" s="98"/>
    </row>
    <row r="63" spans="1:33" s="120" customFormat="1" ht="20.85" customHeight="1" x14ac:dyDescent="0.3">
      <c r="A63" s="1142"/>
      <c r="B63" s="1099"/>
      <c r="C63" s="1363"/>
      <c r="D63" s="1099"/>
      <c r="E63" s="1101"/>
      <c r="F63" s="1101"/>
      <c r="G63" s="1672"/>
      <c r="H63" s="1674"/>
      <c r="I63" s="1676"/>
      <c r="J63" s="1367"/>
      <c r="K63" s="1064"/>
      <c r="L63" s="121" t="s">
        <v>106</v>
      </c>
      <c r="M63" s="122"/>
      <c r="N63" s="122"/>
      <c r="O63" s="122"/>
      <c r="P63" s="117">
        <f t="shared" si="6"/>
        <v>0</v>
      </c>
      <c r="Q63" s="122"/>
      <c r="R63" s="122"/>
      <c r="S63" s="122"/>
      <c r="T63" s="117">
        <f t="shared" si="7"/>
        <v>0</v>
      </c>
      <c r="U63" s="122"/>
      <c r="V63" s="122"/>
      <c r="W63" s="122"/>
      <c r="X63" s="117">
        <f t="shared" si="8"/>
        <v>0</v>
      </c>
      <c r="Y63" s="122"/>
      <c r="Z63" s="122"/>
      <c r="AA63" s="122"/>
      <c r="AB63" s="117">
        <f t="shared" si="9"/>
        <v>0</v>
      </c>
      <c r="AC63" s="122"/>
      <c r="AD63" s="123">
        <f t="shared" si="10"/>
        <v>0</v>
      </c>
      <c r="AE63" s="123" t="str">
        <f t="shared" si="11"/>
        <v>0</v>
      </c>
      <c r="AF63" s="124" t="str">
        <f ca="1">IF(OR(F63="", G63=""), "", IF(TODAY()&lt;F63, 0, IF(TODAY()&gt;G63, 1, (TODAY()-F63+1)/(G63-F63+1))))</f>
        <v/>
      </c>
      <c r="AG63" s="125"/>
    </row>
    <row r="64" spans="1:33" s="120" customFormat="1" ht="20.85" customHeight="1" x14ac:dyDescent="0.3">
      <c r="A64" s="1143"/>
      <c r="B64" s="1100"/>
      <c r="C64" s="1364"/>
      <c r="D64" s="1100"/>
      <c r="E64" s="1102"/>
      <c r="F64" s="1102"/>
      <c r="G64" s="1673"/>
      <c r="H64" s="1675"/>
      <c r="I64" s="1677"/>
      <c r="J64" s="1368"/>
      <c r="K64" s="1065"/>
      <c r="L64" s="121" t="s">
        <v>107</v>
      </c>
      <c r="M64" s="122"/>
      <c r="N64" s="122"/>
      <c r="O64" s="122"/>
      <c r="P64" s="117">
        <f t="shared" si="6"/>
        <v>0</v>
      </c>
      <c r="Q64" s="122"/>
      <c r="R64" s="122"/>
      <c r="S64" s="122"/>
      <c r="T64" s="117">
        <f t="shared" si="7"/>
        <v>0</v>
      </c>
      <c r="U64" s="122"/>
      <c r="V64" s="122"/>
      <c r="W64" s="122"/>
      <c r="X64" s="117">
        <f t="shared" si="8"/>
        <v>0</v>
      </c>
      <c r="Y64" s="122"/>
      <c r="Z64" s="122"/>
      <c r="AA64" s="122"/>
      <c r="AB64" s="117">
        <f t="shared" si="9"/>
        <v>0</v>
      </c>
      <c r="AC64" s="122"/>
      <c r="AD64" s="123">
        <f t="shared" si="10"/>
        <v>0</v>
      </c>
      <c r="AE64" s="123" t="str">
        <f t="shared" si="11"/>
        <v>0</v>
      </c>
      <c r="AF64" s="124"/>
      <c r="AG64" s="125"/>
    </row>
    <row r="65" spans="1:33" s="120" customFormat="1" ht="20.85" customHeight="1" x14ac:dyDescent="0.3">
      <c r="A65" s="1040"/>
      <c r="B65" s="1040"/>
      <c r="C65" s="1303"/>
      <c r="D65" s="1040"/>
      <c r="E65" s="1117"/>
      <c r="F65" s="1117"/>
      <c r="G65" s="1046"/>
      <c r="H65" s="1670"/>
      <c r="I65" s="1668"/>
      <c r="J65" s="1048"/>
      <c r="K65" s="1062"/>
      <c r="L65" s="115" t="s">
        <v>106</v>
      </c>
      <c r="M65" s="116"/>
      <c r="N65" s="116"/>
      <c r="O65" s="116"/>
      <c r="P65" s="117">
        <f t="shared" si="6"/>
        <v>0</v>
      </c>
      <c r="Q65" s="116"/>
      <c r="R65" s="116"/>
      <c r="S65" s="116"/>
      <c r="T65" s="117">
        <f t="shared" si="7"/>
        <v>0</v>
      </c>
      <c r="U65" s="116"/>
      <c r="V65" s="116"/>
      <c r="W65" s="116"/>
      <c r="X65" s="117">
        <f t="shared" si="8"/>
        <v>0</v>
      </c>
      <c r="Y65" s="116"/>
      <c r="Z65" s="116"/>
      <c r="AA65" s="116"/>
      <c r="AB65" s="117">
        <f t="shared" si="9"/>
        <v>0</v>
      </c>
      <c r="AC65" s="116"/>
      <c r="AD65" s="118">
        <f t="shared" si="10"/>
        <v>0</v>
      </c>
      <c r="AE65" s="118" t="str">
        <f t="shared" si="11"/>
        <v>0</v>
      </c>
      <c r="AF65" s="119" t="str">
        <f ca="1">IF(OR(F65="", G65=""), "", IF(TODAY()&lt;F65, 0, IF(TODAY()&gt;G65, 1, (TODAY()-F65+1)/(G65-F65+1))))</f>
        <v/>
      </c>
      <c r="AG65" s="98"/>
    </row>
    <row r="66" spans="1:33" s="120" customFormat="1" ht="20.85" customHeight="1" x14ac:dyDescent="0.3">
      <c r="A66" s="1041"/>
      <c r="B66" s="1041"/>
      <c r="C66" s="1304"/>
      <c r="D66" s="1041"/>
      <c r="E66" s="1118"/>
      <c r="F66" s="1118"/>
      <c r="G66" s="1047"/>
      <c r="H66" s="1671"/>
      <c r="I66" s="1669"/>
      <c r="J66" s="1049"/>
      <c r="K66" s="1063"/>
      <c r="L66" s="115" t="s">
        <v>107</v>
      </c>
      <c r="M66" s="116"/>
      <c r="N66" s="116"/>
      <c r="O66" s="116"/>
      <c r="P66" s="117">
        <f t="shared" si="6"/>
        <v>0</v>
      </c>
      <c r="Q66" s="116"/>
      <c r="R66" s="116"/>
      <c r="S66" s="116"/>
      <c r="T66" s="117">
        <f t="shared" si="7"/>
        <v>0</v>
      </c>
      <c r="U66" s="116"/>
      <c r="V66" s="116"/>
      <c r="W66" s="116"/>
      <c r="X66" s="117">
        <f t="shared" si="8"/>
        <v>0</v>
      </c>
      <c r="Y66" s="116"/>
      <c r="Z66" s="116"/>
      <c r="AA66" s="116"/>
      <c r="AB66" s="117">
        <f t="shared" si="9"/>
        <v>0</v>
      </c>
      <c r="AC66" s="116"/>
      <c r="AD66" s="118">
        <f t="shared" si="10"/>
        <v>0</v>
      </c>
      <c r="AE66" s="118" t="str">
        <f t="shared" si="11"/>
        <v>0</v>
      </c>
      <c r="AF66" s="119"/>
      <c r="AG66" s="98"/>
    </row>
    <row r="67" spans="1:33" s="120" customFormat="1" ht="20.85" customHeight="1" x14ac:dyDescent="0.3">
      <c r="A67" s="1142"/>
      <c r="B67" s="1099"/>
      <c r="C67" s="1363"/>
      <c r="D67" s="1099"/>
      <c r="E67" s="1101"/>
      <c r="F67" s="1101"/>
      <c r="G67" s="1672"/>
      <c r="H67" s="1674"/>
      <c r="I67" s="1676"/>
      <c r="J67" s="1367"/>
      <c r="K67" s="1064"/>
      <c r="L67" s="121" t="s">
        <v>106</v>
      </c>
      <c r="M67" s="122"/>
      <c r="N67" s="122"/>
      <c r="O67" s="122"/>
      <c r="P67" s="117">
        <f t="shared" si="6"/>
        <v>0</v>
      </c>
      <c r="Q67" s="122"/>
      <c r="R67" s="122"/>
      <c r="S67" s="122"/>
      <c r="T67" s="117">
        <f t="shared" si="7"/>
        <v>0</v>
      </c>
      <c r="U67" s="122"/>
      <c r="V67" s="122"/>
      <c r="W67" s="122"/>
      <c r="X67" s="117">
        <f t="shared" si="8"/>
        <v>0</v>
      </c>
      <c r="Y67" s="122"/>
      <c r="Z67" s="122"/>
      <c r="AA67" s="122"/>
      <c r="AB67" s="117">
        <f t="shared" si="9"/>
        <v>0</v>
      </c>
      <c r="AC67" s="122"/>
      <c r="AD67" s="123">
        <f t="shared" si="10"/>
        <v>0</v>
      </c>
      <c r="AE67" s="123" t="str">
        <f t="shared" si="11"/>
        <v>0</v>
      </c>
      <c r="AF67" s="124" t="str">
        <f ca="1">IF(OR(F67="", G67=""), "", IF(TODAY()&lt;F67, 0, IF(TODAY()&gt;G67, 1, (TODAY()-F67+1)/(G67-F67+1))))</f>
        <v/>
      </c>
      <c r="AG67" s="125"/>
    </row>
    <row r="68" spans="1:33" s="120" customFormat="1" ht="20.85" customHeight="1" x14ac:dyDescent="0.3">
      <c r="A68" s="1143"/>
      <c r="B68" s="1100"/>
      <c r="C68" s="1364"/>
      <c r="D68" s="1100"/>
      <c r="E68" s="1102"/>
      <c r="F68" s="1102"/>
      <c r="G68" s="1673"/>
      <c r="H68" s="1675"/>
      <c r="I68" s="1677"/>
      <c r="J68" s="1368"/>
      <c r="K68" s="1065"/>
      <c r="L68" s="121" t="s">
        <v>107</v>
      </c>
      <c r="M68" s="122"/>
      <c r="N68" s="122"/>
      <c r="O68" s="122"/>
      <c r="P68" s="117">
        <f t="shared" si="6"/>
        <v>0</v>
      </c>
      <c r="Q68" s="122"/>
      <c r="R68" s="122"/>
      <c r="S68" s="122"/>
      <c r="T68" s="117">
        <f t="shared" si="7"/>
        <v>0</v>
      </c>
      <c r="U68" s="122"/>
      <c r="V68" s="122"/>
      <c r="W68" s="122"/>
      <c r="X68" s="117">
        <f t="shared" si="8"/>
        <v>0</v>
      </c>
      <c r="Y68" s="122"/>
      <c r="Z68" s="122"/>
      <c r="AA68" s="122"/>
      <c r="AB68" s="117">
        <f t="shared" si="9"/>
        <v>0</v>
      </c>
      <c r="AC68" s="122"/>
      <c r="AD68" s="123">
        <f t="shared" si="10"/>
        <v>0</v>
      </c>
      <c r="AE68" s="123" t="str">
        <f t="shared" si="11"/>
        <v>0</v>
      </c>
      <c r="AF68" s="124"/>
      <c r="AG68" s="125"/>
    </row>
    <row r="69" spans="1:33" s="120" customFormat="1" ht="20.85" customHeight="1" x14ac:dyDescent="0.3"/>
    <row r="70" spans="1:33" x14ac:dyDescent="0.3">
      <c r="K70" s="151"/>
      <c r="L70" s="151">
        <v>46023</v>
      </c>
      <c r="M70" s="151">
        <v>46054</v>
      </c>
      <c r="N70" s="151">
        <v>46082</v>
      </c>
      <c r="O70" s="151">
        <v>46113</v>
      </c>
      <c r="P70" s="151">
        <v>46143</v>
      </c>
      <c r="Q70" s="151">
        <v>46174</v>
      </c>
      <c r="R70" s="151">
        <v>46204</v>
      </c>
      <c r="S70" s="151">
        <v>46235</v>
      </c>
      <c r="T70" s="151">
        <v>46266</v>
      </c>
      <c r="U70" s="151">
        <v>46296</v>
      </c>
      <c r="V70" s="151">
        <v>46327</v>
      </c>
      <c r="W70" s="151">
        <v>46357</v>
      </c>
      <c r="X70" s="151" t="s">
        <v>550</v>
      </c>
    </row>
    <row r="71" spans="1:33" x14ac:dyDescent="0.3">
      <c r="K71" s="151" t="s">
        <v>106</v>
      </c>
      <c r="L71" s="152" cm="1">
        <f t="array" ref="L71">SUMPRODUCT(
($L$17:$L$68="Previsto")*
INDEX($M$17:$AB$68,0,MATCH(L$70,$M$16:$AB$16,0))
)</f>
        <v>0</v>
      </c>
      <c r="M71" s="152" cm="1">
        <f t="array" ref="M71">SUMPRODUCT(
($L$17:$L$68="Previsto")*
INDEX($M$17:$AB$68,0,MATCH(M$70,$M$16:$AB$16,0))
)</f>
        <v>0</v>
      </c>
      <c r="N71" s="152" cm="1">
        <f t="array" ref="N71">SUMPRODUCT(
($L$17:$L$68="Previsto")*
INDEX($M$17:$AB$68,0,MATCH(N$70,$M$16:$AB$16,0))
)</f>
        <v>0</v>
      </c>
      <c r="O71" s="152" cm="1">
        <f t="array" ref="O71">SUMPRODUCT(
($L$17:$L$68="Previsto")*
INDEX($M$17:$AB$68,0,MATCH(O$70,$M$16:$AB$16,0))
)</f>
        <v>0</v>
      </c>
      <c r="P71" s="152" cm="1">
        <f t="array" ref="P71">SUMPRODUCT(
($L$17:$L$68="Previsto")*
INDEX($M$17:$AB$68,0,MATCH(P$70,$M$16:$AB$16,0))
)</f>
        <v>0</v>
      </c>
      <c r="Q71" s="152" cm="1">
        <f t="array" ref="Q71">SUMPRODUCT(
($L$17:$L$68="Previsto")*
INDEX($M$17:$AB$68,0,MATCH(Q$70,$M$16:$AB$16,0))
)</f>
        <v>0</v>
      </c>
      <c r="R71" s="152" cm="1">
        <f t="array" ref="R71">SUMPRODUCT(
($L$17:$L$68="Previsto")*
INDEX($M$17:$AB$68,0,MATCH(R$70,$M$16:$AB$16,0))
)</f>
        <v>0</v>
      </c>
      <c r="S71" s="152" cm="1">
        <f t="array" ref="S71">SUMPRODUCT(
($L$17:$L$68="Previsto")*
INDEX($M$17:$AB$68,0,MATCH(S$70,$M$16:$AB$16,0))
)</f>
        <v>0</v>
      </c>
      <c r="T71" s="152" cm="1">
        <f t="array" ref="T71">SUMPRODUCT(
($L$17:$L$68="Previsto")*
INDEX($M$17:$AB$68,0,MATCH(T$70,$M$16:$AB$16,0))
)</f>
        <v>0</v>
      </c>
      <c r="U71" s="152" cm="1">
        <f t="array" ref="U71">SUMPRODUCT(
($L$17:$L$68="Previsto")*
INDEX($M$17:$AB$68,0,MATCH(U$70,$M$16:$AB$16,0))
)</f>
        <v>0</v>
      </c>
      <c r="V71" s="152" cm="1">
        <f t="array" ref="V71">SUMPRODUCT(
($L$17:$L$68="Previsto")*
INDEX($M$17:$AB$68,0,MATCH(V$70,$M$16:$AB$16,0))
)</f>
        <v>0</v>
      </c>
      <c r="W71" s="152" cm="1">
        <f t="array" ref="W71">SUMPRODUCT(
($L$17:$L$68="Previsto")*
INDEX($M$17:$AB$68,0,MATCH(W$70,$M$16:$AB$16,0))
)</f>
        <v>0</v>
      </c>
      <c r="X71" s="152">
        <f>SUM(L71:W71)</f>
        <v>0</v>
      </c>
    </row>
    <row r="72" spans="1:33" x14ac:dyDescent="0.3">
      <c r="K72" s="153" t="s">
        <v>107</v>
      </c>
      <c r="L72" s="154" cm="1">
        <f t="array" ref="L72">SUMPRODUCT(
($L$17:$L$68="Real")*
INDEX($M$17:$AB$68,0,MATCH(L$70,$M$16:$AB$16,0))
)</f>
        <v>0</v>
      </c>
      <c r="M72" s="154" cm="1">
        <f t="array" ref="M72">SUMPRODUCT(
($L$17:$L$68="Real")*
INDEX($M$17:$AB$68,0,MATCH(M$70,$M$16:$AB$16,0))
)</f>
        <v>0</v>
      </c>
      <c r="N72" s="154" cm="1">
        <f t="array" ref="N72">SUMPRODUCT(
($L$17:$L$68="Real")*
INDEX($M$17:$AB$68,0,MATCH(N$70,$M$16:$AB$16,0))
)</f>
        <v>0</v>
      </c>
      <c r="O72" s="154" cm="1">
        <f t="array" ref="O72">SUMPRODUCT(
($L$17:$L$68="Real")*
INDEX($M$17:$AB$68,0,MATCH(O$70,$M$16:$AB$16,0))
)</f>
        <v>0</v>
      </c>
      <c r="P72" s="154" cm="1">
        <f t="array" ref="P72">SUMPRODUCT(
($L$17:$L$68="Real")*
INDEX($M$17:$AB$68,0,MATCH(P$70,$M$16:$AB$16,0))
)</f>
        <v>0</v>
      </c>
      <c r="Q72" s="154" cm="1">
        <f t="array" ref="Q72">SUMPRODUCT(
($L$17:$L$68="Real")*
INDEX($M$17:$AB$68,0,MATCH(Q$70,$M$16:$AB$16,0))
)</f>
        <v>0</v>
      </c>
      <c r="R72" s="154" cm="1">
        <f t="array" ref="R72">SUMPRODUCT(
($L$17:$L$68="Real")*
INDEX($M$17:$AB$68,0,MATCH(R$70,$M$16:$AB$16,0))
)</f>
        <v>0</v>
      </c>
      <c r="S72" s="154" cm="1">
        <f t="array" ref="S72">SUMPRODUCT(
($L$17:$L$68="Real")*
INDEX($M$17:$AB$68,0,MATCH(S$70,$M$16:$AB$16,0))
)</f>
        <v>0</v>
      </c>
      <c r="T72" s="154" cm="1">
        <f t="array" ref="T72">SUMPRODUCT(
($L$17:$L$68="Real")*
INDEX($M$17:$AB$68,0,MATCH(T$70,$M$16:$AB$16,0))
)</f>
        <v>0</v>
      </c>
      <c r="U72" s="154" cm="1">
        <f t="array" ref="U72">SUMPRODUCT(
($L$17:$L$68="Real")*
INDEX($M$17:$AB$68,0,MATCH(U$70,$M$16:$AB$16,0))
)</f>
        <v>0</v>
      </c>
      <c r="V72" s="154" cm="1">
        <f t="array" ref="V72">SUMPRODUCT(
($L$17:$L$68="Real")*
INDEX($M$17:$AB$68,0,MATCH(V$70,$M$16:$AB$16,0))
)</f>
        <v>0</v>
      </c>
      <c r="W72" s="154" cm="1">
        <f t="array" ref="W72">SUMPRODUCT(
($L$17:$L$68="Real")*
INDEX($M$17:$AB$68,0,MATCH(W$70,$M$16:$AB$16,0))
)</f>
        <v>0</v>
      </c>
      <c r="X72" s="154">
        <f>SUM(L72:W72)</f>
        <v>0</v>
      </c>
    </row>
    <row r="73" spans="1:33" x14ac:dyDescent="0.3">
      <c r="K73" s="160" t="s">
        <v>566</v>
      </c>
      <c r="L73" s="160" cm="1">
        <f t="array" ref="L73">SUMPRODUCT(
($E$17:$E$68&lt;&gt;"")*
($E$17:$E$68&lt;=L$70)*
(($F$17:$F$68="")+($F$17:$F$68&gt;=L$70))
)</f>
        <v>0</v>
      </c>
      <c r="M73" s="160" cm="1">
        <f t="array" ref="M73">SUMPRODUCT(
($E$17:$E$68&lt;&gt;"")*
($E$17:$E$68&lt;=M$70)*
(($F$17:$F$68="")+($F$17:$F$68&gt;=M$70))
)</f>
        <v>0</v>
      </c>
      <c r="N73" s="160" cm="1">
        <f t="array" ref="N73">SUMPRODUCT(
($E$17:$E$68&lt;&gt;"")*
($E$17:$E$68&lt;=N$70)*
(($F$17:$F$68="")+($F$17:$F$68&gt;=N$70))
)</f>
        <v>0</v>
      </c>
      <c r="O73" s="160" cm="1">
        <f t="array" ref="O73">SUMPRODUCT(
($E$17:$E$68&lt;&gt;"")*
($E$17:$E$68&lt;=O$70)*
(($F$17:$F$68="")+($F$17:$F$68&gt;=O$70))
)</f>
        <v>0</v>
      </c>
      <c r="P73" s="160" cm="1">
        <f t="array" ref="P73">SUMPRODUCT(
($E$17:$E$68&lt;&gt;"")*
($E$17:$E$68&lt;=P$70)*
(($F$17:$F$68="")+($F$17:$F$68&gt;=P$70))
)</f>
        <v>0</v>
      </c>
      <c r="Q73" s="160" cm="1">
        <f t="array" ref="Q73">SUMPRODUCT(
($E$17:$E$68&lt;&gt;"")*
($E$17:$E$68&lt;=Q$70)*
(($F$17:$F$68="")+($F$17:$F$68&gt;=Q$70))
)</f>
        <v>0</v>
      </c>
      <c r="R73" s="160" cm="1">
        <f t="array" ref="R73">SUMPRODUCT(
($E$17:$E$68&lt;&gt;"")*
($E$17:$E$68&lt;=R$70)*
(($F$17:$F$68="")+($F$17:$F$68&gt;=R$70))
)</f>
        <v>0</v>
      </c>
      <c r="S73" s="160" cm="1">
        <f t="array" ref="S73">SUMPRODUCT(
($E$17:$E$68&lt;&gt;"")*
($E$17:$E$68&lt;=S$70)*
(($F$17:$F$68="")+($F$17:$F$68&gt;=S$70))
)</f>
        <v>0</v>
      </c>
      <c r="T73" s="160" cm="1">
        <f t="array" ref="T73">SUMPRODUCT(
($E$17:$E$68&lt;&gt;"")*
($E$17:$E$68&lt;=T$70)*
(($F$17:$F$68="")+($F$17:$F$68&gt;=T$70))
)</f>
        <v>0</v>
      </c>
      <c r="U73" s="160" cm="1">
        <f t="array" ref="U73">SUMPRODUCT(
($E$17:$E$68&lt;&gt;"")*
($E$17:$E$68&lt;=U$70)*
(($F$17:$F$68="")+($F$17:$F$68&gt;=U$70))
)</f>
        <v>0</v>
      </c>
      <c r="V73" s="160" cm="1">
        <f t="array" ref="V73">SUMPRODUCT(
($E$17:$E$68&lt;&gt;"")*
($E$17:$E$68&lt;=V$70)*
(($F$17:$F$68="")+($F$17:$F$68&gt;=V$70))
)</f>
        <v>0</v>
      </c>
      <c r="W73" s="160" cm="1">
        <f t="array" ref="W73">SUMPRODUCT(
($E$17:$E$68&lt;&gt;"")*
($E$17:$E$68&lt;=W$70)*
(($F$17:$F$68="")+($F$17:$F$68&gt;=W$70))
)</f>
        <v>0</v>
      </c>
    </row>
  </sheetData>
  <sheetProtection algorithmName="SHA-512" hashValue="YgX9ncuBP60SEcHmIje3Fytv+Irh4pB+2WXUb9JC8zk+BJ8aB4kyncp8yjULxEG6Y+C4LCoA/jbgqHMllj+4qw==" saltValue="1UBucL63XgC7fvJftjkGHQ==" spinCount="100000" sheet="1" objects="1" scenarios="1"/>
  <mergeCells count="307">
    <mergeCell ref="A4:B4"/>
    <mergeCell ref="C4:D4"/>
    <mergeCell ref="E4:F4"/>
    <mergeCell ref="G4:I4"/>
    <mergeCell ref="J4:L4"/>
    <mergeCell ref="M4:N4"/>
    <mergeCell ref="A1:N1"/>
    <mergeCell ref="O1:AB1"/>
    <mergeCell ref="AC1:AG1"/>
    <mergeCell ref="A2:N2"/>
    <mergeCell ref="O2:AB2"/>
    <mergeCell ref="AC2:AG2"/>
    <mergeCell ref="F17:F18"/>
    <mergeCell ref="G17:G18"/>
    <mergeCell ref="J17:J18"/>
    <mergeCell ref="A7:E7"/>
    <mergeCell ref="G7:I7"/>
    <mergeCell ref="L13:N13"/>
    <mergeCell ref="A5:B5"/>
    <mergeCell ref="C5:D5"/>
    <mergeCell ref="E5:F5"/>
    <mergeCell ref="G5:I5"/>
    <mergeCell ref="J5:L5"/>
    <mergeCell ref="M5:N5"/>
    <mergeCell ref="D21:D22"/>
    <mergeCell ref="E21:E22"/>
    <mergeCell ref="H17:H18"/>
    <mergeCell ref="I17:I18"/>
    <mergeCell ref="K17:K18"/>
    <mergeCell ref="A19:A20"/>
    <mergeCell ref="B19:B20"/>
    <mergeCell ref="C19:C20"/>
    <mergeCell ref="D19:D20"/>
    <mergeCell ref="E19:E20"/>
    <mergeCell ref="F19:F20"/>
    <mergeCell ref="F21:F22"/>
    <mergeCell ref="G21:G22"/>
    <mergeCell ref="H21:H22"/>
    <mergeCell ref="I21:I22"/>
    <mergeCell ref="K21:K22"/>
    <mergeCell ref="G19:G20"/>
    <mergeCell ref="H19:H20"/>
    <mergeCell ref="I19:I20"/>
    <mergeCell ref="A17:A18"/>
    <mergeCell ref="B17:B18"/>
    <mergeCell ref="C17:C18"/>
    <mergeCell ref="D17:D18"/>
    <mergeCell ref="E17:E18"/>
    <mergeCell ref="K19:K20"/>
    <mergeCell ref="A25:A26"/>
    <mergeCell ref="B25:B26"/>
    <mergeCell ref="C25:C26"/>
    <mergeCell ref="D25:D26"/>
    <mergeCell ref="E25:E26"/>
    <mergeCell ref="A23:A24"/>
    <mergeCell ref="B23:B24"/>
    <mergeCell ref="C23:C24"/>
    <mergeCell ref="D23:D24"/>
    <mergeCell ref="E23:E24"/>
    <mergeCell ref="F25:F26"/>
    <mergeCell ref="G25:G26"/>
    <mergeCell ref="H25:H26"/>
    <mergeCell ref="I25:I26"/>
    <mergeCell ref="K25:K26"/>
    <mergeCell ref="G23:G24"/>
    <mergeCell ref="H23:H24"/>
    <mergeCell ref="I23:I24"/>
    <mergeCell ref="K23:K24"/>
    <mergeCell ref="F23:F24"/>
    <mergeCell ref="A21:A22"/>
    <mergeCell ref="B21:B22"/>
    <mergeCell ref="C21:C22"/>
    <mergeCell ref="A29:A30"/>
    <mergeCell ref="B29:B30"/>
    <mergeCell ref="C29:C30"/>
    <mergeCell ref="D29:D30"/>
    <mergeCell ref="E29:E30"/>
    <mergeCell ref="A27:A28"/>
    <mergeCell ref="B27:B28"/>
    <mergeCell ref="C27:C28"/>
    <mergeCell ref="D27:D28"/>
    <mergeCell ref="E27:E28"/>
    <mergeCell ref="F29:F30"/>
    <mergeCell ref="G29:G30"/>
    <mergeCell ref="H29:H30"/>
    <mergeCell ref="I29:I30"/>
    <mergeCell ref="K29:K30"/>
    <mergeCell ref="G27:G28"/>
    <mergeCell ref="H27:H28"/>
    <mergeCell ref="I27:I28"/>
    <mergeCell ref="K27:K28"/>
    <mergeCell ref="F27:F28"/>
    <mergeCell ref="A33:A34"/>
    <mergeCell ref="B33:B34"/>
    <mergeCell ref="C33:C34"/>
    <mergeCell ref="D33:D34"/>
    <mergeCell ref="E33:E34"/>
    <mergeCell ref="A31:A32"/>
    <mergeCell ref="B31:B32"/>
    <mergeCell ref="C31:C32"/>
    <mergeCell ref="D31:D32"/>
    <mergeCell ref="E31:E32"/>
    <mergeCell ref="F33:F34"/>
    <mergeCell ref="G33:G34"/>
    <mergeCell ref="H33:H34"/>
    <mergeCell ref="I33:I34"/>
    <mergeCell ref="K33:K34"/>
    <mergeCell ref="G31:G32"/>
    <mergeCell ref="H31:H32"/>
    <mergeCell ref="I31:I32"/>
    <mergeCell ref="K31:K32"/>
    <mergeCell ref="F31:F32"/>
    <mergeCell ref="A37:A38"/>
    <mergeCell ref="B37:B38"/>
    <mergeCell ref="C37:C38"/>
    <mergeCell ref="D37:D38"/>
    <mergeCell ref="E37:E38"/>
    <mergeCell ref="A35:A36"/>
    <mergeCell ref="B35:B36"/>
    <mergeCell ref="C35:C36"/>
    <mergeCell ref="D35:D36"/>
    <mergeCell ref="E35:E36"/>
    <mergeCell ref="F37:F38"/>
    <mergeCell ref="G37:G38"/>
    <mergeCell ref="H37:H38"/>
    <mergeCell ref="I37:I38"/>
    <mergeCell ref="K37:K38"/>
    <mergeCell ref="G35:G36"/>
    <mergeCell ref="H35:H36"/>
    <mergeCell ref="I35:I36"/>
    <mergeCell ref="K35:K36"/>
    <mergeCell ref="F35:F36"/>
    <mergeCell ref="J37:J38"/>
    <mergeCell ref="A41:A42"/>
    <mergeCell ref="B41:B42"/>
    <mergeCell ref="C41:C42"/>
    <mergeCell ref="D41:D42"/>
    <mergeCell ref="E41:E42"/>
    <mergeCell ref="A39:A40"/>
    <mergeCell ref="B39:B40"/>
    <mergeCell ref="C39:C40"/>
    <mergeCell ref="D39:D40"/>
    <mergeCell ref="E39:E40"/>
    <mergeCell ref="F41:F42"/>
    <mergeCell ref="G41:G42"/>
    <mergeCell ref="H41:H42"/>
    <mergeCell ref="I41:I42"/>
    <mergeCell ref="K41:K42"/>
    <mergeCell ref="G39:G40"/>
    <mergeCell ref="H39:H40"/>
    <mergeCell ref="I39:I40"/>
    <mergeCell ref="K39:K40"/>
    <mergeCell ref="F39:F40"/>
    <mergeCell ref="J39:J40"/>
    <mergeCell ref="J41:J42"/>
    <mergeCell ref="A45:A46"/>
    <mergeCell ref="B45:B46"/>
    <mergeCell ref="C45:C46"/>
    <mergeCell ref="D45:D46"/>
    <mergeCell ref="E45:E46"/>
    <mergeCell ref="A43:A44"/>
    <mergeCell ref="B43:B44"/>
    <mergeCell ref="C43:C44"/>
    <mergeCell ref="D43:D44"/>
    <mergeCell ref="E43:E44"/>
    <mergeCell ref="F45:F46"/>
    <mergeCell ref="G45:G46"/>
    <mergeCell ref="H45:H46"/>
    <mergeCell ref="I45:I46"/>
    <mergeCell ref="K45:K46"/>
    <mergeCell ref="G43:G44"/>
    <mergeCell ref="H43:H44"/>
    <mergeCell ref="I43:I44"/>
    <mergeCell ref="K43:K44"/>
    <mergeCell ref="F43:F44"/>
    <mergeCell ref="J43:J44"/>
    <mergeCell ref="J45:J46"/>
    <mergeCell ref="A49:A50"/>
    <mergeCell ref="B49:B50"/>
    <mergeCell ref="C49:C50"/>
    <mergeCell ref="D49:D50"/>
    <mergeCell ref="E49:E50"/>
    <mergeCell ref="A47:A48"/>
    <mergeCell ref="B47:B48"/>
    <mergeCell ref="C47:C48"/>
    <mergeCell ref="D47:D48"/>
    <mergeCell ref="E47:E48"/>
    <mergeCell ref="F49:F50"/>
    <mergeCell ref="G49:G50"/>
    <mergeCell ref="H49:H50"/>
    <mergeCell ref="I49:I50"/>
    <mergeCell ref="K49:K50"/>
    <mergeCell ref="G47:G48"/>
    <mergeCell ref="H47:H48"/>
    <mergeCell ref="I47:I48"/>
    <mergeCell ref="K47:K48"/>
    <mergeCell ref="F47:F48"/>
    <mergeCell ref="J47:J48"/>
    <mergeCell ref="J49:J50"/>
    <mergeCell ref="A53:A54"/>
    <mergeCell ref="B53:B54"/>
    <mergeCell ref="C53:C54"/>
    <mergeCell ref="D53:D54"/>
    <mergeCell ref="E53:E54"/>
    <mergeCell ref="A51:A52"/>
    <mergeCell ref="B51:B52"/>
    <mergeCell ref="C51:C52"/>
    <mergeCell ref="D51:D52"/>
    <mergeCell ref="E51:E52"/>
    <mergeCell ref="F53:F54"/>
    <mergeCell ref="G53:G54"/>
    <mergeCell ref="H53:H54"/>
    <mergeCell ref="I53:I54"/>
    <mergeCell ref="K53:K54"/>
    <mergeCell ref="G51:G52"/>
    <mergeCell ref="H51:H52"/>
    <mergeCell ref="I51:I52"/>
    <mergeCell ref="K51:K52"/>
    <mergeCell ref="F51:F52"/>
    <mergeCell ref="J51:J52"/>
    <mergeCell ref="J53:J54"/>
    <mergeCell ref="A57:A58"/>
    <mergeCell ref="B57:B58"/>
    <mergeCell ref="C57:C58"/>
    <mergeCell ref="D57:D58"/>
    <mergeCell ref="E57:E58"/>
    <mergeCell ref="A55:A56"/>
    <mergeCell ref="B55:B56"/>
    <mergeCell ref="C55:C56"/>
    <mergeCell ref="D55:D56"/>
    <mergeCell ref="E55:E56"/>
    <mergeCell ref="F57:F58"/>
    <mergeCell ref="G57:G58"/>
    <mergeCell ref="H57:H58"/>
    <mergeCell ref="I57:I58"/>
    <mergeCell ref="K57:K58"/>
    <mergeCell ref="G55:G56"/>
    <mergeCell ref="H55:H56"/>
    <mergeCell ref="I55:I56"/>
    <mergeCell ref="K55:K56"/>
    <mergeCell ref="F55:F56"/>
    <mergeCell ref="J55:J56"/>
    <mergeCell ref="J57:J58"/>
    <mergeCell ref="A61:A62"/>
    <mergeCell ref="B61:B62"/>
    <mergeCell ref="C61:C62"/>
    <mergeCell ref="D61:D62"/>
    <mergeCell ref="E61:E62"/>
    <mergeCell ref="A59:A60"/>
    <mergeCell ref="B59:B60"/>
    <mergeCell ref="C59:C60"/>
    <mergeCell ref="D59:D60"/>
    <mergeCell ref="E59:E60"/>
    <mergeCell ref="F61:F62"/>
    <mergeCell ref="G61:G62"/>
    <mergeCell ref="H61:H62"/>
    <mergeCell ref="I61:I62"/>
    <mergeCell ref="K61:K62"/>
    <mergeCell ref="G59:G60"/>
    <mergeCell ref="H59:H60"/>
    <mergeCell ref="I59:I60"/>
    <mergeCell ref="K59:K60"/>
    <mergeCell ref="F59:F60"/>
    <mergeCell ref="J59:J60"/>
    <mergeCell ref="J61:J62"/>
    <mergeCell ref="A65:A66"/>
    <mergeCell ref="B65:B66"/>
    <mergeCell ref="C65:C66"/>
    <mergeCell ref="D65:D66"/>
    <mergeCell ref="E65:E66"/>
    <mergeCell ref="A63:A64"/>
    <mergeCell ref="B63:B64"/>
    <mergeCell ref="C63:C64"/>
    <mergeCell ref="D63:D64"/>
    <mergeCell ref="E63:E64"/>
    <mergeCell ref="F65:F66"/>
    <mergeCell ref="G65:G66"/>
    <mergeCell ref="H65:H66"/>
    <mergeCell ref="I65:I66"/>
    <mergeCell ref="K65:K66"/>
    <mergeCell ref="G63:G64"/>
    <mergeCell ref="H63:H64"/>
    <mergeCell ref="I63:I64"/>
    <mergeCell ref="K63:K64"/>
    <mergeCell ref="F63:F64"/>
    <mergeCell ref="J63:J64"/>
    <mergeCell ref="J65:J66"/>
    <mergeCell ref="G67:G68"/>
    <mergeCell ref="H67:H68"/>
    <mergeCell ref="I67:I68"/>
    <mergeCell ref="K67:K68"/>
    <mergeCell ref="A67:A68"/>
    <mergeCell ref="B67:B68"/>
    <mergeCell ref="C67:C68"/>
    <mergeCell ref="D67:D68"/>
    <mergeCell ref="E67:E68"/>
    <mergeCell ref="F67:F68"/>
    <mergeCell ref="J67:J68"/>
    <mergeCell ref="J19:J20"/>
    <mergeCell ref="J21:J22"/>
    <mergeCell ref="J23:J24"/>
    <mergeCell ref="J25:J26"/>
    <mergeCell ref="J27:J28"/>
    <mergeCell ref="J29:J30"/>
    <mergeCell ref="J31:J32"/>
    <mergeCell ref="J33:J34"/>
    <mergeCell ref="J35:J36"/>
  </mergeCells>
  <conditionalFormatting sqref="E9:E12">
    <cfRule type="dataBar" priority="1">
      <dataBar showValue="0">
        <cfvo type="num" val="0"/>
        <cfvo type="num" val="1"/>
        <color rgb="FF00B050"/>
      </dataBar>
      <extLst>
        <ext xmlns:x14="http://schemas.microsoft.com/office/spreadsheetml/2009/9/main" uri="{B025F937-C7B1-47D3-B67F-A62EFF666E3E}">
          <x14:id>{967CA376-6065-43FA-BB43-650478390E97}</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967CA376-6065-43FA-BB43-650478390E97}">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4258C89-65B4-4155-9698-74B3F27AFE41}">
          <x14:formula1>
            <xm:f>Parâmetros!$A$28:$A$29</xm:f>
          </x14:formula1>
          <xm:sqref>H17:H68</xm:sqref>
        </x14:dataValidation>
        <x14:dataValidation type="list" allowBlank="1" showInputMessage="1" showErrorMessage="1" xr:uid="{216D59F1-DC0D-4421-89E4-C27404186B10}">
          <x14:formula1>
            <xm:f>Parâmetros!$A$31:$A$33</xm:f>
          </x14:formula1>
          <xm:sqref>J17 J19 J21 J25 J29 J33 J37 J41 J45 J49 J53 J57 J61 J65 J23 J27 J31 J35 J39 J43 J47 J51 J55 J59 J63 J67</xm:sqref>
        </x14:dataValidation>
        <x14:dataValidation type="list" allowBlank="1" showInputMessage="1" showErrorMessage="1" xr:uid="{99C195BA-43B0-49B4-A83D-44489DC5D00E}">
          <x14:formula1>
            <xm:f>Parâmetros!$A$24:$A$27</xm:f>
          </x14:formula1>
          <xm:sqref>A17:A68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9CA5-955A-4700-9FE5-A1DB6BF217AB}">
  <dimension ref="A1:N6"/>
  <sheetViews>
    <sheetView workbookViewId="0"/>
  </sheetViews>
  <sheetFormatPr defaultRowHeight="14.4" x14ac:dyDescent="0.3"/>
  <cols>
    <col min="1" max="1" width="9" bestFit="1" customWidth="1"/>
    <col min="2" max="2" width="27.5546875" bestFit="1" customWidth="1"/>
  </cols>
  <sheetData>
    <row r="1" spans="1:14" x14ac:dyDescent="0.3">
      <c r="A1" s="430" t="s">
        <v>21</v>
      </c>
      <c r="B1" s="430" t="s">
        <v>2243</v>
      </c>
    </row>
    <row r="2" spans="1:14" x14ac:dyDescent="0.3">
      <c r="A2" s="430" t="s">
        <v>22</v>
      </c>
      <c r="B2" s="430" t="s">
        <v>2244</v>
      </c>
    </row>
    <row r="3" spans="1:14" ht="28.8" x14ac:dyDescent="0.3">
      <c r="A3" s="430" t="s">
        <v>23</v>
      </c>
      <c r="B3" s="430" t="s">
        <v>2245</v>
      </c>
    </row>
    <row r="4" spans="1:14" x14ac:dyDescent="0.3">
      <c r="A4" s="430" t="s">
        <v>24</v>
      </c>
      <c r="B4" s="430" t="s">
        <v>2246</v>
      </c>
    </row>
    <row r="5" spans="1:14" x14ac:dyDescent="0.3">
      <c r="A5" s="430" t="s">
        <v>26</v>
      </c>
      <c r="B5" s="430" t="s">
        <v>2243</v>
      </c>
      <c r="N5" s="431" t="s">
        <v>2247</v>
      </c>
    </row>
    <row r="6" spans="1:14" x14ac:dyDescent="0.3">
      <c r="A6" s="430" t="s">
        <v>25</v>
      </c>
      <c r="B6" s="430" t="s">
        <v>2248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BCE4-CF1E-4CEF-9EC4-A5969E7BC21C}">
  <dimension ref="A1:AY180"/>
  <sheetViews>
    <sheetView zoomScale="80" zoomScaleNormal="80" workbookViewId="0">
      <selection activeCell="E164" sqref="E164"/>
    </sheetView>
  </sheetViews>
  <sheetFormatPr defaultColWidth="8.5546875" defaultRowHeight="14.4" x14ac:dyDescent="0.3"/>
  <cols>
    <col min="1" max="1" width="33.44140625" style="62" customWidth="1"/>
    <col min="2" max="2" width="36.44140625" style="62" customWidth="1"/>
    <col min="3" max="3" width="19.5546875" style="62" customWidth="1"/>
    <col min="4" max="4" width="23.44140625" style="62" customWidth="1"/>
    <col min="5" max="5" width="17.5546875" style="62" customWidth="1"/>
    <col min="6" max="6" width="13.5546875" style="62" bestFit="1" customWidth="1"/>
    <col min="7" max="7" width="17.5546875" style="62" bestFit="1" customWidth="1"/>
    <col min="8" max="8" width="19.44140625" style="62" customWidth="1"/>
    <col min="9" max="9" width="25.44140625" style="62" bestFit="1" customWidth="1"/>
    <col min="10" max="10" width="26.5546875" style="62" bestFit="1" customWidth="1"/>
    <col min="11" max="11" width="24.44140625" style="62" bestFit="1" customWidth="1"/>
    <col min="12" max="12" width="19" style="62" customWidth="1"/>
    <col min="13" max="13" width="19.44140625" style="62" bestFit="1" customWidth="1"/>
    <col min="14" max="14" width="17.5546875" style="62" bestFit="1" customWidth="1"/>
    <col min="15" max="15" width="16" style="62" bestFit="1" customWidth="1"/>
    <col min="16" max="16" width="17.5546875" style="62" bestFit="1" customWidth="1"/>
    <col min="17" max="17" width="22.44140625" style="62" bestFit="1" customWidth="1"/>
    <col min="18" max="18" width="20.5546875" style="62" bestFit="1" customWidth="1"/>
    <col min="19" max="19" width="16" style="62" bestFit="1" customWidth="1"/>
    <col min="20" max="20" width="18.44140625" style="62" bestFit="1" customWidth="1"/>
    <col min="21" max="23" width="16" style="62" bestFit="1" customWidth="1"/>
    <col min="24" max="24" width="18.44140625" style="62" bestFit="1" customWidth="1"/>
    <col min="25" max="25" width="16" style="62" bestFit="1" customWidth="1"/>
    <col min="26" max="26" width="20.44140625" style="62" bestFit="1" customWidth="1"/>
    <col min="27" max="27" width="21.5546875" style="62" customWidth="1"/>
    <col min="28" max="28" width="25.5546875" style="62" customWidth="1"/>
    <col min="29" max="29" width="21.44140625" style="62" bestFit="1" customWidth="1"/>
    <col min="30" max="30" width="22.5546875" style="62" bestFit="1" customWidth="1"/>
    <col min="31" max="31" width="20.44140625" style="62" bestFit="1" customWidth="1"/>
    <col min="32" max="32" width="17.5546875" style="62" bestFit="1" customWidth="1"/>
    <col min="33" max="33" width="255.5546875" style="62" bestFit="1" customWidth="1"/>
    <col min="34" max="34" width="90.44140625" style="62" bestFit="1" customWidth="1"/>
    <col min="35" max="35" width="11.5546875" style="62" bestFit="1" customWidth="1"/>
    <col min="36" max="36" width="8.5546875" style="62"/>
    <col min="37" max="37" width="8.5546875" style="62" bestFit="1" customWidth="1"/>
    <col min="38" max="38" width="8.5546875" style="62"/>
    <col min="39" max="39" width="8.5546875" style="62" bestFit="1" customWidth="1"/>
    <col min="40" max="16384" width="8.5546875" style="62"/>
  </cols>
  <sheetData>
    <row r="1" spans="1:51" ht="50.1" customHeight="1" x14ac:dyDescent="0.3">
      <c r="A1" s="1181" t="s">
        <v>109</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47"/>
      <c r="AF1" s="47"/>
    </row>
    <row r="2" spans="1:51"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47"/>
      <c r="AF2" s="47"/>
    </row>
    <row r="3" spans="1:51"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row>
    <row r="4" spans="1:51" ht="22.35" customHeight="1" x14ac:dyDescent="0.3">
      <c r="A4" s="1281" t="s">
        <v>89</v>
      </c>
      <c r="B4" s="1281"/>
      <c r="C4" s="1705" t="s">
        <v>2207</v>
      </c>
      <c r="D4" s="1705"/>
      <c r="E4" s="1282" t="s">
        <v>50</v>
      </c>
      <c r="F4" s="1282"/>
      <c r="G4" s="1387" t="s">
        <v>51</v>
      </c>
      <c r="H4" s="1387"/>
      <c r="I4" s="1387"/>
      <c r="J4" s="1397" t="s">
        <v>53</v>
      </c>
      <c r="K4" s="1398"/>
      <c r="L4" s="1397" t="s">
        <v>54</v>
      </c>
      <c r="M4" s="1398"/>
      <c r="N4" s="47"/>
      <c r="O4" s="1701" t="s">
        <v>112</v>
      </c>
      <c r="P4" s="1702"/>
      <c r="Q4" s="1702"/>
      <c r="R4" s="1702"/>
      <c r="S4" s="1702"/>
      <c r="T4" s="1702"/>
      <c r="U4" s="1702"/>
      <c r="V4" s="1702"/>
      <c r="W4" s="1702"/>
      <c r="X4" s="1702"/>
      <c r="Y4" s="1702"/>
      <c r="Z4" s="1702"/>
      <c r="AA4" s="1702"/>
      <c r="AB4" s="1702"/>
      <c r="AC4" s="1702"/>
      <c r="AD4" s="1703"/>
      <c r="AE4" s="47"/>
      <c r="AF4" s="47"/>
      <c r="AQ4" s="62" t="s">
        <v>113</v>
      </c>
      <c r="AR4" s="62" t="s">
        <v>114</v>
      </c>
      <c r="AV4" s="62">
        <v>2025</v>
      </c>
      <c r="AW4" s="62">
        <v>2026</v>
      </c>
    </row>
    <row r="5" spans="1:51" ht="45" customHeight="1" x14ac:dyDescent="0.3">
      <c r="A5" s="1411">
        <f>Parâmetros!E5</f>
        <v>6947000</v>
      </c>
      <c r="B5" s="1411"/>
      <c r="C5" s="1704">
        <f>C13</f>
        <v>1597337.77</v>
      </c>
      <c r="D5" s="1704"/>
      <c r="E5" s="1412">
        <f>SUM(K55:K114)</f>
        <v>325739.29000000004</v>
      </c>
      <c r="F5" s="1412"/>
      <c r="G5" s="1388">
        <f>SUMIF(Q55:Q114,"Real",AI55:AI114)</f>
        <v>51386.369999999995</v>
      </c>
      <c r="H5" s="1388"/>
      <c r="I5" s="1388"/>
      <c r="J5" s="1395">
        <f>G5/A5</f>
        <v>7.3969152152008055E-3</v>
      </c>
      <c r="K5" s="1396"/>
      <c r="L5" s="1399">
        <f>SUM(H9:H11)</f>
        <v>23</v>
      </c>
      <c r="M5" s="1400"/>
      <c r="N5" s="242"/>
      <c r="O5" s="382" t="s">
        <v>115</v>
      </c>
      <c r="P5" s="382" t="s">
        <v>72</v>
      </c>
      <c r="Q5" s="386" t="s">
        <v>116</v>
      </c>
      <c r="R5" s="386" t="s">
        <v>117</v>
      </c>
      <c r="S5" s="1401" t="s">
        <v>120</v>
      </c>
      <c r="T5" s="1402"/>
      <c r="U5" s="1402"/>
      <c r="V5" s="1402"/>
      <c r="W5" s="1403"/>
      <c r="X5" s="382" t="s">
        <v>121</v>
      </c>
      <c r="Y5" s="382" t="s">
        <v>122</v>
      </c>
      <c r="Z5" s="382" t="s">
        <v>123</v>
      </c>
      <c r="AA5" s="382" t="s">
        <v>124</v>
      </c>
      <c r="AB5" s="382" t="s">
        <v>125</v>
      </c>
      <c r="AC5" s="386" t="s">
        <v>126</v>
      </c>
      <c r="AD5" s="386" t="s">
        <v>118</v>
      </c>
      <c r="AE5" s="47"/>
      <c r="AF5" s="47"/>
      <c r="AG5" s="47"/>
      <c r="AH5" s="47"/>
      <c r="AS5" s="114">
        <v>0.32929999999999998</v>
      </c>
      <c r="AT5" s="188">
        <v>0.92279999999999995</v>
      </c>
      <c r="AW5" s="62" t="s">
        <v>127</v>
      </c>
      <c r="AX5" s="62">
        <v>0.92610000000000003</v>
      </c>
      <c r="AY5" s="62">
        <v>0.95</v>
      </c>
    </row>
    <row r="6" spans="1:51" ht="20.100000000000001" customHeight="1" x14ac:dyDescent="0.3">
      <c r="A6" s="47"/>
      <c r="B6" s="47"/>
      <c r="C6" s="47"/>
      <c r="D6" s="47"/>
      <c r="E6" s="47"/>
      <c r="F6" s="47"/>
      <c r="G6" s="47"/>
      <c r="H6" s="47"/>
      <c r="I6" s="47"/>
      <c r="J6" s="47"/>
      <c r="K6" s="47"/>
      <c r="L6" s="47"/>
      <c r="M6" s="47"/>
      <c r="N6" s="47"/>
      <c r="O6" s="372" cm="1">
        <f t="array" ref="O6:O25">_xlfn.SEQUENCE(20)</f>
        <v>1</v>
      </c>
      <c r="P6" s="398" t="str">
        <f t="shared" ref="P6:P25" si="0">_xlfn.XLOOKUP(S6,$B$55:$B$114,$A$55:$A$114)</f>
        <v>BSW</v>
      </c>
      <c r="Q6" s="373">
        <f>MAX(H55:H114)</f>
        <v>331600</v>
      </c>
      <c r="R6" s="465">
        <f t="shared" ref="R6:R25" si="1">_xlfn.XLOOKUP(Q6,$H$55:$H$114,$K$55:$K$114)</f>
        <v>160178.29</v>
      </c>
      <c r="S6" s="1302" t="str">
        <f t="shared" ref="S6:S24" si="2">IFERROR(HYPERLINK(INDEX($C$55:$C$114,MATCH(Q6,$H$55:$H$114,0)),INDEX($B$55:$B$114,MATCH(Q6,$H$55:$H$114,0))
   ),
   ""
)</f>
        <v>01 - Redução de peso bruto DA000489A</v>
      </c>
      <c r="T6" s="1302"/>
      <c r="U6" s="1302"/>
      <c r="V6" s="1302"/>
      <c r="W6" s="1302"/>
      <c r="X6" s="402">
        <f t="shared" ref="X6:X26" si="3">Q6/$C$5</f>
        <v>0.20759541671640305</v>
      </c>
      <c r="Y6" s="375">
        <f>X6</f>
        <v>0.20759541671640305</v>
      </c>
      <c r="Z6" s="376" cm="1">
        <f t="array" aca="1" ref="Z6" ca="1">IFERROR(INDEX($R$55:$R$114,MATCH(1,($AK$55:$AK$114=S6)*($Q$55:$Q$114="Previsto"), 0) ), "")</f>
        <v>1</v>
      </c>
      <c r="AA6" s="376" cm="1">
        <f t="array" ref="AA6">IFERROR( INDEX($R$55:$R$114,MATCH(1,($AK$55:$AK$114=S6)*($Q$55:$Q$114="Real"),0)),"")</f>
        <v>0.85</v>
      </c>
      <c r="AB6" s="400" t="str">
        <f ca="1">IF(OR(Z6="",AA6=""),"",IF(AA6=100%,"CONCLUÍDO",IF(AA6=0,IF(Z6=0,"PROJETO NÃO INICIADO","FALTA DE ACOMPANHAMENTO"),IF(AA6&gt;=Z6,"CONFORME PLANEJADO","ATRASO"))))</f>
        <v>ATRASO</v>
      </c>
      <c r="AC6" s="376" cm="1">
        <f t="array" ref="AC6:AC25">_xlfn.XLOOKUP($S$6:$S$25,$B$55:$B$114,$P$55:$P$114)</f>
        <v>1</v>
      </c>
      <c r="AD6" s="428" t="str">
        <f t="shared" ref="AD6:AD25" si="4">_xlfn.XLOOKUP(S6,$B$55:$B$114,$AL$55:$AL$114)</f>
        <v>março</v>
      </c>
      <c r="AE6" s="47"/>
      <c r="AF6" s="47"/>
      <c r="AG6" s="47"/>
      <c r="AH6" s="47"/>
      <c r="AS6" s="114">
        <v>0.41660000000000003</v>
      </c>
      <c r="AT6" s="188">
        <v>0.91520000000000001</v>
      </c>
      <c r="AW6" s="62" t="s">
        <v>128</v>
      </c>
      <c r="AX6" s="62">
        <v>0.50170000000000003</v>
      </c>
      <c r="AY6" s="62">
        <v>0.57999999999999996</v>
      </c>
    </row>
    <row r="7" spans="1:51" ht="20.100000000000001" customHeight="1" x14ac:dyDescent="0.3">
      <c r="A7" s="1392" t="s">
        <v>58</v>
      </c>
      <c r="B7" s="1392"/>
      <c r="C7" s="1392"/>
      <c r="D7" s="1392"/>
      <c r="E7" s="1392"/>
      <c r="F7" s="47"/>
      <c r="G7" s="1392" t="s">
        <v>59</v>
      </c>
      <c r="H7" s="1392"/>
      <c r="I7" s="1392"/>
      <c r="J7" s="47"/>
      <c r="K7" s="1698" t="s">
        <v>60</v>
      </c>
      <c r="L7" s="1699"/>
      <c r="M7" s="1700"/>
      <c r="N7" s="47"/>
      <c r="O7" s="377">
        <v>2</v>
      </c>
      <c r="P7" s="399" t="str">
        <f t="shared" si="0"/>
        <v>Redução de custo</v>
      </c>
      <c r="Q7" s="378">
        <f t="shared" ref="Q7:Q25" si="5">IFERROR(LARGE($H$55:$H$114,O7)," ")</f>
        <v>270000</v>
      </c>
      <c r="R7" s="466">
        <f t="shared" si="1"/>
        <v>0</v>
      </c>
      <c r="S7" s="1301" t="str">
        <f t="shared" si="2"/>
        <v>06 - Produtividade</v>
      </c>
      <c r="T7" s="1301"/>
      <c r="U7" s="1301"/>
      <c r="V7" s="1301"/>
      <c r="W7" s="1301"/>
      <c r="X7" s="403">
        <f t="shared" si="3"/>
        <v>0.16903125004049707</v>
      </c>
      <c r="Y7" s="380">
        <f>X7+Y6</f>
        <v>0.37662666675690015</v>
      </c>
      <c r="Z7" s="381" cm="1">
        <f t="array" aca="1" ref="Z7" ca="1">IFERROR(INDEX($R$55:$R$114,MATCH(1,($AK$55:$AK$114=S7)*($Q$55:$Q$114="Previsto"), 0) ), "")</f>
        <v>1</v>
      </c>
      <c r="AA7" s="381" cm="1">
        <f t="array" ref="AA7">IFERROR( INDEX($R$55:$R$114,MATCH(1,($AK$55:$AK$114=S7)*($Q$55:$Q$114="Real"),0)),"")</f>
        <v>0.1</v>
      </c>
      <c r="AB7" s="401" t="str">
        <f t="shared" ref="AB7:AB25" ca="1" si="6">IF(OR(Z7="",AA7=""),"",IF(AA7=100%,"CONCLUÍDO",IF(AA7=0,IF(Z7=0,"PROJETO NÃO INICIADO","FALTA DE ACOMPANHAMENTO"),IF(AA7&gt;=Z7,"CONFORME PLANEJADO","ATRASO"))))</f>
        <v>ATRASO</v>
      </c>
      <c r="AC7" s="381">
        <v>1</v>
      </c>
      <c r="AD7" s="429" t="str">
        <f t="shared" si="4"/>
        <v>abril</v>
      </c>
      <c r="AE7" s="47"/>
      <c r="AF7" s="47"/>
      <c r="AG7" s="47"/>
      <c r="AH7" s="47"/>
      <c r="AS7" s="114">
        <v>0.46660000000000001</v>
      </c>
      <c r="AT7" s="188">
        <v>0.92020000000000002</v>
      </c>
      <c r="AW7" s="62" t="s">
        <v>130</v>
      </c>
      <c r="AX7" s="62">
        <v>0.95499999999999996</v>
      </c>
      <c r="AY7" s="62">
        <v>0.96499999999999997</v>
      </c>
    </row>
    <row r="8" spans="1:51" ht="20.100000000000001" customHeight="1" x14ac:dyDescent="0.3">
      <c r="A8" s="49" t="s">
        <v>62</v>
      </c>
      <c r="B8" s="49" t="s">
        <v>63</v>
      </c>
      <c r="C8" s="49" t="s">
        <v>64</v>
      </c>
      <c r="D8" s="49" t="s">
        <v>66</v>
      </c>
      <c r="E8" s="49" t="s">
        <v>131</v>
      </c>
      <c r="F8" s="47"/>
      <c r="G8" s="49" t="s">
        <v>67</v>
      </c>
      <c r="H8" s="49" t="s">
        <v>63</v>
      </c>
      <c r="I8" s="49" t="s">
        <v>68</v>
      </c>
      <c r="J8" s="47"/>
      <c r="K8" s="1408" t="s">
        <v>69</v>
      </c>
      <c r="L8" s="1408" t="s">
        <v>70</v>
      </c>
      <c r="M8" s="1408" t="s">
        <v>71</v>
      </c>
      <c r="N8" s="47"/>
      <c r="O8" s="372">
        <v>3</v>
      </c>
      <c r="P8" s="398" t="str">
        <f t="shared" si="0"/>
        <v>Kaizen</v>
      </c>
      <c r="Q8" s="373">
        <f t="shared" si="5"/>
        <v>190000</v>
      </c>
      <c r="R8" s="465">
        <f t="shared" si="1"/>
        <v>0</v>
      </c>
      <c r="S8" s="1302" t="str">
        <f t="shared" si="2"/>
        <v>16 - Eficiência de MO na linha de Solda e Montagem</v>
      </c>
      <c r="T8" s="1302"/>
      <c r="U8" s="1302"/>
      <c r="V8" s="1302"/>
      <c r="W8" s="1302"/>
      <c r="X8" s="402">
        <f t="shared" si="3"/>
        <v>0.11894791669516461</v>
      </c>
      <c r="Y8" s="375">
        <f t="shared" ref="Y8:Y25" si="7">X8+Y7</f>
        <v>0.49557458345206473</v>
      </c>
      <c r="Z8" s="376" cm="1">
        <f t="array" aca="1" ref="Z8" ca="1">IFERROR(INDEX($R$55:$R$114,MATCH(1,($AK$55:$AK$114=S8)*($Q$55:$Q$114="Previsto"), 0) ), "")</f>
        <v>1</v>
      </c>
      <c r="AA8" s="376" cm="1">
        <f t="array" ref="AA8">IFERROR( INDEX($R$55:$R$114,MATCH(1,($AK$55:$AK$114=S8)*($Q$55:$Q$114="Real"),0)),"")</f>
        <v>0.6</v>
      </c>
      <c r="AB8" s="400" t="str">
        <f t="shared" ca="1" si="6"/>
        <v>ATRASO</v>
      </c>
      <c r="AC8" s="376">
        <v>1</v>
      </c>
      <c r="AD8" s="428" t="str">
        <f t="shared" si="4"/>
        <v>março</v>
      </c>
      <c r="AE8" s="47"/>
      <c r="AF8" s="47"/>
      <c r="AG8" s="47"/>
      <c r="AH8" s="47"/>
      <c r="AS8" s="114">
        <v>0.54359999999999997</v>
      </c>
      <c r="AT8" s="188">
        <v>0.92059999999999997</v>
      </c>
      <c r="AX8" s="190">
        <f>AX7*AX6*AX5</f>
        <v>0.44371627335000002</v>
      </c>
      <c r="AY8" s="190">
        <f>AY7*AY6*AY5</f>
        <v>0.53171499999999994</v>
      </c>
    </row>
    <row r="9" spans="1:51" ht="20.100000000000001" customHeight="1" x14ac:dyDescent="0.3">
      <c r="A9" s="48" t="s">
        <v>76</v>
      </c>
      <c r="B9" s="50">
        <f>COUNTIF($A$55:$A$114,A9)</f>
        <v>9</v>
      </c>
      <c r="C9" s="249">
        <f>SUMIF($A$55:$A$114,A9,$H$55:$H$114)</f>
        <v>468938.77</v>
      </c>
      <c r="D9" s="51">
        <f>IF($C$13=0,"",C9/$C$13)</f>
        <v>0.29357520920575242</v>
      </c>
      <c r="E9" s="52">
        <f>D9</f>
        <v>0.29357520920575242</v>
      </c>
      <c r="F9" s="47"/>
      <c r="G9" s="53" t="s">
        <v>77</v>
      </c>
      <c r="H9" s="54">
        <f>COUNTIF($O$55:$O$114,G9)</f>
        <v>7</v>
      </c>
      <c r="I9" s="250">
        <f>SUMIF($O$55:$O$114,G9,$H$55:$H$114)</f>
        <v>240906.77</v>
      </c>
      <c r="J9" s="47"/>
      <c r="K9" s="1409"/>
      <c r="L9" s="1409"/>
      <c r="M9" s="1409"/>
      <c r="N9" s="47"/>
      <c r="O9" s="377">
        <v>4</v>
      </c>
      <c r="P9" s="399" t="str">
        <f t="shared" si="0"/>
        <v>BSW</v>
      </c>
      <c r="Q9" s="378">
        <f t="shared" si="5"/>
        <v>158400</v>
      </c>
      <c r="R9" s="466">
        <f t="shared" si="1"/>
        <v>0</v>
      </c>
      <c r="S9" s="1301" t="str">
        <f t="shared" si="2"/>
        <v>23 - Redução do peso bruto VW000581Z / VW000582Z</v>
      </c>
      <c r="T9" s="1301"/>
      <c r="U9" s="1301"/>
      <c r="V9" s="1301"/>
      <c r="W9" s="1301"/>
      <c r="X9" s="403">
        <f t="shared" si="3"/>
        <v>9.9165000023758276E-2</v>
      </c>
      <c r="Y9" s="380">
        <f t="shared" si="7"/>
        <v>0.59473958347582301</v>
      </c>
      <c r="Z9" s="381" cm="1">
        <f t="array" ref="Z9">IFERROR(INDEX($R$55:$R$114,MATCH(1,($AK$55:$AK$114=S9)*($Q$55:$Q$114="Previsto"), 0) ), "")</f>
        <v>0.2</v>
      </c>
      <c r="AA9" s="381" cm="1">
        <f t="array" ref="AA9">IFERROR( INDEX($R$55:$R$114,MATCH(1,($AK$55:$AK$114=S9)*($Q$55:$Q$114="Real"),0)),"")</f>
        <v>0.2</v>
      </c>
      <c r="AB9" s="401" t="str">
        <f t="shared" si="6"/>
        <v>CONFORME PLANEJADO</v>
      </c>
      <c r="AC9" s="381">
        <v>0.8</v>
      </c>
      <c r="AD9" s="429" t="str">
        <f t="shared" si="4"/>
        <v>abril</v>
      </c>
      <c r="AF9" s="47"/>
      <c r="AG9" s="47"/>
      <c r="AH9" s="47"/>
      <c r="AS9" s="114">
        <v>0.51229999999999998</v>
      </c>
      <c r="AT9" s="188">
        <v>0.92300000000000004</v>
      </c>
    </row>
    <row r="10" spans="1:51" ht="20.100000000000001" customHeight="1" x14ac:dyDescent="0.3">
      <c r="A10" s="48" t="s">
        <v>79</v>
      </c>
      <c r="B10" s="50">
        <f>COUNTIF($A$55:$A$114,A10)</f>
        <v>7</v>
      </c>
      <c r="C10" s="249">
        <f>SUMIF($A$55:$A$114,A10,$H$55:$H$114)</f>
        <v>454881</v>
      </c>
      <c r="D10" s="51">
        <f>IF($C$13=0,"",C10/$C$13)</f>
        <v>0.28477445944322721</v>
      </c>
      <c r="E10" s="52">
        <f>D10</f>
        <v>0.28477445944322721</v>
      </c>
      <c r="F10" s="47"/>
      <c r="G10" s="55" t="s">
        <v>80</v>
      </c>
      <c r="H10" s="251">
        <f>COUNTIF($O$55:$O$114,G10)</f>
        <v>13</v>
      </c>
      <c r="I10" s="252">
        <f>SUMIF($O$55:$O$114,G10,$H$55:$H$114)</f>
        <v>1332431</v>
      </c>
      <c r="J10" s="47"/>
      <c r="K10" s="1290">
        <f>E164</f>
        <v>0.80851063829787229</v>
      </c>
      <c r="L10" s="1290">
        <f>F164</f>
        <v>0.57446808510638303</v>
      </c>
      <c r="M10" s="1290">
        <f>L140</f>
        <v>8.333333250000001E-2</v>
      </c>
      <c r="N10" s="47"/>
      <c r="O10" s="372">
        <v>5</v>
      </c>
      <c r="P10" s="398" t="str">
        <f t="shared" si="0"/>
        <v>Kaizen</v>
      </c>
      <c r="Q10" s="373">
        <f t="shared" si="5"/>
        <v>135186</v>
      </c>
      <c r="R10" s="465">
        <f t="shared" si="1"/>
        <v>0</v>
      </c>
      <c r="S10" s="1302" t="str">
        <f t="shared" si="2"/>
        <v xml:space="preserve">02 - Eficiência uso de eletricidade </v>
      </c>
      <c r="T10" s="1302"/>
      <c r="U10" s="1302"/>
      <c r="V10" s="1302"/>
      <c r="W10" s="1302"/>
      <c r="X10" s="402">
        <f t="shared" si="3"/>
        <v>8.4632068770276431E-2</v>
      </c>
      <c r="Y10" s="375">
        <f t="shared" si="7"/>
        <v>0.67937165224609941</v>
      </c>
      <c r="Z10" s="376" cm="1">
        <f t="array" aca="1" ref="Z10" ca="1">IFERROR(INDEX($R$55:$R$114,MATCH(1,($AK$55:$AK$114=S10)*($Q$55:$Q$114="Previsto"), 0) ), "")</f>
        <v>1</v>
      </c>
      <c r="AA10" s="376" cm="1">
        <f t="array" ref="AA10">IFERROR( INDEX($R$55:$R$114,MATCH(1,($AK$55:$AK$114=S10)*($Q$55:$Q$114="Real"),0)),"")</f>
        <v>0.9</v>
      </c>
      <c r="AB10" s="400" t="str">
        <f t="shared" ca="1" si="6"/>
        <v>ATRASO</v>
      </c>
      <c r="AC10" s="376">
        <v>1</v>
      </c>
      <c r="AD10" s="428" t="str">
        <f t="shared" si="4"/>
        <v>janeiro</v>
      </c>
      <c r="AE10" s="47"/>
      <c r="AF10" s="47"/>
      <c r="AG10" s="47"/>
      <c r="AH10" s="47"/>
      <c r="AS10" s="114">
        <v>0.52159999999999995</v>
      </c>
      <c r="AT10" s="188">
        <v>0.91649999999999998</v>
      </c>
    </row>
    <row r="11" spans="1:51" ht="20.100000000000001" customHeight="1" x14ac:dyDescent="0.3">
      <c r="A11" s="48" t="s">
        <v>82</v>
      </c>
      <c r="B11" s="50">
        <f>COUNTIF($A$55:$A$114,A11)</f>
        <v>0</v>
      </c>
      <c r="C11" s="249">
        <f>SUMIF($A$55:$A$114,A11,$H$55:$H$114)</f>
        <v>0</v>
      </c>
      <c r="D11" s="51">
        <f>IF($C$13=0,"",C11/$C$13)</f>
        <v>0</v>
      </c>
      <c r="E11" s="52">
        <f>D11</f>
        <v>0</v>
      </c>
      <c r="F11" s="47"/>
      <c r="G11" s="253" t="s">
        <v>83</v>
      </c>
      <c r="H11" s="254">
        <f>COUNTIF($O$55:$O$114,G11)</f>
        <v>3</v>
      </c>
      <c r="I11" s="255">
        <f>SUMIF($O$55:$O$114,G11,$H$55:$H$114)</f>
        <v>24000</v>
      </c>
      <c r="J11" s="47"/>
      <c r="K11" s="1292"/>
      <c r="L11" s="1292"/>
      <c r="M11" s="1292"/>
      <c r="N11" s="47"/>
      <c r="O11" s="377">
        <v>6</v>
      </c>
      <c r="P11" s="399" t="str">
        <f t="shared" si="0"/>
        <v>Redução de custo</v>
      </c>
      <c r="Q11" s="378">
        <f t="shared" si="5"/>
        <v>82000</v>
      </c>
      <c r="R11" s="466">
        <f t="shared" si="1"/>
        <v>0</v>
      </c>
      <c r="S11" s="1301" t="str">
        <f t="shared" si="2"/>
        <v>20 - Redução refugo em relação ao budget</v>
      </c>
      <c r="T11" s="1301"/>
      <c r="U11" s="1301"/>
      <c r="V11" s="1301"/>
      <c r="W11" s="1301"/>
      <c r="X11" s="403">
        <f t="shared" si="3"/>
        <v>5.1335416678965774E-2</v>
      </c>
      <c r="Y11" s="380">
        <f t="shared" si="7"/>
        <v>0.73070706892506521</v>
      </c>
      <c r="Z11" s="381" cm="1">
        <f t="array" aca="1" ref="Z11" ca="1">IFERROR(INDEX($R$55:$R$114,MATCH(1,($AK$55:$AK$114=S11)*($Q$55:$Q$114="Previsto"), 0) ), "")</f>
        <v>0.47091412742382271</v>
      </c>
      <c r="AA11" s="381" cm="1">
        <f t="array" ref="AA11">IFERROR( INDEX($R$55:$R$114,MATCH(1,($AK$55:$AK$114=S11)*($Q$55:$Q$114="Real"),0)),"")</f>
        <v>0.15</v>
      </c>
      <c r="AB11" s="401" t="str">
        <f t="shared" ca="1" si="6"/>
        <v>ATRASO</v>
      </c>
      <c r="AC11" s="381">
        <v>1</v>
      </c>
      <c r="AD11" s="429" t="str">
        <f t="shared" si="4"/>
        <v>janeiro</v>
      </c>
      <c r="AE11" s="47"/>
      <c r="AF11" s="47"/>
      <c r="AG11" s="47"/>
      <c r="AH11" s="47"/>
      <c r="AS11" s="114">
        <v>0.52170000000000005</v>
      </c>
      <c r="AT11" s="188">
        <v>0.92369999999999997</v>
      </c>
    </row>
    <row r="12" spans="1:51" ht="20.100000000000001" customHeight="1" x14ac:dyDescent="0.3">
      <c r="A12" s="48" t="s">
        <v>85</v>
      </c>
      <c r="B12" s="50">
        <f>COUNTIF($A$55:$A$114,A12)</f>
        <v>7</v>
      </c>
      <c r="C12" s="249">
        <f>SUMIF($A$55:$A$114,A12,$H$55:$H$114)</f>
        <v>673518</v>
      </c>
      <c r="D12" s="51">
        <f>IF($C$13=0,"",C12/$C$13)</f>
        <v>0.42165033135102037</v>
      </c>
      <c r="E12" s="52">
        <f>D12</f>
        <v>0.42165033135102037</v>
      </c>
      <c r="F12" s="47"/>
      <c r="G12" s="47"/>
      <c r="H12" s="47"/>
      <c r="I12" s="47"/>
      <c r="J12" s="47"/>
      <c r="K12" s="47"/>
      <c r="L12" s="47"/>
      <c r="M12" s="47"/>
      <c r="N12" s="47"/>
      <c r="O12" s="372">
        <v>7</v>
      </c>
      <c r="P12" s="398" t="str">
        <f t="shared" si="0"/>
        <v>Redução de custo</v>
      </c>
      <c r="Q12" s="373">
        <f t="shared" si="5"/>
        <v>62381</v>
      </c>
      <c r="R12" s="465">
        <f t="shared" si="1"/>
        <v>56610.76</v>
      </c>
      <c r="S12" s="1302" t="str">
        <f t="shared" si="2"/>
        <v>05 - Empilhadeira - Diadema</v>
      </c>
      <c r="T12" s="1302"/>
      <c r="U12" s="1302"/>
      <c r="V12" s="1302"/>
      <c r="W12" s="1302"/>
      <c r="X12" s="402">
        <f t="shared" si="3"/>
        <v>3.9053105217689808E-2</v>
      </c>
      <c r="Y12" s="375">
        <f t="shared" si="7"/>
        <v>0.76976017414275499</v>
      </c>
      <c r="Z12" s="376" cm="1">
        <f t="array" aca="1" ref="Z12" ca="1">IFERROR(INDEX($R$55:$R$114,MATCH(1,($AK$55:$AK$114=S12)*($Q$55:$Q$114="Previsto"), 0) ), "")</f>
        <v>1</v>
      </c>
      <c r="AA12" s="376" cm="1">
        <f t="array" ref="AA12">IFERROR( INDEX($R$55:$R$114,MATCH(1,($AK$55:$AK$114=S12)*($Q$55:$Q$114="Real"),0)),"")</f>
        <v>1</v>
      </c>
      <c r="AB12" s="400" t="str">
        <f t="shared" ca="1" si="6"/>
        <v>CONCLUÍDO</v>
      </c>
      <c r="AC12" s="376">
        <v>1</v>
      </c>
      <c r="AD12" s="428" t="str">
        <f t="shared" si="4"/>
        <v>fevereiro</v>
      </c>
      <c r="AE12" s="47"/>
      <c r="AF12" s="47"/>
      <c r="AG12" s="47"/>
      <c r="AH12" s="47"/>
      <c r="AS12" s="114">
        <v>0.5746</v>
      </c>
      <c r="AT12" s="188">
        <v>0.93600000000000005</v>
      </c>
    </row>
    <row r="13" spans="1:51" ht="20.100000000000001" customHeight="1" x14ac:dyDescent="0.35">
      <c r="A13" s="166" t="s">
        <v>29</v>
      </c>
      <c r="B13" s="167">
        <f>SUM(B9:B12)</f>
        <v>23</v>
      </c>
      <c r="C13" s="256">
        <f>SUM(C9:C12)</f>
        <v>1597337.77</v>
      </c>
      <c r="D13" s="171">
        <f>SUM(D9:D12)</f>
        <v>1</v>
      </c>
      <c r="E13" s="47"/>
      <c r="F13" s="47"/>
      <c r="G13" s="47"/>
      <c r="H13" s="47"/>
      <c r="I13" s="47"/>
      <c r="J13" s="47"/>
      <c r="K13" s="168"/>
      <c r="L13" s="398" t="s">
        <v>2249</v>
      </c>
      <c r="M13" s="373">
        <f>SUMIF($L$55:$L$64,L13,$N$55:$N$64)</f>
        <v>24026.7435</v>
      </c>
      <c r="N13" s="475"/>
      <c r="O13" s="377">
        <v>8</v>
      </c>
      <c r="P13" s="399" t="str">
        <f t="shared" si="0"/>
        <v>BSW</v>
      </c>
      <c r="Q13" s="378">
        <f t="shared" si="5"/>
        <v>47355</v>
      </c>
      <c r="R13" s="466">
        <f t="shared" si="1"/>
        <v>37365.58</v>
      </c>
      <c r="S13" s="1301" t="str">
        <f t="shared" si="2"/>
        <v>21 - Kaizen_Redução de peso bruto MB003537LA_MB003538LA</v>
      </c>
      <c r="T13" s="1301"/>
      <c r="U13" s="1301"/>
      <c r="V13" s="1301"/>
      <c r="W13" s="1301"/>
      <c r="X13" s="403">
        <f t="shared" si="3"/>
        <v>2.9646203132102734E-2</v>
      </c>
      <c r="Y13" s="380">
        <f t="shared" si="7"/>
        <v>0.79940637727485775</v>
      </c>
      <c r="Z13" s="381" cm="1">
        <f t="array" aca="1" ref="Z13" ca="1">IFERROR(INDEX($R$55:$R$114,MATCH(1,($AK$55:$AK$114=S13)*($Q$55:$Q$114="Previsto"), 0) ), "")</f>
        <v>1</v>
      </c>
      <c r="AA13" s="381" cm="1">
        <f t="array" ref="AA13">IFERROR( INDEX($R$55:$R$114,MATCH(1,($AK$55:$AK$114=S13)*($Q$55:$Q$114="Real"),0)),"")</f>
        <v>0.9</v>
      </c>
      <c r="AB13" s="401" t="str">
        <f t="shared" ca="1" si="6"/>
        <v>ATRASO</v>
      </c>
      <c r="AC13" s="381">
        <v>1</v>
      </c>
      <c r="AD13" s="429" t="str">
        <f t="shared" si="4"/>
        <v>março</v>
      </c>
      <c r="AE13" s="47"/>
      <c r="AF13" s="47"/>
      <c r="AG13" s="47"/>
      <c r="AH13" s="47"/>
      <c r="AS13" s="114">
        <v>0.5423</v>
      </c>
      <c r="AT13" s="188">
        <v>0.93600000000000005</v>
      </c>
    </row>
    <row r="14" spans="1:51" ht="20.100000000000001" customHeight="1" x14ac:dyDescent="0.3">
      <c r="A14" s="47"/>
      <c r="B14" s="47"/>
      <c r="C14" s="47"/>
      <c r="D14" s="47"/>
      <c r="E14" s="47"/>
      <c r="F14" s="47"/>
      <c r="G14" s="47"/>
      <c r="H14" s="47"/>
      <c r="I14" s="47"/>
      <c r="J14" s="47"/>
      <c r="K14" s="47"/>
      <c r="L14" s="399" t="s">
        <v>26</v>
      </c>
      <c r="M14" s="378">
        <f t="shared" ref="M14:M17" si="8">SUMIF($L$55:$L$64,L14,$N$55:$N$64)</f>
        <v>0</v>
      </c>
      <c r="N14" s="47"/>
      <c r="O14" s="372">
        <v>9</v>
      </c>
      <c r="P14" s="398" t="str">
        <f t="shared" si="0"/>
        <v>Kaizen</v>
      </c>
      <c r="Q14" s="373">
        <f t="shared" si="5"/>
        <v>45000</v>
      </c>
      <c r="R14" s="465">
        <f t="shared" si="1"/>
        <v>0</v>
      </c>
      <c r="S14" s="1302" t="str">
        <f t="shared" si="2"/>
        <v>19 - Kaizen Facão. DA000481Z - PRODUTIVIDADE</v>
      </c>
      <c r="T14" s="1302"/>
      <c r="U14" s="1302"/>
      <c r="V14" s="1302"/>
      <c r="W14" s="1302"/>
      <c r="X14" s="402">
        <f t="shared" si="3"/>
        <v>2.817187500674951E-2</v>
      </c>
      <c r="Y14" s="375">
        <f t="shared" si="7"/>
        <v>0.82757825228160731</v>
      </c>
      <c r="Z14" s="376" cm="1">
        <f t="array" aca="1" ref="Z14" ca="1">IFERROR(INDEX($R$55:$R$114,MATCH(1,($AK$55:$AK$114=S14)*($Q$55:$Q$114="Previsto"), 0) ), "")</f>
        <v>1</v>
      </c>
      <c r="AA14" s="376" cm="1">
        <f t="array" ref="AA14">IFERROR( INDEX($R$55:$R$114,MATCH(1,($AK$55:$AK$114=S14)*($Q$55:$Q$114="Real"),0)),"")</f>
        <v>1</v>
      </c>
      <c r="AB14" s="400" t="str">
        <f t="shared" ca="1" si="6"/>
        <v>CONCLUÍDO</v>
      </c>
      <c r="AC14" s="376">
        <v>1</v>
      </c>
      <c r="AD14" s="428" t="str">
        <f t="shared" si="4"/>
        <v>março</v>
      </c>
      <c r="AE14" s="47"/>
      <c r="AF14" s="47"/>
      <c r="AG14" s="47"/>
      <c r="AH14" s="47"/>
      <c r="AS14" s="114">
        <v>0.54720000000000002</v>
      </c>
      <c r="AT14" s="188">
        <v>0.91149999999999998</v>
      </c>
    </row>
    <row r="15" spans="1:51" ht="20.100000000000001" customHeight="1" x14ac:dyDescent="0.3">
      <c r="A15" s="47"/>
      <c r="B15" s="47"/>
      <c r="C15" s="47"/>
      <c r="D15" s="47"/>
      <c r="E15" s="47"/>
      <c r="F15" s="47"/>
      <c r="G15" s="47"/>
      <c r="H15" s="47"/>
      <c r="I15" s="47"/>
      <c r="J15" s="47"/>
      <c r="K15" s="47"/>
      <c r="L15" s="398" t="s">
        <v>27</v>
      </c>
      <c r="M15" s="373">
        <f t="shared" si="8"/>
        <v>5661.0760000000009</v>
      </c>
      <c r="N15" s="47"/>
      <c r="O15" s="377">
        <v>10</v>
      </c>
      <c r="P15" s="399" t="str">
        <f t="shared" si="0"/>
        <v>BSW</v>
      </c>
      <c r="Q15" s="378">
        <f t="shared" si="5"/>
        <v>42900</v>
      </c>
      <c r="R15" s="466">
        <f t="shared" si="1"/>
        <v>33838.06</v>
      </c>
      <c r="S15" s="1301" t="str">
        <f t="shared" si="2"/>
        <v>17 -MB003537LB_MB003538LB</v>
      </c>
      <c r="T15" s="1301"/>
      <c r="U15" s="1301"/>
      <c r="V15" s="1301"/>
      <c r="W15" s="1301"/>
      <c r="X15" s="403">
        <f t="shared" si="3"/>
        <v>2.6857187506434534E-2</v>
      </c>
      <c r="Y15" s="380">
        <f t="shared" si="7"/>
        <v>0.85443543978804182</v>
      </c>
      <c r="Z15" s="381" cm="1">
        <f t="array" aca="1" ref="Z15" ca="1">IFERROR(INDEX($R$55:$R$114,MATCH(1,($AK$55:$AK$114=S15)*($Q$55:$Q$114="Previsto"), 0) ), "")</f>
        <v>1</v>
      </c>
      <c r="AA15" s="381" cm="1">
        <f t="array" ref="AA15">IFERROR( INDEX($R$55:$R$114,MATCH(1,($AK$55:$AK$114=S15)*($Q$55:$Q$114="Real"),0)),"")</f>
        <v>0.9</v>
      </c>
      <c r="AB15" s="401" t="str">
        <f t="shared" ca="1" si="6"/>
        <v>ATRASO</v>
      </c>
      <c r="AC15" s="381">
        <v>1</v>
      </c>
      <c r="AD15" s="429" t="str">
        <f t="shared" si="4"/>
        <v>março</v>
      </c>
      <c r="AE15" s="47"/>
      <c r="AF15" s="47"/>
      <c r="AG15" s="47"/>
      <c r="AH15" s="47"/>
      <c r="AS15" s="114">
        <v>0.54830000000000001</v>
      </c>
      <c r="AT15" s="188">
        <v>0.92290000000000005</v>
      </c>
    </row>
    <row r="16" spans="1:51" ht="20.100000000000001" customHeight="1" x14ac:dyDescent="0.3">
      <c r="A16" s="47"/>
      <c r="B16" s="47"/>
      <c r="C16" s="47"/>
      <c r="D16" s="47"/>
      <c r="E16" s="47"/>
      <c r="F16" s="47"/>
      <c r="G16" s="47"/>
      <c r="H16" s="47"/>
      <c r="I16" s="47"/>
      <c r="J16" s="47"/>
      <c r="K16" s="47"/>
      <c r="L16" s="399" t="s">
        <v>2250</v>
      </c>
      <c r="M16" s="378">
        <f t="shared" si="8"/>
        <v>0</v>
      </c>
      <c r="N16" s="47"/>
      <c r="O16" s="372">
        <v>11</v>
      </c>
      <c r="P16" s="398" t="str">
        <f t="shared" si="0"/>
        <v>Kaizen</v>
      </c>
      <c r="Q16" s="373">
        <f t="shared" si="5"/>
        <v>38583</v>
      </c>
      <c r="R16" s="465">
        <f t="shared" si="1"/>
        <v>37746.6</v>
      </c>
      <c r="S16" s="1302" t="str">
        <f t="shared" si="2"/>
        <v>12 - Aproveitamento de peças Obsoletas - A9583176540</v>
      </c>
      <c r="T16" s="1302"/>
      <c r="U16" s="1302"/>
      <c r="V16" s="1302"/>
      <c r="W16" s="1302"/>
      <c r="X16" s="402">
        <f t="shared" si="3"/>
        <v>2.415456563078703E-2</v>
      </c>
      <c r="Y16" s="375">
        <f t="shared" si="7"/>
        <v>0.87859000541882881</v>
      </c>
      <c r="Z16" s="376" cm="1">
        <f t="array" aca="1" ref="Z16" ca="1">IFERROR(INDEX($R$55:$R$114,MATCH(1,($AK$55:$AK$114=S16)*($Q$55:$Q$114="Previsto"), 0) ), "")</f>
        <v>1</v>
      </c>
      <c r="AA16" s="376" cm="1">
        <f t="array" ref="AA16">IFERROR( INDEX($R$55:$R$114,MATCH(1,($AK$55:$AK$114=S16)*($Q$55:$Q$114="Real"),0)),"")</f>
        <v>1</v>
      </c>
      <c r="AB16" s="400" t="str">
        <f t="shared" ca="1" si="6"/>
        <v>CONCLUÍDO</v>
      </c>
      <c r="AC16" s="376">
        <v>1</v>
      </c>
      <c r="AD16" s="428" t="str">
        <f t="shared" si="4"/>
        <v>janeiro</v>
      </c>
      <c r="AE16" s="47"/>
      <c r="AF16" s="47"/>
      <c r="AG16" s="47"/>
      <c r="AH16" s="47"/>
      <c r="AS16" s="114">
        <v>0.49580000000000002</v>
      </c>
      <c r="AT16" s="188">
        <v>0.96419999999999995</v>
      </c>
    </row>
    <row r="17" spans="1:47" ht="20.100000000000001" customHeight="1" x14ac:dyDescent="0.3">
      <c r="A17" s="47"/>
      <c r="B17" s="47"/>
      <c r="C17" s="47"/>
      <c r="D17" s="47"/>
      <c r="E17" s="47"/>
      <c r="F17" s="47"/>
      <c r="G17" s="47"/>
      <c r="H17" s="47"/>
      <c r="I17" s="47"/>
      <c r="J17" s="47"/>
      <c r="K17" s="47"/>
      <c r="L17" s="398" t="s">
        <v>2251</v>
      </c>
      <c r="M17" s="373">
        <f t="shared" si="8"/>
        <v>0</v>
      </c>
      <c r="N17" s="47"/>
      <c r="O17" s="377">
        <v>12</v>
      </c>
      <c r="P17" s="399" t="str">
        <f t="shared" si="0"/>
        <v>BSW</v>
      </c>
      <c r="Q17" s="378">
        <f t="shared" si="5"/>
        <v>36663</v>
      </c>
      <c r="R17" s="466">
        <f t="shared" si="1"/>
        <v>0</v>
      </c>
      <c r="S17" s="1301" t="str">
        <f t="shared" si="2"/>
        <v xml:space="preserve">14 - REDUÇÃO DE MP DA000518Z (Anchieta) Código DD - </v>
      </c>
      <c r="T17" s="1301"/>
      <c r="U17" s="1301"/>
      <c r="V17" s="1301"/>
      <c r="W17" s="1301"/>
      <c r="X17" s="403">
        <f t="shared" si="3"/>
        <v>2.2952565630499053E-2</v>
      </c>
      <c r="Y17" s="380">
        <f t="shared" si="7"/>
        <v>0.90154257104932789</v>
      </c>
      <c r="Z17" s="381" cm="1">
        <f t="array" aca="1" ref="Z17" ca="1">IFERROR(INDEX($R$55:$R$114,MATCH(1,($AK$55:$AK$114=S17)*($Q$55:$Q$114="Previsto"), 0) ), "")</f>
        <v>1</v>
      </c>
      <c r="AA17" s="381" cm="1">
        <f t="array" ref="AA17">IFERROR( INDEX($R$55:$R$114,MATCH(1,($AK$55:$AK$114=S17)*($Q$55:$Q$114="Real"),0)),"")</f>
        <v>1</v>
      </c>
      <c r="AB17" s="401" t="str">
        <f t="shared" ca="1" si="6"/>
        <v>CONCLUÍDO</v>
      </c>
      <c r="AC17" s="381">
        <v>1</v>
      </c>
      <c r="AD17" s="429" t="str">
        <f t="shared" si="4"/>
        <v>fevereiro</v>
      </c>
      <c r="AE17" s="47"/>
      <c r="AF17" s="47"/>
      <c r="AG17" s="47"/>
      <c r="AH17" s="47"/>
      <c r="AS17" s="187">
        <f>AVERAGE(AS5:AS16)</f>
        <v>0.50165833333333332</v>
      </c>
      <c r="AT17" s="187">
        <f>AVERAGE(AT5:AT16)</f>
        <v>0.92605000000000004</v>
      </c>
      <c r="AU17" s="189">
        <f>AT17*AS17</f>
        <v>0.46456069958333335</v>
      </c>
    </row>
    <row r="18" spans="1:47" ht="20.100000000000001" customHeight="1" x14ac:dyDescent="0.3">
      <c r="A18" s="47"/>
      <c r="B18" s="47"/>
      <c r="C18" s="47"/>
      <c r="D18" s="47"/>
      <c r="E18" s="47"/>
      <c r="F18" s="47"/>
      <c r="G18" s="47"/>
      <c r="H18" s="47"/>
      <c r="I18" s="47"/>
      <c r="J18" s="47"/>
      <c r="K18" s="47"/>
      <c r="L18" s="47"/>
      <c r="M18" s="47"/>
      <c r="N18" s="47"/>
      <c r="O18" s="372">
        <v>13</v>
      </c>
      <c r="P18" s="398" t="str">
        <f t="shared" si="0"/>
        <v>Kaizen</v>
      </c>
      <c r="Q18" s="373">
        <f t="shared" si="5"/>
        <v>35000</v>
      </c>
      <c r="R18" s="465">
        <f t="shared" si="1"/>
        <v>0</v>
      </c>
      <c r="S18" s="1302" t="str">
        <f t="shared" si="2"/>
        <v>04 - Otimização de processo - Pulmão</v>
      </c>
      <c r="T18" s="1302"/>
      <c r="U18" s="1302"/>
      <c r="V18" s="1302"/>
      <c r="W18" s="1302"/>
      <c r="X18" s="402">
        <f t="shared" si="3"/>
        <v>2.1911458338582952E-2</v>
      </c>
      <c r="Y18" s="375">
        <f t="shared" si="7"/>
        <v>0.92345402938791088</v>
      </c>
      <c r="Z18" s="376" cm="1">
        <f t="array" aca="1" ref="Z18" ca="1">IFERROR(INDEX($R$55:$R$114,MATCH(1,($AK$55:$AK$114=S18)*($Q$55:$Q$114="Previsto"), 0) ), "")</f>
        <v>1</v>
      </c>
      <c r="AA18" s="376" cm="1">
        <f t="array" ref="AA18">IFERROR( INDEX($R$55:$R$114,MATCH(1,($AK$55:$AK$114=S18)*($Q$55:$Q$114="Real"),0)),"")</f>
        <v>1</v>
      </c>
      <c r="AB18" s="400" t="str">
        <f t="shared" ca="1" si="6"/>
        <v>CONCLUÍDO</v>
      </c>
      <c r="AC18" s="376">
        <v>1</v>
      </c>
      <c r="AD18" s="428" t="str">
        <f t="shared" si="4"/>
        <v>março</v>
      </c>
      <c r="AE18" s="47"/>
      <c r="AF18" s="47"/>
      <c r="AG18" s="47"/>
      <c r="AH18" s="47"/>
    </row>
    <row r="19" spans="1:47" ht="20.100000000000001" customHeight="1" x14ac:dyDescent="0.3">
      <c r="A19" s="47"/>
      <c r="B19" s="47"/>
      <c r="C19" s="47"/>
      <c r="D19" s="47"/>
      <c r="E19" s="47"/>
      <c r="F19" s="47"/>
      <c r="G19" s="47"/>
      <c r="H19" s="47"/>
      <c r="I19" s="47"/>
      <c r="J19" s="47"/>
      <c r="K19" s="47"/>
      <c r="L19" s="47"/>
      <c r="M19" s="47"/>
      <c r="N19" s="47"/>
      <c r="O19" s="377">
        <v>14</v>
      </c>
      <c r="P19" s="399" t="str">
        <f t="shared" si="0"/>
        <v>BSW</v>
      </c>
      <c r="Q19" s="378">
        <f t="shared" si="5"/>
        <v>29600</v>
      </c>
      <c r="R19" s="466">
        <f t="shared" si="1"/>
        <v>0</v>
      </c>
      <c r="S19" s="1301" t="str">
        <f t="shared" si="2"/>
        <v>08 - Redução de peso bruto MB002446LA / MB003670LA / MB003671LA</v>
      </c>
      <c r="T19" s="1301"/>
      <c r="U19" s="1301"/>
      <c r="V19" s="1301"/>
      <c r="W19" s="1301"/>
      <c r="X19" s="403">
        <f t="shared" si="3"/>
        <v>1.8530833337773011E-2</v>
      </c>
      <c r="Y19" s="380">
        <f t="shared" si="7"/>
        <v>0.94198486272568394</v>
      </c>
      <c r="Z19" s="381" cm="1">
        <f t="array" aca="1" ref="Z19" ca="1">IFERROR(INDEX($R$55:$R$114,MATCH(1,($AK$55:$AK$114=S19)*($Q$55:$Q$114="Previsto"), 0) ), "")</f>
        <v>1</v>
      </c>
      <c r="AA19" s="381" cm="1">
        <f t="array" ref="AA19">IFERROR( INDEX($R$55:$R$114,MATCH(1,($AK$55:$AK$114=S19)*($Q$55:$Q$114="Real"),0)),"")</f>
        <v>0.4</v>
      </c>
      <c r="AB19" s="401" t="str">
        <f t="shared" ca="1" si="6"/>
        <v>ATRASO</v>
      </c>
      <c r="AC19" s="381">
        <v>0.5</v>
      </c>
      <c r="AD19" s="429" t="str">
        <f t="shared" si="4"/>
        <v>maio</v>
      </c>
      <c r="AE19" s="47"/>
      <c r="AF19" s="47"/>
      <c r="AG19" s="47"/>
      <c r="AH19" s="47"/>
    </row>
    <row r="20" spans="1:47" ht="20.100000000000001" customHeight="1" x14ac:dyDescent="0.3">
      <c r="A20" s="47"/>
      <c r="B20" s="47"/>
      <c r="C20" s="47"/>
      <c r="D20" s="47"/>
      <c r="E20" s="47"/>
      <c r="F20" s="47"/>
      <c r="G20" s="47"/>
      <c r="H20" s="47"/>
      <c r="I20" s="47"/>
      <c r="J20" s="47"/>
      <c r="K20" s="47"/>
      <c r="L20" s="47"/>
      <c r="M20" s="47"/>
      <c r="N20" s="47"/>
      <c r="O20" s="372">
        <v>15</v>
      </c>
      <c r="P20" s="398" t="str">
        <f t="shared" si="0"/>
        <v>BSW</v>
      </c>
      <c r="Q20" s="373">
        <f t="shared" si="5"/>
        <v>27000</v>
      </c>
      <c r="R20" s="465">
        <f t="shared" si="1"/>
        <v>0</v>
      </c>
      <c r="S20" s="1302" t="str">
        <f t="shared" si="2"/>
        <v>22 - Aproveitamento de Retalho do corte laser - MB002316LA_MB003533LA_MB003673LC</v>
      </c>
      <c r="T20" s="1302"/>
      <c r="U20" s="1302"/>
      <c r="V20" s="1302"/>
      <c r="W20" s="1302"/>
      <c r="X20" s="402">
        <f t="shared" si="3"/>
        <v>1.6903125004049706E-2</v>
      </c>
      <c r="Y20" s="375">
        <f t="shared" si="7"/>
        <v>0.9588879877297336</v>
      </c>
      <c r="Z20" s="376" cm="1">
        <f t="array" aca="1" ref="Z20" ca="1">IFERROR(INDEX($R$55:$R$114,MATCH(1,($AK$55:$AK$114=S20)*($Q$55:$Q$114="Previsto"), 0) ), "")</f>
        <v>1</v>
      </c>
      <c r="AA20" s="376" cm="1">
        <f t="array" ref="AA20">IFERROR( INDEX($R$55:$R$114,MATCH(1,($AK$55:$AK$114=S20)*($Q$55:$Q$114="Real"),0)),"")</f>
        <v>0.7</v>
      </c>
      <c r="AB20" s="400" t="str">
        <f t="shared" ca="1" si="6"/>
        <v>ATRASO</v>
      </c>
      <c r="AC20" s="376">
        <v>1</v>
      </c>
      <c r="AD20" s="428" t="str">
        <f t="shared" si="4"/>
        <v>abril</v>
      </c>
      <c r="AE20" s="47"/>
      <c r="AF20" s="47"/>
      <c r="AG20" s="47"/>
      <c r="AH20" s="47"/>
    </row>
    <row r="21" spans="1:47" ht="20.100000000000001" customHeight="1" x14ac:dyDescent="0.3">
      <c r="A21" s="47"/>
      <c r="B21" s="47"/>
      <c r="C21" s="47"/>
      <c r="D21" s="47"/>
      <c r="E21" s="47"/>
      <c r="F21" s="47"/>
      <c r="G21" s="47"/>
      <c r="H21" s="47"/>
      <c r="I21" s="47"/>
      <c r="J21" s="47"/>
      <c r="K21" s="47"/>
      <c r="L21" s="47"/>
      <c r="M21" s="47"/>
      <c r="N21" s="47"/>
      <c r="O21" s="377">
        <v>16</v>
      </c>
      <c r="P21" s="399" t="str">
        <f t="shared" si="0"/>
        <v>Redução de custo</v>
      </c>
      <c r="Q21" s="378">
        <f t="shared" si="5"/>
        <v>24000</v>
      </c>
      <c r="R21" s="466">
        <f t="shared" si="1"/>
        <v>0</v>
      </c>
      <c r="S21" s="1301" t="str">
        <f t="shared" si="2"/>
        <v>09 - Taxa de Esgoto</v>
      </c>
      <c r="T21" s="1301"/>
      <c r="U21" s="1301"/>
      <c r="V21" s="1301"/>
      <c r="W21" s="1301"/>
      <c r="X21" s="403">
        <f t="shared" si="3"/>
        <v>1.5025000003599739E-2</v>
      </c>
      <c r="Y21" s="380">
        <f t="shared" si="7"/>
        <v>0.97391298773333335</v>
      </c>
      <c r="Z21" s="381" cm="1">
        <f t="array" aca="1" ref="Z21" ca="1">IFERROR(INDEX($R$55:$R$114,MATCH(1,($AK$55:$AK$114=S21)*($Q$55:$Q$114="Previsto"), 0) ), "")</f>
        <v>1</v>
      </c>
      <c r="AA21" s="381" cm="1">
        <f t="array" ref="AA21">IFERROR( INDEX($R$55:$R$114,MATCH(1,($AK$55:$AK$114=S21)*($Q$55:$Q$114="Real"),0)),"")</f>
        <v>0</v>
      </c>
      <c r="AB21" s="401" t="str">
        <f t="shared" ca="1" si="6"/>
        <v>FALTA DE ACOMPANHAMENTO</v>
      </c>
      <c r="AC21" s="381">
        <v>1</v>
      </c>
      <c r="AD21" s="429" t="str">
        <f t="shared" si="4"/>
        <v>março</v>
      </c>
      <c r="AE21" s="47"/>
      <c r="AF21" s="47"/>
      <c r="AG21" s="47"/>
      <c r="AH21" s="47"/>
    </row>
    <row r="22" spans="1:47" ht="20.100000000000001" customHeight="1" x14ac:dyDescent="0.3">
      <c r="A22" s="47"/>
      <c r="B22" s="47"/>
      <c r="C22" s="47"/>
      <c r="D22" s="47"/>
      <c r="E22" s="47"/>
      <c r="F22" s="47"/>
      <c r="G22" s="47"/>
      <c r="H22" s="47"/>
      <c r="I22" s="47"/>
      <c r="J22" s="47"/>
      <c r="K22" s="47"/>
      <c r="L22" s="47"/>
      <c r="M22" s="47"/>
      <c r="N22" s="47"/>
      <c r="O22" s="372">
        <v>17</v>
      </c>
      <c r="P22" s="398" t="str">
        <f t="shared" si="0"/>
        <v>Kaizen</v>
      </c>
      <c r="Q22" s="373">
        <f t="shared" si="5"/>
        <v>20000</v>
      </c>
      <c r="R22" s="465">
        <f t="shared" si="1"/>
        <v>0</v>
      </c>
      <c r="S22" s="1302" t="str">
        <f t="shared" si="2"/>
        <v>03 - Otimização de processo - Cavalo Marinho</v>
      </c>
      <c r="T22" s="1302"/>
      <c r="U22" s="1302"/>
      <c r="V22" s="1302"/>
      <c r="W22" s="1302"/>
      <c r="X22" s="402">
        <f t="shared" si="3"/>
        <v>1.2520833336333116E-2</v>
      </c>
      <c r="Y22" s="375">
        <f t="shared" si="7"/>
        <v>0.98643382106966648</v>
      </c>
      <c r="Z22" s="376" cm="1">
        <f t="array" aca="1" ref="Z22" ca="1">IFERROR(INDEX($R$55:$R$114,MATCH(1,($AK$55:$AK$114=S22)*($Q$55:$Q$114="Previsto"), 0) ), "")</f>
        <v>1</v>
      </c>
      <c r="AA22" s="376" cm="1">
        <f t="array" ref="AA22">IFERROR( INDEX($R$55:$R$114,MATCH(1,($AK$55:$AK$114=S22)*($Q$55:$Q$114="Real"),0)),"")</f>
        <v>1</v>
      </c>
      <c r="AB22" s="400" t="str">
        <f t="shared" ca="1" si="6"/>
        <v>CONCLUÍDO</v>
      </c>
      <c r="AC22" s="376">
        <v>1</v>
      </c>
      <c r="AD22" s="428" t="str">
        <f t="shared" si="4"/>
        <v>março</v>
      </c>
      <c r="AE22" s="47"/>
      <c r="AF22" s="47"/>
      <c r="AG22" s="47"/>
      <c r="AH22" s="47"/>
    </row>
    <row r="23" spans="1:47" ht="20.100000000000001" customHeight="1" x14ac:dyDescent="0.3">
      <c r="A23" s="47"/>
      <c r="B23" s="47"/>
      <c r="C23" s="47"/>
      <c r="D23" s="47"/>
      <c r="E23" s="47"/>
      <c r="F23" s="47"/>
      <c r="G23" s="47"/>
      <c r="H23" s="47"/>
      <c r="I23" s="47"/>
      <c r="J23" s="47"/>
      <c r="K23" s="47"/>
      <c r="L23" s="47"/>
      <c r="M23" s="47"/>
      <c r="N23" s="47"/>
      <c r="O23" s="377">
        <v>18</v>
      </c>
      <c r="P23" s="399" t="str">
        <f t="shared" si="0"/>
        <v>Redução de custo</v>
      </c>
      <c r="Q23" s="378">
        <f t="shared" si="5"/>
        <v>16500</v>
      </c>
      <c r="R23" s="466">
        <f t="shared" si="1"/>
        <v>0</v>
      </c>
      <c r="S23" s="1301" t="str">
        <f t="shared" si="2"/>
        <v xml:space="preserve"> 07 - Consumo de água</v>
      </c>
      <c r="T23" s="1301"/>
      <c r="U23" s="1301"/>
      <c r="V23" s="1301"/>
      <c r="W23" s="1301"/>
      <c r="X23" s="403">
        <f t="shared" si="3"/>
        <v>1.0329687502474821E-2</v>
      </c>
      <c r="Y23" s="380">
        <f t="shared" si="7"/>
        <v>0.99676350857214135</v>
      </c>
      <c r="Z23" s="381" cm="1">
        <f t="array" aca="1" ref="Z23" ca="1">IFERROR(INDEX($R$55:$R$114,MATCH(1,($AK$55:$AK$114=S23)*($Q$55:$Q$114="Previsto"), 0) ), "")</f>
        <v>1</v>
      </c>
      <c r="AA23" s="381" cm="1">
        <f t="array" ref="AA23">IFERROR( INDEX($R$55:$R$114,MATCH(1,($AK$55:$AK$114=S23)*($Q$55:$Q$114="Real"),0)),"")</f>
        <v>0</v>
      </c>
      <c r="AB23" s="401" t="str">
        <f t="shared" ca="1" si="6"/>
        <v>FALTA DE ACOMPANHAMENTO</v>
      </c>
      <c r="AC23" s="381">
        <v>1</v>
      </c>
      <c r="AD23" s="429" t="str">
        <f t="shared" si="4"/>
        <v>fevereiro</v>
      </c>
      <c r="AE23" s="47"/>
      <c r="AF23" s="47"/>
      <c r="AG23" s="47"/>
      <c r="AH23" s="47"/>
    </row>
    <row r="24" spans="1:47" ht="20.100000000000001" customHeight="1" x14ac:dyDescent="0.3">
      <c r="A24" s="47"/>
      <c r="B24" s="47"/>
      <c r="C24" s="47"/>
      <c r="D24" s="47"/>
      <c r="E24" s="47"/>
      <c r="F24" s="47"/>
      <c r="G24" s="47"/>
      <c r="H24" s="47"/>
      <c r="I24" s="47"/>
      <c r="J24" s="47"/>
      <c r="K24" s="47"/>
      <c r="L24" s="47"/>
      <c r="M24" s="47"/>
      <c r="N24" s="47"/>
      <c r="O24" s="372">
        <v>19</v>
      </c>
      <c r="P24" s="398" t="str">
        <f t="shared" si="0"/>
        <v>Kaizen</v>
      </c>
      <c r="Q24" s="373">
        <f t="shared" si="5"/>
        <v>3279.77</v>
      </c>
      <c r="R24" s="465">
        <f t="shared" si="1"/>
        <v>0</v>
      </c>
      <c r="S24" s="1302" t="str">
        <f t="shared" si="2"/>
        <v>15 - Kaizem - Botões BI - MANUAL</v>
      </c>
      <c r="T24" s="1302"/>
      <c r="U24" s="1302"/>
      <c r="V24" s="1302"/>
      <c r="W24" s="1302"/>
      <c r="X24" s="402">
        <f t="shared" si="3"/>
        <v>2.0532726775752633E-3</v>
      </c>
      <c r="Y24" s="375">
        <f t="shared" si="7"/>
        <v>0.99881678124971662</v>
      </c>
      <c r="Z24" s="376" cm="1">
        <f t="array" aca="1" ref="Z24" ca="1">IFERROR(INDEX($R$55:$R$114,MATCH(1,($AK$55:$AK$114=S24)*($Q$55:$Q$114="Previsto"), 0) ), "")</f>
        <v>1</v>
      </c>
      <c r="AA24" s="376" cm="1">
        <f t="array" ref="AA24">IFERROR( INDEX($R$55:$R$114,MATCH(1,($AK$55:$AK$114=S24)*($Q$55:$Q$114="Real"),0)),"")</f>
        <v>1</v>
      </c>
      <c r="AB24" s="400" t="str">
        <f t="shared" ca="1" si="6"/>
        <v>CONCLUÍDO</v>
      </c>
      <c r="AC24" s="376">
        <v>1</v>
      </c>
      <c r="AD24" s="428" t="str">
        <f t="shared" si="4"/>
        <v>janeiro</v>
      </c>
      <c r="AE24" s="47"/>
      <c r="AF24" s="47"/>
      <c r="AG24" s="47"/>
      <c r="AH24" s="47"/>
    </row>
    <row r="25" spans="1:47" ht="20.100000000000001" customHeight="1" x14ac:dyDescent="0.3">
      <c r="A25" s="47"/>
      <c r="B25" s="47"/>
      <c r="C25" s="47"/>
      <c r="D25" s="47"/>
      <c r="E25" s="47"/>
      <c r="F25" s="47"/>
      <c r="G25" s="47"/>
      <c r="H25" s="47"/>
      <c r="I25" s="47"/>
      <c r="J25" s="47"/>
      <c r="K25" s="47"/>
      <c r="L25" s="47"/>
      <c r="M25" s="47"/>
      <c r="N25" s="47"/>
      <c r="O25" s="432">
        <v>20</v>
      </c>
      <c r="P25" s="433" t="str">
        <f t="shared" si="0"/>
        <v>Kaizen</v>
      </c>
      <c r="Q25" s="434">
        <f t="shared" si="5"/>
        <v>1890</v>
      </c>
      <c r="R25" s="466">
        <f t="shared" si="1"/>
        <v>0</v>
      </c>
      <c r="S25" s="1301" t="str">
        <f>IFERROR(
   HYPERLINK(
      INDEX(Testes!$C$55:$C$114,
             MATCH(Q25,Testes!$H$55:$H$114,0)
      ),
      INDEX(Testes!$B$55:$B$114,
             MATCH(Q25,Testes!$H$55:$H$114,0)
      )
   ),
   ""
)</f>
        <v>13 - Redução de Componente - 4065 de 6 para 4</v>
      </c>
      <c r="T25" s="1301"/>
      <c r="U25" s="1301"/>
      <c r="V25" s="1301"/>
      <c r="W25" s="1301"/>
      <c r="X25" s="403">
        <f t="shared" si="3"/>
        <v>1.1832187502834794E-3</v>
      </c>
      <c r="Y25" s="380">
        <f t="shared" si="7"/>
        <v>1</v>
      </c>
      <c r="Z25" s="381" cm="1">
        <f t="array" aca="1" ref="Z25" ca="1">IFERROR(INDEX($R$55:$R$114,MATCH(1,($AK$55:$AK$114=S25)*($Q$55:$Q$114="Previsto"), 0) ), "")</f>
        <v>1</v>
      </c>
      <c r="AA25" s="381" cm="1">
        <f t="array" ref="AA25">IFERROR( INDEX($R$55:$R$114,MATCH(1,($AK$55:$AK$114=S25)*($Q$55:$Q$114="Real"),0)),"")</f>
        <v>0.8</v>
      </c>
      <c r="AB25" s="401" t="str">
        <f t="shared" ca="1" si="6"/>
        <v>ATRASO</v>
      </c>
      <c r="AC25" s="381">
        <v>1</v>
      </c>
      <c r="AD25" s="429" t="str">
        <f t="shared" si="4"/>
        <v>abril</v>
      </c>
      <c r="AE25" s="47"/>
      <c r="AF25" s="47"/>
      <c r="AG25" s="47"/>
      <c r="AH25" s="47"/>
    </row>
    <row r="26" spans="1:47" ht="20.100000000000001" customHeight="1" x14ac:dyDescent="0.3">
      <c r="A26" s="47"/>
      <c r="B26" s="47"/>
      <c r="C26" s="47"/>
      <c r="D26" s="47"/>
      <c r="E26" s="47"/>
      <c r="F26" s="47"/>
      <c r="G26" s="47"/>
      <c r="H26" s="47"/>
      <c r="I26" s="47"/>
      <c r="J26" s="47"/>
      <c r="K26" s="47"/>
      <c r="L26" s="47"/>
      <c r="M26" s="47"/>
      <c r="N26" s="47"/>
      <c r="O26" s="1079" t="s">
        <v>133</v>
      </c>
      <c r="P26" s="1080"/>
      <c r="Q26" s="435">
        <f>SUM(Q6:Q25)</f>
        <v>1597337.77</v>
      </c>
      <c r="R26" s="435">
        <f>SUM(R6:R25)</f>
        <v>325739.28999999998</v>
      </c>
      <c r="S26" s="47"/>
      <c r="T26" s="47"/>
      <c r="U26" s="47"/>
      <c r="V26" s="47"/>
      <c r="W26" s="47"/>
      <c r="X26" s="47">
        <f t="shared" si="3"/>
        <v>1</v>
      </c>
      <c r="Y26" s="47"/>
      <c r="Z26" s="47"/>
      <c r="AA26" s="47"/>
      <c r="AB26" s="47"/>
      <c r="AC26" s="47"/>
      <c r="AD26" s="47"/>
      <c r="AE26" s="47"/>
      <c r="AF26" s="47"/>
    </row>
    <row r="27" spans="1:47" ht="15.6" x14ac:dyDescent="0.3">
      <c r="A27" s="63" t="s">
        <v>134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47"/>
      <c r="AF27" s="47"/>
    </row>
    <row r="28" spans="1:47" ht="27" customHeight="1" x14ac:dyDescent="0.3">
      <c r="A28" s="64" t="s">
        <v>135</v>
      </c>
      <c r="B28" s="65" t="s">
        <v>31</v>
      </c>
      <c r="C28" s="65" t="s">
        <v>136</v>
      </c>
      <c r="D28" s="65" t="s">
        <v>137</v>
      </c>
      <c r="E28" s="65" t="s">
        <v>138</v>
      </c>
      <c r="F28" s="65" t="s">
        <v>139</v>
      </c>
      <c r="G28" s="65" t="s">
        <v>140</v>
      </c>
      <c r="H28" s="65" t="s">
        <v>141</v>
      </c>
      <c r="I28" s="66" t="s">
        <v>142</v>
      </c>
      <c r="J28" s="65" t="s">
        <v>143</v>
      </c>
      <c r="K28" s="66" t="s">
        <v>144</v>
      </c>
      <c r="L28" s="6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65" t="s">
        <v>163</v>
      </c>
      <c r="AE28" s="66" t="s">
        <v>164</v>
      </c>
      <c r="AF28" s="47"/>
    </row>
    <row r="29" spans="1:47" x14ac:dyDescent="0.3">
      <c r="A29" s="67" t="s">
        <v>165</v>
      </c>
      <c r="B29" s="68" t="s">
        <v>166</v>
      </c>
      <c r="C29" s="197" t="s">
        <v>167</v>
      </c>
      <c r="D29" s="69" t="s">
        <v>168</v>
      </c>
      <c r="E29" s="69" t="s">
        <v>893</v>
      </c>
      <c r="F29" s="327">
        <v>0.34599999999999997</v>
      </c>
      <c r="G29" s="327">
        <v>0.36099999999999999</v>
      </c>
      <c r="H29" s="437" t="s">
        <v>2252</v>
      </c>
      <c r="I29" s="281"/>
      <c r="J29" s="281"/>
      <c r="K29" s="281"/>
      <c r="L29" s="281"/>
      <c r="M29" s="281"/>
      <c r="N29" s="281"/>
      <c r="O29" s="281"/>
      <c r="P29" s="281"/>
      <c r="Q29" s="281"/>
      <c r="R29" s="281"/>
      <c r="S29" s="281"/>
      <c r="T29" s="281"/>
      <c r="U29" s="281"/>
      <c r="V29" s="281"/>
      <c r="W29" s="281"/>
      <c r="X29" s="281"/>
      <c r="Y29" s="328"/>
      <c r="Z29" s="328"/>
      <c r="AA29" s="328"/>
      <c r="AB29" s="328"/>
      <c r="AC29" s="328"/>
      <c r="AD29" s="328"/>
      <c r="AE29" s="328"/>
      <c r="AF29" s="320"/>
    </row>
    <row r="30" spans="1:47" x14ac:dyDescent="0.3">
      <c r="A30" s="67" t="s">
        <v>165</v>
      </c>
      <c r="B30" s="68" t="s">
        <v>171</v>
      </c>
      <c r="C30" s="197" t="s">
        <v>167</v>
      </c>
      <c r="D30" s="68" t="s">
        <v>176</v>
      </c>
      <c r="E30" s="68" t="s">
        <v>894</v>
      </c>
      <c r="F30" s="329">
        <v>3.0000000000000001E-3</v>
      </c>
      <c r="G30" s="329">
        <v>2E-3</v>
      </c>
      <c r="H30" s="438" t="s">
        <v>2252</v>
      </c>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320"/>
    </row>
    <row r="31" spans="1:47" x14ac:dyDescent="0.3">
      <c r="A31" s="67" t="s">
        <v>174</v>
      </c>
      <c r="B31" s="68" t="s">
        <v>175</v>
      </c>
      <c r="C31" s="197" t="s">
        <v>167</v>
      </c>
      <c r="D31" s="68" t="s">
        <v>176</v>
      </c>
      <c r="E31" s="68" t="s">
        <v>893</v>
      </c>
      <c r="F31" s="329">
        <v>0.501</v>
      </c>
      <c r="G31" s="329">
        <v>0.56000000000000005</v>
      </c>
      <c r="H31" s="329">
        <v>0.48430000000000001</v>
      </c>
      <c r="I31" s="330"/>
      <c r="J31" s="329">
        <f>J33*J34*J35</f>
        <v>0.475478805216</v>
      </c>
      <c r="K31" s="330"/>
      <c r="L31" s="330"/>
      <c r="M31" s="330"/>
      <c r="N31" s="330"/>
      <c r="O31" s="330"/>
      <c r="P31" s="330"/>
      <c r="Q31" s="330"/>
      <c r="R31" s="330"/>
      <c r="S31" s="330"/>
      <c r="T31" s="330"/>
      <c r="U31" s="330"/>
      <c r="V31" s="330"/>
      <c r="W31" s="330"/>
      <c r="X31" s="330"/>
      <c r="Y31" s="328"/>
      <c r="Z31" s="328"/>
      <c r="AA31" s="328"/>
      <c r="AB31" s="328"/>
      <c r="AC31" s="328"/>
      <c r="AD31" s="328"/>
      <c r="AE31" s="328"/>
      <c r="AF31" s="320"/>
    </row>
    <row r="32" spans="1:47" x14ac:dyDescent="0.3">
      <c r="A32" s="67" t="s">
        <v>174</v>
      </c>
      <c r="B32" s="68" t="s">
        <v>179</v>
      </c>
      <c r="C32" s="197" t="s">
        <v>167</v>
      </c>
      <c r="D32" s="68" t="s">
        <v>176</v>
      </c>
      <c r="E32" s="68" t="s">
        <v>893</v>
      </c>
      <c r="F32" s="329">
        <v>0.44400000000000001</v>
      </c>
      <c r="G32" s="329">
        <v>0.53169999999999995</v>
      </c>
      <c r="H32" s="438" t="s">
        <v>2252</v>
      </c>
      <c r="I32" s="330"/>
      <c r="J32" s="330"/>
      <c r="K32" s="330"/>
      <c r="L32" s="330"/>
      <c r="M32" s="330"/>
      <c r="N32" s="330"/>
      <c r="O32" s="330"/>
      <c r="P32" s="330"/>
      <c r="Q32" s="330"/>
      <c r="R32" s="330"/>
      <c r="S32" s="330"/>
      <c r="T32" s="330"/>
      <c r="U32" s="330"/>
      <c r="V32" s="330"/>
      <c r="W32" s="330"/>
      <c r="X32" s="330"/>
      <c r="Y32" s="330"/>
      <c r="Z32" s="330"/>
      <c r="AA32" s="330"/>
      <c r="AB32" s="330"/>
      <c r="AC32" s="330"/>
      <c r="AD32" s="330"/>
      <c r="AE32" s="330"/>
      <c r="AF32" s="320"/>
    </row>
    <row r="33" spans="1:32" x14ac:dyDescent="0.3">
      <c r="A33" s="67" t="s">
        <v>174</v>
      </c>
      <c r="B33" s="68" t="s">
        <v>181</v>
      </c>
      <c r="C33" s="197" t="s">
        <v>167</v>
      </c>
      <c r="D33" s="68" t="s">
        <v>176</v>
      </c>
      <c r="E33" s="68" t="s">
        <v>893</v>
      </c>
      <c r="F33" s="329">
        <v>0.92610000000000003</v>
      </c>
      <c r="G33" s="329">
        <v>0.95</v>
      </c>
      <c r="H33" s="329">
        <v>0.8992</v>
      </c>
      <c r="I33" s="330"/>
      <c r="J33" s="329">
        <v>0.89359999999999995</v>
      </c>
      <c r="K33" s="330"/>
      <c r="L33" s="330"/>
      <c r="M33" s="330"/>
      <c r="N33" s="330"/>
      <c r="O33" s="330"/>
      <c r="P33" s="330"/>
      <c r="Q33" s="330"/>
      <c r="R33" s="330"/>
      <c r="S33" s="330"/>
      <c r="T33" s="330"/>
      <c r="U33" s="330"/>
      <c r="V33" s="330"/>
      <c r="W33" s="330"/>
      <c r="X33" s="330"/>
      <c r="Y33" s="328"/>
      <c r="Z33" s="328"/>
      <c r="AA33" s="328"/>
      <c r="AB33" s="328"/>
      <c r="AC33" s="328"/>
      <c r="AD33" s="328"/>
      <c r="AE33" s="328"/>
      <c r="AF33" s="320"/>
    </row>
    <row r="34" spans="1:32" x14ac:dyDescent="0.3">
      <c r="A34" s="67" t="s">
        <v>174</v>
      </c>
      <c r="B34" s="68" t="s">
        <v>182</v>
      </c>
      <c r="C34" s="197" t="s">
        <v>167</v>
      </c>
      <c r="D34" s="68" t="s">
        <v>176</v>
      </c>
      <c r="E34" s="68" t="s">
        <v>893</v>
      </c>
      <c r="F34" s="329">
        <v>0.95499999999999996</v>
      </c>
      <c r="G34" s="329">
        <v>0.96499999999999997</v>
      </c>
      <c r="H34" s="329">
        <v>0.99950000000000006</v>
      </c>
      <c r="I34" s="330"/>
      <c r="J34" s="329">
        <v>0.99980000000000002</v>
      </c>
      <c r="K34" s="330"/>
      <c r="L34" s="330"/>
      <c r="M34" s="330"/>
      <c r="N34" s="330"/>
      <c r="O34" s="330"/>
      <c r="P34" s="330"/>
      <c r="Q34" s="330"/>
      <c r="R34" s="330"/>
      <c r="S34" s="330"/>
      <c r="T34" s="330"/>
      <c r="U34" s="330"/>
      <c r="V34" s="330"/>
      <c r="W34" s="330"/>
      <c r="X34" s="330"/>
      <c r="Y34" s="330"/>
      <c r="Z34" s="330"/>
      <c r="AA34" s="330"/>
      <c r="AB34" s="330"/>
      <c r="AC34" s="330"/>
      <c r="AD34" s="330"/>
      <c r="AE34" s="330"/>
      <c r="AF34" s="320"/>
    </row>
    <row r="35" spans="1:32" x14ac:dyDescent="0.3">
      <c r="A35" s="67" t="s">
        <v>174</v>
      </c>
      <c r="B35" s="68" t="s">
        <v>184</v>
      </c>
      <c r="C35" s="197" t="s">
        <v>167</v>
      </c>
      <c r="D35" s="68" t="s">
        <v>176</v>
      </c>
      <c r="E35" s="68" t="s">
        <v>893</v>
      </c>
      <c r="F35" s="329">
        <v>0.95899999999999996</v>
      </c>
      <c r="G35" s="331">
        <v>0.97</v>
      </c>
      <c r="H35" s="329">
        <v>0.53890000000000005</v>
      </c>
      <c r="I35" s="330"/>
      <c r="J35" s="329">
        <v>0.53220000000000001</v>
      </c>
      <c r="K35" s="330"/>
      <c r="L35" s="330"/>
      <c r="M35" s="330"/>
      <c r="N35" s="330"/>
      <c r="O35" s="330"/>
      <c r="P35" s="330"/>
      <c r="Q35" s="330"/>
      <c r="R35" s="330"/>
      <c r="S35" s="330"/>
      <c r="T35" s="330"/>
      <c r="U35" s="330"/>
      <c r="V35" s="330"/>
      <c r="W35" s="330"/>
      <c r="X35" s="330"/>
      <c r="Y35" s="328"/>
      <c r="Z35" s="328"/>
      <c r="AA35" s="328"/>
      <c r="AB35" s="328"/>
      <c r="AC35" s="328"/>
      <c r="AD35" s="328"/>
      <c r="AE35" s="328"/>
      <c r="AF35" s="320"/>
    </row>
    <row r="36" spans="1:32" x14ac:dyDescent="0.3">
      <c r="A36" s="67" t="s">
        <v>174</v>
      </c>
      <c r="B36" s="68" t="s">
        <v>185</v>
      </c>
      <c r="C36" s="197" t="s">
        <v>186</v>
      </c>
      <c r="D36" s="68" t="s">
        <v>168</v>
      </c>
      <c r="E36" s="68" t="s">
        <v>893</v>
      </c>
      <c r="F36" s="326" t="s">
        <v>187</v>
      </c>
      <c r="G36" s="326" t="s">
        <v>188</v>
      </c>
      <c r="H36" s="365">
        <v>0.625</v>
      </c>
      <c r="I36" s="330"/>
      <c r="J36" s="330"/>
      <c r="K36" s="330"/>
      <c r="L36" s="330"/>
      <c r="M36" s="330"/>
      <c r="N36" s="330"/>
      <c r="O36" s="330"/>
      <c r="P36" s="330"/>
      <c r="Q36" s="330"/>
      <c r="R36" s="330"/>
      <c r="S36" s="330"/>
      <c r="T36" s="330"/>
      <c r="U36" s="330"/>
      <c r="V36" s="330"/>
      <c r="W36" s="330"/>
      <c r="X36" s="330"/>
      <c r="Y36" s="330"/>
      <c r="Z36" s="330"/>
      <c r="AA36" s="330"/>
      <c r="AB36" s="330"/>
      <c r="AC36" s="330"/>
      <c r="AD36" s="330"/>
      <c r="AE36" s="330"/>
      <c r="AF36" s="320"/>
    </row>
    <row r="37" spans="1:32" x14ac:dyDescent="0.3">
      <c r="A37" s="67" t="s">
        <v>174</v>
      </c>
      <c r="B37" s="68" t="s">
        <v>190</v>
      </c>
      <c r="C37" s="197" t="s">
        <v>186</v>
      </c>
      <c r="D37" s="68" t="s">
        <v>168</v>
      </c>
      <c r="E37" s="68" t="s">
        <v>894</v>
      </c>
      <c r="F37" s="326" t="s">
        <v>191</v>
      </c>
      <c r="G37" s="326" t="s">
        <v>192</v>
      </c>
      <c r="H37" s="326" t="s">
        <v>193</v>
      </c>
      <c r="I37" s="330"/>
      <c r="J37" s="330"/>
      <c r="K37" s="330"/>
      <c r="L37" s="330"/>
      <c r="M37" s="330"/>
      <c r="N37" s="330"/>
      <c r="O37" s="330"/>
      <c r="P37" s="330"/>
      <c r="Q37" s="330"/>
      <c r="R37" s="330"/>
      <c r="S37" s="330"/>
      <c r="T37" s="330"/>
      <c r="U37" s="330"/>
      <c r="V37" s="330"/>
      <c r="W37" s="330"/>
      <c r="X37" s="330"/>
      <c r="Y37" s="328"/>
      <c r="Z37" s="328"/>
      <c r="AA37" s="328"/>
      <c r="AB37" s="328"/>
      <c r="AC37" s="328"/>
      <c r="AD37" s="328"/>
      <c r="AE37" s="328"/>
      <c r="AF37" s="320"/>
    </row>
    <row r="38" spans="1:32" x14ac:dyDescent="0.3">
      <c r="A38" s="67" t="s">
        <v>174</v>
      </c>
      <c r="B38" s="68" t="s">
        <v>195</v>
      </c>
      <c r="C38" s="197" t="s">
        <v>196</v>
      </c>
      <c r="D38" s="68" t="s">
        <v>176</v>
      </c>
      <c r="E38" s="68" t="s">
        <v>894</v>
      </c>
      <c r="F38" s="332">
        <v>91000</v>
      </c>
      <c r="G38" s="332">
        <v>73000</v>
      </c>
      <c r="H38" s="439" t="s">
        <v>2252</v>
      </c>
      <c r="I38" s="330"/>
      <c r="J38" s="330"/>
      <c r="K38" s="330"/>
      <c r="L38" s="330"/>
      <c r="M38" s="330"/>
      <c r="N38" s="330"/>
      <c r="O38" s="330"/>
      <c r="P38" s="330"/>
      <c r="Q38" s="330"/>
      <c r="R38" s="330"/>
      <c r="S38" s="330"/>
      <c r="T38" s="330"/>
      <c r="U38" s="330"/>
      <c r="V38" s="330"/>
      <c r="W38" s="330"/>
      <c r="X38" s="330"/>
      <c r="Y38" s="330"/>
      <c r="Z38" s="330"/>
      <c r="AA38" s="330"/>
      <c r="AB38" s="330"/>
      <c r="AC38" s="330"/>
      <c r="AD38" s="330"/>
      <c r="AE38" s="330"/>
      <c r="AF38" s="320"/>
    </row>
    <row r="39" spans="1:32" x14ac:dyDescent="0.3">
      <c r="A39" s="67" t="s">
        <v>174</v>
      </c>
      <c r="B39" s="68" t="s">
        <v>197</v>
      </c>
      <c r="C39" s="197" t="s">
        <v>196</v>
      </c>
      <c r="D39" s="68" t="s">
        <v>176</v>
      </c>
      <c r="E39" s="68" t="s">
        <v>894</v>
      </c>
      <c r="F39" s="330"/>
      <c r="G39" s="330"/>
      <c r="H39" s="332">
        <v>20603</v>
      </c>
      <c r="I39" s="330"/>
      <c r="J39" s="332">
        <v>20662</v>
      </c>
      <c r="K39" s="330"/>
      <c r="L39" s="330"/>
      <c r="M39" s="330"/>
      <c r="N39" s="330"/>
      <c r="O39" s="330"/>
      <c r="P39" s="330"/>
      <c r="Q39" s="330"/>
      <c r="R39" s="330"/>
      <c r="S39" s="330"/>
      <c r="T39" s="330"/>
      <c r="U39" s="330"/>
      <c r="V39" s="330"/>
      <c r="W39" s="330"/>
      <c r="X39" s="330"/>
      <c r="Y39" s="328"/>
      <c r="Z39" s="328"/>
      <c r="AA39" s="328"/>
      <c r="AB39" s="328"/>
      <c r="AC39" s="328"/>
      <c r="AD39" s="328"/>
      <c r="AE39" s="328"/>
      <c r="AF39" s="320"/>
    </row>
    <row r="40" spans="1:32" x14ac:dyDescent="0.3">
      <c r="A40" s="67" t="s">
        <v>200</v>
      </c>
      <c r="B40" s="68" t="s">
        <v>201</v>
      </c>
      <c r="C40" s="197" t="s">
        <v>202</v>
      </c>
      <c r="D40" s="68" t="s">
        <v>168</v>
      </c>
      <c r="E40" s="68" t="s">
        <v>894</v>
      </c>
      <c r="F40" s="330" t="s">
        <v>88</v>
      </c>
      <c r="G40" s="330">
        <v>900</v>
      </c>
      <c r="H40" s="470">
        <v>60593</v>
      </c>
      <c r="I40" s="330"/>
      <c r="J40" s="330"/>
      <c r="K40" s="330"/>
      <c r="L40" s="330"/>
      <c r="M40" s="330"/>
      <c r="N40" s="330"/>
      <c r="O40" s="330"/>
      <c r="P40" s="330"/>
      <c r="Q40" s="330"/>
      <c r="R40" s="330"/>
      <c r="S40" s="330"/>
      <c r="T40" s="330"/>
      <c r="U40" s="330"/>
      <c r="V40" s="330"/>
      <c r="W40" s="330"/>
      <c r="X40" s="330"/>
      <c r="Y40" s="330"/>
      <c r="Z40" s="330"/>
      <c r="AA40" s="330"/>
      <c r="AB40" s="330"/>
      <c r="AC40" s="330"/>
      <c r="AD40" s="330"/>
      <c r="AE40" s="330"/>
      <c r="AF40" s="320"/>
    </row>
    <row r="41" spans="1:32" x14ac:dyDescent="0.3">
      <c r="A41" s="67" t="s">
        <v>200</v>
      </c>
      <c r="B41" s="68" t="s">
        <v>204</v>
      </c>
      <c r="C41" s="197" t="s">
        <v>202</v>
      </c>
      <c r="D41" s="68" t="s">
        <v>168</v>
      </c>
      <c r="E41" s="68" t="s">
        <v>894</v>
      </c>
      <c r="F41" s="330">
        <v>3347</v>
      </c>
      <c r="G41" s="330">
        <v>3000</v>
      </c>
      <c r="H41" s="470">
        <v>1</v>
      </c>
      <c r="I41" s="330"/>
      <c r="J41" s="330"/>
      <c r="K41" s="330"/>
      <c r="L41" s="330"/>
      <c r="M41" s="330"/>
      <c r="N41" s="330"/>
      <c r="O41" s="330"/>
      <c r="P41" s="330"/>
      <c r="Q41" s="330"/>
      <c r="R41" s="330"/>
      <c r="S41" s="330"/>
      <c r="T41" s="330"/>
      <c r="U41" s="330"/>
      <c r="V41" s="330"/>
      <c r="W41" s="330"/>
      <c r="X41" s="330"/>
      <c r="Y41" s="328"/>
      <c r="Z41" s="328"/>
      <c r="AA41" s="328"/>
      <c r="AB41" s="328"/>
      <c r="AC41" s="328"/>
      <c r="AD41" s="328"/>
      <c r="AE41" s="328"/>
      <c r="AF41" s="320"/>
    </row>
    <row r="42" spans="1:32" x14ac:dyDescent="0.3">
      <c r="A42" s="67" t="s">
        <v>200</v>
      </c>
      <c r="B42" s="68" t="s">
        <v>210</v>
      </c>
      <c r="C42" s="197" t="s">
        <v>167</v>
      </c>
      <c r="D42" s="68" t="s">
        <v>168</v>
      </c>
      <c r="E42" s="68" t="s">
        <v>894</v>
      </c>
      <c r="F42" s="329">
        <v>2.5999999999999999E-2</v>
      </c>
      <c r="G42" s="329">
        <v>1.4200000000000001E-2</v>
      </c>
      <c r="H42" s="439" t="s">
        <v>2252</v>
      </c>
      <c r="I42" s="330"/>
      <c r="J42" s="330"/>
      <c r="K42" s="330"/>
      <c r="L42" s="330"/>
      <c r="M42" s="330"/>
      <c r="N42" s="330"/>
      <c r="O42" s="330"/>
      <c r="P42" s="330"/>
      <c r="Q42" s="330"/>
      <c r="R42" s="330"/>
      <c r="S42" s="330"/>
      <c r="T42" s="330"/>
      <c r="U42" s="330"/>
      <c r="V42" s="330"/>
      <c r="W42" s="330"/>
      <c r="X42" s="330"/>
      <c r="Y42" s="330"/>
      <c r="Z42" s="330"/>
      <c r="AA42" s="330"/>
      <c r="AB42" s="330"/>
      <c r="AC42" s="330"/>
      <c r="AD42" s="330"/>
      <c r="AE42" s="330"/>
      <c r="AF42" s="320"/>
    </row>
    <row r="43" spans="1:32" x14ac:dyDescent="0.3">
      <c r="A43" s="67" t="s">
        <v>200</v>
      </c>
      <c r="B43" s="68" t="s">
        <v>214</v>
      </c>
      <c r="C43" s="197" t="s">
        <v>215</v>
      </c>
      <c r="D43" s="68" t="s">
        <v>216</v>
      </c>
      <c r="E43" s="68" t="s">
        <v>894</v>
      </c>
      <c r="F43" s="330">
        <v>49</v>
      </c>
      <c r="G43" s="330">
        <v>45</v>
      </c>
      <c r="H43" s="330">
        <v>1</v>
      </c>
      <c r="I43" s="330"/>
      <c r="J43" s="330">
        <v>2</v>
      </c>
      <c r="K43" s="330"/>
      <c r="L43" s="330"/>
      <c r="M43" s="330"/>
      <c r="N43" s="330"/>
      <c r="O43" s="330"/>
      <c r="P43" s="330"/>
      <c r="Q43" s="330"/>
      <c r="R43" s="330"/>
      <c r="S43" s="330"/>
      <c r="T43" s="330"/>
      <c r="U43" s="330"/>
      <c r="V43" s="330"/>
      <c r="W43" s="330"/>
      <c r="X43" s="330"/>
      <c r="Y43" s="328"/>
      <c r="Z43" s="328"/>
      <c r="AA43" s="328"/>
      <c r="AB43" s="328"/>
      <c r="AC43" s="328"/>
      <c r="AD43" s="328"/>
      <c r="AE43" s="328"/>
      <c r="AF43" s="320"/>
    </row>
    <row r="44" spans="1:32" x14ac:dyDescent="0.3">
      <c r="A44" s="324" t="s">
        <v>218</v>
      </c>
      <c r="B44" s="325" t="s">
        <v>219</v>
      </c>
      <c r="C44" s="369" t="s">
        <v>220</v>
      </c>
      <c r="D44" s="325" t="s">
        <v>168</v>
      </c>
      <c r="E44" s="325" t="s">
        <v>894</v>
      </c>
      <c r="F44" s="330">
        <v>28</v>
      </c>
      <c r="G44" s="330">
        <v>26</v>
      </c>
      <c r="H44" s="330">
        <v>32</v>
      </c>
      <c r="I44" s="330"/>
      <c r="J44" s="330"/>
      <c r="K44" s="330"/>
      <c r="L44" s="330"/>
      <c r="M44" s="330"/>
      <c r="N44" s="330"/>
      <c r="O44" s="330"/>
      <c r="P44" s="330"/>
      <c r="Q44" s="330"/>
      <c r="R44" s="330"/>
      <c r="S44" s="330"/>
      <c r="T44" s="330"/>
      <c r="U44" s="330"/>
      <c r="V44" s="330"/>
      <c r="W44" s="330"/>
      <c r="X44" s="330"/>
      <c r="Y44" s="330"/>
      <c r="Z44" s="330"/>
      <c r="AA44" s="330"/>
      <c r="AB44" s="330"/>
      <c r="AC44" s="330"/>
      <c r="AD44" s="330"/>
      <c r="AE44" s="330"/>
      <c r="AF44" s="320"/>
    </row>
    <row r="45" spans="1:32" x14ac:dyDescent="0.3">
      <c r="A45" s="67" t="s">
        <v>222</v>
      </c>
      <c r="B45" s="68" t="s">
        <v>223</v>
      </c>
      <c r="C45" s="197" t="s">
        <v>167</v>
      </c>
      <c r="D45" s="68" t="s">
        <v>224</v>
      </c>
      <c r="E45" s="68" t="s">
        <v>893</v>
      </c>
      <c r="F45" s="331" t="s">
        <v>88</v>
      </c>
      <c r="G45" s="331">
        <v>1</v>
      </c>
      <c r="H45" s="331">
        <v>0</v>
      </c>
      <c r="I45" s="330"/>
      <c r="J45" s="331">
        <v>0.08</v>
      </c>
      <c r="K45" s="330"/>
      <c r="L45" s="330"/>
      <c r="M45" s="330"/>
      <c r="N45" s="330"/>
      <c r="O45" s="330"/>
      <c r="P45" s="330"/>
      <c r="Q45" s="330"/>
      <c r="R45" s="330"/>
      <c r="S45" s="330"/>
      <c r="T45" s="330"/>
      <c r="U45" s="330"/>
      <c r="V45" s="330"/>
      <c r="W45" s="330"/>
      <c r="X45" s="330"/>
      <c r="Y45" s="328"/>
      <c r="Z45" s="328"/>
      <c r="AA45" s="328"/>
      <c r="AB45" s="328"/>
      <c r="AC45" s="328"/>
      <c r="AD45" s="328"/>
      <c r="AE45" s="328"/>
      <c r="AF45" s="320"/>
    </row>
    <row r="46" spans="1:32" x14ac:dyDescent="0.3">
      <c r="A46" s="67" t="s">
        <v>228</v>
      </c>
      <c r="B46" s="68" t="s">
        <v>229</v>
      </c>
      <c r="C46" s="197" t="s">
        <v>167</v>
      </c>
      <c r="D46" s="68" t="s">
        <v>176</v>
      </c>
      <c r="E46" s="68" t="s">
        <v>893</v>
      </c>
      <c r="F46" s="331" t="s">
        <v>88</v>
      </c>
      <c r="G46" s="331">
        <v>1</v>
      </c>
      <c r="H46" s="331">
        <v>0.32</v>
      </c>
      <c r="I46" s="330"/>
      <c r="J46" s="331">
        <v>0.81</v>
      </c>
      <c r="K46" s="330"/>
      <c r="L46" s="330"/>
      <c r="M46" s="330"/>
      <c r="N46" s="330"/>
      <c r="O46" s="330"/>
      <c r="P46" s="330"/>
      <c r="Q46" s="330"/>
      <c r="R46" s="330"/>
      <c r="S46" s="330"/>
      <c r="T46" s="330"/>
      <c r="U46" s="330"/>
      <c r="V46" s="330"/>
      <c r="W46" s="330"/>
      <c r="X46" s="330"/>
      <c r="Y46" s="330"/>
      <c r="Z46" s="330"/>
      <c r="AA46" s="330"/>
      <c r="AB46" s="330"/>
      <c r="AC46" s="330"/>
      <c r="AD46" s="330"/>
      <c r="AE46" s="330"/>
      <c r="AF46" s="320"/>
    </row>
    <row r="47" spans="1:32" x14ac:dyDescent="0.3">
      <c r="A47" s="67" t="s">
        <v>174</v>
      </c>
      <c r="B47" s="68" t="s">
        <v>234</v>
      </c>
      <c r="C47" s="197" t="s">
        <v>186</v>
      </c>
      <c r="D47" s="68" t="s">
        <v>168</v>
      </c>
      <c r="E47" s="68" t="s">
        <v>893</v>
      </c>
      <c r="F47" s="326" t="s">
        <v>235</v>
      </c>
      <c r="G47" s="326" t="s">
        <v>236</v>
      </c>
      <c r="H47" s="326" t="s">
        <v>2253</v>
      </c>
      <c r="I47" s="330"/>
      <c r="J47" s="326"/>
      <c r="K47" s="330"/>
      <c r="L47" s="330"/>
      <c r="M47" s="330"/>
      <c r="N47" s="330"/>
      <c r="O47" s="330"/>
      <c r="P47" s="330"/>
      <c r="Q47" s="330"/>
      <c r="R47" s="330"/>
      <c r="S47" s="330"/>
      <c r="T47" s="330"/>
      <c r="U47" s="330"/>
      <c r="V47" s="330"/>
      <c r="W47" s="330"/>
      <c r="X47" s="330"/>
      <c r="Y47" s="328"/>
      <c r="Z47" s="328"/>
      <c r="AA47" s="328"/>
      <c r="AB47" s="328"/>
      <c r="AC47" s="328"/>
      <c r="AD47" s="328"/>
      <c r="AE47" s="328"/>
      <c r="AF47" s="320"/>
    </row>
    <row r="48" spans="1:32" x14ac:dyDescent="0.3">
      <c r="A48" s="67" t="s">
        <v>174</v>
      </c>
      <c r="B48" s="68" t="s">
        <v>243</v>
      </c>
      <c r="C48" s="197" t="s">
        <v>186</v>
      </c>
      <c r="D48" s="68" t="s">
        <v>168</v>
      </c>
      <c r="E48" s="68" t="s">
        <v>894</v>
      </c>
      <c r="F48" s="326" t="s">
        <v>244</v>
      </c>
      <c r="G48" s="326" t="s">
        <v>245</v>
      </c>
      <c r="H48" s="365">
        <v>8.819444444444445E-2</v>
      </c>
      <c r="I48" s="330"/>
      <c r="J48" s="365"/>
      <c r="K48" s="330"/>
      <c r="L48" s="330"/>
      <c r="M48" s="330"/>
      <c r="N48" s="330"/>
      <c r="O48" s="330"/>
      <c r="P48" s="330"/>
      <c r="Q48" s="330"/>
      <c r="R48" s="330"/>
      <c r="S48" s="330"/>
      <c r="T48" s="330"/>
      <c r="U48" s="330"/>
      <c r="V48" s="330"/>
      <c r="W48" s="330"/>
      <c r="X48" s="330"/>
      <c r="Y48" s="330"/>
      <c r="Z48" s="330"/>
      <c r="AA48" s="330"/>
      <c r="AB48" s="330"/>
      <c r="AC48" s="330"/>
      <c r="AD48" s="330"/>
      <c r="AE48" s="330"/>
      <c r="AF48" s="320"/>
    </row>
    <row r="49" spans="1:38" x14ac:dyDescent="0.3">
      <c r="A49" s="67"/>
      <c r="B49" s="68"/>
      <c r="C49" s="68"/>
      <c r="D49" s="68"/>
      <c r="E49" s="68"/>
      <c r="F49" s="330"/>
      <c r="G49" s="330"/>
      <c r="H49" s="330"/>
      <c r="I49" s="330"/>
      <c r="J49" s="330"/>
      <c r="K49" s="330"/>
      <c r="L49" s="330"/>
      <c r="M49" s="330"/>
      <c r="N49" s="330"/>
      <c r="O49" s="330"/>
      <c r="P49" s="330"/>
      <c r="Q49" s="330"/>
      <c r="R49" s="330"/>
      <c r="S49" s="330"/>
      <c r="T49" s="330"/>
      <c r="U49" s="330"/>
      <c r="V49" s="330"/>
      <c r="W49" s="330"/>
      <c r="X49" s="330"/>
      <c r="Y49" s="328"/>
      <c r="Z49" s="328"/>
      <c r="AA49" s="328"/>
      <c r="AB49" s="328"/>
      <c r="AC49" s="328"/>
      <c r="AD49" s="328"/>
      <c r="AE49" s="328"/>
      <c r="AF49" s="320"/>
    </row>
    <row r="50" spans="1:38" x14ac:dyDescent="0.3">
      <c r="A50" s="67"/>
      <c r="B50" s="68"/>
      <c r="C50" s="68"/>
      <c r="D50" s="68"/>
      <c r="E50" s="68"/>
      <c r="F50" s="330"/>
      <c r="G50" s="330"/>
      <c r="H50" s="330"/>
      <c r="I50" s="330"/>
      <c r="J50" s="330"/>
      <c r="K50" s="330"/>
      <c r="L50" s="330"/>
      <c r="M50" s="330"/>
      <c r="N50" s="330"/>
      <c r="O50" s="330"/>
      <c r="P50" s="330"/>
      <c r="Q50" s="330"/>
      <c r="R50" s="330"/>
      <c r="S50" s="330"/>
      <c r="T50" s="330"/>
      <c r="U50" s="330"/>
      <c r="V50" s="330"/>
      <c r="W50" s="330"/>
      <c r="X50" s="330"/>
      <c r="Y50" s="330"/>
      <c r="Z50" s="330"/>
      <c r="AA50" s="330"/>
      <c r="AB50" s="330"/>
      <c r="AC50" s="330"/>
      <c r="AD50" s="330"/>
      <c r="AE50" s="330"/>
      <c r="AF50" s="320"/>
    </row>
    <row r="51" spans="1:38" x14ac:dyDescent="0.3">
      <c r="A51" s="79"/>
      <c r="B51" s="80"/>
      <c r="C51" s="80"/>
      <c r="D51" s="80"/>
      <c r="E51" s="80"/>
      <c r="F51" s="280"/>
      <c r="G51" s="280"/>
      <c r="H51" s="280"/>
      <c r="I51" s="280"/>
      <c r="J51" s="280"/>
      <c r="K51" s="280"/>
      <c r="L51" s="280"/>
      <c r="M51" s="280"/>
      <c r="N51" s="280"/>
      <c r="O51" s="280"/>
      <c r="P51" s="280"/>
      <c r="Q51" s="280"/>
      <c r="R51" s="280"/>
      <c r="S51" s="280"/>
      <c r="T51" s="280"/>
      <c r="U51" s="280"/>
      <c r="V51" s="280"/>
      <c r="W51" s="280"/>
      <c r="X51" s="280"/>
      <c r="Y51" s="328"/>
      <c r="Z51" s="328"/>
      <c r="AA51" s="328"/>
      <c r="AB51" s="328"/>
      <c r="AC51" s="328"/>
      <c r="AD51" s="328"/>
      <c r="AE51" s="328"/>
      <c r="AF51" s="320"/>
    </row>
    <row r="52" spans="1:38" x14ac:dyDescent="0.3">
      <c r="A52" s="47"/>
      <c r="B52" s="47"/>
      <c r="C52" s="47"/>
      <c r="D52" s="47"/>
      <c r="E52" s="47"/>
      <c r="F52" s="47"/>
      <c r="G52" s="47"/>
      <c r="H52" s="47"/>
      <c r="I52" s="47"/>
      <c r="J52" s="47"/>
      <c r="K52" s="47"/>
      <c r="L52" s="47"/>
      <c r="M52" s="47"/>
      <c r="N52" s="47"/>
      <c r="O52" s="47"/>
      <c r="P52" s="47"/>
      <c r="Q52" s="47"/>
      <c r="R52" s="47"/>
      <c r="S52" s="47"/>
      <c r="T52" s="47"/>
      <c r="U52" s="47"/>
      <c r="V52" s="247"/>
      <c r="W52" s="47"/>
      <c r="X52" s="47"/>
      <c r="Y52" s="47"/>
      <c r="Z52" s="47"/>
      <c r="AA52" s="47"/>
      <c r="AB52" s="47"/>
      <c r="AC52" s="47"/>
      <c r="AD52" s="47"/>
      <c r="AE52" s="47"/>
      <c r="AF52" s="47"/>
    </row>
    <row r="53" spans="1:38" ht="15.6" x14ac:dyDescent="0.3">
      <c r="A53" s="208" t="s">
        <v>252</v>
      </c>
      <c r="B53" s="208"/>
      <c r="C53" s="208"/>
      <c r="D53" s="208"/>
      <c r="E53" s="208"/>
      <c r="F53" s="208"/>
      <c r="G53" s="208"/>
      <c r="H53" s="208"/>
      <c r="I53" s="208"/>
      <c r="J53" s="208"/>
      <c r="K53" s="208"/>
      <c r="L53" s="208"/>
      <c r="M53" s="208"/>
      <c r="N53" s="208"/>
      <c r="O53" s="208"/>
      <c r="P53" s="208"/>
      <c r="Q53" s="208"/>
      <c r="R53" s="82"/>
      <c r="S53" s="209"/>
      <c r="T53" s="208"/>
      <c r="U53" s="1338" t="s">
        <v>253</v>
      </c>
      <c r="V53" s="1338"/>
      <c r="W53" s="1338"/>
      <c r="X53" s="1335" t="s">
        <v>254</v>
      </c>
      <c r="Y53" s="1335"/>
      <c r="Z53" s="1335"/>
      <c r="AA53" s="1335"/>
      <c r="AB53" s="1335" t="s">
        <v>255</v>
      </c>
      <c r="AC53" s="1335"/>
      <c r="AD53" s="1335"/>
      <c r="AE53" s="1335"/>
      <c r="AF53" s="1335" t="s">
        <v>256</v>
      </c>
      <c r="AG53" s="1335"/>
      <c r="AH53" s="1335"/>
      <c r="AI53" s="1335"/>
      <c r="AJ53" s="83"/>
      <c r="AK53" s="208"/>
      <c r="AL53" s="208"/>
    </row>
    <row r="54" spans="1:38" ht="36" x14ac:dyDescent="0.3">
      <c r="A54" s="84" t="s">
        <v>257</v>
      </c>
      <c r="B54" s="84" t="s">
        <v>259</v>
      </c>
      <c r="C54" s="84" t="s">
        <v>260</v>
      </c>
      <c r="D54" s="84" t="s">
        <v>261</v>
      </c>
      <c r="E54" s="84" t="s">
        <v>262</v>
      </c>
      <c r="F54" s="84" t="s">
        <v>263</v>
      </c>
      <c r="G54" s="84" t="s">
        <v>264</v>
      </c>
      <c r="H54" s="84" t="s">
        <v>2210</v>
      </c>
      <c r="I54" s="467" t="s">
        <v>268</v>
      </c>
      <c r="J54" s="84" t="s">
        <v>269</v>
      </c>
      <c r="K54" s="84" t="s">
        <v>270</v>
      </c>
      <c r="L54" s="84" t="s">
        <v>227</v>
      </c>
      <c r="M54" s="84" t="s">
        <v>2254</v>
      </c>
      <c r="N54" s="84" t="s">
        <v>2255</v>
      </c>
      <c r="O54" s="84" t="s">
        <v>67</v>
      </c>
      <c r="P54" s="84" t="s">
        <v>126</v>
      </c>
      <c r="Q54" s="84" t="s">
        <v>271</v>
      </c>
      <c r="R54" s="84" t="s">
        <v>272</v>
      </c>
      <c r="S54" s="85">
        <v>46023</v>
      </c>
      <c r="T54" s="85">
        <v>46054</v>
      </c>
      <c r="U54" s="85">
        <v>46082</v>
      </c>
      <c r="V54" s="86" t="s">
        <v>273</v>
      </c>
      <c r="W54" s="85">
        <v>46113</v>
      </c>
      <c r="X54" s="85">
        <v>46143</v>
      </c>
      <c r="Y54" s="85">
        <v>46174</v>
      </c>
      <c r="Z54" s="86" t="s">
        <v>274</v>
      </c>
      <c r="AA54" s="85">
        <v>46204</v>
      </c>
      <c r="AB54" s="85">
        <v>46235</v>
      </c>
      <c r="AC54" s="85">
        <v>46266</v>
      </c>
      <c r="AD54" s="86" t="s">
        <v>275</v>
      </c>
      <c r="AE54" s="85">
        <v>46296</v>
      </c>
      <c r="AF54" s="85">
        <v>46327</v>
      </c>
      <c r="AG54" s="85">
        <v>46357</v>
      </c>
      <c r="AH54" s="84" t="s">
        <v>276</v>
      </c>
      <c r="AI54" s="84" t="s">
        <v>277</v>
      </c>
      <c r="AJ54" s="84" t="s">
        <v>278</v>
      </c>
      <c r="AK54" s="62" t="s">
        <v>281</v>
      </c>
      <c r="AL54" s="84" t="s">
        <v>1350</v>
      </c>
    </row>
    <row r="55" spans="1:38" ht="29.1" customHeight="1" x14ac:dyDescent="0.3">
      <c r="A55" s="1036" t="s">
        <v>85</v>
      </c>
      <c r="B55" s="1113" t="s">
        <v>283</v>
      </c>
      <c r="C55" s="1115" t="s">
        <v>2256</v>
      </c>
      <c r="D55" s="1303" t="s">
        <v>285</v>
      </c>
      <c r="E55" s="1040" t="s">
        <v>2257</v>
      </c>
      <c r="F55" s="1117">
        <v>46027</v>
      </c>
      <c r="G55" s="1117">
        <v>46087</v>
      </c>
      <c r="H55" s="1074">
        <f>33160*10</f>
        <v>331600</v>
      </c>
      <c r="I55" s="1074"/>
      <c r="J55" s="1119" t="s">
        <v>287</v>
      </c>
      <c r="K55" s="1325">
        <v>160178.29</v>
      </c>
      <c r="L55" s="1325" t="s">
        <v>2249</v>
      </c>
      <c r="M55" s="1336">
        <v>0.15</v>
      </c>
      <c r="N55" s="1325">
        <f>K55*M55</f>
        <v>24026.7435</v>
      </c>
      <c r="O55" s="1057" t="s">
        <v>80</v>
      </c>
      <c r="P55" s="1057">
        <v>1</v>
      </c>
      <c r="Q55" s="87" t="s">
        <v>106</v>
      </c>
      <c r="R55" s="91">
        <f ca="1">IF(OR(F55="", G55=""), "", IF(TODAY()&lt;F55, 0, IF(TODAY()&gt;G55, 1, (TODAY()-F55+1)/(G55-F55+1))))</f>
        <v>1</v>
      </c>
      <c r="S55" s="88">
        <v>0</v>
      </c>
      <c r="T55" s="88">
        <v>0</v>
      </c>
      <c r="U55" s="88">
        <v>33166</v>
      </c>
      <c r="V55" s="89">
        <f>SUM(S55:U55)</f>
        <v>33166</v>
      </c>
      <c r="W55" s="88">
        <v>33166</v>
      </c>
      <c r="X55" s="88">
        <v>33166</v>
      </c>
      <c r="Y55" s="88">
        <v>33166</v>
      </c>
      <c r="Z55" s="89">
        <f t="shared" ref="Z55:Z80" si="9">SUM(W55:Y55)</f>
        <v>99498</v>
      </c>
      <c r="AA55" s="88">
        <v>33166</v>
      </c>
      <c r="AB55" s="88">
        <v>33166</v>
      </c>
      <c r="AC55" s="88">
        <v>33166</v>
      </c>
      <c r="AD55" s="89">
        <f t="shared" ref="AD55:AD114" si="10">SUM(AA55:AC55)</f>
        <v>99498</v>
      </c>
      <c r="AE55" s="88">
        <v>33166</v>
      </c>
      <c r="AF55" s="88">
        <v>33166</v>
      </c>
      <c r="AG55" s="88">
        <v>33166</v>
      </c>
      <c r="AH55" s="89">
        <f t="shared" ref="AH55:AH114" si="11">SUM(AE55:AG55)</f>
        <v>99498</v>
      </c>
      <c r="AI55" s="90">
        <f>SUM(V55,Z55,AD55,AH55)</f>
        <v>331660</v>
      </c>
      <c r="AJ55" s="98" t="s">
        <v>288</v>
      </c>
      <c r="AK55" s="62" t="str">
        <f>B55</f>
        <v>01 - Redução de peso bruto DA000489A</v>
      </c>
      <c r="AL55" s="1695" t="str">
        <f>IF(S55&gt;0,"janeiro",
IF(T55&gt;0,"fevereiro",
IF(U55&gt;0,"março",
IF(W55&gt;0,"abril",
IF(X55&gt;0,"maio",
IF(Y55&gt;0,"junho",
IF(AA55&gt;0,"julho",
IF(AB55&gt;0,"agosto",
IF(AC55&gt;0,"setembro",
IF(AE55&gt;0,"outubro",
IF(AF55&gt;0,"novembro",
IF(AG55&gt;0,"dezembro",
""))))))))))))</f>
        <v>março</v>
      </c>
    </row>
    <row r="56" spans="1:38" ht="29.1" customHeight="1" x14ac:dyDescent="0.3">
      <c r="A56" s="1037"/>
      <c r="B56" s="1114"/>
      <c r="C56" s="1116"/>
      <c r="D56" s="1304"/>
      <c r="E56" s="1041"/>
      <c r="F56" s="1118"/>
      <c r="G56" s="1118"/>
      <c r="H56" s="1075"/>
      <c r="I56" s="1075"/>
      <c r="J56" s="1120"/>
      <c r="K56" s="1075"/>
      <c r="L56" s="1326"/>
      <c r="M56" s="1337"/>
      <c r="N56" s="1326"/>
      <c r="O56" s="1058"/>
      <c r="P56" s="1058"/>
      <c r="Q56" s="87" t="s">
        <v>107</v>
      </c>
      <c r="R56" s="91">
        <v>0.85</v>
      </c>
      <c r="S56" s="309">
        <v>0</v>
      </c>
      <c r="T56" s="309"/>
      <c r="U56" s="309"/>
      <c r="V56" s="310">
        <f t="shared" ref="V56" si="12">SUM(S56:U56)</f>
        <v>0</v>
      </c>
      <c r="W56" s="309"/>
      <c r="X56" s="309"/>
      <c r="Y56" s="309"/>
      <c r="Z56" s="310">
        <f t="shared" si="9"/>
        <v>0</v>
      </c>
      <c r="AA56" s="309"/>
      <c r="AB56" s="309"/>
      <c r="AC56" s="309"/>
      <c r="AD56" s="310">
        <f t="shared" si="10"/>
        <v>0</v>
      </c>
      <c r="AE56" s="309"/>
      <c r="AF56" s="309"/>
      <c r="AG56" s="309"/>
      <c r="AH56" s="310">
        <f t="shared" si="11"/>
        <v>0</v>
      </c>
      <c r="AI56" s="311">
        <f t="shared" ref="AI56:AI114" si="13">SUM(V56,Z56,AD56,AH56)</f>
        <v>0</v>
      </c>
      <c r="AJ56" s="360" t="s">
        <v>290</v>
      </c>
      <c r="AK56" s="62" t="str">
        <f>B55</f>
        <v>01 - Redução de peso bruto DA000489A</v>
      </c>
      <c r="AL56" s="1696"/>
    </row>
    <row r="57" spans="1:38" ht="29.1" customHeight="1" x14ac:dyDescent="0.3">
      <c r="A57" s="1038" t="s">
        <v>76</v>
      </c>
      <c r="B57" s="1095" t="s">
        <v>2258</v>
      </c>
      <c r="C57" s="1097" t="s">
        <v>2259</v>
      </c>
      <c r="D57" s="1363" t="s">
        <v>2260</v>
      </c>
      <c r="E57" s="1099" t="s">
        <v>295</v>
      </c>
      <c r="F57" s="1150">
        <v>46032</v>
      </c>
      <c r="G57" s="1150">
        <v>46081</v>
      </c>
      <c r="H57" s="1152">
        <v>135186</v>
      </c>
      <c r="I57" s="1076"/>
      <c r="J57" s="1072"/>
      <c r="K57" s="1055"/>
      <c r="L57" s="1055"/>
      <c r="M57" s="1055"/>
      <c r="N57" s="1055"/>
      <c r="O57" s="1042" t="s">
        <v>80</v>
      </c>
      <c r="P57" s="1042">
        <v>1</v>
      </c>
      <c r="Q57" s="93" t="s">
        <v>106</v>
      </c>
      <c r="R57" s="96">
        <f ca="1">IF(OR(F57="", G57=""), "", IF(TODAY()&lt;F57, 0, IF(TODAY()&gt;G57, 1, (TODAY()-F57+1)/(G57-F57+1))))</f>
        <v>1</v>
      </c>
      <c r="S57" s="94">
        <v>10886</v>
      </c>
      <c r="T57" s="94">
        <v>11300</v>
      </c>
      <c r="U57" s="94">
        <v>11300</v>
      </c>
      <c r="V57" s="89">
        <f t="shared" ref="V57:V81" si="14">SUM(S57:U57)</f>
        <v>33486</v>
      </c>
      <c r="W57" s="94">
        <v>11300</v>
      </c>
      <c r="X57" s="94">
        <v>11300</v>
      </c>
      <c r="Y57" s="94">
        <v>11300</v>
      </c>
      <c r="Z57" s="89">
        <f t="shared" si="9"/>
        <v>33900</v>
      </c>
      <c r="AA57" s="94">
        <v>11300</v>
      </c>
      <c r="AB57" s="94">
        <v>11300</v>
      </c>
      <c r="AC57" s="94">
        <v>11300</v>
      </c>
      <c r="AD57" s="89">
        <f t="shared" si="10"/>
        <v>33900</v>
      </c>
      <c r="AE57" s="94">
        <v>11300</v>
      </c>
      <c r="AF57" s="94">
        <v>11300</v>
      </c>
      <c r="AG57" s="94">
        <v>11300</v>
      </c>
      <c r="AH57" s="89">
        <f t="shared" si="11"/>
        <v>33900</v>
      </c>
      <c r="AI57" s="95">
        <f t="shared" si="13"/>
        <v>135186</v>
      </c>
      <c r="AJ57" s="97" t="s">
        <v>296</v>
      </c>
      <c r="AK57" s="62" t="str">
        <f>B57</f>
        <v xml:space="preserve">02 - Eficiência uso de eletricidade </v>
      </c>
      <c r="AL57" s="1695" t="str">
        <f t="shared" ref="AL57" si="15">IF(S57&gt;0,"janeiro",
IF(T57&gt;0,"fevereiro",
IF(U57&gt;0,"março",
IF(W57&gt;0,"abril",
IF(X57&gt;0,"maio",
IF(Y57&gt;0,"junho",
IF(AA57&gt;0,"julho",
IF(AB57&gt;0,"agosto",
IF(AC57&gt;0,"setembro",
IF(AE57&gt;0,"outubro",
IF(AF57&gt;0,"novembro",
IF(AG57&gt;0,"dezembro",
""))))))))))))</f>
        <v>janeiro</v>
      </c>
    </row>
    <row r="58" spans="1:38" ht="29.1" customHeight="1" x14ac:dyDescent="0.3">
      <c r="A58" s="1039"/>
      <c r="B58" s="1096"/>
      <c r="C58" s="1098"/>
      <c r="D58" s="1364"/>
      <c r="E58" s="1100"/>
      <c r="F58" s="1151"/>
      <c r="G58" s="1151"/>
      <c r="H58" s="1151"/>
      <c r="I58" s="1077"/>
      <c r="J58" s="1073"/>
      <c r="K58" s="1056"/>
      <c r="L58" s="1056"/>
      <c r="M58" s="1056"/>
      <c r="N58" s="1056"/>
      <c r="O58" s="1043"/>
      <c r="P58" s="1043"/>
      <c r="Q58" s="93" t="s">
        <v>107</v>
      </c>
      <c r="R58" s="96">
        <v>0.9</v>
      </c>
      <c r="S58" s="312">
        <v>19000</v>
      </c>
      <c r="T58" s="312"/>
      <c r="U58" s="312"/>
      <c r="V58" s="310">
        <f t="shared" si="14"/>
        <v>19000</v>
      </c>
      <c r="W58" s="312"/>
      <c r="X58" s="312"/>
      <c r="Y58" s="312"/>
      <c r="Z58" s="310">
        <f t="shared" si="9"/>
        <v>0</v>
      </c>
      <c r="AA58" s="312"/>
      <c r="AB58" s="312"/>
      <c r="AC58" s="312"/>
      <c r="AD58" s="310">
        <f t="shared" si="10"/>
        <v>0</v>
      </c>
      <c r="AE58" s="312"/>
      <c r="AF58" s="312"/>
      <c r="AG58" s="312"/>
      <c r="AH58" s="310">
        <f t="shared" si="11"/>
        <v>0</v>
      </c>
      <c r="AI58" s="313">
        <f t="shared" si="13"/>
        <v>19000</v>
      </c>
      <c r="AJ58" s="97" t="s">
        <v>297</v>
      </c>
      <c r="AK58" s="62" t="str">
        <f>B57</f>
        <v xml:space="preserve">02 - Eficiência uso de eletricidade </v>
      </c>
      <c r="AL58" s="1696"/>
    </row>
    <row r="59" spans="1:38" ht="29.1" customHeight="1" x14ac:dyDescent="0.3">
      <c r="A59" s="1036" t="s">
        <v>76</v>
      </c>
      <c r="B59" s="1113" t="s">
        <v>298</v>
      </c>
      <c r="C59" s="1115" t="s">
        <v>2261</v>
      </c>
      <c r="D59" s="1303" t="s">
        <v>300</v>
      </c>
      <c r="E59" s="1040" t="s">
        <v>301</v>
      </c>
      <c r="F59" s="1117">
        <v>46023</v>
      </c>
      <c r="G59" s="1117">
        <v>46112</v>
      </c>
      <c r="H59" s="1074">
        <v>20000</v>
      </c>
      <c r="I59" s="1074"/>
      <c r="J59" s="1305"/>
      <c r="K59" s="1307"/>
      <c r="L59" s="1325"/>
      <c r="M59" s="1325"/>
      <c r="N59" s="1325"/>
      <c r="O59" s="1057" t="s">
        <v>77</v>
      </c>
      <c r="P59" s="1057">
        <v>1</v>
      </c>
      <c r="Q59" s="87" t="s">
        <v>106</v>
      </c>
      <c r="R59" s="91">
        <f ca="1">IF(OR(F59="", G59=""), "", IF(TODAY()&lt;F59, 0, IF(TODAY()&gt;G59, 1, (TODAY()-F59+1)/(G59-F59+1))))</f>
        <v>1</v>
      </c>
      <c r="S59" s="88">
        <v>0</v>
      </c>
      <c r="T59" s="88">
        <v>0</v>
      </c>
      <c r="U59" s="88">
        <v>2000</v>
      </c>
      <c r="V59" s="89">
        <f t="shared" si="14"/>
        <v>2000</v>
      </c>
      <c r="W59" s="88">
        <v>2000</v>
      </c>
      <c r="X59" s="88">
        <v>2000</v>
      </c>
      <c r="Y59" s="88">
        <v>2000</v>
      </c>
      <c r="Z59" s="89">
        <f t="shared" si="9"/>
        <v>6000</v>
      </c>
      <c r="AA59" s="88">
        <v>2000</v>
      </c>
      <c r="AB59" s="88">
        <v>2000</v>
      </c>
      <c r="AC59" s="88">
        <v>2000</v>
      </c>
      <c r="AD59" s="89">
        <f t="shared" si="10"/>
        <v>6000</v>
      </c>
      <c r="AE59" s="88">
        <v>2000</v>
      </c>
      <c r="AF59" s="88">
        <v>2000</v>
      </c>
      <c r="AG59" s="88">
        <v>2000</v>
      </c>
      <c r="AH59" s="89">
        <f t="shared" si="11"/>
        <v>6000</v>
      </c>
      <c r="AI59" s="90">
        <f t="shared" si="13"/>
        <v>20000</v>
      </c>
      <c r="AJ59" s="98" t="s">
        <v>302</v>
      </c>
      <c r="AK59" s="62" t="str">
        <f>B59</f>
        <v>03 - Otimização de processo - Cavalo Marinho</v>
      </c>
      <c r="AL59" s="1695" t="str">
        <f t="shared" ref="AL59" si="16">IF(S59&gt;0,"janeiro",
IF(T59&gt;0,"fevereiro",
IF(U59&gt;0,"março",
IF(W59&gt;0,"abril",
IF(X59&gt;0,"maio",
IF(Y59&gt;0,"junho",
IF(AA59&gt;0,"julho",
IF(AB59&gt;0,"agosto",
IF(AC59&gt;0,"setembro",
IF(AE59&gt;0,"outubro",
IF(AF59&gt;0,"novembro",
IF(AG59&gt;0,"dezembro",
""))))))))))))</f>
        <v>março</v>
      </c>
    </row>
    <row r="60" spans="1:38" ht="29.1" customHeight="1" x14ac:dyDescent="0.3">
      <c r="A60" s="1037"/>
      <c r="B60" s="1114"/>
      <c r="C60" s="1116"/>
      <c r="D60" s="1304"/>
      <c r="E60" s="1041"/>
      <c r="F60" s="1118"/>
      <c r="G60" s="1118"/>
      <c r="H60" s="1075"/>
      <c r="I60" s="1075"/>
      <c r="J60" s="1306"/>
      <c r="K60" s="1054"/>
      <c r="L60" s="1326"/>
      <c r="M60" s="1326"/>
      <c r="N60" s="1326"/>
      <c r="O60" s="1058"/>
      <c r="P60" s="1058"/>
      <c r="Q60" s="87" t="s">
        <v>107</v>
      </c>
      <c r="R60" s="91">
        <v>1</v>
      </c>
      <c r="S60" s="309">
        <v>0</v>
      </c>
      <c r="T60" s="309"/>
      <c r="U60" s="309"/>
      <c r="V60" s="310">
        <f t="shared" si="14"/>
        <v>0</v>
      </c>
      <c r="W60" s="309"/>
      <c r="X60" s="309"/>
      <c r="Y60" s="309"/>
      <c r="Z60" s="310">
        <f t="shared" si="9"/>
        <v>0</v>
      </c>
      <c r="AA60" s="309"/>
      <c r="AB60" s="309"/>
      <c r="AC60" s="309"/>
      <c r="AD60" s="310">
        <f t="shared" si="10"/>
        <v>0</v>
      </c>
      <c r="AE60" s="309"/>
      <c r="AF60" s="309"/>
      <c r="AG60" s="309"/>
      <c r="AH60" s="310">
        <f t="shared" si="11"/>
        <v>0</v>
      </c>
      <c r="AI60" s="311">
        <f t="shared" si="13"/>
        <v>0</v>
      </c>
      <c r="AJ60" s="92" t="s">
        <v>303</v>
      </c>
      <c r="AK60" s="62" t="str">
        <f>B59</f>
        <v>03 - Otimização de processo - Cavalo Marinho</v>
      </c>
      <c r="AL60" s="1696"/>
    </row>
    <row r="61" spans="1:38" ht="29.1" customHeight="1" x14ac:dyDescent="0.3">
      <c r="A61" s="1038" t="s">
        <v>76</v>
      </c>
      <c r="B61" s="1095" t="s">
        <v>304</v>
      </c>
      <c r="C61" s="1097" t="s">
        <v>305</v>
      </c>
      <c r="D61" s="1363" t="s">
        <v>306</v>
      </c>
      <c r="E61" s="1099" t="s">
        <v>307</v>
      </c>
      <c r="F61" s="1101">
        <v>46023</v>
      </c>
      <c r="G61" s="1101">
        <v>46054</v>
      </c>
      <c r="H61" s="1152">
        <v>35000</v>
      </c>
      <c r="I61" s="1076"/>
      <c r="J61" s="1072"/>
      <c r="K61" s="1055"/>
      <c r="L61" s="1055"/>
      <c r="M61" s="1055"/>
      <c r="N61" s="1055"/>
      <c r="O61" s="1042" t="s">
        <v>77</v>
      </c>
      <c r="P61" s="1042">
        <v>1</v>
      </c>
      <c r="Q61" s="93" t="s">
        <v>106</v>
      </c>
      <c r="R61" s="96">
        <f ca="1">IF(OR(F61="", G61=""), "", IF(TODAY()&lt;F61, 0, IF(TODAY()&gt;G61, 1, (TODAY()-F61+1)/(G61-F61+1))))</f>
        <v>1</v>
      </c>
      <c r="S61" s="94">
        <v>0</v>
      </c>
      <c r="T61" s="94">
        <v>0</v>
      </c>
      <c r="U61" s="94">
        <v>3500</v>
      </c>
      <c r="V61" s="89">
        <f t="shared" si="14"/>
        <v>3500</v>
      </c>
      <c r="W61" s="94">
        <v>3500</v>
      </c>
      <c r="X61" s="94">
        <v>3500</v>
      </c>
      <c r="Y61" s="94">
        <v>3500</v>
      </c>
      <c r="Z61" s="89">
        <f t="shared" si="9"/>
        <v>10500</v>
      </c>
      <c r="AA61" s="94">
        <v>3500</v>
      </c>
      <c r="AB61" s="94">
        <v>3500</v>
      </c>
      <c r="AC61" s="94">
        <v>3500</v>
      </c>
      <c r="AD61" s="89">
        <f t="shared" si="10"/>
        <v>10500</v>
      </c>
      <c r="AE61" s="94">
        <v>3500</v>
      </c>
      <c r="AF61" s="94">
        <v>3500</v>
      </c>
      <c r="AG61" s="94">
        <v>3500</v>
      </c>
      <c r="AH61" s="89">
        <f>SUM(AE61:AG61)</f>
        <v>10500</v>
      </c>
      <c r="AI61" s="95">
        <f t="shared" si="13"/>
        <v>35000</v>
      </c>
      <c r="AJ61" s="97" t="s">
        <v>308</v>
      </c>
      <c r="AK61" s="62" t="str">
        <f>B61</f>
        <v>04 - Otimização de processo - Pulmão</v>
      </c>
      <c r="AL61" s="1695" t="str">
        <f t="shared" ref="AL61" si="17">IF(S61&gt;0,"janeiro",
IF(T61&gt;0,"fevereiro",
IF(U61&gt;0,"março",
IF(W61&gt;0,"abril",
IF(X61&gt;0,"maio",
IF(Y61&gt;0,"junho",
IF(AA61&gt;0,"julho",
IF(AB61&gt;0,"agosto",
IF(AC61&gt;0,"setembro",
IF(AE61&gt;0,"outubro",
IF(AF61&gt;0,"novembro",
IF(AG61&gt;0,"dezembro",
""))))))))))))</f>
        <v>março</v>
      </c>
    </row>
    <row r="62" spans="1:38" ht="29.1" customHeight="1" x14ac:dyDescent="0.3">
      <c r="A62" s="1039"/>
      <c r="B62" s="1096"/>
      <c r="C62" s="1098"/>
      <c r="D62" s="1364"/>
      <c r="E62" s="1100"/>
      <c r="F62" s="1102"/>
      <c r="G62" s="1102"/>
      <c r="H62" s="1151"/>
      <c r="I62" s="1077"/>
      <c r="J62" s="1073"/>
      <c r="K62" s="1056"/>
      <c r="L62" s="1056"/>
      <c r="M62" s="1056"/>
      <c r="N62" s="1056"/>
      <c r="O62" s="1043"/>
      <c r="P62" s="1043"/>
      <c r="Q62" s="93" t="s">
        <v>107</v>
      </c>
      <c r="R62" s="96">
        <v>1</v>
      </c>
      <c r="S62" s="312">
        <v>0</v>
      </c>
      <c r="T62" s="312"/>
      <c r="U62" s="312"/>
      <c r="V62" s="310">
        <f t="shared" si="14"/>
        <v>0</v>
      </c>
      <c r="W62" s="312"/>
      <c r="X62" s="312"/>
      <c r="Y62" s="312"/>
      <c r="Z62" s="310">
        <f t="shared" si="9"/>
        <v>0</v>
      </c>
      <c r="AA62" s="312"/>
      <c r="AB62" s="312"/>
      <c r="AC62" s="312"/>
      <c r="AD62" s="310">
        <f t="shared" si="10"/>
        <v>0</v>
      </c>
      <c r="AE62" s="312"/>
      <c r="AF62" s="312"/>
      <c r="AG62" s="312"/>
      <c r="AH62" s="310">
        <f t="shared" si="11"/>
        <v>0</v>
      </c>
      <c r="AI62" s="313">
        <f t="shared" si="13"/>
        <v>0</v>
      </c>
      <c r="AJ62" s="97" t="s">
        <v>309</v>
      </c>
      <c r="AK62" s="62" t="str">
        <f>B61</f>
        <v>04 - Otimização de processo - Pulmão</v>
      </c>
      <c r="AL62" s="1696"/>
    </row>
    <row r="63" spans="1:38" ht="29.1" customHeight="1" x14ac:dyDescent="0.3">
      <c r="A63" s="1036" t="s">
        <v>310</v>
      </c>
      <c r="B63" s="1113" t="s">
        <v>311</v>
      </c>
      <c r="C63" s="1115" t="s">
        <v>2262</v>
      </c>
      <c r="D63" s="1303" t="s">
        <v>313</v>
      </c>
      <c r="E63" s="1040" t="s">
        <v>295</v>
      </c>
      <c r="F63" s="1117">
        <v>46027</v>
      </c>
      <c r="G63" s="1117">
        <v>46078</v>
      </c>
      <c r="H63" s="1074">
        <f>5671*11</f>
        <v>62381</v>
      </c>
      <c r="I63" s="1074"/>
      <c r="J63" s="1312" t="s">
        <v>287</v>
      </c>
      <c r="K63" s="1053">
        <v>56610.76</v>
      </c>
      <c r="L63" s="1325" t="s">
        <v>27</v>
      </c>
      <c r="M63" s="1336">
        <v>0.1</v>
      </c>
      <c r="N63" s="1325">
        <f>K63*M63</f>
        <v>5661.0760000000009</v>
      </c>
      <c r="O63" s="1074" t="s">
        <v>77</v>
      </c>
      <c r="P63" s="1057">
        <v>1</v>
      </c>
      <c r="Q63" s="87" t="s">
        <v>106</v>
      </c>
      <c r="R63" s="91">
        <f ca="1">IF(OR(F63="", G63=""), "", IF(TODAY()&lt;F63, 0, IF(TODAY()&gt;G63, 1, (TODAY()-F63+1)/(G63-F63+1))))</f>
        <v>1</v>
      </c>
      <c r="S63" s="88">
        <v>0</v>
      </c>
      <c r="T63" s="88">
        <v>5671</v>
      </c>
      <c r="U63" s="88">
        <v>5671</v>
      </c>
      <c r="V63" s="89">
        <f t="shared" si="14"/>
        <v>11342</v>
      </c>
      <c r="W63" s="88">
        <v>5671</v>
      </c>
      <c r="X63" s="88">
        <v>5671</v>
      </c>
      <c r="Y63" s="88">
        <v>5671</v>
      </c>
      <c r="Z63" s="89">
        <f t="shared" si="9"/>
        <v>17013</v>
      </c>
      <c r="AA63" s="88">
        <v>5671</v>
      </c>
      <c r="AB63" s="88">
        <v>5671</v>
      </c>
      <c r="AC63" s="88">
        <v>5671</v>
      </c>
      <c r="AD63" s="89">
        <f t="shared" si="10"/>
        <v>17013</v>
      </c>
      <c r="AE63" s="88">
        <v>5671</v>
      </c>
      <c r="AF63" s="88">
        <v>5671</v>
      </c>
      <c r="AG63" s="88">
        <v>5671</v>
      </c>
      <c r="AH63" s="89">
        <f t="shared" si="11"/>
        <v>17013</v>
      </c>
      <c r="AI63" s="90">
        <f t="shared" si="13"/>
        <v>62381</v>
      </c>
      <c r="AJ63" s="360" t="s">
        <v>314</v>
      </c>
      <c r="AK63" s="62" t="str">
        <f>B63</f>
        <v>05 - Empilhadeira - Diadema</v>
      </c>
      <c r="AL63" s="1695" t="str">
        <f t="shared" ref="AL63" si="18">IF(S63&gt;0,"janeiro",
IF(T63&gt;0,"fevereiro",
IF(U63&gt;0,"março",
IF(W63&gt;0,"abril",
IF(X63&gt;0,"maio",
IF(Y63&gt;0,"junho",
IF(AA63&gt;0,"julho",
IF(AB63&gt;0,"agosto",
IF(AC63&gt;0,"setembro",
IF(AE63&gt;0,"outubro",
IF(AF63&gt;0,"novembro",
IF(AG63&gt;0,"dezembro",
""))))))))))))</f>
        <v>fevereiro</v>
      </c>
    </row>
    <row r="64" spans="1:38" ht="29.1" customHeight="1" x14ac:dyDescent="0.3">
      <c r="A64" s="1037"/>
      <c r="B64" s="1114"/>
      <c r="C64" s="1116"/>
      <c r="D64" s="1304"/>
      <c r="E64" s="1041"/>
      <c r="F64" s="1118"/>
      <c r="G64" s="1118"/>
      <c r="H64" s="1075"/>
      <c r="I64" s="1075"/>
      <c r="J64" s="1313"/>
      <c r="K64" s="1417"/>
      <c r="L64" s="1326"/>
      <c r="M64" s="1337"/>
      <c r="N64" s="1326"/>
      <c r="O64" s="1075"/>
      <c r="P64" s="1058"/>
      <c r="Q64" s="87" t="s">
        <v>107</v>
      </c>
      <c r="R64" s="91">
        <v>1</v>
      </c>
      <c r="S64" s="309">
        <v>0</v>
      </c>
      <c r="T64" s="309"/>
      <c r="U64" s="309"/>
      <c r="V64" s="310">
        <f t="shared" si="14"/>
        <v>0</v>
      </c>
      <c r="W64" s="309"/>
      <c r="X64" s="309"/>
      <c r="Y64" s="309"/>
      <c r="Z64" s="310">
        <f t="shared" si="9"/>
        <v>0</v>
      </c>
      <c r="AA64" s="309"/>
      <c r="AB64" s="309"/>
      <c r="AC64" s="309"/>
      <c r="AD64" s="310">
        <f t="shared" si="10"/>
        <v>0</v>
      </c>
      <c r="AE64" s="309"/>
      <c r="AF64" s="309"/>
      <c r="AG64" s="309"/>
      <c r="AH64" s="310">
        <f t="shared" si="11"/>
        <v>0</v>
      </c>
      <c r="AI64" s="311">
        <f t="shared" si="13"/>
        <v>0</v>
      </c>
      <c r="AJ64" s="92" t="s">
        <v>2263</v>
      </c>
      <c r="AK64" s="62" t="str">
        <f>B63</f>
        <v>05 - Empilhadeira - Diadema</v>
      </c>
      <c r="AL64" s="1696"/>
    </row>
    <row r="65" spans="1:38" ht="29.1" customHeight="1" x14ac:dyDescent="0.3">
      <c r="A65" s="1038" t="s">
        <v>310</v>
      </c>
      <c r="B65" s="1095" t="s">
        <v>316</v>
      </c>
      <c r="C65" s="1097" t="s">
        <v>317</v>
      </c>
      <c r="D65" s="1363" t="s">
        <v>2264</v>
      </c>
      <c r="E65" s="1099" t="s">
        <v>295</v>
      </c>
      <c r="F65" s="1101">
        <v>46070</v>
      </c>
      <c r="G65" s="1101">
        <v>46112</v>
      </c>
      <c r="H65" s="1152">
        <v>270000</v>
      </c>
      <c r="I65" s="1076"/>
      <c r="J65" s="1072"/>
      <c r="K65" s="1055"/>
      <c r="L65" s="1055"/>
      <c r="M65" s="1055"/>
      <c r="N65" s="1055"/>
      <c r="O65" s="1042" t="s">
        <v>80</v>
      </c>
      <c r="P65" s="1042">
        <v>1</v>
      </c>
      <c r="Q65" s="93" t="s">
        <v>106</v>
      </c>
      <c r="R65" s="96">
        <f ca="1">IF(OR(F65="", G65=""), "", IF(TODAY()&lt;F65, 0, IF(TODAY()&gt;G65, 1, (TODAY()-F65+1)/(G65-F65+1))))</f>
        <v>1</v>
      </c>
      <c r="S65" s="94">
        <v>0</v>
      </c>
      <c r="T65" s="94">
        <v>0</v>
      </c>
      <c r="U65" s="94">
        <v>0</v>
      </c>
      <c r="V65" s="89">
        <f t="shared" si="14"/>
        <v>0</v>
      </c>
      <c r="W65" s="94">
        <v>30000</v>
      </c>
      <c r="X65" s="94">
        <v>30000</v>
      </c>
      <c r="Y65" s="94">
        <v>30000</v>
      </c>
      <c r="Z65" s="89">
        <f t="shared" si="9"/>
        <v>90000</v>
      </c>
      <c r="AA65" s="94">
        <v>30000</v>
      </c>
      <c r="AB65" s="94">
        <v>30000</v>
      </c>
      <c r="AC65" s="94">
        <v>30000</v>
      </c>
      <c r="AD65" s="89">
        <f t="shared" si="10"/>
        <v>90000</v>
      </c>
      <c r="AE65" s="94">
        <v>30000</v>
      </c>
      <c r="AF65" s="94">
        <v>30000</v>
      </c>
      <c r="AG65" s="94">
        <v>30000</v>
      </c>
      <c r="AH65" s="89">
        <f t="shared" si="11"/>
        <v>90000</v>
      </c>
      <c r="AI65" s="95">
        <f t="shared" si="13"/>
        <v>270000</v>
      </c>
      <c r="AJ65" s="97" t="s">
        <v>2265</v>
      </c>
      <c r="AK65" s="62" t="str">
        <f>B65</f>
        <v>06 - Produtividade</v>
      </c>
      <c r="AL65" s="1695" t="str">
        <f t="shared" ref="AL65" si="19">IF(S65&gt;0,"janeiro",
IF(T65&gt;0,"fevereiro",
IF(U65&gt;0,"março",
IF(W65&gt;0,"abril",
IF(X65&gt;0,"maio",
IF(Y65&gt;0,"junho",
IF(AA65&gt;0,"julho",
IF(AB65&gt;0,"agosto",
IF(AC65&gt;0,"setembro",
IF(AE65&gt;0,"outubro",
IF(AF65&gt;0,"novembro",
IF(AG65&gt;0,"dezembro",
""))))))))))))</f>
        <v>abril</v>
      </c>
    </row>
    <row r="66" spans="1:38" ht="29.1" customHeight="1" x14ac:dyDescent="0.3">
      <c r="A66" s="1039"/>
      <c r="B66" s="1096"/>
      <c r="C66" s="1098"/>
      <c r="D66" s="1364"/>
      <c r="E66" s="1100"/>
      <c r="F66" s="1102"/>
      <c r="G66" s="1102"/>
      <c r="H66" s="1151"/>
      <c r="I66" s="1077"/>
      <c r="J66" s="1073"/>
      <c r="K66" s="1056"/>
      <c r="L66" s="1056"/>
      <c r="M66" s="1056"/>
      <c r="N66" s="1056"/>
      <c r="O66" s="1043"/>
      <c r="P66" s="1043"/>
      <c r="Q66" s="93" t="s">
        <v>107</v>
      </c>
      <c r="R66" s="96">
        <v>0.1</v>
      </c>
      <c r="S66" s="312">
        <v>0</v>
      </c>
      <c r="T66" s="312">
        <v>0</v>
      </c>
      <c r="U66" s="312">
        <v>0</v>
      </c>
      <c r="V66" s="310">
        <f t="shared" si="14"/>
        <v>0</v>
      </c>
      <c r="W66" s="312"/>
      <c r="X66" s="312"/>
      <c r="Y66" s="312"/>
      <c r="Z66" s="310">
        <f t="shared" si="9"/>
        <v>0</v>
      </c>
      <c r="AA66" s="312"/>
      <c r="AB66" s="312"/>
      <c r="AC66" s="312"/>
      <c r="AD66" s="310">
        <f t="shared" si="10"/>
        <v>0</v>
      </c>
      <c r="AE66" s="312"/>
      <c r="AF66" s="312"/>
      <c r="AG66" s="312"/>
      <c r="AH66" s="310">
        <f t="shared" si="11"/>
        <v>0</v>
      </c>
      <c r="AI66" s="313">
        <f t="shared" si="13"/>
        <v>0</v>
      </c>
      <c r="AJ66" s="97"/>
      <c r="AK66" s="62" t="str">
        <f>B65</f>
        <v>06 - Produtividade</v>
      </c>
      <c r="AL66" s="1696"/>
    </row>
    <row r="67" spans="1:38" ht="29.1" customHeight="1" x14ac:dyDescent="0.3">
      <c r="A67" s="1036" t="s">
        <v>310</v>
      </c>
      <c r="B67" s="1113" t="s">
        <v>320</v>
      </c>
      <c r="C67" s="1389"/>
      <c r="D67" s="1303" t="s">
        <v>322</v>
      </c>
      <c r="E67" s="1040" t="s">
        <v>295</v>
      </c>
      <c r="F67" s="1117">
        <v>46023</v>
      </c>
      <c r="G67" s="1117">
        <v>46054</v>
      </c>
      <c r="H67" s="1074">
        <f>1500*11</f>
        <v>16500</v>
      </c>
      <c r="I67" s="1074"/>
      <c r="J67" s="1305"/>
      <c r="K67" s="1307"/>
      <c r="L67" s="1325"/>
      <c r="M67" s="1325"/>
      <c r="N67" s="1325"/>
      <c r="O67" s="1074" t="s">
        <v>80</v>
      </c>
      <c r="P67" s="1057">
        <v>1</v>
      </c>
      <c r="Q67" s="87" t="s">
        <v>106</v>
      </c>
      <c r="R67" s="91">
        <f ca="1">IF(OR(F67="", G67=""), "", IF(TODAY()&lt;F67, 0, IF(TODAY()&gt;G67, 1, (TODAY()-F67+1)/(G67-F67+1))))</f>
        <v>1</v>
      </c>
      <c r="S67" s="88">
        <v>0</v>
      </c>
      <c r="T67" s="88">
        <v>1500</v>
      </c>
      <c r="U67" s="88">
        <v>1500</v>
      </c>
      <c r="V67" s="89">
        <f t="shared" si="14"/>
        <v>3000</v>
      </c>
      <c r="W67" s="88">
        <v>1500</v>
      </c>
      <c r="X67" s="88">
        <v>1500</v>
      </c>
      <c r="Y67" s="88">
        <v>1500</v>
      </c>
      <c r="Z67" s="89">
        <f t="shared" si="9"/>
        <v>4500</v>
      </c>
      <c r="AA67" s="88">
        <v>1500</v>
      </c>
      <c r="AB67" s="88">
        <v>1500</v>
      </c>
      <c r="AC67" s="88">
        <v>1500</v>
      </c>
      <c r="AD67" s="89">
        <f t="shared" si="10"/>
        <v>4500</v>
      </c>
      <c r="AE67" s="88">
        <v>1500</v>
      </c>
      <c r="AF67" s="88">
        <v>1500</v>
      </c>
      <c r="AG67" s="88">
        <v>1500</v>
      </c>
      <c r="AH67" s="89">
        <f t="shared" si="11"/>
        <v>4500</v>
      </c>
      <c r="AI67" s="90">
        <f t="shared" si="13"/>
        <v>16500</v>
      </c>
      <c r="AJ67" s="92" t="s">
        <v>2266</v>
      </c>
      <c r="AK67" s="62" t="str">
        <f>B67</f>
        <v xml:space="preserve"> 07 - Consumo de água</v>
      </c>
      <c r="AL67" s="1695" t="str">
        <f t="shared" ref="AL67" si="20">IF(S67&gt;0,"janeiro",
IF(T67&gt;0,"fevereiro",
IF(U67&gt;0,"março",
IF(W67&gt;0,"abril",
IF(X67&gt;0,"maio",
IF(Y67&gt;0,"junho",
IF(AA67&gt;0,"julho",
IF(AB67&gt;0,"agosto",
IF(AC67&gt;0,"setembro",
IF(AE67&gt;0,"outubro",
IF(AF67&gt;0,"novembro",
IF(AG67&gt;0,"dezembro",
""))))))))))))</f>
        <v>fevereiro</v>
      </c>
    </row>
    <row r="68" spans="1:38" ht="29.1" customHeight="1" x14ac:dyDescent="0.3">
      <c r="A68" s="1037"/>
      <c r="B68" s="1114"/>
      <c r="C68" s="1116"/>
      <c r="D68" s="1304"/>
      <c r="E68" s="1041"/>
      <c r="F68" s="1118"/>
      <c r="G68" s="1118"/>
      <c r="H68" s="1075"/>
      <c r="I68" s="1075"/>
      <c r="J68" s="1306"/>
      <c r="K68" s="1054"/>
      <c r="L68" s="1326"/>
      <c r="M68" s="1326"/>
      <c r="N68" s="1326"/>
      <c r="O68" s="1075"/>
      <c r="P68" s="1058"/>
      <c r="Q68" s="87" t="s">
        <v>107</v>
      </c>
      <c r="R68" s="91"/>
      <c r="S68" s="309">
        <v>0</v>
      </c>
      <c r="T68" s="309"/>
      <c r="U68" s="309"/>
      <c r="V68" s="310">
        <f t="shared" si="14"/>
        <v>0</v>
      </c>
      <c r="W68" s="309"/>
      <c r="X68" s="309"/>
      <c r="Y68" s="309"/>
      <c r="Z68" s="310">
        <f t="shared" si="9"/>
        <v>0</v>
      </c>
      <c r="AA68" s="309"/>
      <c r="AB68" s="309"/>
      <c r="AC68" s="309"/>
      <c r="AD68" s="310">
        <f t="shared" si="10"/>
        <v>0</v>
      </c>
      <c r="AE68" s="309"/>
      <c r="AF68" s="309"/>
      <c r="AG68" s="309"/>
      <c r="AH68" s="310">
        <f t="shared" si="11"/>
        <v>0</v>
      </c>
      <c r="AI68" s="311">
        <f t="shared" si="13"/>
        <v>0</v>
      </c>
      <c r="AJ68" s="92"/>
      <c r="AK68" s="62" t="str">
        <f>B67</f>
        <v xml:space="preserve"> 07 - Consumo de água</v>
      </c>
      <c r="AL68" s="1696"/>
    </row>
    <row r="69" spans="1:38" ht="29.1" customHeight="1" x14ac:dyDescent="0.3">
      <c r="A69" s="1038" t="s">
        <v>85</v>
      </c>
      <c r="B69" s="1095" t="s">
        <v>324</v>
      </c>
      <c r="C69" s="1097" t="s">
        <v>2267</v>
      </c>
      <c r="D69" s="1363" t="s">
        <v>326</v>
      </c>
      <c r="E69" s="1099" t="s">
        <v>2257</v>
      </c>
      <c r="F69" s="1101">
        <v>46036</v>
      </c>
      <c r="G69" s="1101">
        <v>46142</v>
      </c>
      <c r="H69" s="1152">
        <v>29600</v>
      </c>
      <c r="I69" s="1076"/>
      <c r="J69" s="1072"/>
      <c r="K69" s="1055"/>
      <c r="L69" s="1055"/>
      <c r="M69" s="1055"/>
      <c r="N69" s="1055"/>
      <c r="O69" s="1042" t="s">
        <v>80</v>
      </c>
      <c r="P69" s="1042">
        <v>0.5</v>
      </c>
      <c r="Q69" s="93" t="s">
        <v>106</v>
      </c>
      <c r="R69" s="96">
        <f ca="1">IF(OR(F69="", G69=""), "", IF(TODAY()&lt;F69, 0, IF(TODAY()&gt;G69, 1, (TODAY()-F69+1)/(G69-F69+1))))</f>
        <v>1</v>
      </c>
      <c r="S69" s="94">
        <v>0</v>
      </c>
      <c r="T69" s="94">
        <v>0</v>
      </c>
      <c r="U69" s="94">
        <v>0</v>
      </c>
      <c r="V69" s="89">
        <f t="shared" si="14"/>
        <v>0</v>
      </c>
      <c r="W69" s="94">
        <v>0</v>
      </c>
      <c r="X69" s="94">
        <v>3700</v>
      </c>
      <c r="Y69" s="94">
        <v>3700</v>
      </c>
      <c r="Z69" s="89">
        <f t="shared" si="9"/>
        <v>7400</v>
      </c>
      <c r="AA69" s="94">
        <v>3700</v>
      </c>
      <c r="AB69" s="94">
        <v>3700</v>
      </c>
      <c r="AC69" s="94">
        <v>3700</v>
      </c>
      <c r="AD69" s="89">
        <f t="shared" si="10"/>
        <v>11100</v>
      </c>
      <c r="AE69" s="94">
        <v>3700</v>
      </c>
      <c r="AF69" s="94">
        <v>3700</v>
      </c>
      <c r="AG69" s="94">
        <v>3700</v>
      </c>
      <c r="AH69" s="89">
        <f t="shared" si="11"/>
        <v>11100</v>
      </c>
      <c r="AI69" s="95">
        <f t="shared" si="13"/>
        <v>29600</v>
      </c>
      <c r="AJ69" s="97" t="s">
        <v>327</v>
      </c>
      <c r="AK69" s="62" t="str">
        <f>B69</f>
        <v>08 - Redução de peso bruto MB002446LA / MB003670LA / MB003671LA</v>
      </c>
      <c r="AL69" s="1695" t="str">
        <f t="shared" ref="AL69" si="21">IF(S69&gt;0,"janeiro",
IF(T69&gt;0,"fevereiro",
IF(U69&gt;0,"março",
IF(W69&gt;0,"abril",
IF(X69&gt;0,"maio",
IF(Y69&gt;0,"junho",
IF(AA69&gt;0,"julho",
IF(AB69&gt;0,"agosto",
IF(AC69&gt;0,"setembro",
IF(AE69&gt;0,"outubro",
IF(AF69&gt;0,"novembro",
IF(AG69&gt;0,"dezembro",
""))))))))))))</f>
        <v>maio</v>
      </c>
    </row>
    <row r="70" spans="1:38" ht="29.1" customHeight="1" x14ac:dyDescent="0.3">
      <c r="A70" s="1039"/>
      <c r="B70" s="1096"/>
      <c r="C70" s="1098"/>
      <c r="D70" s="1364"/>
      <c r="E70" s="1100"/>
      <c r="F70" s="1102"/>
      <c r="G70" s="1102"/>
      <c r="H70" s="1151"/>
      <c r="I70" s="1077"/>
      <c r="J70" s="1073"/>
      <c r="K70" s="1056"/>
      <c r="L70" s="1056"/>
      <c r="M70" s="1056"/>
      <c r="N70" s="1056"/>
      <c r="O70" s="1043"/>
      <c r="P70" s="1043"/>
      <c r="Q70" s="93" t="s">
        <v>107</v>
      </c>
      <c r="R70" s="96">
        <v>0.4</v>
      </c>
      <c r="S70" s="312">
        <v>0</v>
      </c>
      <c r="T70" s="312"/>
      <c r="U70" s="312"/>
      <c r="V70" s="310">
        <f t="shared" si="14"/>
        <v>0</v>
      </c>
      <c r="W70" s="312"/>
      <c r="X70" s="312"/>
      <c r="Y70" s="312"/>
      <c r="Z70" s="310">
        <f t="shared" si="9"/>
        <v>0</v>
      </c>
      <c r="AA70" s="312"/>
      <c r="AB70" s="312"/>
      <c r="AC70" s="312"/>
      <c r="AD70" s="310">
        <f t="shared" si="10"/>
        <v>0</v>
      </c>
      <c r="AE70" s="312"/>
      <c r="AF70" s="312"/>
      <c r="AG70" s="312"/>
      <c r="AH70" s="310">
        <f t="shared" si="11"/>
        <v>0</v>
      </c>
      <c r="AI70" s="313">
        <f t="shared" si="13"/>
        <v>0</v>
      </c>
      <c r="AJ70" s="361" t="s">
        <v>2268</v>
      </c>
      <c r="AK70" s="62" t="str">
        <f>B69</f>
        <v>08 - Redução de peso bruto MB002446LA / MB003670LA / MB003671LA</v>
      </c>
      <c r="AL70" s="1696"/>
    </row>
    <row r="71" spans="1:38" ht="29.1" customHeight="1" x14ac:dyDescent="0.3">
      <c r="A71" s="1036" t="s">
        <v>310</v>
      </c>
      <c r="B71" s="1113" t="s">
        <v>329</v>
      </c>
      <c r="C71" s="1389"/>
      <c r="D71" s="1303" t="s">
        <v>331</v>
      </c>
      <c r="E71" s="1040" t="s">
        <v>295</v>
      </c>
      <c r="F71" s="1117">
        <v>46036</v>
      </c>
      <c r="G71" s="1117">
        <v>46112</v>
      </c>
      <c r="H71" s="1074">
        <f>2400*10</f>
        <v>24000</v>
      </c>
      <c r="I71" s="1074"/>
      <c r="J71" s="1305"/>
      <c r="K71" s="1307"/>
      <c r="L71" s="1325"/>
      <c r="M71" s="1325"/>
      <c r="N71" s="1325"/>
      <c r="O71" s="1074" t="s">
        <v>83</v>
      </c>
      <c r="P71" s="1057">
        <v>1</v>
      </c>
      <c r="Q71" s="87" t="s">
        <v>106</v>
      </c>
      <c r="R71" s="91">
        <f ca="1">IF(OR(F71="", G71=""), "", IF(TODAY()&lt;F71, 0, IF(TODAY()&gt;G71, 1, (TODAY()-F71+1)/(G71-F71+1))))</f>
        <v>1</v>
      </c>
      <c r="S71" s="88">
        <v>0</v>
      </c>
      <c r="T71" s="88">
        <v>0</v>
      </c>
      <c r="U71" s="88">
        <f>28800/12</f>
        <v>2400</v>
      </c>
      <c r="V71" s="89">
        <f t="shared" si="14"/>
        <v>2400</v>
      </c>
      <c r="W71" s="88">
        <v>2400</v>
      </c>
      <c r="X71" s="88">
        <v>2400</v>
      </c>
      <c r="Y71" s="88">
        <v>2400</v>
      </c>
      <c r="Z71" s="89">
        <f t="shared" si="9"/>
        <v>7200</v>
      </c>
      <c r="AA71" s="88">
        <v>2400</v>
      </c>
      <c r="AB71" s="88">
        <v>2400</v>
      </c>
      <c r="AC71" s="88">
        <v>2400</v>
      </c>
      <c r="AD71" s="89">
        <f t="shared" si="10"/>
        <v>7200</v>
      </c>
      <c r="AE71" s="88">
        <v>2400</v>
      </c>
      <c r="AF71" s="88">
        <v>2400</v>
      </c>
      <c r="AG71" s="88">
        <v>2400</v>
      </c>
      <c r="AH71" s="89">
        <f t="shared" si="11"/>
        <v>7200</v>
      </c>
      <c r="AI71" s="90">
        <f t="shared" si="13"/>
        <v>24000</v>
      </c>
      <c r="AJ71" s="92"/>
      <c r="AK71" s="62" t="str">
        <f>B71</f>
        <v>09 - Taxa de Esgoto</v>
      </c>
      <c r="AL71" s="1695" t="str">
        <f t="shared" ref="AL71" si="22">IF(S71&gt;0,"janeiro",
IF(T71&gt;0,"fevereiro",
IF(U71&gt;0,"março",
IF(W71&gt;0,"abril",
IF(X71&gt;0,"maio",
IF(Y71&gt;0,"junho",
IF(AA71&gt;0,"julho",
IF(AB71&gt;0,"agosto",
IF(AC71&gt;0,"setembro",
IF(AE71&gt;0,"outubro",
IF(AF71&gt;0,"novembro",
IF(AG71&gt;0,"dezembro",
""))))))))))))</f>
        <v>março</v>
      </c>
    </row>
    <row r="72" spans="1:38" ht="29.1" customHeight="1" x14ac:dyDescent="0.3">
      <c r="A72" s="1037"/>
      <c r="B72" s="1114"/>
      <c r="C72" s="1116"/>
      <c r="D72" s="1304"/>
      <c r="E72" s="1041"/>
      <c r="F72" s="1118"/>
      <c r="G72" s="1118"/>
      <c r="H72" s="1075"/>
      <c r="I72" s="1075"/>
      <c r="J72" s="1306"/>
      <c r="K72" s="1054"/>
      <c r="L72" s="1326"/>
      <c r="M72" s="1326"/>
      <c r="N72" s="1326"/>
      <c r="O72" s="1075"/>
      <c r="P72" s="1058"/>
      <c r="Q72" s="87" t="s">
        <v>107</v>
      </c>
      <c r="R72" s="91">
        <v>0</v>
      </c>
      <c r="S72" s="309">
        <v>0</v>
      </c>
      <c r="T72" s="309"/>
      <c r="U72" s="309"/>
      <c r="V72" s="310">
        <f t="shared" si="14"/>
        <v>0</v>
      </c>
      <c r="W72" s="309"/>
      <c r="X72" s="309"/>
      <c r="Y72" s="309"/>
      <c r="Z72" s="310">
        <f t="shared" si="9"/>
        <v>0</v>
      </c>
      <c r="AA72" s="309"/>
      <c r="AB72" s="309"/>
      <c r="AC72" s="309"/>
      <c r="AD72" s="310">
        <f t="shared" si="10"/>
        <v>0</v>
      </c>
      <c r="AE72" s="309"/>
      <c r="AF72" s="309"/>
      <c r="AG72" s="309"/>
      <c r="AH72" s="310">
        <f t="shared" si="11"/>
        <v>0</v>
      </c>
      <c r="AI72" s="311">
        <f t="shared" si="13"/>
        <v>0</v>
      </c>
      <c r="AJ72" s="92"/>
      <c r="AK72" s="62" t="str">
        <f>B71</f>
        <v>09 - Taxa de Esgoto</v>
      </c>
      <c r="AL72" s="1696"/>
    </row>
    <row r="73" spans="1:38" ht="29.1" customHeight="1" x14ac:dyDescent="0.3">
      <c r="A73" s="1038" t="s">
        <v>76</v>
      </c>
      <c r="B73" s="1095" t="s">
        <v>333</v>
      </c>
      <c r="C73" s="1697"/>
      <c r="D73" s="1363" t="s">
        <v>335</v>
      </c>
      <c r="E73" s="1099" t="s">
        <v>336</v>
      </c>
      <c r="F73" s="1101">
        <v>46023</v>
      </c>
      <c r="G73" s="1101">
        <v>46082</v>
      </c>
      <c r="H73" s="1152"/>
      <c r="I73" s="1076"/>
      <c r="J73" s="1072"/>
      <c r="K73" s="1055"/>
      <c r="L73" s="1055"/>
      <c r="M73" s="1055"/>
      <c r="N73" s="1055"/>
      <c r="O73" s="1042" t="s">
        <v>80</v>
      </c>
      <c r="P73" s="1042">
        <v>1</v>
      </c>
      <c r="Q73" s="93" t="s">
        <v>106</v>
      </c>
      <c r="R73" s="96">
        <f ca="1">IF(OR(F73="", G73=""), "", IF(TODAY()&lt;F73, 0, IF(TODAY()&gt;G73, 1, (TODAY()-F73+1)/(G73-F73+1))))</f>
        <v>1</v>
      </c>
      <c r="S73" s="94">
        <v>0</v>
      </c>
      <c r="T73" s="94">
        <v>0</v>
      </c>
      <c r="U73" s="94">
        <v>0</v>
      </c>
      <c r="V73" s="89">
        <f t="shared" si="14"/>
        <v>0</v>
      </c>
      <c r="W73" s="94">
        <v>0</v>
      </c>
      <c r="X73" s="94">
        <v>0</v>
      </c>
      <c r="Y73" s="94">
        <v>0</v>
      </c>
      <c r="Z73" s="89">
        <f t="shared" si="9"/>
        <v>0</v>
      </c>
      <c r="AA73" s="94">
        <v>0</v>
      </c>
      <c r="AB73" s="94">
        <v>0</v>
      </c>
      <c r="AC73" s="94">
        <v>0</v>
      </c>
      <c r="AD73" s="89">
        <f t="shared" si="10"/>
        <v>0</v>
      </c>
      <c r="AE73" s="94">
        <v>0</v>
      </c>
      <c r="AF73" s="94">
        <v>0</v>
      </c>
      <c r="AG73" s="94">
        <v>0</v>
      </c>
      <c r="AH73" s="89">
        <f t="shared" si="11"/>
        <v>0</v>
      </c>
      <c r="AI73" s="95">
        <f t="shared" si="13"/>
        <v>0</v>
      </c>
      <c r="AJ73" s="361" t="s">
        <v>337</v>
      </c>
      <c r="AK73" s="62" t="str">
        <f>B73</f>
        <v>10 - Padronização de arame de solda</v>
      </c>
      <c r="AL73" s="1695" t="str">
        <f t="shared" ref="AL73" si="23">IF(S73&gt;0,"janeiro",
IF(T73&gt;0,"fevereiro",
IF(U73&gt;0,"março",
IF(W73&gt;0,"abril",
IF(X73&gt;0,"maio",
IF(Y73&gt;0,"junho",
IF(AA73&gt;0,"julho",
IF(AB73&gt;0,"agosto",
IF(AC73&gt;0,"setembro",
IF(AE73&gt;0,"outubro",
IF(AF73&gt;0,"novembro",
IF(AG73&gt;0,"dezembro",
""))))))))))))</f>
        <v/>
      </c>
    </row>
    <row r="74" spans="1:38" ht="29.1" customHeight="1" x14ac:dyDescent="0.3">
      <c r="A74" s="1039"/>
      <c r="B74" s="1096"/>
      <c r="C74" s="1098"/>
      <c r="D74" s="1364"/>
      <c r="E74" s="1100"/>
      <c r="F74" s="1102"/>
      <c r="G74" s="1102"/>
      <c r="H74" s="1151"/>
      <c r="I74" s="1077"/>
      <c r="J74" s="1073"/>
      <c r="K74" s="1056"/>
      <c r="L74" s="1056"/>
      <c r="M74" s="1056"/>
      <c r="N74" s="1056"/>
      <c r="O74" s="1043"/>
      <c r="P74" s="1043"/>
      <c r="Q74" s="93" t="s">
        <v>107</v>
      </c>
      <c r="R74" s="96">
        <v>0.2</v>
      </c>
      <c r="S74" s="312">
        <v>0</v>
      </c>
      <c r="T74" s="312"/>
      <c r="U74" s="312"/>
      <c r="V74" s="310">
        <f t="shared" si="14"/>
        <v>0</v>
      </c>
      <c r="W74" s="312"/>
      <c r="X74" s="312"/>
      <c r="Y74" s="312"/>
      <c r="Z74" s="310">
        <f t="shared" si="9"/>
        <v>0</v>
      </c>
      <c r="AA74" s="312"/>
      <c r="AB74" s="312"/>
      <c r="AC74" s="312"/>
      <c r="AD74" s="310">
        <f t="shared" si="10"/>
        <v>0</v>
      </c>
      <c r="AE74" s="312"/>
      <c r="AF74" s="312"/>
      <c r="AG74" s="312"/>
      <c r="AH74" s="310">
        <f t="shared" si="11"/>
        <v>0</v>
      </c>
      <c r="AI74" s="313">
        <f t="shared" si="13"/>
        <v>0</v>
      </c>
      <c r="AJ74" s="97"/>
      <c r="AK74" s="62" t="str">
        <f>B73</f>
        <v>10 - Padronização de arame de solda</v>
      </c>
      <c r="AL74" s="1696"/>
    </row>
    <row r="75" spans="1:38" ht="29.1" customHeight="1" x14ac:dyDescent="0.3">
      <c r="A75" s="1036" t="s">
        <v>310</v>
      </c>
      <c r="B75" s="1113" t="s">
        <v>338</v>
      </c>
      <c r="C75" s="1389"/>
      <c r="D75" s="1303" t="s">
        <v>2269</v>
      </c>
      <c r="E75" s="1040" t="s">
        <v>295</v>
      </c>
      <c r="F75" s="1117">
        <v>46113</v>
      </c>
      <c r="G75" s="1117">
        <v>46174</v>
      </c>
      <c r="H75" s="1074"/>
      <c r="I75" s="1074"/>
      <c r="J75" s="1305"/>
      <c r="K75" s="1307"/>
      <c r="L75" s="1325"/>
      <c r="M75" s="1325"/>
      <c r="N75" s="1325"/>
      <c r="O75" s="1074" t="s">
        <v>83</v>
      </c>
      <c r="P75" s="1057">
        <v>1</v>
      </c>
      <c r="Q75" s="87" t="s">
        <v>106</v>
      </c>
      <c r="R75" s="91">
        <f ca="1">IF(OR(F75="", G75=""), "", IF(TODAY()&lt;F75, 0, IF(TODAY()&gt;G75, 1, (TODAY()-F75+1)/(G75-F75+1))))</f>
        <v>1</v>
      </c>
      <c r="S75" s="88">
        <v>0</v>
      </c>
      <c r="T75" s="88">
        <v>0</v>
      </c>
      <c r="U75" s="88">
        <v>0</v>
      </c>
      <c r="V75" s="89">
        <f t="shared" si="14"/>
        <v>0</v>
      </c>
      <c r="W75" s="88">
        <v>0</v>
      </c>
      <c r="X75" s="88">
        <v>0</v>
      </c>
      <c r="Y75" s="88">
        <v>0</v>
      </c>
      <c r="Z75" s="89">
        <f t="shared" si="9"/>
        <v>0</v>
      </c>
      <c r="AA75" s="88">
        <v>0</v>
      </c>
      <c r="AB75" s="88">
        <v>0</v>
      </c>
      <c r="AC75" s="88">
        <v>0</v>
      </c>
      <c r="AD75" s="89">
        <f t="shared" si="10"/>
        <v>0</v>
      </c>
      <c r="AE75" s="88">
        <v>0</v>
      </c>
      <c r="AF75" s="88">
        <v>0</v>
      </c>
      <c r="AG75" s="88">
        <v>0</v>
      </c>
      <c r="AH75" s="89">
        <f t="shared" si="11"/>
        <v>0</v>
      </c>
      <c r="AI75" s="90">
        <f t="shared" si="13"/>
        <v>0</v>
      </c>
      <c r="AJ75" s="92"/>
      <c r="AK75" s="62" t="str">
        <f>B75</f>
        <v>11 - Resourcing de DSL para DD</v>
      </c>
      <c r="AL75" s="1695" t="str">
        <f t="shared" ref="AL75" si="24">IF(S75&gt;0,"janeiro",
IF(T75&gt;0,"fevereiro",
IF(U75&gt;0,"março",
IF(W75&gt;0,"abril",
IF(X75&gt;0,"maio",
IF(Y75&gt;0,"junho",
IF(AA75&gt;0,"julho",
IF(AB75&gt;0,"agosto",
IF(AC75&gt;0,"setembro",
IF(AE75&gt;0,"outubro",
IF(AF75&gt;0,"novembro",
IF(AG75&gt;0,"dezembro",
""))))))))))))</f>
        <v/>
      </c>
    </row>
    <row r="76" spans="1:38" ht="29.1" customHeight="1" x14ac:dyDescent="0.3">
      <c r="A76" s="1037"/>
      <c r="B76" s="1114"/>
      <c r="C76" s="1116"/>
      <c r="D76" s="1304"/>
      <c r="E76" s="1041"/>
      <c r="F76" s="1118"/>
      <c r="G76" s="1118"/>
      <c r="H76" s="1075"/>
      <c r="I76" s="1075"/>
      <c r="J76" s="1306"/>
      <c r="K76" s="1054"/>
      <c r="L76" s="1326"/>
      <c r="M76" s="1326"/>
      <c r="N76" s="1326"/>
      <c r="O76" s="1075"/>
      <c r="P76" s="1058"/>
      <c r="Q76" s="87" t="s">
        <v>107</v>
      </c>
      <c r="R76" s="91">
        <v>0</v>
      </c>
      <c r="S76" s="309">
        <v>0</v>
      </c>
      <c r="T76" s="309"/>
      <c r="U76" s="309"/>
      <c r="V76" s="310">
        <f t="shared" si="14"/>
        <v>0</v>
      </c>
      <c r="W76" s="309"/>
      <c r="X76" s="309"/>
      <c r="Y76" s="309"/>
      <c r="Z76" s="310">
        <f t="shared" si="9"/>
        <v>0</v>
      </c>
      <c r="AA76" s="309"/>
      <c r="AB76" s="309"/>
      <c r="AC76" s="309"/>
      <c r="AD76" s="310">
        <f t="shared" si="10"/>
        <v>0</v>
      </c>
      <c r="AE76" s="309"/>
      <c r="AF76" s="309"/>
      <c r="AG76" s="309"/>
      <c r="AH76" s="310">
        <f t="shared" si="11"/>
        <v>0</v>
      </c>
      <c r="AI76" s="311">
        <f t="shared" si="13"/>
        <v>0</v>
      </c>
      <c r="AJ76" s="92"/>
      <c r="AK76" s="62" t="str">
        <f>B75</f>
        <v>11 - Resourcing de DSL para DD</v>
      </c>
      <c r="AL76" s="1696"/>
    </row>
    <row r="77" spans="1:38" ht="29.1" customHeight="1" x14ac:dyDescent="0.3">
      <c r="A77" s="1038" t="s">
        <v>76</v>
      </c>
      <c r="B77" s="1095" t="s">
        <v>341</v>
      </c>
      <c r="C77" s="1097" t="s">
        <v>342</v>
      </c>
      <c r="D77" s="1363" t="s">
        <v>343</v>
      </c>
      <c r="E77" s="1099" t="s">
        <v>301</v>
      </c>
      <c r="F77" s="1101">
        <v>46023</v>
      </c>
      <c r="G77" s="1101">
        <v>46053</v>
      </c>
      <c r="H77" s="1152">
        <v>38583</v>
      </c>
      <c r="I77" s="1076"/>
      <c r="J77" s="1320" t="s">
        <v>287</v>
      </c>
      <c r="K77" s="1449">
        <v>37746.6</v>
      </c>
      <c r="L77" s="1055"/>
      <c r="M77" s="1055"/>
      <c r="N77" s="1055"/>
      <c r="O77" s="1042" t="s">
        <v>77</v>
      </c>
      <c r="P77" s="1042">
        <v>1</v>
      </c>
      <c r="Q77" s="93" t="s">
        <v>106</v>
      </c>
      <c r="R77" s="96">
        <f ca="1">IF(OR(F77="", G77=""), "", IF(TODAY()&lt;F77, 0, IF(TODAY()&gt;G77, 1, (TODAY()-F77+1)/(G77-F77+1))))</f>
        <v>1</v>
      </c>
      <c r="S77" s="94">
        <v>38583</v>
      </c>
      <c r="T77" s="94">
        <v>0</v>
      </c>
      <c r="U77" s="94">
        <v>0</v>
      </c>
      <c r="V77" s="89">
        <f t="shared" si="14"/>
        <v>38583</v>
      </c>
      <c r="W77" s="94">
        <v>0</v>
      </c>
      <c r="X77" s="94">
        <v>0</v>
      </c>
      <c r="Y77" s="94">
        <v>0</v>
      </c>
      <c r="Z77" s="89">
        <f t="shared" si="9"/>
        <v>0</v>
      </c>
      <c r="AA77" s="94">
        <v>0</v>
      </c>
      <c r="AB77" s="94">
        <v>0</v>
      </c>
      <c r="AC77" s="94">
        <v>0</v>
      </c>
      <c r="AD77" s="89">
        <f t="shared" si="10"/>
        <v>0</v>
      </c>
      <c r="AE77" s="94">
        <v>0</v>
      </c>
      <c r="AF77" s="94">
        <v>0</v>
      </c>
      <c r="AG77" s="94">
        <v>0</v>
      </c>
      <c r="AH77" s="89">
        <f t="shared" si="11"/>
        <v>0</v>
      </c>
      <c r="AI77" s="95">
        <f t="shared" si="13"/>
        <v>38583</v>
      </c>
      <c r="AJ77" s="150" t="s">
        <v>344</v>
      </c>
      <c r="AK77" s="62" t="str">
        <f>B77</f>
        <v>12 - Aproveitamento de peças Obsoletas - A9583176540</v>
      </c>
      <c r="AL77" s="1695" t="str">
        <f t="shared" ref="AL77" si="25">IF(S77&gt;0,"janeiro",
IF(T77&gt;0,"fevereiro",
IF(U77&gt;0,"março",
IF(W77&gt;0,"abril",
IF(X77&gt;0,"maio",
IF(Y77&gt;0,"junho",
IF(AA77&gt;0,"julho",
IF(AB77&gt;0,"agosto",
IF(AC77&gt;0,"setembro",
IF(AE77&gt;0,"outubro",
IF(AF77&gt;0,"novembro",
IF(AG77&gt;0,"dezembro",
""))))))))))))</f>
        <v>janeiro</v>
      </c>
    </row>
    <row r="78" spans="1:38" ht="29.1" customHeight="1" x14ac:dyDescent="0.3">
      <c r="A78" s="1039"/>
      <c r="B78" s="1096"/>
      <c r="C78" s="1098"/>
      <c r="D78" s="1364"/>
      <c r="E78" s="1100"/>
      <c r="F78" s="1102"/>
      <c r="G78" s="1102"/>
      <c r="H78" s="1151"/>
      <c r="I78" s="1077"/>
      <c r="J78" s="1321"/>
      <c r="K78" s="1450"/>
      <c r="L78" s="1056"/>
      <c r="M78" s="1056"/>
      <c r="N78" s="1056"/>
      <c r="O78" s="1043"/>
      <c r="P78" s="1043"/>
      <c r="Q78" s="93" t="s">
        <v>107</v>
      </c>
      <c r="R78" s="96">
        <v>1</v>
      </c>
      <c r="S78" s="468">
        <f>K77</f>
        <v>37746.6</v>
      </c>
      <c r="T78" s="312"/>
      <c r="U78" s="312"/>
      <c r="V78" s="310">
        <f t="shared" si="14"/>
        <v>37746.6</v>
      </c>
      <c r="W78" s="312"/>
      <c r="X78" s="312"/>
      <c r="Y78" s="312"/>
      <c r="Z78" s="310">
        <f t="shared" si="9"/>
        <v>0</v>
      </c>
      <c r="AA78" s="312"/>
      <c r="AB78" s="312"/>
      <c r="AC78" s="312"/>
      <c r="AD78" s="310">
        <f t="shared" si="10"/>
        <v>0</v>
      </c>
      <c r="AE78" s="312"/>
      <c r="AF78" s="312"/>
      <c r="AG78" s="312"/>
      <c r="AH78" s="310">
        <f t="shared" si="11"/>
        <v>0</v>
      </c>
      <c r="AI78" s="313">
        <f t="shared" si="13"/>
        <v>37746.6</v>
      </c>
      <c r="AJ78" s="125" t="s">
        <v>345</v>
      </c>
      <c r="AK78" s="62" t="str">
        <f>B77</f>
        <v>12 - Aproveitamento de peças Obsoletas - A9583176540</v>
      </c>
      <c r="AL78" s="1696"/>
    </row>
    <row r="79" spans="1:38" ht="29.1" customHeight="1" x14ac:dyDescent="0.3">
      <c r="A79" s="1036" t="s">
        <v>76</v>
      </c>
      <c r="B79" s="1113" t="s">
        <v>346</v>
      </c>
      <c r="C79" s="1389" t="s">
        <v>347</v>
      </c>
      <c r="D79" s="1303" t="s">
        <v>348</v>
      </c>
      <c r="E79" s="1040" t="s">
        <v>301</v>
      </c>
      <c r="F79" s="1117">
        <v>46023</v>
      </c>
      <c r="G79" s="1117">
        <v>46112</v>
      </c>
      <c r="H79" s="1074">
        <v>1890</v>
      </c>
      <c r="I79" s="1074"/>
      <c r="J79" s="1305"/>
      <c r="K79" s="1307"/>
      <c r="L79" s="1325"/>
      <c r="M79" s="1325"/>
      <c r="N79" s="1325"/>
      <c r="O79" s="1074" t="s">
        <v>80</v>
      </c>
      <c r="P79" s="1057">
        <v>1</v>
      </c>
      <c r="Q79" s="87" t="s">
        <v>106</v>
      </c>
      <c r="R79" s="91">
        <f ca="1">IF(OR(F79="", G79=""), "", IF(TODAY()&lt;F79, 0, IF(TODAY()&gt;G79, 1, (TODAY()-F79+1)/(G79-F79+1))))</f>
        <v>1</v>
      </c>
      <c r="S79" s="88">
        <v>0</v>
      </c>
      <c r="T79" s="88">
        <v>0</v>
      </c>
      <c r="U79" s="88">
        <v>0</v>
      </c>
      <c r="V79" s="89">
        <f t="shared" si="14"/>
        <v>0</v>
      </c>
      <c r="W79" s="88">
        <v>210</v>
      </c>
      <c r="X79" s="88">
        <v>210</v>
      </c>
      <c r="Y79" s="88">
        <v>210</v>
      </c>
      <c r="Z79" s="89">
        <f t="shared" si="9"/>
        <v>630</v>
      </c>
      <c r="AA79" s="88">
        <v>210</v>
      </c>
      <c r="AB79" s="88">
        <v>210</v>
      </c>
      <c r="AC79" s="88">
        <v>210</v>
      </c>
      <c r="AD79" s="89">
        <f t="shared" si="10"/>
        <v>630</v>
      </c>
      <c r="AE79" s="88">
        <v>210</v>
      </c>
      <c r="AF79" s="88">
        <v>210</v>
      </c>
      <c r="AG79" s="88">
        <v>210</v>
      </c>
      <c r="AH79" s="89">
        <f t="shared" si="11"/>
        <v>630</v>
      </c>
      <c r="AI79" s="90">
        <f t="shared" si="13"/>
        <v>1890</v>
      </c>
      <c r="AJ79" s="92" t="s">
        <v>349</v>
      </c>
      <c r="AK79" s="62" t="str">
        <f>B79</f>
        <v>13 - Redução de Componente - 4065 de 6 para 4</v>
      </c>
      <c r="AL79" s="1695" t="str">
        <f t="shared" ref="AL79" si="26">IF(S79&gt;0,"janeiro",
IF(T79&gt;0,"fevereiro",
IF(U79&gt;0,"março",
IF(W79&gt;0,"abril",
IF(X79&gt;0,"maio",
IF(Y79&gt;0,"junho",
IF(AA79&gt;0,"julho",
IF(AB79&gt;0,"agosto",
IF(AC79&gt;0,"setembro",
IF(AE79&gt;0,"outubro",
IF(AF79&gt;0,"novembro",
IF(AG79&gt;0,"dezembro",
""))))))))))))</f>
        <v>abril</v>
      </c>
    </row>
    <row r="80" spans="1:38" ht="29.1" customHeight="1" x14ac:dyDescent="0.3">
      <c r="A80" s="1037"/>
      <c r="B80" s="1114"/>
      <c r="C80" s="1116"/>
      <c r="D80" s="1304"/>
      <c r="E80" s="1041"/>
      <c r="F80" s="1118"/>
      <c r="G80" s="1118"/>
      <c r="H80" s="1075"/>
      <c r="I80" s="1075"/>
      <c r="J80" s="1306"/>
      <c r="K80" s="1054"/>
      <c r="L80" s="1326"/>
      <c r="M80" s="1326"/>
      <c r="N80" s="1326"/>
      <c r="O80" s="1075"/>
      <c r="P80" s="1058"/>
      <c r="Q80" s="87" t="s">
        <v>107</v>
      </c>
      <c r="R80" s="91">
        <v>0.8</v>
      </c>
      <c r="S80" s="309">
        <v>0</v>
      </c>
      <c r="T80" s="309"/>
      <c r="U80" s="309"/>
      <c r="V80" s="310">
        <f t="shared" si="14"/>
        <v>0</v>
      </c>
      <c r="W80" s="309"/>
      <c r="X80" s="309"/>
      <c r="Y80" s="309"/>
      <c r="Z80" s="310">
        <f t="shared" si="9"/>
        <v>0</v>
      </c>
      <c r="AA80" s="309"/>
      <c r="AB80" s="309"/>
      <c r="AC80" s="309"/>
      <c r="AD80" s="310">
        <f t="shared" si="10"/>
        <v>0</v>
      </c>
      <c r="AE80" s="309"/>
      <c r="AF80" s="309"/>
      <c r="AG80" s="309"/>
      <c r="AH80" s="310">
        <f t="shared" si="11"/>
        <v>0</v>
      </c>
      <c r="AI80" s="311">
        <f t="shared" si="13"/>
        <v>0</v>
      </c>
      <c r="AJ80" s="92"/>
      <c r="AK80" s="62" t="str">
        <f>B79</f>
        <v>13 - Redução de Componente - 4065 de 6 para 4</v>
      </c>
      <c r="AL80" s="1696"/>
    </row>
    <row r="81" spans="1:38" ht="29.1" customHeight="1" x14ac:dyDescent="0.3">
      <c r="A81" s="1038" t="s">
        <v>85</v>
      </c>
      <c r="B81" s="1095" t="s">
        <v>2270</v>
      </c>
      <c r="C81" s="1697" t="s">
        <v>2271</v>
      </c>
      <c r="D81" s="1363" t="s">
        <v>2272</v>
      </c>
      <c r="E81" s="1099" t="s">
        <v>353</v>
      </c>
      <c r="F81" s="1101">
        <v>46023</v>
      </c>
      <c r="G81" s="1101">
        <v>46054</v>
      </c>
      <c r="H81" s="1152">
        <v>36663</v>
      </c>
      <c r="I81" s="1076"/>
      <c r="J81" s="1072"/>
      <c r="K81" s="1055"/>
      <c r="L81" s="1055"/>
      <c r="M81" s="1055"/>
      <c r="N81" s="1055"/>
      <c r="O81" s="1042" t="s">
        <v>77</v>
      </c>
      <c r="P81" s="1042">
        <v>1</v>
      </c>
      <c r="Q81" s="93" t="s">
        <v>106</v>
      </c>
      <c r="R81" s="96">
        <f ca="1">IF(OR(F81="", G81=""), "", IF(TODAY()&lt;F81, 0, IF(TODAY()&gt;G81, 1, (TODAY()-F81+1)/(G81-F81+1))))</f>
        <v>1</v>
      </c>
      <c r="S81" s="94">
        <v>0</v>
      </c>
      <c r="T81" s="94">
        <v>3333</v>
      </c>
      <c r="U81" s="94">
        <v>3333</v>
      </c>
      <c r="V81" s="89">
        <f t="shared" si="14"/>
        <v>6666</v>
      </c>
      <c r="W81" s="94">
        <v>3333</v>
      </c>
      <c r="X81" s="94">
        <v>3333</v>
      </c>
      <c r="Y81" s="94">
        <v>3333</v>
      </c>
      <c r="Z81" s="89">
        <f t="shared" ref="Z81:Z94" si="27">SUM(W81:Y81)</f>
        <v>9999</v>
      </c>
      <c r="AA81" s="94">
        <v>3333</v>
      </c>
      <c r="AB81" s="94">
        <v>3333</v>
      </c>
      <c r="AC81" s="94">
        <v>3333</v>
      </c>
      <c r="AD81" s="89">
        <f t="shared" si="10"/>
        <v>9999</v>
      </c>
      <c r="AE81" s="94">
        <v>3333</v>
      </c>
      <c r="AF81" s="94">
        <v>3333</v>
      </c>
      <c r="AG81" s="94">
        <v>3333</v>
      </c>
      <c r="AH81" s="89">
        <f t="shared" si="11"/>
        <v>9999</v>
      </c>
      <c r="AI81" s="95">
        <f t="shared" si="13"/>
        <v>36663</v>
      </c>
      <c r="AJ81" s="97" t="s">
        <v>354</v>
      </c>
      <c r="AK81" s="62" t="str">
        <f>B81</f>
        <v xml:space="preserve">14 - REDUÇÃO DE MP DA000518Z (Anchieta) Código DD - </v>
      </c>
      <c r="AL81" s="1695" t="str">
        <f t="shared" ref="AL81" si="28">IF(S81&gt;0,"janeiro",
IF(T81&gt;0,"fevereiro",
IF(U81&gt;0,"março",
IF(W81&gt;0,"abril",
IF(X81&gt;0,"maio",
IF(Y81&gt;0,"junho",
IF(AA81&gt;0,"julho",
IF(AB81&gt;0,"agosto",
IF(AC81&gt;0,"setembro",
IF(AE81&gt;0,"outubro",
IF(AF81&gt;0,"novembro",
IF(AG81&gt;0,"dezembro",
""))))))))))))</f>
        <v>fevereiro</v>
      </c>
    </row>
    <row r="82" spans="1:38" ht="29.1" customHeight="1" x14ac:dyDescent="0.3">
      <c r="A82" s="1039"/>
      <c r="B82" s="1096"/>
      <c r="C82" s="1098"/>
      <c r="D82" s="1364"/>
      <c r="E82" s="1100"/>
      <c r="F82" s="1102"/>
      <c r="G82" s="1102"/>
      <c r="H82" s="1151"/>
      <c r="I82" s="1077"/>
      <c r="J82" s="1073"/>
      <c r="K82" s="1056"/>
      <c r="L82" s="1056"/>
      <c r="M82" s="1056"/>
      <c r="N82" s="1056"/>
      <c r="O82" s="1043"/>
      <c r="P82" s="1043"/>
      <c r="Q82" s="93" t="s">
        <v>107</v>
      </c>
      <c r="R82" s="96">
        <v>1</v>
      </c>
      <c r="S82" s="312">
        <v>0</v>
      </c>
      <c r="T82" s="312"/>
      <c r="U82" s="312"/>
      <c r="V82" s="310">
        <f t="shared" ref="V82:V94" si="29">SUM(S82:U82)</f>
        <v>0</v>
      </c>
      <c r="W82" s="312"/>
      <c r="X82" s="312"/>
      <c r="Y82" s="312"/>
      <c r="Z82" s="310">
        <f t="shared" si="27"/>
        <v>0</v>
      </c>
      <c r="AA82" s="312"/>
      <c r="AB82" s="312"/>
      <c r="AC82" s="312"/>
      <c r="AD82" s="310">
        <f t="shared" si="10"/>
        <v>0</v>
      </c>
      <c r="AE82" s="312"/>
      <c r="AF82" s="312"/>
      <c r="AG82" s="312"/>
      <c r="AH82" s="310">
        <f t="shared" si="11"/>
        <v>0</v>
      </c>
      <c r="AI82" s="313">
        <f t="shared" si="13"/>
        <v>0</v>
      </c>
      <c r="AJ82" s="97" t="s">
        <v>355</v>
      </c>
      <c r="AK82" s="62" t="str">
        <f>B81</f>
        <v xml:space="preserve">14 - REDUÇÃO DE MP DA000518Z (Anchieta) Código DD - </v>
      </c>
      <c r="AL82" s="1696"/>
    </row>
    <row r="83" spans="1:38" ht="29.1" customHeight="1" x14ac:dyDescent="0.3">
      <c r="A83" s="1036" t="s">
        <v>76</v>
      </c>
      <c r="B83" s="1113" t="s">
        <v>356</v>
      </c>
      <c r="C83" s="1389" t="s">
        <v>2273</v>
      </c>
      <c r="D83" s="1303" t="s">
        <v>358</v>
      </c>
      <c r="E83" s="1040" t="s">
        <v>359</v>
      </c>
      <c r="F83" s="1117">
        <v>46023</v>
      </c>
      <c r="G83" s="1117">
        <v>46053</v>
      </c>
      <c r="H83" s="1074">
        <f>AI83</f>
        <v>3279.77</v>
      </c>
      <c r="I83" s="1074"/>
      <c r="J83" s="1305"/>
      <c r="K83" s="1307"/>
      <c r="L83" s="1325"/>
      <c r="M83" s="1325"/>
      <c r="N83" s="1325"/>
      <c r="O83" s="1074" t="s">
        <v>77</v>
      </c>
      <c r="P83" s="1057">
        <v>1</v>
      </c>
      <c r="Q83" s="87" t="s">
        <v>106</v>
      </c>
      <c r="R83" s="91">
        <f ca="1">IF(OR(F83="", G83=""), "", IF(TODAY()&lt;F83, 0, IF(TODAY()&gt;G83, 1, (TODAY()-F83+1)/(G83-F83+1))))</f>
        <v>1</v>
      </c>
      <c r="S83" s="88">
        <v>3279.77</v>
      </c>
      <c r="T83" s="88">
        <v>0</v>
      </c>
      <c r="U83" s="88">
        <v>0</v>
      </c>
      <c r="V83" s="89">
        <f t="shared" si="29"/>
        <v>3279.77</v>
      </c>
      <c r="W83" s="88">
        <v>0</v>
      </c>
      <c r="X83" s="88">
        <v>0</v>
      </c>
      <c r="Y83" s="88">
        <v>0</v>
      </c>
      <c r="Z83" s="89">
        <f t="shared" si="27"/>
        <v>0</v>
      </c>
      <c r="AA83" s="88">
        <v>0</v>
      </c>
      <c r="AB83" s="88">
        <v>0</v>
      </c>
      <c r="AC83" s="88">
        <v>0</v>
      </c>
      <c r="AD83" s="89">
        <f t="shared" si="10"/>
        <v>0</v>
      </c>
      <c r="AE83" s="88">
        <v>0</v>
      </c>
      <c r="AF83" s="88">
        <v>0</v>
      </c>
      <c r="AG83" s="88">
        <v>0</v>
      </c>
      <c r="AH83" s="89">
        <f t="shared" si="11"/>
        <v>0</v>
      </c>
      <c r="AI83" s="90">
        <f t="shared" si="13"/>
        <v>3279.77</v>
      </c>
      <c r="AJ83" s="92" t="s">
        <v>360</v>
      </c>
      <c r="AK83" s="62" t="str">
        <f>B83</f>
        <v>15 - Kaizem - Botões BI - MANUAL</v>
      </c>
      <c r="AL83" s="1695" t="str">
        <f t="shared" ref="AL83" si="30">IF(S83&gt;0,"janeiro",
IF(T83&gt;0,"fevereiro",
IF(U83&gt;0,"março",
IF(W83&gt;0,"abril",
IF(X83&gt;0,"maio",
IF(Y83&gt;0,"junho",
IF(AA83&gt;0,"julho",
IF(AB83&gt;0,"agosto",
IF(AC83&gt;0,"setembro",
IF(AE83&gt;0,"outubro",
IF(AF83&gt;0,"novembro",
IF(AG83&gt;0,"dezembro",
""))))))))))))</f>
        <v>janeiro</v>
      </c>
    </row>
    <row r="84" spans="1:38" ht="29.1" customHeight="1" x14ac:dyDescent="0.3">
      <c r="A84" s="1037"/>
      <c r="B84" s="1114"/>
      <c r="C84" s="1116"/>
      <c r="D84" s="1304"/>
      <c r="E84" s="1041"/>
      <c r="F84" s="1118"/>
      <c r="G84" s="1118"/>
      <c r="H84" s="1075"/>
      <c r="I84" s="1075"/>
      <c r="J84" s="1306"/>
      <c r="K84" s="1054"/>
      <c r="L84" s="1326"/>
      <c r="M84" s="1326"/>
      <c r="N84" s="1326"/>
      <c r="O84" s="1075"/>
      <c r="P84" s="1058"/>
      <c r="Q84" s="87" t="s">
        <v>107</v>
      </c>
      <c r="R84" s="91">
        <v>1</v>
      </c>
      <c r="S84" s="309">
        <v>3279.77</v>
      </c>
      <c r="T84" s="309"/>
      <c r="U84" s="309"/>
      <c r="V84" s="310">
        <f t="shared" si="29"/>
        <v>3279.77</v>
      </c>
      <c r="W84" s="309"/>
      <c r="X84" s="309"/>
      <c r="Y84" s="309"/>
      <c r="Z84" s="310">
        <f t="shared" si="27"/>
        <v>0</v>
      </c>
      <c r="AA84" s="309"/>
      <c r="AB84" s="309"/>
      <c r="AC84" s="309"/>
      <c r="AD84" s="310">
        <f t="shared" si="10"/>
        <v>0</v>
      </c>
      <c r="AE84" s="309"/>
      <c r="AF84" s="309"/>
      <c r="AG84" s="309"/>
      <c r="AH84" s="310">
        <f t="shared" si="11"/>
        <v>0</v>
      </c>
      <c r="AI84" s="311">
        <f t="shared" si="13"/>
        <v>3279.77</v>
      </c>
      <c r="AJ84" s="92" t="s">
        <v>361</v>
      </c>
      <c r="AK84" s="62" t="str">
        <f>B83</f>
        <v>15 - Kaizem - Botões BI - MANUAL</v>
      </c>
      <c r="AL84" s="1696"/>
    </row>
    <row r="85" spans="1:38" ht="29.1" customHeight="1" x14ac:dyDescent="0.3">
      <c r="A85" s="1038" t="s">
        <v>76</v>
      </c>
      <c r="B85" s="1095" t="s">
        <v>362</v>
      </c>
      <c r="C85" s="1697" t="s">
        <v>363</v>
      </c>
      <c r="D85" s="1363" t="s">
        <v>364</v>
      </c>
      <c r="E85" s="1099" t="s">
        <v>365</v>
      </c>
      <c r="F85" s="1101">
        <v>46027</v>
      </c>
      <c r="G85" s="1101">
        <v>46112</v>
      </c>
      <c r="H85" s="1152">
        <v>190000</v>
      </c>
      <c r="I85" s="1076"/>
      <c r="J85" s="1072"/>
      <c r="K85" s="1055"/>
      <c r="L85" s="1055"/>
      <c r="M85" s="1055"/>
      <c r="N85" s="1055"/>
      <c r="O85" s="1042" t="s">
        <v>80</v>
      </c>
      <c r="P85" s="1042">
        <v>1</v>
      </c>
      <c r="Q85" s="93" t="s">
        <v>106</v>
      </c>
      <c r="R85" s="96">
        <f ca="1">IF(OR(F85="", G85=""), "", IF(TODAY()&lt;F85, 0, IF(TODAY()&gt;G85, 1, (TODAY()-F85+1)/(G85-F85+1))))</f>
        <v>1</v>
      </c>
      <c r="S85" s="94">
        <v>0</v>
      </c>
      <c r="T85" s="94">
        <v>0</v>
      </c>
      <c r="U85" s="94">
        <v>10000</v>
      </c>
      <c r="V85" s="89">
        <f t="shared" si="29"/>
        <v>10000</v>
      </c>
      <c r="W85" s="94">
        <v>20000</v>
      </c>
      <c r="X85" s="94">
        <v>20000</v>
      </c>
      <c r="Y85" s="94">
        <v>20000</v>
      </c>
      <c r="Z85" s="89">
        <f t="shared" si="27"/>
        <v>60000</v>
      </c>
      <c r="AA85" s="94">
        <v>20000</v>
      </c>
      <c r="AB85" s="94">
        <v>20000</v>
      </c>
      <c r="AC85" s="94">
        <v>20000</v>
      </c>
      <c r="AD85" s="89">
        <f t="shared" si="10"/>
        <v>60000</v>
      </c>
      <c r="AE85" s="94">
        <v>20000</v>
      </c>
      <c r="AF85" s="94">
        <v>20000</v>
      </c>
      <c r="AG85" s="94">
        <v>20000</v>
      </c>
      <c r="AH85" s="89">
        <f t="shared" si="11"/>
        <v>60000</v>
      </c>
      <c r="AI85" s="95">
        <f t="shared" si="13"/>
        <v>190000</v>
      </c>
      <c r="AJ85" s="97" t="s">
        <v>366</v>
      </c>
      <c r="AK85" s="62" t="str">
        <f>B85</f>
        <v>16 - Eficiência de MO na linha de Solda e Montagem</v>
      </c>
      <c r="AL85" s="1695" t="str">
        <f t="shared" ref="AL85" si="31">IF(S85&gt;0,"janeiro",
IF(T85&gt;0,"fevereiro",
IF(U85&gt;0,"março",
IF(W85&gt;0,"abril",
IF(X85&gt;0,"maio",
IF(Y85&gt;0,"junho",
IF(AA85&gt;0,"julho",
IF(AB85&gt;0,"agosto",
IF(AC85&gt;0,"setembro",
IF(AE85&gt;0,"outubro",
IF(AF85&gt;0,"novembro",
IF(AG85&gt;0,"dezembro",
""))))))))))))</f>
        <v>março</v>
      </c>
    </row>
    <row r="86" spans="1:38" ht="29.1" customHeight="1" x14ac:dyDescent="0.3">
      <c r="A86" s="1039"/>
      <c r="B86" s="1096"/>
      <c r="C86" s="1098"/>
      <c r="D86" s="1364"/>
      <c r="E86" s="1100"/>
      <c r="F86" s="1102"/>
      <c r="G86" s="1102"/>
      <c r="H86" s="1151"/>
      <c r="I86" s="1077"/>
      <c r="J86" s="1073"/>
      <c r="K86" s="1056"/>
      <c r="L86" s="1056"/>
      <c r="M86" s="1056"/>
      <c r="N86" s="1056"/>
      <c r="O86" s="1043"/>
      <c r="P86" s="1043"/>
      <c r="Q86" s="93" t="s">
        <v>107</v>
      </c>
      <c r="R86" s="96">
        <v>0.6</v>
      </c>
      <c r="S86" s="312">
        <v>0</v>
      </c>
      <c r="T86" s="312"/>
      <c r="U86" s="312"/>
      <c r="V86" s="310">
        <f t="shared" si="29"/>
        <v>0</v>
      </c>
      <c r="W86" s="312"/>
      <c r="X86" s="312"/>
      <c r="Y86" s="312"/>
      <c r="Z86" s="310">
        <f t="shared" si="27"/>
        <v>0</v>
      </c>
      <c r="AA86" s="312"/>
      <c r="AB86" s="312"/>
      <c r="AC86" s="312"/>
      <c r="AD86" s="310">
        <f t="shared" si="10"/>
        <v>0</v>
      </c>
      <c r="AE86" s="312"/>
      <c r="AF86" s="312"/>
      <c r="AG86" s="312"/>
      <c r="AH86" s="310">
        <f t="shared" si="11"/>
        <v>0</v>
      </c>
      <c r="AI86" s="313">
        <f t="shared" si="13"/>
        <v>0</v>
      </c>
      <c r="AJ86" s="97" t="s">
        <v>367</v>
      </c>
      <c r="AK86" s="62" t="str">
        <f>B85</f>
        <v>16 - Eficiência de MO na linha de Solda e Montagem</v>
      </c>
      <c r="AL86" s="1696"/>
    </row>
    <row r="87" spans="1:38" ht="29.1" customHeight="1" x14ac:dyDescent="0.3">
      <c r="A87" s="1036" t="s">
        <v>85</v>
      </c>
      <c r="B87" s="1113" t="s">
        <v>2274</v>
      </c>
      <c r="C87" s="1389" t="s">
        <v>2275</v>
      </c>
      <c r="D87" s="1303" t="s">
        <v>370</v>
      </c>
      <c r="E87" s="1040" t="s">
        <v>286</v>
      </c>
      <c r="F87" s="1117">
        <v>46054</v>
      </c>
      <c r="G87" s="1117">
        <v>46112</v>
      </c>
      <c r="H87" s="1074">
        <f>4290*10</f>
        <v>42900</v>
      </c>
      <c r="I87" s="1074"/>
      <c r="J87" s="1312" t="s">
        <v>287</v>
      </c>
      <c r="K87" s="1053">
        <v>33838.06</v>
      </c>
      <c r="L87" s="1325"/>
      <c r="M87" s="1325"/>
      <c r="N87" s="1325"/>
      <c r="O87" s="1074" t="s">
        <v>80</v>
      </c>
      <c r="P87" s="1057">
        <v>1</v>
      </c>
      <c r="Q87" s="87" t="s">
        <v>106</v>
      </c>
      <c r="R87" s="91">
        <f ca="1">IF(OR(F87="", G87=""), "", IF(TODAY()&lt;F87, 0, IF(TODAY()&gt;G87, 1, (TODAY()-F87+1)/(G87-F87+1))))</f>
        <v>1</v>
      </c>
      <c r="S87" s="88">
        <v>0</v>
      </c>
      <c r="T87" s="88">
        <v>0</v>
      </c>
      <c r="U87" s="88">
        <v>4290</v>
      </c>
      <c r="V87" s="89">
        <f t="shared" si="29"/>
        <v>4290</v>
      </c>
      <c r="W87" s="88">
        <v>4290</v>
      </c>
      <c r="X87" s="88">
        <v>4290</v>
      </c>
      <c r="Y87" s="88">
        <v>4290</v>
      </c>
      <c r="Z87" s="89">
        <f t="shared" si="27"/>
        <v>12870</v>
      </c>
      <c r="AA87" s="88">
        <v>4290</v>
      </c>
      <c r="AB87" s="88">
        <v>4290</v>
      </c>
      <c r="AC87" s="88">
        <v>4290</v>
      </c>
      <c r="AD87" s="89">
        <f t="shared" si="10"/>
        <v>12870</v>
      </c>
      <c r="AE87" s="88">
        <v>4290</v>
      </c>
      <c r="AF87" s="88">
        <v>4290</v>
      </c>
      <c r="AG87" s="88">
        <v>4290</v>
      </c>
      <c r="AH87" s="89">
        <f t="shared" si="11"/>
        <v>12870</v>
      </c>
      <c r="AI87" s="90">
        <f t="shared" si="13"/>
        <v>42900</v>
      </c>
      <c r="AJ87" s="92" t="s">
        <v>371</v>
      </c>
      <c r="AK87" s="62" t="str">
        <f>B87</f>
        <v>17 -MB003537LB_MB003538LB</v>
      </c>
      <c r="AL87" s="1695" t="str">
        <f t="shared" ref="AL87" si="32">IF(S87&gt;0,"janeiro",
IF(T87&gt;0,"fevereiro",
IF(U87&gt;0,"março",
IF(W87&gt;0,"abril",
IF(X87&gt;0,"maio",
IF(Y87&gt;0,"junho",
IF(AA87&gt;0,"julho",
IF(AB87&gt;0,"agosto",
IF(AC87&gt;0,"setembro",
IF(AE87&gt;0,"outubro",
IF(AF87&gt;0,"novembro",
IF(AG87&gt;0,"dezembro",
""))))))))))))</f>
        <v>março</v>
      </c>
    </row>
    <row r="88" spans="1:38" ht="29.1" customHeight="1" x14ac:dyDescent="0.3">
      <c r="A88" s="1037"/>
      <c r="B88" s="1114"/>
      <c r="C88" s="1116"/>
      <c r="D88" s="1304"/>
      <c r="E88" s="1041"/>
      <c r="F88" s="1118"/>
      <c r="G88" s="1118"/>
      <c r="H88" s="1075"/>
      <c r="I88" s="1075"/>
      <c r="J88" s="1313"/>
      <c r="K88" s="1417"/>
      <c r="L88" s="1326"/>
      <c r="M88" s="1326"/>
      <c r="N88" s="1326"/>
      <c r="O88" s="1075"/>
      <c r="P88" s="1058"/>
      <c r="Q88" s="87" t="s">
        <v>107</v>
      </c>
      <c r="R88" s="91">
        <v>0.9</v>
      </c>
      <c r="S88" s="309">
        <v>0</v>
      </c>
      <c r="T88" s="309"/>
      <c r="U88" s="309"/>
      <c r="V88" s="310">
        <f t="shared" si="29"/>
        <v>0</v>
      </c>
      <c r="W88" s="309"/>
      <c r="X88" s="309"/>
      <c r="Y88" s="309"/>
      <c r="Z88" s="310">
        <f t="shared" si="27"/>
        <v>0</v>
      </c>
      <c r="AA88" s="309"/>
      <c r="AB88" s="309"/>
      <c r="AC88" s="309"/>
      <c r="AD88" s="310">
        <f t="shared" si="10"/>
        <v>0</v>
      </c>
      <c r="AE88" s="309"/>
      <c r="AF88" s="309"/>
      <c r="AG88" s="309"/>
      <c r="AH88" s="310">
        <f t="shared" si="11"/>
        <v>0</v>
      </c>
      <c r="AI88" s="311">
        <f t="shared" si="13"/>
        <v>0</v>
      </c>
      <c r="AJ88" s="92" t="s">
        <v>372</v>
      </c>
      <c r="AK88" s="62" t="str">
        <f>B87</f>
        <v>17 -MB003537LB_MB003538LB</v>
      </c>
      <c r="AL88" s="1696"/>
    </row>
    <row r="89" spans="1:38" ht="29.1" customHeight="1" x14ac:dyDescent="0.3">
      <c r="A89" s="1038" t="s">
        <v>310</v>
      </c>
      <c r="B89" s="1095" t="s">
        <v>2276</v>
      </c>
      <c r="C89" s="1697"/>
      <c r="D89" s="1363" t="s">
        <v>375</v>
      </c>
      <c r="E89" s="1099" t="s">
        <v>376</v>
      </c>
      <c r="F89" s="1101">
        <v>46058</v>
      </c>
      <c r="G89" s="1101">
        <v>46147</v>
      </c>
      <c r="H89" s="1152"/>
      <c r="I89" s="1076"/>
      <c r="J89" s="1072"/>
      <c r="K89" s="1055"/>
      <c r="L89" s="1055"/>
      <c r="M89" s="1055"/>
      <c r="N89" s="1055"/>
      <c r="O89" s="1042" t="s">
        <v>83</v>
      </c>
      <c r="P89" s="1042"/>
      <c r="Q89" s="93" t="s">
        <v>106</v>
      </c>
      <c r="R89" s="96">
        <f ca="1">IF(OR(F89="", G89=""), "", IF(TODAY()&lt;F89, 0, IF(TODAY()&gt;G89, 1, (TODAY()-F89+1)/(G89-F89+1))))</f>
        <v>1</v>
      </c>
      <c r="S89" s="94">
        <v>0</v>
      </c>
      <c r="T89" s="94">
        <v>0</v>
      </c>
      <c r="U89" s="94">
        <v>0</v>
      </c>
      <c r="V89" s="89">
        <f t="shared" si="29"/>
        <v>0</v>
      </c>
      <c r="W89" s="94">
        <v>0</v>
      </c>
      <c r="X89" s="94">
        <v>0</v>
      </c>
      <c r="Y89" s="94">
        <v>0</v>
      </c>
      <c r="Z89" s="89">
        <f t="shared" si="27"/>
        <v>0</v>
      </c>
      <c r="AA89" s="94">
        <v>0</v>
      </c>
      <c r="AB89" s="94">
        <v>0</v>
      </c>
      <c r="AC89" s="94">
        <v>0</v>
      </c>
      <c r="AD89" s="89">
        <f t="shared" si="10"/>
        <v>0</v>
      </c>
      <c r="AE89" s="94">
        <v>0</v>
      </c>
      <c r="AF89" s="94">
        <v>0</v>
      </c>
      <c r="AG89" s="94">
        <v>0</v>
      </c>
      <c r="AH89" s="89">
        <f t="shared" si="11"/>
        <v>0</v>
      </c>
      <c r="AI89" s="95">
        <f t="shared" si="13"/>
        <v>0</v>
      </c>
      <c r="AJ89" s="97"/>
      <c r="AK89" s="62" t="str">
        <f>B89</f>
        <v>18 - Venda de Embalagens</v>
      </c>
      <c r="AL89" s="1695" t="str">
        <f t="shared" ref="AL89" si="33">IF(S89&gt;0,"janeiro",
IF(T89&gt;0,"fevereiro",
IF(U89&gt;0,"março",
IF(W89&gt;0,"abril",
IF(X89&gt;0,"maio",
IF(Y89&gt;0,"junho",
IF(AA89&gt;0,"julho",
IF(AB89&gt;0,"agosto",
IF(AC89&gt;0,"setembro",
IF(AE89&gt;0,"outubro",
IF(AF89&gt;0,"novembro",
IF(AG89&gt;0,"dezembro",
""))))))))))))</f>
        <v/>
      </c>
    </row>
    <row r="90" spans="1:38" ht="29.1" customHeight="1" x14ac:dyDescent="0.3">
      <c r="A90" s="1039"/>
      <c r="B90" s="1096"/>
      <c r="C90" s="1098"/>
      <c r="D90" s="1364"/>
      <c r="E90" s="1100"/>
      <c r="F90" s="1102"/>
      <c r="G90" s="1102"/>
      <c r="H90" s="1151"/>
      <c r="I90" s="1077"/>
      <c r="J90" s="1073"/>
      <c r="K90" s="1056"/>
      <c r="L90" s="1056"/>
      <c r="M90" s="1056"/>
      <c r="N90" s="1056"/>
      <c r="O90" s="1043"/>
      <c r="P90" s="1043"/>
      <c r="Q90" s="93" t="s">
        <v>107</v>
      </c>
      <c r="R90" s="96">
        <v>0</v>
      </c>
      <c r="S90" s="312">
        <v>0</v>
      </c>
      <c r="T90" s="312"/>
      <c r="U90" s="312"/>
      <c r="V90" s="310">
        <f t="shared" si="29"/>
        <v>0</v>
      </c>
      <c r="W90" s="312"/>
      <c r="X90" s="312"/>
      <c r="Y90" s="312"/>
      <c r="Z90" s="310">
        <f t="shared" si="27"/>
        <v>0</v>
      </c>
      <c r="AA90" s="312"/>
      <c r="AB90" s="312"/>
      <c r="AC90" s="312"/>
      <c r="AD90" s="310">
        <f t="shared" si="10"/>
        <v>0</v>
      </c>
      <c r="AE90" s="312"/>
      <c r="AF90" s="312"/>
      <c r="AG90" s="312"/>
      <c r="AH90" s="310">
        <f t="shared" si="11"/>
        <v>0</v>
      </c>
      <c r="AI90" s="313">
        <f t="shared" si="13"/>
        <v>0</v>
      </c>
      <c r="AJ90" s="97"/>
      <c r="AK90" s="62" t="str">
        <f>B89</f>
        <v>18 - Venda de Embalagens</v>
      </c>
      <c r="AL90" s="1696"/>
    </row>
    <row r="91" spans="1:38" ht="29.1" customHeight="1" x14ac:dyDescent="0.3">
      <c r="A91" s="1036" t="s">
        <v>76</v>
      </c>
      <c r="B91" s="1113" t="s">
        <v>378</v>
      </c>
      <c r="C91" s="1389" t="s">
        <v>379</v>
      </c>
      <c r="D91" s="1303" t="s">
        <v>380</v>
      </c>
      <c r="E91" s="1040" t="s">
        <v>381</v>
      </c>
      <c r="F91" s="1117">
        <v>46027</v>
      </c>
      <c r="G91" s="1117">
        <v>46081</v>
      </c>
      <c r="H91" s="1074">
        <v>45000</v>
      </c>
      <c r="I91" s="1074"/>
      <c r="J91" s="1305"/>
      <c r="K91" s="1307"/>
      <c r="L91" s="1325"/>
      <c r="M91" s="1325"/>
      <c r="N91" s="1325"/>
      <c r="O91" s="1074" t="s">
        <v>77</v>
      </c>
      <c r="P91" s="1057">
        <v>1</v>
      </c>
      <c r="Q91" s="87" t="s">
        <v>106</v>
      </c>
      <c r="R91" s="91">
        <f ca="1">IF(OR(F91="", G91=""), "", IF(TODAY()&lt;F91, 0, IF(TODAY()&gt;G91, 1, (TODAY()-F91+1)/(G91-F91+1))))</f>
        <v>1</v>
      </c>
      <c r="S91" s="88">
        <v>0</v>
      </c>
      <c r="T91" s="88">
        <v>0</v>
      </c>
      <c r="U91" s="88">
        <v>4500</v>
      </c>
      <c r="V91" s="89">
        <f t="shared" si="29"/>
        <v>4500</v>
      </c>
      <c r="W91" s="88">
        <v>4500</v>
      </c>
      <c r="X91" s="88">
        <v>4500</v>
      </c>
      <c r="Y91" s="88">
        <v>4500</v>
      </c>
      <c r="Z91" s="89">
        <f t="shared" si="27"/>
        <v>13500</v>
      </c>
      <c r="AA91" s="88">
        <v>4500</v>
      </c>
      <c r="AB91" s="88">
        <v>4500</v>
      </c>
      <c r="AC91" s="88">
        <v>4500</v>
      </c>
      <c r="AD91" s="89">
        <f t="shared" si="10"/>
        <v>13500</v>
      </c>
      <c r="AE91" s="88">
        <v>4500</v>
      </c>
      <c r="AF91" s="88">
        <v>4500</v>
      </c>
      <c r="AG91" s="88">
        <v>4500</v>
      </c>
      <c r="AH91" s="89">
        <f t="shared" si="11"/>
        <v>13500</v>
      </c>
      <c r="AI91" s="90">
        <f t="shared" si="13"/>
        <v>45000</v>
      </c>
      <c r="AJ91" s="92" t="s">
        <v>382</v>
      </c>
      <c r="AK91" s="62" t="str">
        <f>B91</f>
        <v>19 - Kaizen Facão. DA000481Z - PRODUTIVIDADE</v>
      </c>
      <c r="AL91" s="1695" t="str">
        <f t="shared" ref="AL91" si="34">IF(S91&gt;0,"janeiro",
IF(T91&gt;0,"fevereiro",
IF(U91&gt;0,"março",
IF(W91&gt;0,"abril",
IF(X91&gt;0,"maio",
IF(Y91&gt;0,"junho",
IF(AA91&gt;0,"julho",
IF(AB91&gt;0,"agosto",
IF(AC91&gt;0,"setembro",
IF(AE91&gt;0,"outubro",
IF(AF91&gt;0,"novembro",
IF(AG91&gt;0,"dezembro",
""))))))))))))</f>
        <v>março</v>
      </c>
    </row>
    <row r="92" spans="1:38" ht="29.1" customHeight="1" x14ac:dyDescent="0.3">
      <c r="A92" s="1037"/>
      <c r="B92" s="1114"/>
      <c r="C92" s="1116"/>
      <c r="D92" s="1304"/>
      <c r="E92" s="1041"/>
      <c r="F92" s="1118"/>
      <c r="G92" s="1118"/>
      <c r="H92" s="1075"/>
      <c r="I92" s="1075"/>
      <c r="J92" s="1306"/>
      <c r="K92" s="1054"/>
      <c r="L92" s="1326"/>
      <c r="M92" s="1326"/>
      <c r="N92" s="1326"/>
      <c r="O92" s="1075"/>
      <c r="P92" s="1058"/>
      <c r="Q92" s="87" t="s">
        <v>107</v>
      </c>
      <c r="R92" s="91">
        <v>1</v>
      </c>
      <c r="S92" s="309">
        <v>0</v>
      </c>
      <c r="T92" s="309"/>
      <c r="U92" s="309"/>
      <c r="V92" s="310">
        <f t="shared" si="29"/>
        <v>0</v>
      </c>
      <c r="W92" s="309"/>
      <c r="X92" s="309"/>
      <c r="Y92" s="309"/>
      <c r="Z92" s="310">
        <f t="shared" si="27"/>
        <v>0</v>
      </c>
      <c r="AA92" s="309"/>
      <c r="AB92" s="309"/>
      <c r="AC92" s="309"/>
      <c r="AD92" s="310">
        <f t="shared" si="10"/>
        <v>0</v>
      </c>
      <c r="AE92" s="309"/>
      <c r="AF92" s="309"/>
      <c r="AG92" s="309"/>
      <c r="AH92" s="310">
        <f t="shared" si="11"/>
        <v>0</v>
      </c>
      <c r="AI92" s="311">
        <f t="shared" si="13"/>
        <v>0</v>
      </c>
      <c r="AJ92" s="92" t="s">
        <v>383</v>
      </c>
      <c r="AK92" s="62" t="str">
        <f>B91</f>
        <v>19 - Kaizen Facão. DA000481Z - PRODUTIVIDADE</v>
      </c>
      <c r="AL92" s="1696"/>
    </row>
    <row r="93" spans="1:38" ht="29.1" customHeight="1" x14ac:dyDescent="0.3">
      <c r="A93" s="1038" t="s">
        <v>310</v>
      </c>
      <c r="B93" s="1095" t="s">
        <v>384</v>
      </c>
      <c r="C93" s="1697" t="s">
        <v>2277</v>
      </c>
      <c r="D93" s="1363" t="s">
        <v>386</v>
      </c>
      <c r="E93" s="1099" t="s">
        <v>387</v>
      </c>
      <c r="F93" s="1101">
        <v>46027</v>
      </c>
      <c r="G93" s="1101">
        <v>46387</v>
      </c>
      <c r="H93" s="1152">
        <v>82000</v>
      </c>
      <c r="I93" s="1076"/>
      <c r="J93" s="1072"/>
      <c r="K93" s="1055"/>
      <c r="L93" s="1055"/>
      <c r="M93" s="1055"/>
      <c r="N93" s="1055"/>
      <c r="O93" s="1042" t="s">
        <v>80</v>
      </c>
      <c r="P93" s="1042">
        <v>1</v>
      </c>
      <c r="Q93" s="93" t="s">
        <v>106</v>
      </c>
      <c r="R93" s="96">
        <f ca="1">IF(OR(F93="", G93=""), "", IF(TODAY()&lt;F93, 0, IF(TODAY()&gt;G93, 1, (TODAY()-F93+1)/(G93-F93+1))))</f>
        <v>0.47091412742382271</v>
      </c>
      <c r="S93" s="94">
        <v>6833</v>
      </c>
      <c r="T93" s="94">
        <v>6833</v>
      </c>
      <c r="U93" s="94">
        <v>6833</v>
      </c>
      <c r="V93" s="89">
        <f t="shared" si="29"/>
        <v>20499</v>
      </c>
      <c r="W93" s="94">
        <v>6833</v>
      </c>
      <c r="X93" s="94">
        <v>6833</v>
      </c>
      <c r="Y93" s="94">
        <v>6833</v>
      </c>
      <c r="Z93" s="89">
        <f t="shared" si="27"/>
        <v>20499</v>
      </c>
      <c r="AA93" s="94">
        <v>6833</v>
      </c>
      <c r="AB93" s="94">
        <v>6833</v>
      </c>
      <c r="AC93" s="94">
        <v>6833</v>
      </c>
      <c r="AD93" s="89">
        <f t="shared" si="10"/>
        <v>20499</v>
      </c>
      <c r="AE93" s="94">
        <v>6833</v>
      </c>
      <c r="AF93" s="94">
        <v>6833</v>
      </c>
      <c r="AG93" s="94">
        <v>6833</v>
      </c>
      <c r="AH93" s="89">
        <f t="shared" si="11"/>
        <v>20499</v>
      </c>
      <c r="AI93" s="95">
        <f t="shared" si="13"/>
        <v>81996</v>
      </c>
      <c r="AJ93" s="97" t="s">
        <v>2278</v>
      </c>
      <c r="AK93" s="62" t="str">
        <f>B93</f>
        <v>20 - Redução refugo em relação ao budget</v>
      </c>
      <c r="AL93" s="1695" t="str">
        <f t="shared" ref="AL93" si="35">IF(S93&gt;0,"janeiro",
IF(T93&gt;0,"fevereiro",
IF(U93&gt;0,"março",
IF(W93&gt;0,"abril",
IF(X93&gt;0,"maio",
IF(Y93&gt;0,"junho",
IF(AA93&gt;0,"julho",
IF(AB93&gt;0,"agosto",
IF(AC93&gt;0,"setembro",
IF(AE93&gt;0,"outubro",
IF(AF93&gt;0,"novembro",
IF(AG93&gt;0,"dezembro",
""))))))))))))</f>
        <v>janeiro</v>
      </c>
    </row>
    <row r="94" spans="1:38" ht="29.1" customHeight="1" x14ac:dyDescent="0.3">
      <c r="A94" s="1039"/>
      <c r="B94" s="1096"/>
      <c r="C94" s="1098"/>
      <c r="D94" s="1364"/>
      <c r="E94" s="1100"/>
      <c r="F94" s="1102"/>
      <c r="G94" s="1102"/>
      <c r="H94" s="1151"/>
      <c r="I94" s="1077"/>
      <c r="J94" s="1073"/>
      <c r="K94" s="1056"/>
      <c r="L94" s="1056"/>
      <c r="M94" s="1056"/>
      <c r="N94" s="1056"/>
      <c r="O94" s="1043"/>
      <c r="P94" s="1043"/>
      <c r="Q94" s="93" t="s">
        <v>107</v>
      </c>
      <c r="R94" s="96">
        <v>0.15</v>
      </c>
      <c r="S94" s="312">
        <f>20160-28800</f>
        <v>-8640</v>
      </c>
      <c r="T94" s="312"/>
      <c r="U94" s="312"/>
      <c r="V94" s="310">
        <f t="shared" si="29"/>
        <v>-8640</v>
      </c>
      <c r="W94" s="312"/>
      <c r="X94" s="312"/>
      <c r="Y94" s="312"/>
      <c r="Z94" s="310">
        <f t="shared" si="27"/>
        <v>0</v>
      </c>
      <c r="AA94" s="312"/>
      <c r="AB94" s="312"/>
      <c r="AC94" s="312"/>
      <c r="AD94" s="310">
        <f t="shared" si="10"/>
        <v>0</v>
      </c>
      <c r="AE94" s="312"/>
      <c r="AF94" s="312"/>
      <c r="AG94" s="312"/>
      <c r="AH94" s="310">
        <f t="shared" si="11"/>
        <v>0</v>
      </c>
      <c r="AI94" s="313">
        <f t="shared" si="13"/>
        <v>-8640</v>
      </c>
      <c r="AJ94" s="97" t="s">
        <v>391</v>
      </c>
      <c r="AK94" s="62" t="str">
        <f>B93</f>
        <v>20 - Redução refugo em relação ao budget</v>
      </c>
      <c r="AL94" s="1696"/>
    </row>
    <row r="95" spans="1:38" ht="29.1" customHeight="1" x14ac:dyDescent="0.3">
      <c r="A95" s="1036" t="s">
        <v>85</v>
      </c>
      <c r="B95" s="1113" t="s">
        <v>392</v>
      </c>
      <c r="C95" s="1389" t="s">
        <v>2279</v>
      </c>
      <c r="D95" s="1303" t="s">
        <v>394</v>
      </c>
      <c r="E95" s="1040" t="s">
        <v>286</v>
      </c>
      <c r="F95" s="1117">
        <v>46054</v>
      </c>
      <c r="G95" s="1117">
        <v>46112</v>
      </c>
      <c r="H95" s="1074">
        <f>4735.5*10</f>
        <v>47355</v>
      </c>
      <c r="I95" s="1074"/>
      <c r="J95" s="1312" t="s">
        <v>287</v>
      </c>
      <c r="K95" s="1053">
        <v>37365.58</v>
      </c>
      <c r="L95" s="1325"/>
      <c r="M95" s="1325"/>
      <c r="N95" s="1325"/>
      <c r="O95" s="1074" t="s">
        <v>80</v>
      </c>
      <c r="P95" s="1057">
        <v>1</v>
      </c>
      <c r="Q95" s="87" t="s">
        <v>106</v>
      </c>
      <c r="R95" s="91">
        <f ca="1">IF(OR(F95="", G95=""), "", IF(TODAY()&lt;F95, 0, IF(TODAY()&gt;G95, 1, (TODAY()-F95+1)/(G95-F95+1))))</f>
        <v>1</v>
      </c>
      <c r="S95" s="88">
        <v>0</v>
      </c>
      <c r="T95" s="88">
        <v>0</v>
      </c>
      <c r="U95" s="88">
        <v>4735.5</v>
      </c>
      <c r="V95" s="89">
        <f t="shared" ref="V95:V114" si="36">SUM(S95:U95)</f>
        <v>4735.5</v>
      </c>
      <c r="W95" s="88">
        <v>4735.5</v>
      </c>
      <c r="X95" s="88">
        <v>4735.5</v>
      </c>
      <c r="Y95" s="88">
        <v>4735.5</v>
      </c>
      <c r="Z95" s="89">
        <f t="shared" ref="Z95:Z114" si="37">SUM(W95:Y95)</f>
        <v>14206.5</v>
      </c>
      <c r="AA95" s="88">
        <v>4735.5</v>
      </c>
      <c r="AB95" s="88">
        <v>4735.5</v>
      </c>
      <c r="AC95" s="88">
        <v>4735.5</v>
      </c>
      <c r="AD95" s="89">
        <f t="shared" si="10"/>
        <v>14206.5</v>
      </c>
      <c r="AE95" s="88">
        <v>4735.5</v>
      </c>
      <c r="AF95" s="88">
        <v>4735.5</v>
      </c>
      <c r="AG95" s="88">
        <v>4735.5</v>
      </c>
      <c r="AH95" s="89">
        <f t="shared" si="11"/>
        <v>14206.5</v>
      </c>
      <c r="AI95" s="90">
        <f t="shared" si="13"/>
        <v>47355</v>
      </c>
      <c r="AJ95" s="92" t="s">
        <v>395</v>
      </c>
      <c r="AK95" s="62" t="str">
        <f>B95</f>
        <v>21 - Kaizen_Redução de peso bruto MB003537LA_MB003538LA</v>
      </c>
      <c r="AL95" s="1695" t="str">
        <f t="shared" ref="AL95" si="38">IF(S95&gt;0,"janeiro",
IF(T95&gt;0,"fevereiro",
IF(U95&gt;0,"março",
IF(W95&gt;0,"abril",
IF(X95&gt;0,"maio",
IF(Y95&gt;0,"junho",
IF(AA95&gt;0,"julho",
IF(AB95&gt;0,"agosto",
IF(AC95&gt;0,"setembro",
IF(AE95&gt;0,"outubro",
IF(AF95&gt;0,"novembro",
IF(AG95&gt;0,"dezembro",
""))))))))))))</f>
        <v>março</v>
      </c>
    </row>
    <row r="96" spans="1:38" ht="29.1" customHeight="1" x14ac:dyDescent="0.3">
      <c r="A96" s="1037"/>
      <c r="B96" s="1114"/>
      <c r="C96" s="1116"/>
      <c r="D96" s="1304"/>
      <c r="E96" s="1041"/>
      <c r="F96" s="1118"/>
      <c r="G96" s="1118"/>
      <c r="H96" s="1075"/>
      <c r="I96" s="1075"/>
      <c r="J96" s="1313"/>
      <c r="K96" s="1417"/>
      <c r="L96" s="1326"/>
      <c r="M96" s="1326"/>
      <c r="N96" s="1326"/>
      <c r="O96" s="1075"/>
      <c r="P96" s="1058"/>
      <c r="Q96" s="87" t="s">
        <v>107</v>
      </c>
      <c r="R96" s="91">
        <v>0.9</v>
      </c>
      <c r="S96" s="309">
        <v>0</v>
      </c>
      <c r="T96" s="309">
        <v>0</v>
      </c>
      <c r="U96" s="309"/>
      <c r="V96" s="310">
        <f t="shared" si="36"/>
        <v>0</v>
      </c>
      <c r="W96" s="309"/>
      <c r="X96" s="309"/>
      <c r="Y96" s="309"/>
      <c r="Z96" s="310">
        <f t="shared" si="37"/>
        <v>0</v>
      </c>
      <c r="AA96" s="309"/>
      <c r="AB96" s="309"/>
      <c r="AC96" s="309"/>
      <c r="AD96" s="310">
        <f t="shared" si="10"/>
        <v>0</v>
      </c>
      <c r="AE96" s="309"/>
      <c r="AF96" s="309"/>
      <c r="AG96" s="309"/>
      <c r="AH96" s="310">
        <f t="shared" si="11"/>
        <v>0</v>
      </c>
      <c r="AI96" s="311">
        <f t="shared" si="13"/>
        <v>0</v>
      </c>
      <c r="AJ96" s="92" t="s">
        <v>396</v>
      </c>
      <c r="AK96" s="62" t="str">
        <f>B95</f>
        <v>21 - Kaizen_Redução de peso bruto MB003537LA_MB003538LA</v>
      </c>
      <c r="AL96" s="1696"/>
    </row>
    <row r="97" spans="1:38" ht="29.1" customHeight="1" x14ac:dyDescent="0.3">
      <c r="A97" s="1038" t="s">
        <v>85</v>
      </c>
      <c r="B97" s="1095" t="s">
        <v>397</v>
      </c>
      <c r="C97" s="1697" t="s">
        <v>398</v>
      </c>
      <c r="D97" s="1363" t="s">
        <v>399</v>
      </c>
      <c r="E97" s="1099" t="s">
        <v>286</v>
      </c>
      <c r="F97" s="1101">
        <v>46054</v>
      </c>
      <c r="G97" s="1101">
        <v>46082</v>
      </c>
      <c r="H97" s="1152">
        <v>27000</v>
      </c>
      <c r="I97" s="1076"/>
      <c r="J97" s="1072"/>
      <c r="K97" s="1055"/>
      <c r="L97" s="1055"/>
      <c r="M97" s="1055"/>
      <c r="N97" s="1055"/>
      <c r="O97" s="1042" t="s">
        <v>80</v>
      </c>
      <c r="P97" s="1042">
        <v>1</v>
      </c>
      <c r="Q97" s="93" t="s">
        <v>106</v>
      </c>
      <c r="R97" s="96">
        <f ca="1">IF(OR(F97="", G97=""), "", IF(TODAY()&lt;F97, 0, IF(TODAY()&gt;G97, 1, (TODAY()-F97+1)/(G97-F97+1))))</f>
        <v>1</v>
      </c>
      <c r="S97" s="94">
        <v>0</v>
      </c>
      <c r="T97" s="94">
        <v>0</v>
      </c>
      <c r="U97" s="94">
        <v>0</v>
      </c>
      <c r="V97" s="89">
        <f t="shared" si="36"/>
        <v>0</v>
      </c>
      <c r="W97" s="94">
        <v>3000</v>
      </c>
      <c r="X97" s="94">
        <v>3000</v>
      </c>
      <c r="Y97" s="94">
        <v>3000</v>
      </c>
      <c r="Z97" s="89">
        <f t="shared" si="37"/>
        <v>9000</v>
      </c>
      <c r="AA97" s="94">
        <v>3000</v>
      </c>
      <c r="AB97" s="94">
        <v>3000</v>
      </c>
      <c r="AC97" s="94">
        <v>3000</v>
      </c>
      <c r="AD97" s="89">
        <f t="shared" si="10"/>
        <v>9000</v>
      </c>
      <c r="AE97" s="94">
        <v>3000</v>
      </c>
      <c r="AF97" s="94">
        <v>3000</v>
      </c>
      <c r="AG97" s="94">
        <v>3000</v>
      </c>
      <c r="AH97" s="89">
        <f t="shared" si="11"/>
        <v>9000</v>
      </c>
      <c r="AI97" s="95">
        <f t="shared" si="13"/>
        <v>27000</v>
      </c>
      <c r="AJ97" s="97" t="s">
        <v>400</v>
      </c>
      <c r="AK97" s="62" t="str">
        <f>B97</f>
        <v>22 - Aproveitamento de Retalho do corte laser - MB002316LA_MB003533LA_MB003673LC</v>
      </c>
      <c r="AL97" s="1695" t="str">
        <f t="shared" ref="AL97" si="39">IF(S97&gt;0,"janeiro",
IF(T97&gt;0,"fevereiro",
IF(U97&gt;0,"março",
IF(W97&gt;0,"abril",
IF(X97&gt;0,"maio",
IF(Y97&gt;0,"junho",
IF(AA97&gt;0,"julho",
IF(AB97&gt;0,"agosto",
IF(AC97&gt;0,"setembro",
IF(AE97&gt;0,"outubro",
IF(AF97&gt;0,"novembro",
IF(AG97&gt;0,"dezembro",
""))))))))))))</f>
        <v>abril</v>
      </c>
    </row>
    <row r="98" spans="1:38" ht="29.1" customHeight="1" x14ac:dyDescent="0.3">
      <c r="A98" s="1039"/>
      <c r="B98" s="1096"/>
      <c r="C98" s="1098"/>
      <c r="D98" s="1364"/>
      <c r="E98" s="1100"/>
      <c r="F98" s="1102"/>
      <c r="G98" s="1102"/>
      <c r="H98" s="1151"/>
      <c r="I98" s="1077"/>
      <c r="J98" s="1073"/>
      <c r="K98" s="1056"/>
      <c r="L98" s="1056"/>
      <c r="M98" s="1056"/>
      <c r="N98" s="1056"/>
      <c r="O98" s="1043"/>
      <c r="P98" s="1043"/>
      <c r="Q98" s="93" t="s">
        <v>107</v>
      </c>
      <c r="R98" s="96">
        <v>0.7</v>
      </c>
      <c r="S98" s="312">
        <v>0</v>
      </c>
      <c r="T98" s="312"/>
      <c r="U98" s="312"/>
      <c r="V98" s="310">
        <f t="shared" si="36"/>
        <v>0</v>
      </c>
      <c r="W98" s="312"/>
      <c r="X98" s="312"/>
      <c r="Y98" s="312"/>
      <c r="Z98" s="310">
        <f t="shared" si="37"/>
        <v>0</v>
      </c>
      <c r="AA98" s="312"/>
      <c r="AB98" s="312"/>
      <c r="AC98" s="312"/>
      <c r="AD98" s="310">
        <f t="shared" si="10"/>
        <v>0</v>
      </c>
      <c r="AE98" s="312"/>
      <c r="AF98" s="312"/>
      <c r="AG98" s="312"/>
      <c r="AH98" s="310">
        <f t="shared" si="11"/>
        <v>0</v>
      </c>
      <c r="AI98" s="313">
        <f t="shared" si="13"/>
        <v>0</v>
      </c>
      <c r="AJ98" s="97"/>
      <c r="AK98" s="62" t="str">
        <f>B97</f>
        <v>22 - Aproveitamento de Retalho do corte laser - MB002316LA_MB003533LA_MB003673LC</v>
      </c>
      <c r="AL98" s="1696"/>
    </row>
    <row r="99" spans="1:38" ht="29.1" customHeight="1" x14ac:dyDescent="0.3">
      <c r="A99" s="1036" t="s">
        <v>85</v>
      </c>
      <c r="B99" s="1113" t="s">
        <v>401</v>
      </c>
      <c r="C99" s="1389" t="s">
        <v>2280</v>
      </c>
      <c r="D99" s="1303" t="s">
        <v>403</v>
      </c>
      <c r="E99" s="1040" t="s">
        <v>286</v>
      </c>
      <c r="F99" s="1117">
        <v>46069</v>
      </c>
      <c r="G99" s="1117">
        <v>46111</v>
      </c>
      <c r="H99" s="1074">
        <f>17600*9</f>
        <v>158400</v>
      </c>
      <c r="I99" s="1074"/>
      <c r="J99" s="1305"/>
      <c r="K99" s="1307"/>
      <c r="L99" s="1325"/>
      <c r="M99" s="1325"/>
      <c r="N99" s="1325"/>
      <c r="O99" s="1074" t="s">
        <v>80</v>
      </c>
      <c r="P99" s="1057">
        <v>0.8</v>
      </c>
      <c r="Q99" s="87" t="s">
        <v>106</v>
      </c>
      <c r="R99" s="91">
        <v>0.2</v>
      </c>
      <c r="S99" s="88">
        <v>0</v>
      </c>
      <c r="T99" s="88">
        <v>0</v>
      </c>
      <c r="U99" s="88">
        <v>0</v>
      </c>
      <c r="V99" s="89">
        <f t="shared" si="36"/>
        <v>0</v>
      </c>
      <c r="W99" s="88">
        <v>17600</v>
      </c>
      <c r="X99" s="88">
        <v>17600</v>
      </c>
      <c r="Y99" s="88">
        <v>17600</v>
      </c>
      <c r="Z99" s="89">
        <f t="shared" si="37"/>
        <v>52800</v>
      </c>
      <c r="AA99" s="88">
        <v>17600</v>
      </c>
      <c r="AB99" s="88">
        <v>17600</v>
      </c>
      <c r="AC99" s="88">
        <v>17600</v>
      </c>
      <c r="AD99" s="89">
        <f t="shared" si="10"/>
        <v>52800</v>
      </c>
      <c r="AE99" s="88">
        <v>17600</v>
      </c>
      <c r="AF99" s="88">
        <v>17600</v>
      </c>
      <c r="AG99" s="88">
        <v>17600</v>
      </c>
      <c r="AH99" s="89">
        <f t="shared" si="11"/>
        <v>52800</v>
      </c>
      <c r="AI99" s="90">
        <f t="shared" si="13"/>
        <v>158400</v>
      </c>
      <c r="AJ99" s="92" t="s">
        <v>2281</v>
      </c>
      <c r="AK99" s="62" t="str">
        <f>B99</f>
        <v>23 - Redução do peso bruto VW000581Z / VW000582Z</v>
      </c>
      <c r="AL99" s="1695" t="str">
        <f t="shared" ref="AL99" si="40">IF(S99&gt;0,"janeiro",
IF(T99&gt;0,"fevereiro",
IF(U99&gt;0,"março",
IF(W99&gt;0,"abril",
IF(X99&gt;0,"maio",
IF(Y99&gt;0,"junho",
IF(AA99&gt;0,"julho",
IF(AB99&gt;0,"agosto",
IF(AC99&gt;0,"setembro",
IF(AE99&gt;0,"outubro",
IF(AF99&gt;0,"novembro",
IF(AG99&gt;0,"dezembro",
""))))))))))))</f>
        <v>abril</v>
      </c>
    </row>
    <row r="100" spans="1:38" ht="29.1" customHeight="1" x14ac:dyDescent="0.3">
      <c r="A100" s="1037"/>
      <c r="B100" s="1114"/>
      <c r="C100" s="1116"/>
      <c r="D100" s="1304"/>
      <c r="E100" s="1041"/>
      <c r="F100" s="1118"/>
      <c r="G100" s="1118"/>
      <c r="H100" s="1075"/>
      <c r="I100" s="1075"/>
      <c r="J100" s="1306"/>
      <c r="K100" s="1054"/>
      <c r="L100" s="1326"/>
      <c r="M100" s="1326"/>
      <c r="N100" s="1326"/>
      <c r="O100" s="1075"/>
      <c r="P100" s="1058"/>
      <c r="Q100" s="87" t="s">
        <v>107</v>
      </c>
      <c r="R100" s="91">
        <v>0.2</v>
      </c>
      <c r="S100" s="309">
        <v>0</v>
      </c>
      <c r="T100" s="309"/>
      <c r="U100" s="309"/>
      <c r="V100" s="310">
        <f t="shared" si="36"/>
        <v>0</v>
      </c>
      <c r="W100" s="309"/>
      <c r="X100" s="309"/>
      <c r="Y100" s="309"/>
      <c r="Z100" s="310">
        <f t="shared" si="37"/>
        <v>0</v>
      </c>
      <c r="AA100" s="309"/>
      <c r="AB100" s="309"/>
      <c r="AC100" s="309"/>
      <c r="AD100" s="310">
        <f t="shared" si="10"/>
        <v>0</v>
      </c>
      <c r="AE100" s="309"/>
      <c r="AF100" s="309"/>
      <c r="AG100" s="309"/>
      <c r="AH100" s="310">
        <f t="shared" si="11"/>
        <v>0</v>
      </c>
      <c r="AI100" s="311">
        <f t="shared" si="13"/>
        <v>0</v>
      </c>
      <c r="AJ100" s="92"/>
      <c r="AK100" s="62" t="str">
        <f>B99</f>
        <v>23 - Redução do peso bruto VW000581Z / VW000582Z</v>
      </c>
      <c r="AL100" s="1696"/>
    </row>
    <row r="101" spans="1:38" ht="29.1" customHeight="1" x14ac:dyDescent="0.3">
      <c r="A101" s="1038"/>
      <c r="B101" s="1095"/>
      <c r="C101" s="1697"/>
      <c r="D101" s="1363"/>
      <c r="E101" s="1099"/>
      <c r="F101" s="1101"/>
      <c r="G101" s="1101"/>
      <c r="H101" s="1152"/>
      <c r="I101" s="1076"/>
      <c r="J101" s="1072"/>
      <c r="K101" s="1055"/>
      <c r="L101" s="1055"/>
      <c r="M101" s="1055"/>
      <c r="N101" s="1055"/>
      <c r="O101" s="1042"/>
      <c r="P101" s="1042"/>
      <c r="Q101" s="93" t="s">
        <v>106</v>
      </c>
      <c r="R101" s="96" t="str">
        <f ca="1">IF(OR(F101="", G101=""), "", IF(TODAY()&lt;F101, 0, IF(TODAY()&gt;G101, 1, (TODAY()-F101+1)/(G101-F101+1))))</f>
        <v/>
      </c>
      <c r="S101" s="94"/>
      <c r="T101" s="94"/>
      <c r="U101" s="94"/>
      <c r="V101" s="89">
        <f t="shared" si="36"/>
        <v>0</v>
      </c>
      <c r="W101" s="94"/>
      <c r="X101" s="94"/>
      <c r="Y101" s="94"/>
      <c r="Z101" s="89">
        <f t="shared" si="37"/>
        <v>0</v>
      </c>
      <c r="AA101" s="94"/>
      <c r="AB101" s="94"/>
      <c r="AC101" s="94"/>
      <c r="AD101" s="89">
        <f t="shared" si="10"/>
        <v>0</v>
      </c>
      <c r="AE101" s="94"/>
      <c r="AF101" s="94"/>
      <c r="AG101" s="94"/>
      <c r="AH101" s="89">
        <f t="shared" si="11"/>
        <v>0</v>
      </c>
      <c r="AI101" s="95">
        <f t="shared" si="13"/>
        <v>0</v>
      </c>
      <c r="AJ101" s="97"/>
      <c r="AK101" s="62">
        <f>B101</f>
        <v>0</v>
      </c>
      <c r="AL101" s="1695" t="str">
        <f t="shared" ref="AL101" si="41">IF(S101&gt;0,"janeiro",
IF(T101&gt;0,"fevereiro",
IF(U101&gt;0,"março",
IF(W101&gt;0,"abril",
IF(X101&gt;0,"maio",
IF(Y101&gt;0,"junho",
IF(AA101&gt;0,"julho",
IF(AB101&gt;0,"agosto",
IF(AC101&gt;0,"setembro",
IF(AE101&gt;0,"outubro",
IF(AF101&gt;0,"novembro",
IF(AG101&gt;0,"dezembro",
""))))))))))))</f>
        <v/>
      </c>
    </row>
    <row r="102" spans="1:38" ht="29.1" customHeight="1" x14ac:dyDescent="0.3">
      <c r="A102" s="1039"/>
      <c r="B102" s="1096"/>
      <c r="C102" s="1098"/>
      <c r="D102" s="1364"/>
      <c r="E102" s="1100"/>
      <c r="F102" s="1102"/>
      <c r="G102" s="1102"/>
      <c r="H102" s="1151"/>
      <c r="I102" s="1077"/>
      <c r="J102" s="1073"/>
      <c r="K102" s="1056"/>
      <c r="L102" s="1056"/>
      <c r="M102" s="1056"/>
      <c r="N102" s="1056"/>
      <c r="O102" s="1043"/>
      <c r="P102" s="1043"/>
      <c r="Q102" s="93" t="s">
        <v>107</v>
      </c>
      <c r="R102" s="96"/>
      <c r="S102" s="312"/>
      <c r="T102" s="312"/>
      <c r="U102" s="312"/>
      <c r="V102" s="310">
        <f t="shared" si="36"/>
        <v>0</v>
      </c>
      <c r="W102" s="312"/>
      <c r="X102" s="312"/>
      <c r="Y102" s="312"/>
      <c r="Z102" s="310">
        <f t="shared" si="37"/>
        <v>0</v>
      </c>
      <c r="AA102" s="312"/>
      <c r="AB102" s="312"/>
      <c r="AC102" s="312"/>
      <c r="AD102" s="310">
        <f t="shared" si="10"/>
        <v>0</v>
      </c>
      <c r="AE102" s="312"/>
      <c r="AF102" s="312"/>
      <c r="AG102" s="312"/>
      <c r="AH102" s="310">
        <f t="shared" si="11"/>
        <v>0</v>
      </c>
      <c r="AI102" s="313">
        <f t="shared" si="13"/>
        <v>0</v>
      </c>
      <c r="AJ102" s="97"/>
      <c r="AK102" s="62">
        <f>B101</f>
        <v>0</v>
      </c>
      <c r="AL102" s="1696"/>
    </row>
    <row r="103" spans="1:38" ht="29.1" customHeight="1" x14ac:dyDescent="0.3">
      <c r="A103" s="1036"/>
      <c r="B103" s="1113"/>
      <c r="C103" s="1389"/>
      <c r="D103" s="1303"/>
      <c r="E103" s="1040"/>
      <c r="F103" s="1117"/>
      <c r="G103" s="1117"/>
      <c r="H103" s="1074"/>
      <c r="I103" s="1074"/>
      <c r="J103" s="1305"/>
      <c r="K103" s="1307"/>
      <c r="L103" s="1325"/>
      <c r="M103" s="1325"/>
      <c r="N103" s="1325"/>
      <c r="O103" s="1074"/>
      <c r="P103" s="1057"/>
      <c r="Q103" s="87" t="s">
        <v>106</v>
      </c>
      <c r="R103" s="91" t="str">
        <f ca="1">IF(OR(F103="", G103=""), "", IF(TODAY()&lt;F103, 0, IF(TODAY()&gt;G103, 1, (TODAY()-F103+1)/(G103-F103+1))))</f>
        <v/>
      </c>
      <c r="S103" s="88"/>
      <c r="T103" s="88"/>
      <c r="U103" s="88"/>
      <c r="V103" s="89">
        <f t="shared" si="36"/>
        <v>0</v>
      </c>
      <c r="W103" s="88"/>
      <c r="X103" s="88"/>
      <c r="Y103" s="88"/>
      <c r="Z103" s="89">
        <f t="shared" si="37"/>
        <v>0</v>
      </c>
      <c r="AA103" s="88"/>
      <c r="AB103" s="88"/>
      <c r="AC103" s="88"/>
      <c r="AD103" s="89">
        <f t="shared" si="10"/>
        <v>0</v>
      </c>
      <c r="AE103" s="88"/>
      <c r="AF103" s="88"/>
      <c r="AG103" s="88"/>
      <c r="AH103" s="89">
        <f t="shared" si="11"/>
        <v>0</v>
      </c>
      <c r="AI103" s="90">
        <f t="shared" si="13"/>
        <v>0</v>
      </c>
      <c r="AJ103" s="92"/>
      <c r="AK103" s="62">
        <f>B103</f>
        <v>0</v>
      </c>
      <c r="AL103" s="1695" t="str">
        <f t="shared" ref="AL103" si="42">IF(S103&gt;0,"janeiro",
IF(T103&gt;0,"fevereiro",
IF(U103&gt;0,"março",
IF(W103&gt;0,"abril",
IF(X103&gt;0,"maio",
IF(Y103&gt;0,"junho",
IF(AA103&gt;0,"julho",
IF(AB103&gt;0,"agosto",
IF(AC103&gt;0,"setembro",
IF(AE103&gt;0,"outubro",
IF(AF103&gt;0,"novembro",
IF(AG103&gt;0,"dezembro",
""))))))))))))</f>
        <v/>
      </c>
    </row>
    <row r="104" spans="1:38" ht="29.1" customHeight="1" x14ac:dyDescent="0.3">
      <c r="A104" s="1037"/>
      <c r="B104" s="1114"/>
      <c r="C104" s="1116"/>
      <c r="D104" s="1304"/>
      <c r="E104" s="1041"/>
      <c r="F104" s="1118"/>
      <c r="G104" s="1118"/>
      <c r="H104" s="1075"/>
      <c r="I104" s="1075"/>
      <c r="J104" s="1306"/>
      <c r="K104" s="1054"/>
      <c r="L104" s="1326"/>
      <c r="M104" s="1326"/>
      <c r="N104" s="1326"/>
      <c r="O104" s="1075"/>
      <c r="P104" s="1058"/>
      <c r="Q104" s="87" t="s">
        <v>107</v>
      </c>
      <c r="R104" s="91"/>
      <c r="S104" s="309"/>
      <c r="T104" s="309"/>
      <c r="U104" s="309"/>
      <c r="V104" s="310">
        <f t="shared" si="36"/>
        <v>0</v>
      </c>
      <c r="W104" s="309"/>
      <c r="X104" s="309"/>
      <c r="Y104" s="309"/>
      <c r="Z104" s="310">
        <f t="shared" si="37"/>
        <v>0</v>
      </c>
      <c r="AA104" s="309"/>
      <c r="AB104" s="309"/>
      <c r="AC104" s="309"/>
      <c r="AD104" s="310">
        <f t="shared" si="10"/>
        <v>0</v>
      </c>
      <c r="AE104" s="309"/>
      <c r="AF104" s="309"/>
      <c r="AG104" s="309"/>
      <c r="AH104" s="310">
        <f t="shared" si="11"/>
        <v>0</v>
      </c>
      <c r="AI104" s="311">
        <f t="shared" si="13"/>
        <v>0</v>
      </c>
      <c r="AJ104" s="92"/>
      <c r="AK104" s="62">
        <f>B103</f>
        <v>0</v>
      </c>
      <c r="AL104" s="1696"/>
    </row>
    <row r="105" spans="1:38" ht="29.1" customHeight="1" x14ac:dyDescent="0.3">
      <c r="A105" s="1038"/>
      <c r="B105" s="1095"/>
      <c r="C105" s="1697"/>
      <c r="D105" s="1363"/>
      <c r="E105" s="1099"/>
      <c r="F105" s="1101"/>
      <c r="G105" s="1101"/>
      <c r="H105" s="1152"/>
      <c r="I105" s="1076"/>
      <c r="J105" s="1072"/>
      <c r="K105" s="1055"/>
      <c r="L105" s="1055"/>
      <c r="M105" s="1055"/>
      <c r="N105" s="1055"/>
      <c r="O105" s="1042"/>
      <c r="P105" s="1042"/>
      <c r="Q105" s="93" t="s">
        <v>106</v>
      </c>
      <c r="R105" s="96" t="str">
        <f ca="1">IF(OR(F105="", G105=""), "", IF(TODAY()&lt;F105, 0, IF(TODAY()&gt;G105, 1, (TODAY()-F105+1)/(G105-F105+1))))</f>
        <v/>
      </c>
      <c r="S105" s="94"/>
      <c r="T105" s="94"/>
      <c r="U105" s="94"/>
      <c r="V105" s="89">
        <f t="shared" si="36"/>
        <v>0</v>
      </c>
      <c r="W105" s="94"/>
      <c r="X105" s="94"/>
      <c r="Y105" s="94"/>
      <c r="Z105" s="89">
        <f t="shared" si="37"/>
        <v>0</v>
      </c>
      <c r="AA105" s="94"/>
      <c r="AB105" s="94"/>
      <c r="AC105" s="94"/>
      <c r="AD105" s="89">
        <f t="shared" si="10"/>
        <v>0</v>
      </c>
      <c r="AE105" s="94"/>
      <c r="AF105" s="94"/>
      <c r="AG105" s="94"/>
      <c r="AH105" s="89">
        <f t="shared" si="11"/>
        <v>0</v>
      </c>
      <c r="AI105" s="95">
        <f t="shared" si="13"/>
        <v>0</v>
      </c>
      <c r="AJ105" s="97"/>
      <c r="AK105" s="62">
        <f>B105</f>
        <v>0</v>
      </c>
      <c r="AL105" s="1695" t="str">
        <f t="shared" ref="AL105" si="43">IF(S105&gt;0,"janeiro",
IF(T105&gt;0,"fevereiro",
IF(U105&gt;0,"março",
IF(W105&gt;0,"abril",
IF(X105&gt;0,"maio",
IF(Y105&gt;0,"junho",
IF(AA105&gt;0,"julho",
IF(AB105&gt;0,"agosto",
IF(AC105&gt;0,"setembro",
IF(AE105&gt;0,"outubro",
IF(AF105&gt;0,"novembro",
IF(AG105&gt;0,"dezembro",
""))))))))))))</f>
        <v/>
      </c>
    </row>
    <row r="106" spans="1:38" ht="29.1" customHeight="1" x14ac:dyDescent="0.3">
      <c r="A106" s="1039"/>
      <c r="B106" s="1096"/>
      <c r="C106" s="1098"/>
      <c r="D106" s="1364"/>
      <c r="E106" s="1100"/>
      <c r="F106" s="1102"/>
      <c r="G106" s="1102"/>
      <c r="H106" s="1151"/>
      <c r="I106" s="1077"/>
      <c r="J106" s="1073"/>
      <c r="K106" s="1056"/>
      <c r="L106" s="1056"/>
      <c r="M106" s="1056"/>
      <c r="N106" s="1056"/>
      <c r="O106" s="1043"/>
      <c r="P106" s="1043"/>
      <c r="Q106" s="93" t="s">
        <v>107</v>
      </c>
      <c r="R106" s="96"/>
      <c r="S106" s="312"/>
      <c r="T106" s="312"/>
      <c r="U106" s="312"/>
      <c r="V106" s="310">
        <f t="shared" si="36"/>
        <v>0</v>
      </c>
      <c r="W106" s="312"/>
      <c r="X106" s="312"/>
      <c r="Y106" s="312"/>
      <c r="Z106" s="310">
        <f t="shared" si="37"/>
        <v>0</v>
      </c>
      <c r="AA106" s="312"/>
      <c r="AB106" s="312"/>
      <c r="AC106" s="312"/>
      <c r="AD106" s="310">
        <f t="shared" si="10"/>
        <v>0</v>
      </c>
      <c r="AE106" s="312"/>
      <c r="AF106" s="312"/>
      <c r="AG106" s="312"/>
      <c r="AH106" s="310">
        <f t="shared" si="11"/>
        <v>0</v>
      </c>
      <c r="AI106" s="313">
        <f t="shared" si="13"/>
        <v>0</v>
      </c>
      <c r="AJ106" s="97"/>
      <c r="AK106" s="62">
        <f>B105</f>
        <v>0</v>
      </c>
      <c r="AL106" s="1696"/>
    </row>
    <row r="107" spans="1:38" ht="29.1" customHeight="1" x14ac:dyDescent="0.3">
      <c r="A107" s="1036"/>
      <c r="B107" s="1113"/>
      <c r="C107" s="1389"/>
      <c r="D107" s="1303"/>
      <c r="E107" s="1040"/>
      <c r="F107" s="1117"/>
      <c r="G107" s="1117"/>
      <c r="H107" s="1074"/>
      <c r="I107" s="1074"/>
      <c r="J107" s="1305"/>
      <c r="K107" s="1307"/>
      <c r="L107" s="1325"/>
      <c r="M107" s="1325"/>
      <c r="N107" s="1325"/>
      <c r="O107" s="1074"/>
      <c r="P107" s="1057"/>
      <c r="Q107" s="87" t="s">
        <v>106</v>
      </c>
      <c r="R107" s="91" t="str">
        <f ca="1">IF(OR(F107="", G107=""), "", IF(TODAY()&lt;F107, 0, IF(TODAY()&gt;G107, 1, (TODAY()-F107+1)/(G107-F107+1))))</f>
        <v/>
      </c>
      <c r="S107" s="88"/>
      <c r="T107" s="88"/>
      <c r="U107" s="88"/>
      <c r="V107" s="89">
        <f t="shared" si="36"/>
        <v>0</v>
      </c>
      <c r="W107" s="88"/>
      <c r="X107" s="88"/>
      <c r="Y107" s="88"/>
      <c r="Z107" s="89">
        <f t="shared" si="37"/>
        <v>0</v>
      </c>
      <c r="AA107" s="88"/>
      <c r="AB107" s="88"/>
      <c r="AC107" s="88"/>
      <c r="AD107" s="89">
        <f t="shared" si="10"/>
        <v>0</v>
      </c>
      <c r="AE107" s="88"/>
      <c r="AF107" s="88"/>
      <c r="AG107" s="88"/>
      <c r="AH107" s="89">
        <f t="shared" si="11"/>
        <v>0</v>
      </c>
      <c r="AI107" s="90">
        <f t="shared" si="13"/>
        <v>0</v>
      </c>
      <c r="AJ107" s="92"/>
      <c r="AK107" s="62">
        <f>B107</f>
        <v>0</v>
      </c>
      <c r="AL107" s="1695" t="str">
        <f t="shared" ref="AL107" si="44">IF(S107&gt;0,"janeiro",
IF(T107&gt;0,"fevereiro",
IF(U107&gt;0,"março",
IF(W107&gt;0,"abril",
IF(X107&gt;0,"maio",
IF(Y107&gt;0,"junho",
IF(AA107&gt;0,"julho",
IF(AB107&gt;0,"agosto",
IF(AC107&gt;0,"setembro",
IF(AE107&gt;0,"outubro",
IF(AF107&gt;0,"novembro",
IF(AG107&gt;0,"dezembro",
""))))))))))))</f>
        <v/>
      </c>
    </row>
    <row r="108" spans="1:38" ht="29.1" customHeight="1" x14ac:dyDescent="0.3">
      <c r="A108" s="1037"/>
      <c r="B108" s="1114"/>
      <c r="C108" s="1116"/>
      <c r="D108" s="1304"/>
      <c r="E108" s="1041"/>
      <c r="F108" s="1118"/>
      <c r="G108" s="1118"/>
      <c r="H108" s="1075"/>
      <c r="I108" s="1075"/>
      <c r="J108" s="1306"/>
      <c r="K108" s="1054"/>
      <c r="L108" s="1326"/>
      <c r="M108" s="1326"/>
      <c r="N108" s="1326"/>
      <c r="O108" s="1075"/>
      <c r="P108" s="1058"/>
      <c r="Q108" s="87" t="s">
        <v>107</v>
      </c>
      <c r="R108" s="91"/>
      <c r="S108" s="309"/>
      <c r="T108" s="309"/>
      <c r="U108" s="309"/>
      <c r="V108" s="310">
        <f t="shared" si="36"/>
        <v>0</v>
      </c>
      <c r="W108" s="309"/>
      <c r="X108" s="309"/>
      <c r="Y108" s="309"/>
      <c r="Z108" s="310">
        <f t="shared" si="37"/>
        <v>0</v>
      </c>
      <c r="AA108" s="309"/>
      <c r="AB108" s="309"/>
      <c r="AC108" s="309"/>
      <c r="AD108" s="310">
        <f t="shared" si="10"/>
        <v>0</v>
      </c>
      <c r="AE108" s="309"/>
      <c r="AF108" s="309"/>
      <c r="AG108" s="309"/>
      <c r="AH108" s="310">
        <f t="shared" si="11"/>
        <v>0</v>
      </c>
      <c r="AI108" s="311">
        <f t="shared" si="13"/>
        <v>0</v>
      </c>
      <c r="AJ108" s="92"/>
      <c r="AK108" s="62">
        <f>B107</f>
        <v>0</v>
      </c>
      <c r="AL108" s="1696"/>
    </row>
    <row r="109" spans="1:38" ht="29.1" customHeight="1" x14ac:dyDescent="0.3">
      <c r="A109" s="1038"/>
      <c r="B109" s="1095"/>
      <c r="C109" s="1697"/>
      <c r="D109" s="1363"/>
      <c r="E109" s="1099"/>
      <c r="F109" s="1101"/>
      <c r="G109" s="1101"/>
      <c r="H109" s="1152"/>
      <c r="I109" s="1076"/>
      <c r="J109" s="1072"/>
      <c r="K109" s="1055"/>
      <c r="L109" s="1055"/>
      <c r="M109" s="1055"/>
      <c r="N109" s="1055"/>
      <c r="O109" s="1042"/>
      <c r="P109" s="1042"/>
      <c r="Q109" s="93" t="s">
        <v>106</v>
      </c>
      <c r="R109" s="96" t="str">
        <f ca="1">IF(OR(F109="", G109=""), "", IF(TODAY()&lt;F109, 0, IF(TODAY()&gt;G109, 1, (TODAY()-F109+1)/(G109-F109+1))))</f>
        <v/>
      </c>
      <c r="S109" s="94"/>
      <c r="T109" s="94"/>
      <c r="U109" s="94"/>
      <c r="V109" s="89">
        <f t="shared" si="36"/>
        <v>0</v>
      </c>
      <c r="W109" s="94"/>
      <c r="X109" s="94"/>
      <c r="Y109" s="94"/>
      <c r="Z109" s="89">
        <f t="shared" si="37"/>
        <v>0</v>
      </c>
      <c r="AA109" s="94"/>
      <c r="AB109" s="94"/>
      <c r="AC109" s="94"/>
      <c r="AD109" s="89">
        <f t="shared" si="10"/>
        <v>0</v>
      </c>
      <c r="AE109" s="94"/>
      <c r="AF109" s="94"/>
      <c r="AG109" s="94"/>
      <c r="AH109" s="89">
        <f t="shared" si="11"/>
        <v>0</v>
      </c>
      <c r="AI109" s="95">
        <f t="shared" si="13"/>
        <v>0</v>
      </c>
      <c r="AJ109" s="97"/>
      <c r="AK109" s="62">
        <f>B109</f>
        <v>0</v>
      </c>
      <c r="AL109" s="1695" t="str">
        <f t="shared" ref="AL109" si="45">IF(S109&gt;0,"janeiro",
IF(T109&gt;0,"fevereiro",
IF(U109&gt;0,"março",
IF(W109&gt;0,"abril",
IF(X109&gt;0,"maio",
IF(Y109&gt;0,"junho",
IF(AA109&gt;0,"julho",
IF(AB109&gt;0,"agosto",
IF(AC109&gt;0,"setembro",
IF(AE109&gt;0,"outubro",
IF(AF109&gt;0,"novembro",
IF(AG109&gt;0,"dezembro",
""))))))))))))</f>
        <v/>
      </c>
    </row>
    <row r="110" spans="1:38" ht="29.1" customHeight="1" x14ac:dyDescent="0.3">
      <c r="A110" s="1039"/>
      <c r="B110" s="1096"/>
      <c r="C110" s="1098"/>
      <c r="D110" s="1364"/>
      <c r="E110" s="1100"/>
      <c r="F110" s="1102"/>
      <c r="G110" s="1102"/>
      <c r="H110" s="1151"/>
      <c r="I110" s="1077"/>
      <c r="J110" s="1073"/>
      <c r="K110" s="1056"/>
      <c r="L110" s="1056"/>
      <c r="M110" s="1056"/>
      <c r="N110" s="1056"/>
      <c r="O110" s="1043"/>
      <c r="P110" s="1043"/>
      <c r="Q110" s="93" t="s">
        <v>107</v>
      </c>
      <c r="R110" s="96"/>
      <c r="S110" s="312"/>
      <c r="T110" s="312"/>
      <c r="U110" s="312"/>
      <c r="V110" s="310">
        <f t="shared" si="36"/>
        <v>0</v>
      </c>
      <c r="W110" s="312"/>
      <c r="X110" s="312"/>
      <c r="Y110" s="312"/>
      <c r="Z110" s="310">
        <f t="shared" si="37"/>
        <v>0</v>
      </c>
      <c r="AA110" s="312"/>
      <c r="AB110" s="312"/>
      <c r="AC110" s="312"/>
      <c r="AD110" s="310">
        <f t="shared" si="10"/>
        <v>0</v>
      </c>
      <c r="AE110" s="312"/>
      <c r="AF110" s="312"/>
      <c r="AG110" s="312"/>
      <c r="AH110" s="310">
        <f t="shared" si="11"/>
        <v>0</v>
      </c>
      <c r="AI110" s="313">
        <f t="shared" si="13"/>
        <v>0</v>
      </c>
      <c r="AJ110" s="97"/>
      <c r="AK110" s="62">
        <f>B109</f>
        <v>0</v>
      </c>
      <c r="AL110" s="1696"/>
    </row>
    <row r="111" spans="1:38" ht="29.1" customHeight="1" x14ac:dyDescent="0.3">
      <c r="A111" s="1036"/>
      <c r="B111" s="1113"/>
      <c r="C111" s="1389"/>
      <c r="D111" s="1303"/>
      <c r="E111" s="1040"/>
      <c r="F111" s="1117"/>
      <c r="G111" s="1117"/>
      <c r="H111" s="1074"/>
      <c r="I111" s="1074"/>
      <c r="J111" s="1305"/>
      <c r="K111" s="1307"/>
      <c r="L111" s="1325"/>
      <c r="M111" s="1325"/>
      <c r="N111" s="1325"/>
      <c r="O111" s="1074"/>
      <c r="P111" s="1057"/>
      <c r="Q111" s="87" t="s">
        <v>106</v>
      </c>
      <c r="R111" s="91" t="str">
        <f ca="1">IF(OR(F111="", G111=""), "", IF(TODAY()&lt;F111, 0, IF(TODAY()&gt;G111, 1, (TODAY()-F111+1)/(G111-F111+1))))</f>
        <v/>
      </c>
      <c r="S111" s="88"/>
      <c r="T111" s="88"/>
      <c r="U111" s="88"/>
      <c r="V111" s="89">
        <f t="shared" si="36"/>
        <v>0</v>
      </c>
      <c r="W111" s="88"/>
      <c r="X111" s="88"/>
      <c r="Y111" s="88"/>
      <c r="Z111" s="89">
        <f t="shared" si="37"/>
        <v>0</v>
      </c>
      <c r="AA111" s="88"/>
      <c r="AB111" s="88"/>
      <c r="AC111" s="88"/>
      <c r="AD111" s="89">
        <f t="shared" si="10"/>
        <v>0</v>
      </c>
      <c r="AE111" s="88"/>
      <c r="AF111" s="88"/>
      <c r="AG111" s="88"/>
      <c r="AH111" s="89">
        <f t="shared" si="11"/>
        <v>0</v>
      </c>
      <c r="AI111" s="90">
        <f t="shared" si="13"/>
        <v>0</v>
      </c>
      <c r="AJ111" s="92"/>
      <c r="AK111" s="62">
        <f>B111</f>
        <v>0</v>
      </c>
      <c r="AL111" s="1695" t="str">
        <f t="shared" ref="AL111" si="46">IF(S111&gt;0,"janeiro",
IF(T111&gt;0,"fevereiro",
IF(U111&gt;0,"março",
IF(W111&gt;0,"abril",
IF(X111&gt;0,"maio",
IF(Y111&gt;0,"junho",
IF(AA111&gt;0,"julho",
IF(AB111&gt;0,"agosto",
IF(AC111&gt;0,"setembro",
IF(AE111&gt;0,"outubro",
IF(AF111&gt;0,"novembro",
IF(AG111&gt;0,"dezembro",
""))))))))))))</f>
        <v/>
      </c>
    </row>
    <row r="112" spans="1:38" ht="29.1" customHeight="1" x14ac:dyDescent="0.3">
      <c r="A112" s="1037"/>
      <c r="B112" s="1114"/>
      <c r="C112" s="1116"/>
      <c r="D112" s="1304"/>
      <c r="E112" s="1041"/>
      <c r="F112" s="1118"/>
      <c r="G112" s="1118"/>
      <c r="H112" s="1075"/>
      <c r="I112" s="1075"/>
      <c r="J112" s="1306"/>
      <c r="K112" s="1054"/>
      <c r="L112" s="1326"/>
      <c r="M112" s="1326"/>
      <c r="N112" s="1326"/>
      <c r="O112" s="1075"/>
      <c r="P112" s="1058"/>
      <c r="Q112" s="87" t="s">
        <v>107</v>
      </c>
      <c r="R112" s="91"/>
      <c r="S112" s="309"/>
      <c r="T112" s="309"/>
      <c r="U112" s="309"/>
      <c r="V112" s="310">
        <f t="shared" si="36"/>
        <v>0</v>
      </c>
      <c r="W112" s="309"/>
      <c r="X112" s="309"/>
      <c r="Y112" s="309"/>
      <c r="Z112" s="310">
        <f t="shared" si="37"/>
        <v>0</v>
      </c>
      <c r="AA112" s="309"/>
      <c r="AB112" s="309"/>
      <c r="AC112" s="309"/>
      <c r="AD112" s="310">
        <f t="shared" si="10"/>
        <v>0</v>
      </c>
      <c r="AE112" s="309"/>
      <c r="AF112" s="309"/>
      <c r="AG112" s="309"/>
      <c r="AH112" s="310">
        <f t="shared" si="11"/>
        <v>0</v>
      </c>
      <c r="AI112" s="311">
        <f t="shared" si="13"/>
        <v>0</v>
      </c>
      <c r="AJ112" s="92"/>
      <c r="AK112" s="62">
        <f>B111</f>
        <v>0</v>
      </c>
      <c r="AL112" s="1696"/>
    </row>
    <row r="113" spans="1:38" ht="29.1" customHeight="1" x14ac:dyDescent="0.3">
      <c r="A113" s="1038"/>
      <c r="B113" s="1095"/>
      <c r="C113" s="1697"/>
      <c r="D113" s="1363"/>
      <c r="E113" s="1099"/>
      <c r="F113" s="1101"/>
      <c r="G113" s="1101"/>
      <c r="H113" s="1152"/>
      <c r="I113" s="1076"/>
      <c r="J113" s="1072"/>
      <c r="K113" s="1055"/>
      <c r="L113" s="1055"/>
      <c r="M113" s="1055"/>
      <c r="N113" s="1055"/>
      <c r="O113" s="1042"/>
      <c r="P113" s="1042"/>
      <c r="Q113" s="93" t="s">
        <v>106</v>
      </c>
      <c r="R113" s="96" t="str">
        <f ca="1">IF(OR(F113="", G113=""), "", IF(TODAY()&lt;F113, 0, IF(TODAY()&gt;G113, 1, (TODAY()-F113+1)/(G113-F113+1))))</f>
        <v/>
      </c>
      <c r="S113" s="94"/>
      <c r="T113" s="94"/>
      <c r="U113" s="94"/>
      <c r="V113" s="89">
        <f t="shared" si="36"/>
        <v>0</v>
      </c>
      <c r="W113" s="94"/>
      <c r="X113" s="94"/>
      <c r="Y113" s="94"/>
      <c r="Z113" s="89">
        <f t="shared" si="37"/>
        <v>0</v>
      </c>
      <c r="AA113" s="94"/>
      <c r="AB113" s="94"/>
      <c r="AC113" s="94"/>
      <c r="AD113" s="89">
        <f t="shared" si="10"/>
        <v>0</v>
      </c>
      <c r="AE113" s="94"/>
      <c r="AF113" s="94"/>
      <c r="AG113" s="94"/>
      <c r="AH113" s="89">
        <f t="shared" si="11"/>
        <v>0</v>
      </c>
      <c r="AI113" s="95">
        <f t="shared" si="13"/>
        <v>0</v>
      </c>
      <c r="AJ113" s="97"/>
      <c r="AK113" s="62">
        <f>B113</f>
        <v>0</v>
      </c>
      <c r="AL113" s="1695" t="str">
        <f t="shared" ref="AL113" si="47">IF(S113&gt;0,"janeiro",
IF(T113&gt;0,"fevereiro",
IF(U113&gt;0,"março",
IF(W113&gt;0,"abril",
IF(X113&gt;0,"maio",
IF(Y113&gt;0,"junho",
IF(AA113&gt;0,"julho",
IF(AB113&gt;0,"agosto",
IF(AC113&gt;0,"setembro",
IF(AE113&gt;0,"outubro",
IF(AF113&gt;0,"novembro",
IF(AG113&gt;0,"dezembro",
""))))))))))))</f>
        <v/>
      </c>
    </row>
    <row r="114" spans="1:38" ht="29.1" customHeight="1" x14ac:dyDescent="0.3">
      <c r="A114" s="1039"/>
      <c r="B114" s="1096"/>
      <c r="C114" s="1098"/>
      <c r="D114" s="1364"/>
      <c r="E114" s="1100"/>
      <c r="F114" s="1102"/>
      <c r="G114" s="1102"/>
      <c r="H114" s="1151"/>
      <c r="I114" s="1077"/>
      <c r="J114" s="1073"/>
      <c r="K114" s="1056"/>
      <c r="L114" s="1056"/>
      <c r="M114" s="1056"/>
      <c r="N114" s="1056"/>
      <c r="O114" s="1043"/>
      <c r="P114" s="1043"/>
      <c r="Q114" s="93" t="s">
        <v>107</v>
      </c>
      <c r="R114" s="96"/>
      <c r="S114" s="312"/>
      <c r="T114" s="312"/>
      <c r="U114" s="312"/>
      <c r="V114" s="310">
        <f t="shared" si="36"/>
        <v>0</v>
      </c>
      <c r="W114" s="312"/>
      <c r="X114" s="312"/>
      <c r="Y114" s="312"/>
      <c r="Z114" s="310">
        <f t="shared" si="37"/>
        <v>0</v>
      </c>
      <c r="AA114" s="312"/>
      <c r="AB114" s="312"/>
      <c r="AC114" s="312"/>
      <c r="AD114" s="310">
        <f t="shared" si="10"/>
        <v>0</v>
      </c>
      <c r="AE114" s="312"/>
      <c r="AF114" s="312"/>
      <c r="AG114" s="312"/>
      <c r="AH114" s="310">
        <f t="shared" si="11"/>
        <v>0</v>
      </c>
      <c r="AI114" s="313">
        <f t="shared" si="13"/>
        <v>0</v>
      </c>
      <c r="AJ114" s="97"/>
      <c r="AK114" s="62">
        <f>B113</f>
        <v>0</v>
      </c>
      <c r="AL114" s="1696"/>
    </row>
    <row r="115" spans="1:38" x14ac:dyDescent="0.3">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59"/>
      <c r="AF115" s="59"/>
    </row>
    <row r="116" spans="1:38" ht="15.6" x14ac:dyDescent="0.3">
      <c r="A116" s="1493" t="s">
        <v>547</v>
      </c>
      <c r="B116" s="1493"/>
      <c r="C116" s="1493"/>
      <c r="D116" s="99" t="s">
        <v>548</v>
      </c>
      <c r="E116" s="99" t="s">
        <v>73</v>
      </c>
      <c r="F116" s="99" t="s">
        <v>74</v>
      </c>
      <c r="G116" s="47"/>
      <c r="H116" s="1414" t="s">
        <v>1038</v>
      </c>
      <c r="I116" s="1414"/>
      <c r="J116" s="1414"/>
      <c r="K116" s="1414"/>
      <c r="L116" s="1414"/>
      <c r="M116" s="1414"/>
      <c r="N116" s="1414"/>
      <c r="O116" s="1415"/>
      <c r="P116" s="1415"/>
      <c r="Q116" s="47"/>
      <c r="R116" s="159"/>
      <c r="S116" s="151">
        <v>46023</v>
      </c>
      <c r="T116" s="151">
        <v>46054</v>
      </c>
      <c r="U116" s="151">
        <v>46082</v>
      </c>
      <c r="V116" s="151">
        <v>46113</v>
      </c>
      <c r="W116" s="151">
        <v>46143</v>
      </c>
      <c r="X116" s="151">
        <v>46174</v>
      </c>
      <c r="Y116" s="151">
        <v>46204</v>
      </c>
      <c r="Z116" s="151">
        <v>46235</v>
      </c>
      <c r="AA116" s="151">
        <v>46266</v>
      </c>
      <c r="AB116" s="151">
        <v>46296</v>
      </c>
      <c r="AC116" s="151">
        <v>46327</v>
      </c>
      <c r="AD116" s="151">
        <v>46357</v>
      </c>
      <c r="AE116" s="151" t="s">
        <v>550</v>
      </c>
      <c r="AF116" s="59"/>
    </row>
    <row r="117" spans="1:38" ht="15.6" x14ac:dyDescent="0.3">
      <c r="A117" s="112" t="s">
        <v>867</v>
      </c>
      <c r="B117" s="112" t="s">
        <v>2282</v>
      </c>
      <c r="C117" s="333"/>
      <c r="D117" s="343">
        <v>1</v>
      </c>
      <c r="E117" s="109" t="s">
        <v>287</v>
      </c>
      <c r="F117" s="343" t="str" cm="1">
        <f t="array" ref="F117:F163">_xlfn.XLOOKUP(B117:B163,'[49]Escopo A3'!$D$63:$D$109,'[49]Escopo A3'!$H$63:$H$109)</f>
        <v>OK</v>
      </c>
      <c r="G117" s="357">
        <v>1</v>
      </c>
      <c r="H117" s="102" t="s">
        <v>552</v>
      </c>
      <c r="I117" s="102" t="s">
        <v>553</v>
      </c>
      <c r="J117" s="102" t="s">
        <v>554</v>
      </c>
      <c r="K117" s="102" t="s">
        <v>555</v>
      </c>
      <c r="L117" s="104" t="s">
        <v>167</v>
      </c>
      <c r="M117" s="1416" t="s">
        <v>556</v>
      </c>
      <c r="N117" s="1416"/>
      <c r="O117" s="1416"/>
      <c r="P117" s="1416"/>
      <c r="Q117" s="47"/>
      <c r="R117" s="151" t="s">
        <v>106</v>
      </c>
      <c r="S117" s="152" cm="1">
        <f t="array" ref="S117">SUMPRODUCT(
($Q$55:$Q$114="Previsto")*
INDEX($S$55:$AH$114,0,MATCH(S$116,$S$54:$AH$54,0))
)</f>
        <v>59581.77</v>
      </c>
      <c r="T117" s="152" cm="1">
        <f t="array" ref="T117">SUMPRODUCT(
($Q$55:$Q$114="Previsto")*
INDEX($S$55:$AH$114,0,MATCH(T$116,$S$54:$AH$54,0))
)</f>
        <v>28637</v>
      </c>
      <c r="U117" s="152" cm="1">
        <f t="array" ref="U117">SUMPRODUCT(
($Q$55:$Q$114="Previsto")*
INDEX($S$55:$AH$114,0,MATCH(U$116,$S$54:$AH$54,0))
)</f>
        <v>93228.5</v>
      </c>
      <c r="V117" s="152" cm="1">
        <f t="array" ref="V117">SUMPRODUCT(
($Q$55:$Q$114="Previsto")*
INDEX($S$55:$AH$114,0,MATCH(V$116,$S$54:$AH$54,0))
)</f>
        <v>154038.5</v>
      </c>
      <c r="W117" s="152" cm="1">
        <f t="array" ref="W117">SUMPRODUCT(
($Q$55:$Q$114="Previsto")*
INDEX($S$55:$AH$114,0,MATCH(W$116,$S$54:$AH$54,0))
)</f>
        <v>157738.5</v>
      </c>
      <c r="X117" s="152" cm="1">
        <f t="array" ref="X117">SUMPRODUCT(
($Q$55:$Q$114="Previsto")*
INDEX($S$55:$AH$114,0,MATCH(X$116,$S$54:$AH$54,0))
)</f>
        <v>157738.5</v>
      </c>
      <c r="Y117" s="152" cm="1">
        <f t="array" ref="Y117">SUMPRODUCT(
($Q$55:$Q$114="Previsto")*
INDEX($S$55:$AH$114,0,MATCH(Y$116,$S$54:$AH$54,0))
)</f>
        <v>157738.5</v>
      </c>
      <c r="Z117" s="152" cm="1">
        <f t="array" ref="Z117">SUMPRODUCT(
($Q$55:$Q$114="Previsto")*
INDEX($S$55:$AH$114,0,MATCH(Z$116,$S$54:$AH$54,0))
)</f>
        <v>157738.5</v>
      </c>
      <c r="AA117" s="152" cm="1">
        <f t="array" ref="AA117">SUMPRODUCT(
($Q$55:$Q$114="Previsto")*
INDEX($S$55:$AH$114,0,MATCH(AA$116,$S$54:$AH$54,0))
)</f>
        <v>157738.5</v>
      </c>
      <c r="AB117" s="152" cm="1">
        <f t="array" ref="AB117">SUMPRODUCT(
($Q$55:$Q$114="Previsto")*
INDEX($S$55:$AH$114,0,MATCH(AB$116,$S$54:$AH$54,0))
)</f>
        <v>157738.5</v>
      </c>
      <c r="AC117" s="152" cm="1">
        <f t="array" ref="AC117">SUMPRODUCT(
($Q$55:$Q$114="Previsto")*
INDEX($S$55:$AH$114,0,MATCH(AC$116,$S$54:$AH$54,0))
)</f>
        <v>157738.5</v>
      </c>
      <c r="AD117" s="152" cm="1">
        <f t="array" ref="AD117">SUMPRODUCT(
($Q$55:$Q$114="Previsto")*
INDEX($S$55:$AH$114,0,MATCH(AD$116,$S$54:$AH$54,0))
)</f>
        <v>157738.5</v>
      </c>
      <c r="AE117" s="152">
        <f>SUM(S117:AD117)</f>
        <v>1597393.77</v>
      </c>
      <c r="AF117" s="59"/>
    </row>
    <row r="118" spans="1:38" x14ac:dyDescent="0.3">
      <c r="A118" s="344" t="s">
        <v>867</v>
      </c>
      <c r="B118" s="345" t="s">
        <v>2283</v>
      </c>
      <c r="C118" s="346"/>
      <c r="D118" s="347">
        <v>1</v>
      </c>
      <c r="E118" s="106" t="s">
        <v>287</v>
      </c>
      <c r="F118" s="347" t="str">
        <v>OK</v>
      </c>
      <c r="G118" s="357">
        <v>2</v>
      </c>
      <c r="H118" s="367" t="s">
        <v>560</v>
      </c>
      <c r="I118" s="106" t="s">
        <v>287</v>
      </c>
      <c r="J118" s="106" t="s">
        <v>388</v>
      </c>
      <c r="K118" s="106" t="s">
        <v>388</v>
      </c>
      <c r="L118" s="181">
        <f>(COUNTIF(I118:K118,"OK"))*33.333333/100</f>
        <v>0.33333333000000004</v>
      </c>
      <c r="M118" s="1550" t="s">
        <v>561</v>
      </c>
      <c r="N118" s="1558"/>
      <c r="O118" s="1558"/>
      <c r="P118" s="1551"/>
      <c r="Q118" s="47"/>
      <c r="R118" s="153" t="s">
        <v>107</v>
      </c>
      <c r="S118" s="154" cm="1">
        <f t="array" ref="S118">SUMPRODUCT(
($Q$55:$Q$114="Real")*
INDEX($S$55:$AH$114,0,MATCH(S$116,$S$54:$AH$54,0))
)</f>
        <v>51386.369999999995</v>
      </c>
      <c r="T118" s="154" cm="1">
        <f t="array" ref="T118">SUMPRODUCT(
($Q$55:$Q$114="Real")*
INDEX($S$55:$AH$114,0,MATCH(T$116,$S$54:$AH$54,0))
)</f>
        <v>0</v>
      </c>
      <c r="U118" s="154" cm="1">
        <f t="array" ref="U118">SUMPRODUCT(
($Q$55:$Q$114="Real")*
INDEX($S$55:$AH$114,0,MATCH(U$116,$S$54:$AH$54,0))
)</f>
        <v>0</v>
      </c>
      <c r="V118" s="154" cm="1">
        <f t="array" ref="V118">SUMPRODUCT(
($Q$55:$Q$114="Real")*
INDEX($S$55:$AH$114,0,MATCH(V$116,$S$54:$AH$54,0))
)</f>
        <v>0</v>
      </c>
      <c r="W118" s="154" cm="1">
        <f t="array" ref="W118">SUMPRODUCT(
($Q$55:$Q$114="Real")*
INDEX($S$55:$AH$114,0,MATCH(W$116,$S$54:$AH$54,0))
)</f>
        <v>0</v>
      </c>
      <c r="X118" s="154" cm="1">
        <f t="array" ref="X118">SUMPRODUCT(
($Q$55:$Q$114="Real")*
INDEX($S$55:$AH$114,0,MATCH(X$116,$S$54:$AH$54,0))
)</f>
        <v>0</v>
      </c>
      <c r="Y118" s="154" cm="1">
        <f t="array" ref="Y118">SUMPRODUCT(
($Q$55:$Q$114="Real")*
INDEX($S$55:$AH$114,0,MATCH(Y$116,$S$54:$AH$54,0))
)</f>
        <v>0</v>
      </c>
      <c r="Z118" s="154" cm="1">
        <f t="array" ref="Z118">SUMPRODUCT(
($Q$55:$Q$114="Real")*
INDEX($S$55:$AH$114,0,MATCH(Z$116,$S$54:$AH$54,0))
)</f>
        <v>0</v>
      </c>
      <c r="AA118" s="154" cm="1">
        <f t="array" ref="AA118">SUMPRODUCT(
($Q$55:$Q$114="Real")*
INDEX($S$55:$AH$114,0,MATCH(AA$116,$S$54:$AH$54,0))
)</f>
        <v>0</v>
      </c>
      <c r="AB118" s="154" cm="1">
        <f t="array" ref="AB118">SUMPRODUCT(
($Q$55:$Q$114="Real")*
INDEX($S$55:$AH$114,0,MATCH(AB$116,$S$54:$AH$54,0))
)</f>
        <v>0</v>
      </c>
      <c r="AC118" s="154" cm="1">
        <f t="array" ref="AC118">SUMPRODUCT(
($Q$55:$Q$114="Real")*
INDEX($S$55:$AH$114,0,MATCH(AC$116,$S$54:$AH$54,0))
)</f>
        <v>0</v>
      </c>
      <c r="AD118" s="154" cm="1">
        <f t="array" ref="AD118">SUMPRODUCT(
($Q$55:$Q$114="Real")*
INDEX($S$55:$AH$114,0,MATCH(AD$116,$S$54:$AH$54,0))
)</f>
        <v>0</v>
      </c>
      <c r="AE118" s="154">
        <f>SUM(S118:AD118)</f>
        <v>51386.369999999995</v>
      </c>
      <c r="AF118" s="59"/>
    </row>
    <row r="119" spans="1:38" x14ac:dyDescent="0.3">
      <c r="A119" s="112" t="s">
        <v>867</v>
      </c>
      <c r="B119" s="112" t="s">
        <v>2284</v>
      </c>
      <c r="C119" s="333"/>
      <c r="D119" s="343">
        <v>1</v>
      </c>
      <c r="E119" s="109" t="s">
        <v>287</v>
      </c>
      <c r="F119" s="343" t="str">
        <v>OK</v>
      </c>
      <c r="G119" s="357">
        <v>3</v>
      </c>
      <c r="H119" s="368" t="s">
        <v>564</v>
      </c>
      <c r="I119" s="109" t="s">
        <v>287</v>
      </c>
      <c r="J119" s="109" t="s">
        <v>388</v>
      </c>
      <c r="K119" s="109" t="s">
        <v>388</v>
      </c>
      <c r="L119" s="182">
        <f t="shared" ref="L119:L137" si="48">(COUNTIF(I119:K119,"OK"))*33.333333/100</f>
        <v>0.33333333000000004</v>
      </c>
      <c r="M119" s="1548" t="s">
        <v>565</v>
      </c>
      <c r="N119" s="1688"/>
      <c r="O119" s="1688"/>
      <c r="P119" s="1549"/>
      <c r="Q119" s="47"/>
      <c r="R119" s="160" t="s">
        <v>566</v>
      </c>
      <c r="S119" s="160" cm="1">
        <f t="array" ref="S119">SUMPRODUCT(
($F$55:$F$114&lt;&gt;"")*
($F$55:$F$114&lt;=S$116)*
(($G$55:$G$114="")+($G$55:$G$114&gt;=S$116))
)</f>
        <v>8</v>
      </c>
      <c r="T119" s="160" cm="1">
        <f t="array" ref="T119">SUMPRODUCT(
($F$55:$F$114&lt;&gt;"")*
($F$55:$F$114&lt;=T$116)*
(($G$55:$G$114="")+($G$55:$G$114&gt;=T$116))
)</f>
        <v>17</v>
      </c>
      <c r="U119" s="160" cm="1">
        <f t="array" ref="U119">SUMPRODUCT(
($F$55:$F$114&lt;&gt;"")*
($F$55:$F$114&lt;=U$116)*
(($G$55:$G$114="")+($G$55:$G$114&gt;=U$116))
)</f>
        <v>14</v>
      </c>
      <c r="V119" s="160" cm="1">
        <f t="array" ref="V119">SUMPRODUCT(
($F$55:$F$114&lt;&gt;"")*
($F$55:$F$114&lt;=V$116)*
(($G$55:$G$114="")+($G$55:$G$114&gt;=V$116))
)</f>
        <v>4</v>
      </c>
      <c r="W119" s="160" cm="1">
        <f t="array" ref="W119">SUMPRODUCT(
($F$55:$F$114&lt;&gt;"")*
($F$55:$F$114&lt;=W$116)*
(($G$55:$G$114="")+($G$55:$G$114&gt;=W$116))
)</f>
        <v>3</v>
      </c>
      <c r="X119" s="160" cm="1">
        <f t="array" ref="X119">SUMPRODUCT(
($F$55:$F$114&lt;&gt;"")*
($F$55:$F$114&lt;=X$116)*
(($G$55:$G$114="")+($G$55:$G$114&gt;=X$116))
)</f>
        <v>2</v>
      </c>
      <c r="Y119" s="160" cm="1">
        <f t="array" ref="Y119">SUMPRODUCT(
($F$55:$F$114&lt;&gt;"")*
($F$55:$F$114&lt;=Y$116)*
(($G$55:$G$114="")+($G$55:$G$114&gt;=Y$116))
)</f>
        <v>1</v>
      </c>
      <c r="Z119" s="160" cm="1">
        <f t="array" ref="Z119">SUMPRODUCT(
($F$55:$F$114&lt;&gt;"")*
($F$55:$F$114&lt;=Z$116)*
(($G$55:$G$114="")+($G$55:$G$114&gt;=Z$116))
)</f>
        <v>1</v>
      </c>
      <c r="AA119" s="160" cm="1">
        <f t="array" ref="AA119">SUMPRODUCT(
($F$55:$F$114&lt;&gt;"")*
($F$55:$F$114&lt;=AA$116)*
(($G$55:$G$114="")+($G$55:$G$114&gt;=AA$116))
)</f>
        <v>1</v>
      </c>
      <c r="AB119" s="160" cm="1">
        <f t="array" ref="AB119">SUMPRODUCT(
($F$55:$F$114&lt;&gt;"")*
($F$55:$F$114&lt;=AB$116)*
(($G$55:$G$114="")+($G$55:$G$114&gt;=AB$116))
)</f>
        <v>1</v>
      </c>
      <c r="AC119" s="160" cm="1">
        <f t="array" ref="AC119">SUMPRODUCT(
($F$55:$F$114&lt;&gt;"")*
($F$55:$F$114&lt;=AC$116)*
(($G$55:$G$114="")+($G$55:$G$114&gt;=AC$116))
)</f>
        <v>1</v>
      </c>
      <c r="AD119" s="160" cm="1">
        <f t="array" ref="AD119">SUMPRODUCT(
($F$55:$F$114&lt;&gt;"")*
($F$55:$F$114&lt;=AD$116)*
(($G$55:$G$114="")+($G$55:$G$114&gt;=AD$116))
)</f>
        <v>1</v>
      </c>
      <c r="AE119" s="160"/>
      <c r="AF119" s="59"/>
    </row>
    <row r="120" spans="1:38" x14ac:dyDescent="0.3">
      <c r="A120" s="344" t="s">
        <v>867</v>
      </c>
      <c r="B120" s="345" t="s">
        <v>2285</v>
      </c>
      <c r="C120" s="346"/>
      <c r="D120" s="347">
        <v>1</v>
      </c>
      <c r="E120" s="106" t="s">
        <v>287</v>
      </c>
      <c r="F120" s="347" t="str">
        <v>Não Ok</v>
      </c>
      <c r="G120" s="357">
        <v>4</v>
      </c>
      <c r="H120" s="105" t="s">
        <v>568</v>
      </c>
      <c r="I120" s="106" t="s">
        <v>388</v>
      </c>
      <c r="J120" s="106" t="s">
        <v>388</v>
      </c>
      <c r="K120" s="106" t="s">
        <v>388</v>
      </c>
      <c r="L120" s="181">
        <f t="shared" si="48"/>
        <v>0</v>
      </c>
      <c r="M120" s="1550" t="s">
        <v>569</v>
      </c>
      <c r="N120" s="1558"/>
      <c r="O120" s="1558"/>
      <c r="P120" s="1551"/>
      <c r="Q120" s="47"/>
      <c r="R120" s="47"/>
      <c r="S120" s="47"/>
      <c r="T120" s="47"/>
      <c r="U120" s="47"/>
      <c r="V120" s="47"/>
      <c r="W120" s="47"/>
      <c r="X120" s="47"/>
      <c r="Y120" s="47"/>
      <c r="Z120" s="47"/>
      <c r="AA120" s="47"/>
      <c r="AB120" s="47"/>
      <c r="AC120" s="47"/>
      <c r="AD120" s="47"/>
      <c r="AE120" s="47"/>
      <c r="AF120" s="59"/>
    </row>
    <row r="121" spans="1:38" ht="14.85" customHeight="1" x14ac:dyDescent="0.3">
      <c r="A121" s="112" t="s">
        <v>867</v>
      </c>
      <c r="B121" s="112" t="s">
        <v>2286</v>
      </c>
      <c r="C121" s="333"/>
      <c r="D121" s="343">
        <v>1</v>
      </c>
      <c r="E121" s="109" t="s">
        <v>388</v>
      </c>
      <c r="F121" s="343" t="str">
        <v>Não Ok</v>
      </c>
      <c r="G121" s="357">
        <v>5</v>
      </c>
      <c r="H121" s="108" t="s">
        <v>572</v>
      </c>
      <c r="I121" s="109" t="s">
        <v>388</v>
      </c>
      <c r="J121" s="109" t="s">
        <v>388</v>
      </c>
      <c r="K121" s="109" t="s">
        <v>388</v>
      </c>
      <c r="L121" s="182">
        <f t="shared" si="48"/>
        <v>0</v>
      </c>
      <c r="M121" s="1548" t="s">
        <v>573</v>
      </c>
      <c r="N121" s="1688"/>
      <c r="O121" s="1688"/>
      <c r="P121" s="1549"/>
      <c r="Q121" s="47"/>
      <c r="R121" s="47"/>
      <c r="S121" s="47"/>
      <c r="T121" s="47"/>
      <c r="U121" s="47"/>
      <c r="V121" s="47"/>
      <c r="W121" s="47"/>
      <c r="X121" s="47"/>
      <c r="Y121" s="47"/>
      <c r="Z121" s="47"/>
      <c r="AA121" s="47"/>
      <c r="AB121" s="47"/>
      <c r="AC121" s="47"/>
      <c r="AD121" s="47"/>
      <c r="AE121" s="47"/>
      <c r="AF121" s="59"/>
    </row>
    <row r="122" spans="1:38" ht="14.85" customHeight="1" x14ac:dyDescent="0.3">
      <c r="A122" s="344" t="s">
        <v>869</v>
      </c>
      <c r="B122" s="345" t="s">
        <v>2287</v>
      </c>
      <c r="C122" s="346"/>
      <c r="D122" s="347">
        <v>1</v>
      </c>
      <c r="E122" s="106" t="s">
        <v>388</v>
      </c>
      <c r="F122" s="347" t="str">
        <v>Não Ok</v>
      </c>
      <c r="G122" s="357">
        <v>6</v>
      </c>
      <c r="H122" s="105" t="s">
        <v>576</v>
      </c>
      <c r="I122" s="106" t="s">
        <v>388</v>
      </c>
      <c r="J122" s="106" t="s">
        <v>388</v>
      </c>
      <c r="K122" s="106" t="s">
        <v>388</v>
      </c>
      <c r="L122" s="181">
        <f t="shared" si="48"/>
        <v>0</v>
      </c>
      <c r="M122" s="1550" t="s">
        <v>577</v>
      </c>
      <c r="N122" s="1558"/>
      <c r="O122" s="1558"/>
      <c r="P122" s="1551"/>
      <c r="Q122" s="47"/>
      <c r="R122" s="47"/>
      <c r="S122" s="47"/>
      <c r="T122" s="47"/>
      <c r="U122" s="47"/>
      <c r="V122" s="47"/>
      <c r="W122" s="47"/>
      <c r="X122" s="47"/>
      <c r="Y122" s="47"/>
      <c r="Z122" s="47"/>
      <c r="AA122" s="47"/>
      <c r="AB122" s="47"/>
      <c r="AC122" s="47"/>
      <c r="AD122" s="47"/>
      <c r="AE122" s="47"/>
      <c r="AF122" s="59"/>
    </row>
    <row r="123" spans="1:38" x14ac:dyDescent="0.3">
      <c r="A123" s="112" t="s">
        <v>869</v>
      </c>
      <c r="B123" s="112" t="s">
        <v>2288</v>
      </c>
      <c r="C123" s="333"/>
      <c r="D123" s="343">
        <v>1</v>
      </c>
      <c r="E123" s="109" t="s">
        <v>287</v>
      </c>
      <c r="F123" s="343" t="str">
        <v>OK</v>
      </c>
      <c r="G123" s="357">
        <v>7</v>
      </c>
      <c r="H123" s="440" t="s">
        <v>580</v>
      </c>
      <c r="I123" s="460" t="s">
        <v>388</v>
      </c>
      <c r="J123" s="460" t="s">
        <v>388</v>
      </c>
      <c r="K123" s="460" t="s">
        <v>388</v>
      </c>
      <c r="L123" s="461">
        <f t="shared" si="48"/>
        <v>0</v>
      </c>
      <c r="M123" s="1689" t="s">
        <v>581</v>
      </c>
      <c r="N123" s="1690"/>
      <c r="O123" s="1690"/>
      <c r="P123" s="1691"/>
      <c r="Q123" s="464" t="s">
        <v>2289</v>
      </c>
      <c r="R123" s="47"/>
      <c r="S123" s="47"/>
      <c r="T123" s="47"/>
      <c r="U123" s="47"/>
      <c r="V123" s="47"/>
      <c r="W123" s="47"/>
      <c r="X123" s="47"/>
      <c r="Y123" s="47"/>
      <c r="Z123" s="47"/>
      <c r="AA123" s="47"/>
      <c r="AB123" s="47"/>
      <c r="AC123" s="47"/>
      <c r="AD123" s="47"/>
      <c r="AE123" s="47"/>
      <c r="AF123" s="59"/>
    </row>
    <row r="124" spans="1:38" x14ac:dyDescent="0.3">
      <c r="A124" s="344" t="s">
        <v>869</v>
      </c>
      <c r="B124" s="345" t="s">
        <v>2290</v>
      </c>
      <c r="C124" s="346"/>
      <c r="D124" s="347">
        <v>1</v>
      </c>
      <c r="E124" s="106" t="s">
        <v>287</v>
      </c>
      <c r="F124" s="347" t="str">
        <v>OK</v>
      </c>
      <c r="G124" s="357">
        <v>8</v>
      </c>
      <c r="H124" s="441" t="s">
        <v>584</v>
      </c>
      <c r="I124" s="462" t="s">
        <v>388</v>
      </c>
      <c r="J124" s="462" t="s">
        <v>388</v>
      </c>
      <c r="K124" s="462" t="s">
        <v>388</v>
      </c>
      <c r="L124" s="463">
        <f t="shared" si="48"/>
        <v>0</v>
      </c>
      <c r="M124" s="1692" t="s">
        <v>585</v>
      </c>
      <c r="N124" s="1693"/>
      <c r="O124" s="1693"/>
      <c r="P124" s="1694"/>
      <c r="Q124" s="464" t="s">
        <v>2289</v>
      </c>
      <c r="R124" s="47"/>
      <c r="S124" s="47"/>
      <c r="T124" s="47"/>
      <c r="U124" s="47"/>
      <c r="V124" s="47"/>
      <c r="W124" s="47"/>
      <c r="X124" s="47"/>
      <c r="Y124" s="47"/>
      <c r="Z124" s="47"/>
      <c r="AA124" s="47"/>
      <c r="AB124" s="47"/>
      <c r="AC124" s="47"/>
      <c r="AD124" s="47"/>
      <c r="AE124" s="47"/>
      <c r="AF124" s="59"/>
    </row>
    <row r="125" spans="1:38" x14ac:dyDescent="0.3">
      <c r="A125" s="112" t="s">
        <v>869</v>
      </c>
      <c r="B125" s="112" t="s">
        <v>2291</v>
      </c>
      <c r="C125" s="333"/>
      <c r="D125" s="343">
        <v>1</v>
      </c>
      <c r="E125" s="109" t="s">
        <v>287</v>
      </c>
      <c r="F125" s="343" t="str">
        <v>OK</v>
      </c>
      <c r="G125" s="357">
        <v>9</v>
      </c>
      <c r="H125" s="368" t="s">
        <v>588</v>
      </c>
      <c r="I125" s="474" t="s">
        <v>287</v>
      </c>
      <c r="J125" s="109" t="s">
        <v>388</v>
      </c>
      <c r="K125" s="109" t="s">
        <v>388</v>
      </c>
      <c r="L125" s="182">
        <f t="shared" si="48"/>
        <v>0.33333333000000004</v>
      </c>
      <c r="M125" s="1548" t="s">
        <v>589</v>
      </c>
      <c r="N125" s="1688"/>
      <c r="O125" s="1688"/>
      <c r="P125" s="1549"/>
      <c r="Q125" s="47"/>
      <c r="R125" s="47"/>
      <c r="S125" s="47"/>
      <c r="T125" s="47"/>
      <c r="U125" s="47"/>
      <c r="V125" s="47"/>
      <c r="W125" s="47"/>
      <c r="X125" s="47"/>
      <c r="Y125" s="47"/>
      <c r="Z125" s="47"/>
      <c r="AA125" s="47"/>
      <c r="AB125" s="47"/>
      <c r="AC125" s="47"/>
      <c r="AD125" s="47"/>
      <c r="AE125" s="47"/>
      <c r="AF125" s="59"/>
    </row>
    <row r="126" spans="1:38" ht="14.85" customHeight="1" x14ac:dyDescent="0.3">
      <c r="A126" s="344" t="s">
        <v>869</v>
      </c>
      <c r="B126" s="345" t="s">
        <v>2292</v>
      </c>
      <c r="C126" s="346"/>
      <c r="D126" s="347">
        <v>1</v>
      </c>
      <c r="E126" s="106" t="s">
        <v>388</v>
      </c>
      <c r="F126" s="347" t="str">
        <v>Não Ok</v>
      </c>
      <c r="G126" s="357">
        <v>10</v>
      </c>
      <c r="H126" s="367" t="s">
        <v>591</v>
      </c>
      <c r="I126" s="106" t="s">
        <v>287</v>
      </c>
      <c r="J126" s="106" t="s">
        <v>388</v>
      </c>
      <c r="K126" s="106" t="s">
        <v>388</v>
      </c>
      <c r="L126" s="181">
        <f t="shared" si="48"/>
        <v>0.33333333000000004</v>
      </c>
      <c r="M126" s="1550" t="s">
        <v>592</v>
      </c>
      <c r="N126" s="1558"/>
      <c r="O126" s="1558"/>
      <c r="P126" s="1551"/>
      <c r="Q126" s="47"/>
      <c r="R126" s="47"/>
      <c r="S126" s="47"/>
      <c r="T126" s="47"/>
      <c r="U126" s="47"/>
      <c r="V126" s="47"/>
      <c r="W126" s="47"/>
      <c r="X126" s="47"/>
      <c r="Y126" s="47"/>
      <c r="Z126" s="47"/>
      <c r="AA126" s="47"/>
      <c r="AB126" s="47"/>
      <c r="AC126" s="47"/>
      <c r="AD126" s="47"/>
      <c r="AE126" s="47"/>
      <c r="AF126" s="59"/>
    </row>
    <row r="127" spans="1:38" ht="14.85" customHeight="1" x14ac:dyDescent="0.3">
      <c r="A127" s="112" t="s">
        <v>871</v>
      </c>
      <c r="B127" s="112" t="s">
        <v>2293</v>
      </c>
      <c r="C127" s="333"/>
      <c r="D127" s="343">
        <v>1</v>
      </c>
      <c r="E127" s="109" t="s">
        <v>287</v>
      </c>
      <c r="F127" s="343" t="str">
        <v>OK</v>
      </c>
      <c r="G127" s="357">
        <v>11</v>
      </c>
      <c r="H127" s="368" t="s">
        <v>594</v>
      </c>
      <c r="I127" s="109" t="s">
        <v>287</v>
      </c>
      <c r="J127" s="109" t="s">
        <v>388</v>
      </c>
      <c r="K127" s="109" t="s">
        <v>388</v>
      </c>
      <c r="L127" s="182">
        <f t="shared" si="48"/>
        <v>0.33333333000000004</v>
      </c>
      <c r="M127" s="1548" t="s">
        <v>595</v>
      </c>
      <c r="N127" s="1688"/>
      <c r="O127" s="1688"/>
      <c r="P127" s="1549"/>
      <c r="Q127" s="47"/>
      <c r="R127" s="47"/>
      <c r="S127" s="47"/>
      <c r="T127" s="47"/>
      <c r="U127" s="47"/>
      <c r="V127" s="47"/>
      <c r="W127" s="47"/>
      <c r="X127" s="47"/>
      <c r="Y127" s="47"/>
      <c r="Z127" s="47"/>
      <c r="AA127" s="47"/>
      <c r="AB127" s="47"/>
      <c r="AC127" s="47"/>
      <c r="AD127" s="47"/>
      <c r="AE127" s="47"/>
      <c r="AF127" s="59"/>
    </row>
    <row r="128" spans="1:38" x14ac:dyDescent="0.3">
      <c r="A128" s="344" t="s">
        <v>871</v>
      </c>
      <c r="B128" s="345" t="s">
        <v>2294</v>
      </c>
      <c r="C128" s="346"/>
      <c r="D128" s="347">
        <v>1</v>
      </c>
      <c r="E128" s="106" t="s">
        <v>287</v>
      </c>
      <c r="F128" s="353" t="str">
        <v>Não Ok</v>
      </c>
      <c r="G128" s="357">
        <v>12</v>
      </c>
      <c r="H128" s="105" t="s">
        <v>597</v>
      </c>
      <c r="I128" s="106" t="s">
        <v>388</v>
      </c>
      <c r="J128" s="106" t="s">
        <v>388</v>
      </c>
      <c r="K128" s="106" t="s">
        <v>388</v>
      </c>
      <c r="L128" s="181">
        <f t="shared" si="48"/>
        <v>0</v>
      </c>
      <c r="M128" s="1550" t="s">
        <v>598</v>
      </c>
      <c r="N128" s="1558"/>
      <c r="O128" s="1558"/>
      <c r="P128" s="1551"/>
      <c r="Q128" s="47"/>
      <c r="R128" s="47"/>
      <c r="S128" s="47"/>
      <c r="T128" s="47"/>
      <c r="U128" s="47"/>
      <c r="V128" s="47"/>
      <c r="W128" s="47"/>
      <c r="X128" s="47"/>
      <c r="Y128" s="47"/>
      <c r="Z128" s="47"/>
      <c r="AA128" s="47"/>
      <c r="AB128" s="47"/>
      <c r="AC128" s="47"/>
      <c r="AD128" s="47"/>
      <c r="AE128" s="47"/>
      <c r="AF128" s="59"/>
    </row>
    <row r="129" spans="1:32" x14ac:dyDescent="0.3">
      <c r="A129" s="112" t="s">
        <v>871</v>
      </c>
      <c r="B129" s="112" t="s">
        <v>2295</v>
      </c>
      <c r="C129" s="333"/>
      <c r="D129" s="343">
        <v>1</v>
      </c>
      <c r="E129" s="109" t="s">
        <v>287</v>
      </c>
      <c r="F129" s="354" t="str">
        <v>Não Ok</v>
      </c>
      <c r="G129" s="357">
        <v>13</v>
      </c>
      <c r="H129" s="108" t="s">
        <v>600</v>
      </c>
      <c r="I129" s="109" t="s">
        <v>388</v>
      </c>
      <c r="J129" s="109" t="s">
        <v>388</v>
      </c>
      <c r="K129" s="109" t="s">
        <v>388</v>
      </c>
      <c r="L129" s="182">
        <f t="shared" si="48"/>
        <v>0</v>
      </c>
      <c r="M129" s="1548" t="s">
        <v>601</v>
      </c>
      <c r="N129" s="1688"/>
      <c r="O129" s="1688"/>
      <c r="P129" s="1549"/>
      <c r="Q129" s="47"/>
      <c r="R129" s="47"/>
      <c r="S129" s="47"/>
      <c r="T129" s="47"/>
      <c r="U129" s="47"/>
      <c r="V129" s="47"/>
      <c r="W129" s="47"/>
      <c r="X129" s="47"/>
      <c r="Y129" s="47"/>
      <c r="Z129" s="47"/>
      <c r="AA129" s="47"/>
      <c r="AB129" s="47"/>
      <c r="AC129" s="47"/>
      <c r="AD129" s="47"/>
      <c r="AE129" s="47"/>
      <c r="AF129" s="59"/>
    </row>
    <row r="130" spans="1:32" x14ac:dyDescent="0.3">
      <c r="A130" s="344" t="s">
        <v>871</v>
      </c>
      <c r="B130" s="345" t="s">
        <v>2296</v>
      </c>
      <c r="C130" s="346"/>
      <c r="D130" s="347">
        <v>1</v>
      </c>
      <c r="E130" s="106" t="s">
        <v>287</v>
      </c>
      <c r="F130" s="355" t="str">
        <v>OK</v>
      </c>
      <c r="G130" s="357">
        <v>14</v>
      </c>
      <c r="H130" s="105" t="s">
        <v>603</v>
      </c>
      <c r="I130" s="106" t="s">
        <v>388</v>
      </c>
      <c r="J130" s="106" t="s">
        <v>388</v>
      </c>
      <c r="K130" s="106" t="s">
        <v>388</v>
      </c>
      <c r="L130" s="181">
        <f t="shared" si="48"/>
        <v>0</v>
      </c>
      <c r="M130" s="1550" t="s">
        <v>604</v>
      </c>
      <c r="N130" s="1558"/>
      <c r="O130" s="1558"/>
      <c r="P130" s="1551"/>
      <c r="Q130" s="47"/>
      <c r="R130" s="47"/>
      <c r="S130" s="47"/>
      <c r="T130" s="47"/>
      <c r="U130" s="47"/>
      <c r="V130" s="47"/>
      <c r="W130" s="47"/>
      <c r="X130" s="47"/>
      <c r="Y130" s="47"/>
      <c r="Z130" s="47"/>
      <c r="AA130" s="47"/>
      <c r="AB130" s="47"/>
      <c r="AC130" s="47"/>
      <c r="AD130" s="47"/>
      <c r="AE130" s="47"/>
      <c r="AF130" s="59"/>
    </row>
    <row r="131" spans="1:32" x14ac:dyDescent="0.3">
      <c r="A131" s="112" t="s">
        <v>871</v>
      </c>
      <c r="B131" s="112" t="s">
        <v>2297</v>
      </c>
      <c r="C131" s="333"/>
      <c r="D131" s="343">
        <v>1</v>
      </c>
      <c r="E131" s="109" t="s">
        <v>287</v>
      </c>
      <c r="F131" s="343" t="str">
        <v>OK</v>
      </c>
      <c r="G131" s="357">
        <v>15</v>
      </c>
      <c r="H131" s="108" t="s">
        <v>606</v>
      </c>
      <c r="I131" s="109" t="s">
        <v>388</v>
      </c>
      <c r="J131" s="109" t="s">
        <v>388</v>
      </c>
      <c r="K131" s="109" t="s">
        <v>388</v>
      </c>
      <c r="L131" s="182">
        <f t="shared" si="48"/>
        <v>0</v>
      </c>
      <c r="M131" s="1548" t="s">
        <v>607</v>
      </c>
      <c r="N131" s="1688"/>
      <c r="O131" s="1688"/>
      <c r="P131" s="1549"/>
      <c r="Q131" s="47"/>
      <c r="R131" s="47"/>
      <c r="S131" s="47"/>
      <c r="T131" s="47"/>
      <c r="U131" s="47"/>
      <c r="V131" s="47"/>
      <c r="W131" s="47"/>
      <c r="X131" s="47"/>
      <c r="Y131" s="47"/>
      <c r="Z131" s="47"/>
      <c r="AA131" s="47"/>
      <c r="AB131" s="47"/>
      <c r="AC131" s="47"/>
      <c r="AD131" s="47"/>
      <c r="AE131" s="47"/>
      <c r="AF131" s="59"/>
    </row>
    <row r="132" spans="1:32" x14ac:dyDescent="0.3">
      <c r="A132" s="344" t="s">
        <v>871</v>
      </c>
      <c r="B132" s="345" t="s">
        <v>2298</v>
      </c>
      <c r="C132" s="346"/>
      <c r="D132" s="347">
        <v>1</v>
      </c>
      <c r="E132" s="106" t="s">
        <v>287</v>
      </c>
      <c r="F132" s="347" t="str">
        <v>OK</v>
      </c>
      <c r="G132" s="357">
        <v>16</v>
      </c>
      <c r="H132" s="105" t="s">
        <v>609</v>
      </c>
      <c r="I132" s="106" t="s">
        <v>388</v>
      </c>
      <c r="J132" s="106" t="s">
        <v>388</v>
      </c>
      <c r="K132" s="106" t="s">
        <v>388</v>
      </c>
      <c r="L132" s="181">
        <f t="shared" si="48"/>
        <v>0</v>
      </c>
      <c r="M132" s="1550" t="s">
        <v>610</v>
      </c>
      <c r="N132" s="1558"/>
      <c r="O132" s="1558"/>
      <c r="P132" s="1551"/>
      <c r="Q132" s="47"/>
      <c r="R132" s="47"/>
      <c r="S132" s="47"/>
      <c r="T132" s="47"/>
      <c r="U132" s="47"/>
      <c r="V132" s="47"/>
      <c r="W132" s="47"/>
      <c r="X132" s="47"/>
      <c r="Y132" s="47"/>
      <c r="Z132" s="47"/>
      <c r="AA132" s="47"/>
      <c r="AB132" s="47"/>
      <c r="AC132" s="47"/>
      <c r="AD132" s="47"/>
      <c r="AE132" s="47"/>
      <c r="AF132" s="59"/>
    </row>
    <row r="133" spans="1:32" x14ac:dyDescent="0.3">
      <c r="A133" s="112" t="s">
        <v>871</v>
      </c>
      <c r="B133" s="112" t="s">
        <v>2299</v>
      </c>
      <c r="C133" s="333"/>
      <c r="D133" s="343">
        <v>1</v>
      </c>
      <c r="E133" s="109" t="s">
        <v>287</v>
      </c>
      <c r="F133" s="343" t="str">
        <v>OK</v>
      </c>
      <c r="G133" s="357">
        <v>17</v>
      </c>
      <c r="H133" s="108" t="s">
        <v>612</v>
      </c>
      <c r="I133" s="109" t="s">
        <v>388</v>
      </c>
      <c r="J133" s="109" t="s">
        <v>388</v>
      </c>
      <c r="K133" s="109" t="s">
        <v>388</v>
      </c>
      <c r="L133" s="182">
        <f t="shared" si="48"/>
        <v>0</v>
      </c>
      <c r="M133" s="1548" t="s">
        <v>613</v>
      </c>
      <c r="N133" s="1688"/>
      <c r="O133" s="1688"/>
      <c r="P133" s="1549"/>
      <c r="Q133" s="47"/>
      <c r="R133" s="47"/>
      <c r="S133" s="47"/>
      <c r="T133" s="47"/>
      <c r="U133" s="47"/>
      <c r="V133" s="47"/>
      <c r="W133" s="47"/>
      <c r="X133" s="47"/>
      <c r="Y133" s="47"/>
      <c r="Z133" s="47"/>
      <c r="AA133" s="47"/>
      <c r="AB133" s="47"/>
      <c r="AC133" s="47"/>
      <c r="AD133" s="47"/>
      <c r="AE133" s="47"/>
      <c r="AF133" s="59"/>
    </row>
    <row r="134" spans="1:32" x14ac:dyDescent="0.3">
      <c r="A134" s="344" t="s">
        <v>877</v>
      </c>
      <c r="B134" s="345" t="s">
        <v>2300</v>
      </c>
      <c r="C134" s="346"/>
      <c r="D134" s="347">
        <v>1</v>
      </c>
      <c r="E134" s="106" t="s">
        <v>287</v>
      </c>
      <c r="F134" s="347" t="str">
        <v>OK</v>
      </c>
      <c r="G134" s="357">
        <v>18</v>
      </c>
      <c r="H134" s="105" t="s">
        <v>615</v>
      </c>
      <c r="I134" s="106" t="s">
        <v>388</v>
      </c>
      <c r="J134" s="106" t="s">
        <v>388</v>
      </c>
      <c r="K134" s="106" t="s">
        <v>388</v>
      </c>
      <c r="L134" s="181">
        <f t="shared" si="48"/>
        <v>0</v>
      </c>
      <c r="M134" s="1550" t="s">
        <v>616</v>
      </c>
      <c r="N134" s="1558"/>
      <c r="O134" s="1558"/>
      <c r="P134" s="1551"/>
      <c r="Q134" s="47"/>
      <c r="R134" s="47"/>
      <c r="S134" s="47"/>
      <c r="T134" s="47"/>
      <c r="U134" s="47"/>
      <c r="V134" s="47"/>
      <c r="W134" s="47"/>
      <c r="X134" s="47"/>
      <c r="Y134" s="47"/>
      <c r="Z134" s="47"/>
      <c r="AA134" s="47"/>
      <c r="AB134" s="47"/>
      <c r="AC134" s="47"/>
      <c r="AD134" s="47"/>
      <c r="AE134" s="47"/>
      <c r="AF134" s="59"/>
    </row>
    <row r="135" spans="1:32" x14ac:dyDescent="0.3">
      <c r="A135" s="112" t="s">
        <v>877</v>
      </c>
      <c r="B135" s="112" t="s">
        <v>2301</v>
      </c>
      <c r="C135" s="333"/>
      <c r="D135" s="343">
        <v>1</v>
      </c>
      <c r="E135" s="109" t="s">
        <v>287</v>
      </c>
      <c r="F135" s="343" t="str">
        <v>OK</v>
      </c>
      <c r="G135" s="357">
        <v>19</v>
      </c>
      <c r="H135" s="108" t="s">
        <v>618</v>
      </c>
      <c r="I135" s="109" t="s">
        <v>388</v>
      </c>
      <c r="J135" s="109" t="s">
        <v>388</v>
      </c>
      <c r="K135" s="109" t="s">
        <v>388</v>
      </c>
      <c r="L135" s="182">
        <f t="shared" si="48"/>
        <v>0</v>
      </c>
      <c r="M135" s="1548" t="s">
        <v>619</v>
      </c>
      <c r="N135" s="1688"/>
      <c r="O135" s="1688"/>
      <c r="P135" s="1549"/>
      <c r="Q135" s="47"/>
      <c r="R135" s="47"/>
      <c r="S135" s="47"/>
      <c r="T135" s="47"/>
      <c r="U135" s="47"/>
      <c r="V135" s="47"/>
      <c r="W135" s="47"/>
      <c r="X135" s="47"/>
      <c r="Y135" s="47"/>
      <c r="Z135" s="47"/>
      <c r="AA135" s="47"/>
      <c r="AB135" s="47"/>
      <c r="AC135" s="47"/>
      <c r="AD135" s="47"/>
      <c r="AE135" s="47"/>
      <c r="AF135" s="59"/>
    </row>
    <row r="136" spans="1:32" x14ac:dyDescent="0.3">
      <c r="A136" s="344" t="s">
        <v>877</v>
      </c>
      <c r="B136" s="345" t="s">
        <v>2302</v>
      </c>
      <c r="C136" s="346"/>
      <c r="D136" s="347">
        <v>1</v>
      </c>
      <c r="E136" s="106" t="s">
        <v>388</v>
      </c>
      <c r="F136" s="347" t="str">
        <v>Não Ok</v>
      </c>
      <c r="G136" s="357">
        <v>20</v>
      </c>
      <c r="H136" s="105" t="s">
        <v>622</v>
      </c>
      <c r="I136" s="106" t="s">
        <v>388</v>
      </c>
      <c r="J136" s="106" t="s">
        <v>388</v>
      </c>
      <c r="K136" s="106" t="s">
        <v>388</v>
      </c>
      <c r="L136" s="181">
        <f t="shared" si="48"/>
        <v>0</v>
      </c>
      <c r="M136" s="1550" t="s">
        <v>623</v>
      </c>
      <c r="N136" s="1558"/>
      <c r="O136" s="1558"/>
      <c r="P136" s="1551"/>
      <c r="Q136" s="47"/>
      <c r="R136" s="47"/>
      <c r="S136" s="47"/>
      <c r="T136" s="47"/>
      <c r="U136" s="47"/>
      <c r="V136" s="47"/>
      <c r="W136" s="47"/>
      <c r="X136" s="47"/>
      <c r="Y136" s="47"/>
      <c r="Z136" s="47"/>
      <c r="AA136" s="47"/>
      <c r="AB136" s="47"/>
      <c r="AC136" s="47"/>
      <c r="AD136" s="47"/>
      <c r="AE136" s="47"/>
      <c r="AF136" s="59"/>
    </row>
    <row r="137" spans="1:32" x14ac:dyDescent="0.3">
      <c r="A137" s="112" t="s">
        <v>877</v>
      </c>
      <c r="B137" s="112" t="s">
        <v>2303</v>
      </c>
      <c r="C137" s="333"/>
      <c r="D137" s="343">
        <v>1</v>
      </c>
      <c r="E137" s="109" t="s">
        <v>287</v>
      </c>
      <c r="F137" s="343" t="str">
        <v>OK</v>
      </c>
      <c r="G137" s="357">
        <v>21</v>
      </c>
      <c r="H137" s="108" t="s">
        <v>625</v>
      </c>
      <c r="I137" s="109" t="s">
        <v>388</v>
      </c>
      <c r="J137" s="109" t="s">
        <v>388</v>
      </c>
      <c r="K137" s="109" t="s">
        <v>388</v>
      </c>
      <c r="L137" s="182">
        <f t="shared" si="48"/>
        <v>0</v>
      </c>
      <c r="M137" s="1548" t="s">
        <v>626</v>
      </c>
      <c r="N137" s="1688"/>
      <c r="O137" s="1688"/>
      <c r="P137" s="1549"/>
      <c r="Q137" s="47"/>
      <c r="R137" s="47"/>
      <c r="S137" s="47"/>
      <c r="T137" s="47"/>
      <c r="U137" s="47"/>
      <c r="V137" s="47"/>
      <c r="W137" s="47"/>
      <c r="X137" s="47"/>
      <c r="Y137" s="47"/>
      <c r="Z137" s="47"/>
      <c r="AA137" s="47"/>
      <c r="AB137" s="47"/>
      <c r="AC137" s="47"/>
      <c r="AD137" s="47"/>
      <c r="AE137" s="47"/>
      <c r="AF137" s="59"/>
    </row>
    <row r="138" spans="1:32" x14ac:dyDescent="0.3">
      <c r="A138" s="344" t="s">
        <v>877</v>
      </c>
      <c r="B138" s="345" t="s">
        <v>2304</v>
      </c>
      <c r="C138" s="346"/>
      <c r="D138" s="347">
        <v>1</v>
      </c>
      <c r="E138" s="106" t="s">
        <v>287</v>
      </c>
      <c r="F138" s="355" t="str">
        <v>OK</v>
      </c>
      <c r="G138" s="357">
        <v>22</v>
      </c>
      <c r="H138" s="105"/>
      <c r="I138" s="106"/>
      <c r="J138" s="106"/>
      <c r="K138" s="106"/>
      <c r="L138" s="181"/>
      <c r="M138" s="1550" t="s">
        <v>111</v>
      </c>
      <c r="N138" s="1558"/>
      <c r="O138" s="1558"/>
      <c r="P138" s="1551"/>
      <c r="Q138" s="47"/>
      <c r="R138" s="47"/>
      <c r="S138" s="47"/>
      <c r="T138" s="47"/>
      <c r="U138" s="47"/>
      <c r="V138" s="47"/>
      <c r="W138" s="47"/>
      <c r="X138" s="47"/>
      <c r="Y138" s="47"/>
      <c r="Z138" s="47"/>
      <c r="AA138" s="47"/>
      <c r="AB138" s="47"/>
      <c r="AC138" s="47"/>
      <c r="AD138" s="47"/>
      <c r="AE138" s="47"/>
      <c r="AF138" s="59"/>
    </row>
    <row r="139" spans="1:32" x14ac:dyDescent="0.3">
      <c r="A139" s="112" t="s">
        <v>877</v>
      </c>
      <c r="B139" s="112" t="s">
        <v>2305</v>
      </c>
      <c r="C139" s="333"/>
      <c r="D139" s="343">
        <v>1</v>
      </c>
      <c r="E139" s="109" t="s">
        <v>287</v>
      </c>
      <c r="F139" s="343" t="str">
        <v>OK</v>
      </c>
      <c r="G139" s="357">
        <v>23</v>
      </c>
      <c r="H139" s="108"/>
      <c r="I139" s="109"/>
      <c r="J139" s="109"/>
      <c r="K139" s="109"/>
      <c r="L139" s="182"/>
      <c r="M139" s="1548" t="s">
        <v>111</v>
      </c>
      <c r="N139" s="1688"/>
      <c r="O139" s="1688"/>
      <c r="P139" s="1549"/>
      <c r="Q139" s="47"/>
      <c r="R139" s="47"/>
      <c r="S139" s="47"/>
      <c r="T139" s="47"/>
      <c r="U139" s="47"/>
      <c r="V139" s="47"/>
      <c r="W139" s="47"/>
      <c r="X139" s="47"/>
      <c r="Y139" s="47"/>
      <c r="Z139" s="47"/>
      <c r="AA139" s="47"/>
      <c r="AB139" s="47"/>
      <c r="AC139" s="47"/>
      <c r="AD139" s="47"/>
      <c r="AE139" s="47"/>
      <c r="AF139" s="59"/>
    </row>
    <row r="140" spans="1:32" ht="14.85" customHeight="1" x14ac:dyDescent="0.3">
      <c r="A140" s="344" t="s">
        <v>877</v>
      </c>
      <c r="B140" s="345" t="s">
        <v>2306</v>
      </c>
      <c r="C140" s="346"/>
      <c r="D140" s="347">
        <v>1</v>
      </c>
      <c r="E140" s="106" t="s">
        <v>287</v>
      </c>
      <c r="F140" s="347" t="str">
        <v>OK</v>
      </c>
      <c r="G140" s="357">
        <v>24</v>
      </c>
      <c r="H140" s="155">
        <f>COUNTA(H118:H139)</f>
        <v>20</v>
      </c>
      <c r="I140" s="155">
        <f>COUNTIF(I118:I139,"OK")</f>
        <v>5</v>
      </c>
      <c r="J140" s="155">
        <f t="shared" ref="J140:K140" si="49">COUNTIF(J118:J139,"OK")</f>
        <v>0</v>
      </c>
      <c r="K140" s="155">
        <f t="shared" si="49"/>
        <v>0</v>
      </c>
      <c r="L140" s="104">
        <f>AVERAGE(L118:L139)</f>
        <v>8.333333250000001E-2</v>
      </c>
      <c r="M140" s="102"/>
      <c r="N140" s="102"/>
      <c r="O140" s="180"/>
      <c r="P140" s="180"/>
      <c r="Q140" s="47"/>
      <c r="R140" s="47"/>
      <c r="S140" s="47"/>
      <c r="T140" s="47"/>
      <c r="U140" s="47"/>
      <c r="V140" s="47"/>
      <c r="W140" s="47"/>
      <c r="X140" s="47"/>
      <c r="Y140" s="47"/>
      <c r="Z140" s="47"/>
      <c r="AA140" s="47"/>
      <c r="AB140" s="47"/>
      <c r="AC140" s="47"/>
      <c r="AD140" s="47"/>
      <c r="AE140" s="47"/>
      <c r="AF140" s="59"/>
    </row>
    <row r="141" spans="1:32" ht="14.85" customHeight="1" x14ac:dyDescent="0.3">
      <c r="A141" s="112" t="s">
        <v>877</v>
      </c>
      <c r="B141" s="112" t="s">
        <v>2307</v>
      </c>
      <c r="C141" s="333"/>
      <c r="D141" s="343">
        <v>1</v>
      </c>
      <c r="E141" s="109" t="s">
        <v>287</v>
      </c>
      <c r="F141" s="343" t="str">
        <v>Não Ok</v>
      </c>
      <c r="G141" s="357">
        <v>25</v>
      </c>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59"/>
    </row>
    <row r="142" spans="1:32" x14ac:dyDescent="0.3">
      <c r="A142" s="344" t="s">
        <v>877</v>
      </c>
      <c r="B142" s="345" t="s">
        <v>2308</v>
      </c>
      <c r="C142" s="346"/>
      <c r="D142" s="347">
        <v>1</v>
      </c>
      <c r="E142" s="106" t="s">
        <v>388</v>
      </c>
      <c r="F142" s="347" t="str">
        <v>Não Ok</v>
      </c>
      <c r="G142" s="357">
        <v>26</v>
      </c>
      <c r="H142" s="59"/>
      <c r="I142" s="47"/>
      <c r="J142" s="59"/>
      <c r="K142" s="59"/>
      <c r="L142" s="59"/>
      <c r="M142" s="59"/>
      <c r="N142" s="59"/>
      <c r="O142" s="59"/>
      <c r="P142" s="47"/>
      <c r="Q142" s="47"/>
      <c r="R142" s="47"/>
      <c r="S142" s="47"/>
      <c r="T142" s="47"/>
      <c r="U142" s="47"/>
      <c r="V142" s="47"/>
      <c r="W142" s="47"/>
      <c r="X142" s="47"/>
      <c r="Y142" s="47"/>
      <c r="Z142" s="47"/>
      <c r="AA142" s="47"/>
      <c r="AB142" s="47"/>
      <c r="AC142" s="47"/>
      <c r="AD142" s="47"/>
      <c r="AE142" s="47"/>
      <c r="AF142" s="59"/>
    </row>
    <row r="143" spans="1:32" x14ac:dyDescent="0.3">
      <c r="A143" s="112" t="s">
        <v>877</v>
      </c>
      <c r="B143" s="112" t="s">
        <v>2309</v>
      </c>
      <c r="C143" s="333"/>
      <c r="D143" s="343">
        <v>1</v>
      </c>
      <c r="E143" s="109" t="s">
        <v>287</v>
      </c>
      <c r="F143" s="356" t="str">
        <v>OK</v>
      </c>
      <c r="G143" s="357">
        <v>27</v>
      </c>
      <c r="H143" s="59"/>
      <c r="I143" s="47"/>
      <c r="J143" s="59"/>
      <c r="K143" s="59"/>
      <c r="L143" s="59"/>
      <c r="M143" s="59"/>
      <c r="N143" s="59"/>
      <c r="O143" s="59"/>
      <c r="P143" s="47"/>
      <c r="Q143" s="47"/>
      <c r="R143" s="47"/>
      <c r="S143" s="47"/>
      <c r="T143" s="47"/>
      <c r="U143" s="47"/>
      <c r="V143" s="47"/>
      <c r="W143" s="47"/>
      <c r="X143" s="47"/>
      <c r="Y143" s="47"/>
      <c r="Z143" s="47"/>
      <c r="AA143" s="47"/>
      <c r="AB143" s="47"/>
      <c r="AC143" s="47"/>
      <c r="AD143" s="47"/>
      <c r="AE143" s="47"/>
      <c r="AF143" s="59"/>
    </row>
    <row r="144" spans="1:32" ht="14.85" customHeight="1" x14ac:dyDescent="0.3">
      <c r="A144" s="344" t="s">
        <v>877</v>
      </c>
      <c r="B144" s="345" t="s">
        <v>2310</v>
      </c>
      <c r="C144" s="346"/>
      <c r="D144" s="347">
        <v>1</v>
      </c>
      <c r="E144" s="106" t="s">
        <v>287</v>
      </c>
      <c r="F144" s="347" t="str">
        <v>OK</v>
      </c>
      <c r="G144" s="357">
        <v>28</v>
      </c>
      <c r="H144" s="59"/>
      <c r="I144" s="59"/>
      <c r="J144" s="59"/>
      <c r="K144" s="59"/>
      <c r="L144" s="59"/>
      <c r="M144" s="59"/>
      <c r="N144" s="59"/>
      <c r="O144" s="59"/>
      <c r="P144" s="47"/>
      <c r="Q144" s="47"/>
      <c r="R144" s="47"/>
      <c r="S144" s="47"/>
      <c r="T144" s="47"/>
      <c r="U144" s="47"/>
      <c r="V144" s="47"/>
      <c r="W144" s="47"/>
      <c r="X144" s="47"/>
      <c r="Y144" s="47"/>
      <c r="Z144" s="47"/>
      <c r="AA144" s="47"/>
      <c r="AB144" s="47"/>
      <c r="AC144" s="47"/>
      <c r="AD144" s="47"/>
      <c r="AE144" s="47"/>
      <c r="AF144" s="59"/>
    </row>
    <row r="145" spans="1:32" x14ac:dyDescent="0.3">
      <c r="A145" s="112" t="s">
        <v>877</v>
      </c>
      <c r="B145" s="112" t="s">
        <v>2311</v>
      </c>
      <c r="C145" s="333"/>
      <c r="D145" s="343">
        <v>1</v>
      </c>
      <c r="E145" s="109" t="s">
        <v>287</v>
      </c>
      <c r="F145" s="343" t="str">
        <v>OK</v>
      </c>
      <c r="G145" s="357">
        <v>29</v>
      </c>
      <c r="H145" s="59"/>
      <c r="I145" s="59"/>
      <c r="J145" s="59"/>
      <c r="K145" s="59"/>
      <c r="L145" s="59"/>
      <c r="M145" s="59"/>
      <c r="N145" s="59"/>
      <c r="O145" s="59"/>
      <c r="P145" s="47"/>
      <c r="Q145" s="47"/>
      <c r="R145" s="47"/>
      <c r="S145" s="47"/>
      <c r="T145" s="47"/>
      <c r="U145" s="47"/>
      <c r="V145" s="47"/>
      <c r="W145" s="47"/>
      <c r="X145" s="47"/>
      <c r="Y145" s="47"/>
      <c r="Z145" s="47"/>
      <c r="AA145" s="47"/>
      <c r="AB145" s="47"/>
      <c r="AC145" s="47"/>
      <c r="AD145" s="47"/>
      <c r="AE145" s="47"/>
      <c r="AF145" s="59"/>
    </row>
    <row r="146" spans="1:32" x14ac:dyDescent="0.3">
      <c r="A146" s="344" t="s">
        <v>877</v>
      </c>
      <c r="B146" s="345" t="s">
        <v>2312</v>
      </c>
      <c r="C146" s="346"/>
      <c r="D146" s="347">
        <v>1</v>
      </c>
      <c r="E146" s="106" t="s">
        <v>287</v>
      </c>
      <c r="F146" s="347" t="str">
        <v>OK</v>
      </c>
      <c r="G146" s="357">
        <v>30</v>
      </c>
      <c r="H146" s="59"/>
      <c r="I146" s="59"/>
      <c r="J146" s="59"/>
      <c r="K146" s="59"/>
      <c r="L146" s="59"/>
      <c r="M146" s="59"/>
      <c r="N146" s="59"/>
      <c r="O146" s="59"/>
      <c r="P146" s="47"/>
      <c r="Q146" s="47"/>
      <c r="R146" s="47"/>
      <c r="S146" s="47"/>
      <c r="T146" s="47"/>
      <c r="U146" s="47"/>
      <c r="V146" s="47"/>
      <c r="W146" s="47"/>
      <c r="X146" s="47"/>
      <c r="Y146" s="47"/>
      <c r="Z146" s="47"/>
      <c r="AA146" s="47"/>
      <c r="AB146" s="47"/>
      <c r="AC146" s="47"/>
      <c r="AD146" s="47"/>
      <c r="AE146" s="47"/>
      <c r="AF146" s="47"/>
    </row>
    <row r="147" spans="1:32" x14ac:dyDescent="0.3">
      <c r="A147" s="112" t="s">
        <v>877</v>
      </c>
      <c r="B147" s="112" t="s">
        <v>2313</v>
      </c>
      <c r="C147" s="333"/>
      <c r="D147" s="343">
        <v>1</v>
      </c>
      <c r="E147" s="109" t="s">
        <v>287</v>
      </c>
      <c r="F147" s="343" t="str">
        <v>Não Ok</v>
      </c>
      <c r="G147" s="357">
        <v>31</v>
      </c>
      <c r="H147" s="59"/>
      <c r="I147" s="59"/>
      <c r="J147" s="59"/>
      <c r="K147" s="59"/>
      <c r="L147" s="59"/>
      <c r="M147" s="59"/>
      <c r="N147" s="59"/>
      <c r="O147" s="59"/>
      <c r="P147" s="47"/>
      <c r="Q147" s="47"/>
      <c r="R147" s="47"/>
      <c r="S147" s="47"/>
      <c r="T147" s="47"/>
      <c r="U147" s="47"/>
      <c r="V147" s="47"/>
      <c r="W147" s="47"/>
      <c r="X147" s="47"/>
      <c r="Y147" s="47"/>
      <c r="Z147" s="47"/>
      <c r="AA147" s="47"/>
      <c r="AB147" s="47"/>
      <c r="AC147" s="47"/>
      <c r="AD147" s="47"/>
      <c r="AE147" s="47"/>
      <c r="AF147" s="47"/>
    </row>
    <row r="148" spans="1:32" x14ac:dyDescent="0.3">
      <c r="A148" s="344" t="s">
        <v>871</v>
      </c>
      <c r="B148" s="345" t="s">
        <v>2314</v>
      </c>
      <c r="C148" s="346"/>
      <c r="D148" s="347">
        <v>2</v>
      </c>
      <c r="E148" s="106" t="s">
        <v>287</v>
      </c>
      <c r="F148" s="347" t="str">
        <v>OK</v>
      </c>
      <c r="G148" s="357">
        <v>32</v>
      </c>
      <c r="H148" s="59"/>
      <c r="I148" s="59"/>
      <c r="J148" s="59"/>
      <c r="K148" s="59"/>
      <c r="L148" s="59"/>
      <c r="M148" s="59"/>
      <c r="N148" s="59"/>
      <c r="O148" s="59"/>
      <c r="P148" s="47"/>
      <c r="Q148" s="47"/>
      <c r="R148" s="47"/>
      <c r="S148" s="47"/>
      <c r="T148" s="47"/>
      <c r="U148" s="47"/>
      <c r="V148" s="47"/>
      <c r="W148" s="47"/>
      <c r="X148" s="47"/>
      <c r="Y148" s="47"/>
      <c r="Z148" s="47"/>
      <c r="AA148" s="47"/>
      <c r="AB148" s="47"/>
      <c r="AC148" s="47"/>
      <c r="AD148" s="47"/>
      <c r="AE148" s="47"/>
      <c r="AF148" s="47"/>
    </row>
    <row r="149" spans="1:32" x14ac:dyDescent="0.3">
      <c r="A149" s="112" t="s">
        <v>871</v>
      </c>
      <c r="B149" s="112" t="s">
        <v>2315</v>
      </c>
      <c r="C149" s="333"/>
      <c r="D149" s="343">
        <v>2</v>
      </c>
      <c r="E149" s="109" t="s">
        <v>287</v>
      </c>
      <c r="F149" s="354" t="str">
        <v>Não Ok</v>
      </c>
      <c r="G149" s="357">
        <v>33</v>
      </c>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row>
    <row r="150" spans="1:32" x14ac:dyDescent="0.3">
      <c r="A150" s="344" t="s">
        <v>871</v>
      </c>
      <c r="B150" s="345" t="s">
        <v>2316</v>
      </c>
      <c r="C150" s="346"/>
      <c r="D150" s="347">
        <v>2</v>
      </c>
      <c r="E150" s="106" t="s">
        <v>388</v>
      </c>
      <c r="F150" s="347" t="str">
        <v>Não Ok</v>
      </c>
      <c r="G150" s="357">
        <v>34</v>
      </c>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row>
    <row r="151" spans="1:32" x14ac:dyDescent="0.3">
      <c r="A151" s="112" t="s">
        <v>871</v>
      </c>
      <c r="B151" s="112" t="s">
        <v>2317</v>
      </c>
      <c r="C151" s="333"/>
      <c r="D151" s="343">
        <v>2</v>
      </c>
      <c r="E151" s="109" t="s">
        <v>287</v>
      </c>
      <c r="F151" s="354" t="str">
        <v>Não Ok</v>
      </c>
      <c r="G151" s="357">
        <v>35</v>
      </c>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row>
    <row r="152" spans="1:32" x14ac:dyDescent="0.3">
      <c r="A152" s="344" t="s">
        <v>871</v>
      </c>
      <c r="B152" s="345" t="s">
        <v>2318</v>
      </c>
      <c r="C152" s="346"/>
      <c r="D152" s="347">
        <v>2</v>
      </c>
      <c r="E152" s="106" t="s">
        <v>287</v>
      </c>
      <c r="F152" s="347" t="str">
        <v>OK</v>
      </c>
      <c r="G152" s="357">
        <v>36</v>
      </c>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row>
    <row r="153" spans="1:32" x14ac:dyDescent="0.3">
      <c r="A153" s="112" t="s">
        <v>877</v>
      </c>
      <c r="B153" s="112" t="s">
        <v>2319</v>
      </c>
      <c r="C153" s="333"/>
      <c r="D153" s="343">
        <v>2</v>
      </c>
      <c r="E153" s="109" t="s">
        <v>287</v>
      </c>
      <c r="F153" s="343" t="str">
        <v>Não Ok</v>
      </c>
      <c r="G153" s="357">
        <v>37</v>
      </c>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row>
    <row r="154" spans="1:32" x14ac:dyDescent="0.3">
      <c r="A154" s="344" t="s">
        <v>877</v>
      </c>
      <c r="B154" s="345" t="s">
        <v>2320</v>
      </c>
      <c r="C154" s="346"/>
      <c r="D154" s="347">
        <v>2</v>
      </c>
      <c r="E154" s="106" t="s">
        <v>287</v>
      </c>
      <c r="F154" s="347" t="str">
        <v>OK</v>
      </c>
      <c r="G154" s="357">
        <v>38</v>
      </c>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row>
    <row r="155" spans="1:32" x14ac:dyDescent="0.3">
      <c r="A155" s="112" t="s">
        <v>877</v>
      </c>
      <c r="B155" s="112" t="s">
        <v>2321</v>
      </c>
      <c r="C155" s="333"/>
      <c r="D155" s="343">
        <v>2</v>
      </c>
      <c r="E155" s="109" t="s">
        <v>287</v>
      </c>
      <c r="F155" s="343" t="str">
        <v>Não Ok</v>
      </c>
      <c r="G155" s="357">
        <v>39</v>
      </c>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row>
    <row r="156" spans="1:32" x14ac:dyDescent="0.3">
      <c r="A156" s="344" t="s">
        <v>877</v>
      </c>
      <c r="B156" s="345" t="s">
        <v>2322</v>
      </c>
      <c r="C156" s="346"/>
      <c r="D156" s="347">
        <v>2</v>
      </c>
      <c r="E156" s="106" t="s">
        <v>287</v>
      </c>
      <c r="F156" s="347" t="str">
        <v>Não Ok</v>
      </c>
      <c r="G156" s="357">
        <v>40</v>
      </c>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row>
    <row r="157" spans="1:32" x14ac:dyDescent="0.3">
      <c r="A157" s="112" t="s">
        <v>877</v>
      </c>
      <c r="B157" s="112" t="s">
        <v>2323</v>
      </c>
      <c r="C157" s="333"/>
      <c r="D157" s="343">
        <v>2</v>
      </c>
      <c r="E157" s="109" t="s">
        <v>388</v>
      </c>
      <c r="F157" s="343" t="str">
        <v>Não Ok</v>
      </c>
      <c r="G157" s="357">
        <v>41</v>
      </c>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row>
    <row r="158" spans="1:32" x14ac:dyDescent="0.3">
      <c r="A158" s="344" t="s">
        <v>877</v>
      </c>
      <c r="B158" s="345" t="s">
        <v>2324</v>
      </c>
      <c r="C158" s="346"/>
      <c r="D158" s="347">
        <v>2</v>
      </c>
      <c r="E158" s="106" t="s">
        <v>287</v>
      </c>
      <c r="F158" s="347" t="str">
        <v>Não Ok</v>
      </c>
      <c r="G158" s="357">
        <v>42</v>
      </c>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row>
    <row r="159" spans="1:32" x14ac:dyDescent="0.3">
      <c r="A159" s="112" t="s">
        <v>871</v>
      </c>
      <c r="B159" s="112" t="s">
        <v>2325</v>
      </c>
      <c r="C159" s="333"/>
      <c r="D159" s="343">
        <v>3</v>
      </c>
      <c r="E159" s="109" t="s">
        <v>388</v>
      </c>
      <c r="F159" s="343" t="str">
        <v>Não Ok</v>
      </c>
      <c r="G159" s="357">
        <v>43</v>
      </c>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row>
    <row r="160" spans="1:32" x14ac:dyDescent="0.3">
      <c r="A160" s="344" t="s">
        <v>871</v>
      </c>
      <c r="B160" s="345" t="s">
        <v>2326</v>
      </c>
      <c r="C160" s="346"/>
      <c r="D160" s="347">
        <v>3</v>
      </c>
      <c r="E160" s="106" t="s">
        <v>388</v>
      </c>
      <c r="F160" s="347" t="str">
        <v>Não Ok</v>
      </c>
      <c r="G160" s="357">
        <v>44</v>
      </c>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row>
    <row r="161" spans="1:32" x14ac:dyDescent="0.3">
      <c r="A161" s="112" t="s">
        <v>877</v>
      </c>
      <c r="B161" s="112" t="s">
        <v>2327</v>
      </c>
      <c r="C161" s="333"/>
      <c r="D161" s="343">
        <v>3</v>
      </c>
      <c r="E161" s="109" t="s">
        <v>287</v>
      </c>
      <c r="F161" s="343" t="str">
        <v>OK</v>
      </c>
      <c r="G161" s="357">
        <v>45</v>
      </c>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row>
    <row r="162" spans="1:32" x14ac:dyDescent="0.3">
      <c r="A162" s="112" t="s">
        <v>877</v>
      </c>
      <c r="B162" s="112" t="s">
        <v>2328</v>
      </c>
      <c r="C162" s="333"/>
      <c r="D162" s="343">
        <v>3</v>
      </c>
      <c r="E162" s="109" t="s">
        <v>287</v>
      </c>
      <c r="F162" s="343" t="str">
        <v>OK</v>
      </c>
      <c r="G162" s="357">
        <v>46</v>
      </c>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row>
    <row r="163" spans="1:32" x14ac:dyDescent="0.3">
      <c r="A163" s="344" t="s">
        <v>877</v>
      </c>
      <c r="B163" s="345" t="s">
        <v>2329</v>
      </c>
      <c r="C163" s="346"/>
      <c r="D163" s="347">
        <v>3</v>
      </c>
      <c r="E163" s="106" t="s">
        <v>287</v>
      </c>
      <c r="F163" s="347" t="str">
        <v>OK</v>
      </c>
      <c r="G163" s="357">
        <v>47</v>
      </c>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row>
    <row r="164" spans="1:32" ht="21" x14ac:dyDescent="0.3">
      <c r="A164" s="1492"/>
      <c r="B164" s="1492"/>
      <c r="C164" s="1492"/>
      <c r="D164" s="113"/>
      <c r="E164" s="113">
        <f>(COUNTIF(E117:E163,"OK")+COUNTIF(E117:E163,"N/A"))/47</f>
        <v>0.80851063829787229</v>
      </c>
      <c r="F164" s="113">
        <f>(COUNTIF(F117:F163,"OK"))/47</f>
        <v>0.57446808510638303</v>
      </c>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row>
    <row r="165" spans="1:32" x14ac:dyDescent="0.3">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row>
    <row r="166" spans="1:32" ht="15.6" x14ac:dyDescent="0.3">
      <c r="A166" s="245" t="s">
        <v>671</v>
      </c>
      <c r="B166" s="245"/>
      <c r="C166" s="245"/>
      <c r="D166" s="245"/>
      <c r="E166" s="246"/>
      <c r="F166" s="246"/>
      <c r="G166" s="246"/>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row>
    <row r="167" spans="1:32" x14ac:dyDescent="0.3">
      <c r="A167" s="103" t="s">
        <v>72</v>
      </c>
      <c r="B167" s="103" t="s">
        <v>73</v>
      </c>
      <c r="C167" s="103" t="s">
        <v>75</v>
      </c>
      <c r="D167" s="103" t="s">
        <v>74</v>
      </c>
      <c r="E167" s="103" t="s">
        <v>73</v>
      </c>
      <c r="F167" s="103" t="s">
        <v>74</v>
      </c>
      <c r="G167" s="103" t="s">
        <v>75</v>
      </c>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row>
    <row r="168" spans="1:32" x14ac:dyDescent="0.3">
      <c r="A168" s="352" t="s">
        <v>867</v>
      </c>
      <c r="B168" s="59">
        <f>COUNTIFS($E$117:$E$163,"OK",$A$117:$A$163,A168)</f>
        <v>4</v>
      </c>
      <c r="C168" s="59">
        <v>5</v>
      </c>
      <c r="D168" s="59">
        <f>COUNTIF(F117:F121,"OK")</f>
        <v>3</v>
      </c>
      <c r="E168" s="294">
        <f>IF(B168=0,"0",B168/C168)</f>
        <v>0.8</v>
      </c>
      <c r="F168" s="294">
        <f>IF(D168=0,"0",D168/C168)</f>
        <v>0.6</v>
      </c>
      <c r="G168" s="340">
        <v>1</v>
      </c>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row>
    <row r="169" spans="1:32" x14ac:dyDescent="0.3">
      <c r="A169" s="358" t="s">
        <v>869</v>
      </c>
      <c r="B169" s="334">
        <f>COUNTIFS($E$117:$E$163,"OK",$A$117:$A$163,A169)</f>
        <v>3</v>
      </c>
      <c r="C169" s="334">
        <v>5</v>
      </c>
      <c r="D169" s="334">
        <f>COUNTIF(F122:F126,"OK")</f>
        <v>3</v>
      </c>
      <c r="E169" s="295">
        <f>IF(B169=0,"0",B169/C169)</f>
        <v>0.6</v>
      </c>
      <c r="F169" s="295">
        <f>IF(D169=0,"0",D169/C169)</f>
        <v>0.6</v>
      </c>
      <c r="G169" s="341">
        <v>1</v>
      </c>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row>
    <row r="170" spans="1:32" x14ac:dyDescent="0.3">
      <c r="A170" s="352" t="s">
        <v>871</v>
      </c>
      <c r="B170" s="59">
        <f>COUNTIFS($E$117:$E$163,"OK",$A$117:$A$163,A170)</f>
        <v>11</v>
      </c>
      <c r="C170" s="59">
        <v>14</v>
      </c>
      <c r="D170" s="59">
        <f>COUNTIF(F127:F140,"OK")</f>
        <v>11</v>
      </c>
      <c r="E170" s="294">
        <f>IF(B170=0,"0",B170/C170)</f>
        <v>0.7857142857142857</v>
      </c>
      <c r="F170" s="294">
        <f>IF(D170=0,"0",D170/C170)</f>
        <v>0.7857142857142857</v>
      </c>
      <c r="G170" s="340">
        <v>1</v>
      </c>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row>
    <row r="171" spans="1:32" x14ac:dyDescent="0.3">
      <c r="A171" s="358" t="s">
        <v>877</v>
      </c>
      <c r="B171" s="334">
        <f>COUNTIFS($E$117:$E$163,"OK",$A$117:$A$163,A171)</f>
        <v>20</v>
      </c>
      <c r="C171" s="334">
        <v>23</v>
      </c>
      <c r="D171" s="334">
        <f>COUNTIF(F141:F163,"OK")</f>
        <v>10</v>
      </c>
      <c r="E171" s="295">
        <f>IF(B171=0,"0",B171/C171)</f>
        <v>0.86956521739130432</v>
      </c>
      <c r="F171" s="295">
        <f>IF(D171=0,"0",D171/C171)</f>
        <v>0.43478260869565216</v>
      </c>
      <c r="G171" s="341">
        <v>1</v>
      </c>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row>
    <row r="172" spans="1:32" x14ac:dyDescent="0.3">
      <c r="A172" s="352"/>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row>
    <row r="173" spans="1:32" x14ac:dyDescent="0.3">
      <c r="A173" s="335" t="s">
        <v>662</v>
      </c>
      <c r="B173" s="335" t="s">
        <v>663</v>
      </c>
      <c r="C173" s="335" t="s">
        <v>664</v>
      </c>
      <c r="D173" s="335" t="s">
        <v>665</v>
      </c>
      <c r="E173" s="335" t="s">
        <v>666</v>
      </c>
      <c r="F173" s="335" t="s">
        <v>667</v>
      </c>
      <c r="G173" s="335" t="s">
        <v>668</v>
      </c>
      <c r="H173" s="335" t="s">
        <v>669</v>
      </c>
      <c r="I173" s="335" t="s">
        <v>670</v>
      </c>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row>
    <row r="174" spans="1:32" x14ac:dyDescent="0.3">
      <c r="A174" s="320">
        <v>1</v>
      </c>
      <c r="B174" s="320">
        <f>COUNTIF($D$117:$D$163,A174)</f>
        <v>31</v>
      </c>
      <c r="C174" s="320">
        <f>COUNTIFS($D$117:$D$163,A174,E117:E163,"OK")</f>
        <v>26</v>
      </c>
      <c r="D174" s="323">
        <f>COUNTIFS($D$117:$D$163,A174,E117:E163,"Não OK")</f>
        <v>5</v>
      </c>
      <c r="E174" s="322">
        <f>COUNTIFS(E117:E163,"OK",D117:D163,A174)/B174</f>
        <v>0.83870967741935487</v>
      </c>
      <c r="F174" s="320">
        <f>COUNTIFS($F$117:$F$163,"OK",$D$117:$D$163,A174)</f>
        <v>21</v>
      </c>
      <c r="G174" s="320">
        <f>COUNTIFS($F$117:$F$163,"Não OK",$D$117:$D$163,A174)</f>
        <v>10</v>
      </c>
      <c r="H174" s="322">
        <f>COUNTIFS(F116:F162,"OK",D116:D162,A174)/B174</f>
        <v>0.67741935483870963</v>
      </c>
      <c r="I174" s="321">
        <f>[50]Unidade!$E$1</f>
        <v>46071</v>
      </c>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row>
    <row r="175" spans="1:32" x14ac:dyDescent="0.3">
      <c r="A175" s="336">
        <v>2</v>
      </c>
      <c r="B175" s="336">
        <f t="shared" ref="B175:B176" si="50">COUNTIF($D$117:$D$163,A175)</f>
        <v>11</v>
      </c>
      <c r="C175" s="336">
        <f t="shared" ref="C175:C176" si="51">COUNTIFS($D$117:$D$163,A175,E118:E164,"OK")</f>
        <v>8</v>
      </c>
      <c r="D175" s="336">
        <f t="shared" ref="D175:D176" si="52">COUNTIFS($D$117:$D$163,A175,E118:E164,"Não OK")</f>
        <v>3</v>
      </c>
      <c r="E175" s="337">
        <f>COUNTIFS(E118:E164,"OK",D118:D164,A175)/B175</f>
        <v>0.81818181818181823</v>
      </c>
      <c r="F175" s="336">
        <f t="shared" ref="F175:F176" si="53">COUNTIFS($F$117:$F$163,"OK",$D$117:$D$163,A175)</f>
        <v>3</v>
      </c>
      <c r="G175" s="336">
        <f>COUNTIFS($F$117:$F$163,"Não OK",$D$117:$D$163,A175)</f>
        <v>8</v>
      </c>
      <c r="H175" s="337">
        <f>COUNTIFS(F117:F163,"OK",D117:D163,A175)/B175</f>
        <v>0.27272727272727271</v>
      </c>
      <c r="I175" s="359">
        <f>[50]Unidade!$E$36</f>
        <v>46081</v>
      </c>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row>
    <row r="176" spans="1:32" x14ac:dyDescent="0.3">
      <c r="A176" s="320">
        <v>3</v>
      </c>
      <c r="B176" s="320">
        <f t="shared" si="50"/>
        <v>5</v>
      </c>
      <c r="C176" s="320">
        <f t="shared" si="51"/>
        <v>3</v>
      </c>
      <c r="D176" s="323">
        <f t="shared" si="52"/>
        <v>0</v>
      </c>
      <c r="E176" s="322">
        <f>COUNTIFS(E119:E165,"OK",D119:D165,A176)/B176</f>
        <v>0.6</v>
      </c>
      <c r="F176" s="320">
        <f t="shared" si="53"/>
        <v>3</v>
      </c>
      <c r="G176" s="320">
        <f>COUNTIFS($F$117:$F$163,"Não OK",$D$117:$D$163,A176)</f>
        <v>2</v>
      </c>
      <c r="H176" s="322">
        <f>COUNTIFS(F118:F164,"OK",D118:D164,A176)/B176</f>
        <v>0.6</v>
      </c>
      <c r="I176" s="321">
        <f>[50]Unidade!$E$51</f>
        <v>46095</v>
      </c>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row>
    <row r="177" spans="1:32" x14ac:dyDescent="0.3">
      <c r="A177" s="335" t="s">
        <v>133</v>
      </c>
      <c r="B177" s="335">
        <f>SUM(B174:B176)</f>
        <v>47</v>
      </c>
      <c r="C177" s="335"/>
      <c r="D177" s="335"/>
      <c r="E177" s="335"/>
      <c r="F177" s="335"/>
      <c r="G177" s="335"/>
      <c r="H177" s="335"/>
      <c r="I177" s="335"/>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row>
    <row r="178" spans="1:32" x14ac:dyDescent="0.3">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row>
    <row r="179" spans="1:32" x14ac:dyDescent="0.3">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row>
    <row r="180" spans="1:32" x14ac:dyDescent="0.3">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row>
  </sheetData>
  <sheetProtection formatCells="0" formatColumns="0" formatRows="0" insertHyperlinks="0"/>
  <autoFilter ref="A54:AE114" xr:uid="{00000000-0001-0000-0100-000000000000}"/>
  <mergeCells count="590">
    <mergeCell ref="O4:AD4"/>
    <mergeCell ref="A5:B5"/>
    <mergeCell ref="C5:D5"/>
    <mergeCell ref="E5:F5"/>
    <mergeCell ref="G5:I5"/>
    <mergeCell ref="J5:K5"/>
    <mergeCell ref="L5:M5"/>
    <mergeCell ref="S5:W5"/>
    <mergeCell ref="A1:V1"/>
    <mergeCell ref="W1:AD1"/>
    <mergeCell ref="A2:X2"/>
    <mergeCell ref="Y2:AD2"/>
    <mergeCell ref="A4:B4"/>
    <mergeCell ref="C4:D4"/>
    <mergeCell ref="E4:F4"/>
    <mergeCell ref="G4:I4"/>
    <mergeCell ref="J4:K4"/>
    <mergeCell ref="L4:M4"/>
    <mergeCell ref="S6:W6"/>
    <mergeCell ref="A7:E7"/>
    <mergeCell ref="G7:I7"/>
    <mergeCell ref="K7:M7"/>
    <mergeCell ref="S7:W7"/>
    <mergeCell ref="K8:K9"/>
    <mergeCell ref="L8:L9"/>
    <mergeCell ref="M8:M9"/>
    <mergeCell ref="S8:W8"/>
    <mergeCell ref="S9:W9"/>
    <mergeCell ref="S13:W13"/>
    <mergeCell ref="S14:W14"/>
    <mergeCell ref="S15:W15"/>
    <mergeCell ref="S16:W16"/>
    <mergeCell ref="S17:W17"/>
    <mergeCell ref="K10:K11"/>
    <mergeCell ref="L10:L11"/>
    <mergeCell ref="M10:M11"/>
    <mergeCell ref="S10:W10"/>
    <mergeCell ref="S11:W11"/>
    <mergeCell ref="S12:W12"/>
    <mergeCell ref="S24:W24"/>
    <mergeCell ref="S25:W25"/>
    <mergeCell ref="O26:P26"/>
    <mergeCell ref="U53:W53"/>
    <mergeCell ref="X53:AA53"/>
    <mergeCell ref="AB53:AE53"/>
    <mergeCell ref="S18:W18"/>
    <mergeCell ref="S19:W19"/>
    <mergeCell ref="S20:W20"/>
    <mergeCell ref="S21:W21"/>
    <mergeCell ref="S22:W22"/>
    <mergeCell ref="S23:W23"/>
    <mergeCell ref="AF53:AI53"/>
    <mergeCell ref="A55:A56"/>
    <mergeCell ref="B55:B56"/>
    <mergeCell ref="C55:C56"/>
    <mergeCell ref="D55:D56"/>
    <mergeCell ref="E55:E56"/>
    <mergeCell ref="F55:F56"/>
    <mergeCell ref="G55:G56"/>
    <mergeCell ref="H55:H56"/>
    <mergeCell ref="I55:I56"/>
    <mergeCell ref="J55:J56"/>
    <mergeCell ref="K55:K56"/>
    <mergeCell ref="O55:O56"/>
    <mergeCell ref="P55:P56"/>
    <mergeCell ref="AL55:AL56"/>
    <mergeCell ref="A57:A58"/>
    <mergeCell ref="B57:B58"/>
    <mergeCell ref="C57:C58"/>
    <mergeCell ref="D57:D58"/>
    <mergeCell ref="E57:E58"/>
    <mergeCell ref="O57:O58"/>
    <mergeCell ref="P57:P58"/>
    <mergeCell ref="AL57:AL58"/>
    <mergeCell ref="H57:H58"/>
    <mergeCell ref="I57:I58"/>
    <mergeCell ref="J57:J58"/>
    <mergeCell ref="K57:K58"/>
    <mergeCell ref="L55:L56"/>
    <mergeCell ref="L57:L58"/>
    <mergeCell ref="A59:A60"/>
    <mergeCell ref="B59:B60"/>
    <mergeCell ref="C59:C60"/>
    <mergeCell ref="D59:D60"/>
    <mergeCell ref="E59:E60"/>
    <mergeCell ref="F59:F60"/>
    <mergeCell ref="G59:G60"/>
    <mergeCell ref="F57:F58"/>
    <mergeCell ref="G57:G58"/>
    <mergeCell ref="AL59:AL60"/>
    <mergeCell ref="A61:A62"/>
    <mergeCell ref="B61:B62"/>
    <mergeCell ref="C61:C62"/>
    <mergeCell ref="D61:D62"/>
    <mergeCell ref="E61:E62"/>
    <mergeCell ref="F61:F62"/>
    <mergeCell ref="G61:G62"/>
    <mergeCell ref="H61:H62"/>
    <mergeCell ref="I61:I62"/>
    <mergeCell ref="H59:H60"/>
    <mergeCell ref="I59:I60"/>
    <mergeCell ref="J59:J60"/>
    <mergeCell ref="K59:K60"/>
    <mergeCell ref="O59:O60"/>
    <mergeCell ref="P59:P60"/>
    <mergeCell ref="J61:J62"/>
    <mergeCell ref="K61:K62"/>
    <mergeCell ref="O61:O62"/>
    <mergeCell ref="P61:P62"/>
    <mergeCell ref="AL61:AL62"/>
    <mergeCell ref="L59:L60"/>
    <mergeCell ref="L61:L62"/>
    <mergeCell ref="M61:M62"/>
    <mergeCell ref="A63:A64"/>
    <mergeCell ref="B63:B64"/>
    <mergeCell ref="C63:C64"/>
    <mergeCell ref="D63:D64"/>
    <mergeCell ref="E63:E64"/>
    <mergeCell ref="O63:O64"/>
    <mergeCell ref="P63:P64"/>
    <mergeCell ref="AL63:AL64"/>
    <mergeCell ref="A65:A66"/>
    <mergeCell ref="B65:B66"/>
    <mergeCell ref="C65:C66"/>
    <mergeCell ref="D65:D66"/>
    <mergeCell ref="E65:E66"/>
    <mergeCell ref="F65:F66"/>
    <mergeCell ref="G65:G66"/>
    <mergeCell ref="F63:F64"/>
    <mergeCell ref="G63:G64"/>
    <mergeCell ref="H63:H64"/>
    <mergeCell ref="I63:I64"/>
    <mergeCell ref="J63:J64"/>
    <mergeCell ref="K63:K64"/>
    <mergeCell ref="AL65:AL66"/>
    <mergeCell ref="H65:H66"/>
    <mergeCell ref="I65:I66"/>
    <mergeCell ref="A67:A68"/>
    <mergeCell ref="B67:B68"/>
    <mergeCell ref="C67:C68"/>
    <mergeCell ref="D67:D68"/>
    <mergeCell ref="E67:E68"/>
    <mergeCell ref="F67:F68"/>
    <mergeCell ref="G67:G68"/>
    <mergeCell ref="H67:H68"/>
    <mergeCell ref="I67:I68"/>
    <mergeCell ref="J65:J66"/>
    <mergeCell ref="K65:K66"/>
    <mergeCell ref="O65:O66"/>
    <mergeCell ref="P65:P66"/>
    <mergeCell ref="J67:J68"/>
    <mergeCell ref="K67:K68"/>
    <mergeCell ref="O67:O68"/>
    <mergeCell ref="P67:P68"/>
    <mergeCell ref="AL67:AL68"/>
    <mergeCell ref="L67:L68"/>
    <mergeCell ref="A69:A70"/>
    <mergeCell ref="B69:B70"/>
    <mergeCell ref="C69:C70"/>
    <mergeCell ref="D69:D70"/>
    <mergeCell ref="E69:E70"/>
    <mergeCell ref="O69:O70"/>
    <mergeCell ref="P69:P70"/>
    <mergeCell ref="AL69:AL70"/>
    <mergeCell ref="A71:A72"/>
    <mergeCell ref="B71:B72"/>
    <mergeCell ref="C71:C72"/>
    <mergeCell ref="D71:D72"/>
    <mergeCell ref="E71:E72"/>
    <mergeCell ref="F71:F72"/>
    <mergeCell ref="G71:G72"/>
    <mergeCell ref="F69:F70"/>
    <mergeCell ref="G69:G70"/>
    <mergeCell ref="H69:H70"/>
    <mergeCell ref="I69:I70"/>
    <mergeCell ref="J69:J70"/>
    <mergeCell ref="K69:K70"/>
    <mergeCell ref="AL71:AL72"/>
    <mergeCell ref="H71:H72"/>
    <mergeCell ref="I71:I72"/>
    <mergeCell ref="A73:A74"/>
    <mergeCell ref="B73:B74"/>
    <mergeCell ref="C73:C74"/>
    <mergeCell ref="D73:D74"/>
    <mergeCell ref="E73:E74"/>
    <mergeCell ref="F73:F74"/>
    <mergeCell ref="G73:G74"/>
    <mergeCell ref="H73:H74"/>
    <mergeCell ref="I73:I74"/>
    <mergeCell ref="J71:J72"/>
    <mergeCell ref="K71:K72"/>
    <mergeCell ref="O71:O72"/>
    <mergeCell ref="P71:P72"/>
    <mergeCell ref="J73:J74"/>
    <mergeCell ref="K73:K74"/>
    <mergeCell ref="O73:O74"/>
    <mergeCell ref="P73:P74"/>
    <mergeCell ref="AL73:AL74"/>
    <mergeCell ref="M73:M74"/>
    <mergeCell ref="N73:N74"/>
    <mergeCell ref="A75:A76"/>
    <mergeCell ref="B75:B76"/>
    <mergeCell ref="C75:C76"/>
    <mergeCell ref="D75:D76"/>
    <mergeCell ref="E75:E76"/>
    <mergeCell ref="O75:O76"/>
    <mergeCell ref="P75:P76"/>
    <mergeCell ref="AL75:AL76"/>
    <mergeCell ref="A77:A78"/>
    <mergeCell ref="B77:B78"/>
    <mergeCell ref="C77:C78"/>
    <mergeCell ref="D77:D78"/>
    <mergeCell ref="E77:E78"/>
    <mergeCell ref="F77:F78"/>
    <mergeCell ref="G77:G78"/>
    <mergeCell ref="F75:F76"/>
    <mergeCell ref="G75:G76"/>
    <mergeCell ref="H75:H76"/>
    <mergeCell ref="I75:I76"/>
    <mergeCell ref="J75:J76"/>
    <mergeCell ref="K75:K76"/>
    <mergeCell ref="AL77:AL78"/>
    <mergeCell ref="H77:H78"/>
    <mergeCell ref="I77:I78"/>
    <mergeCell ref="A79:A80"/>
    <mergeCell ref="B79:B80"/>
    <mergeCell ref="C79:C80"/>
    <mergeCell ref="D79:D80"/>
    <mergeCell ref="E79:E80"/>
    <mergeCell ref="F79:F80"/>
    <mergeCell ref="G79:G80"/>
    <mergeCell ref="H79:H80"/>
    <mergeCell ref="I79:I80"/>
    <mergeCell ref="J77:J78"/>
    <mergeCell ref="K77:K78"/>
    <mergeCell ref="O77:O78"/>
    <mergeCell ref="P77:P78"/>
    <mergeCell ref="J79:J80"/>
    <mergeCell ref="K79:K80"/>
    <mergeCell ref="O79:O80"/>
    <mergeCell ref="P79:P80"/>
    <mergeCell ref="AL79:AL80"/>
    <mergeCell ref="M79:M80"/>
    <mergeCell ref="N79:N80"/>
    <mergeCell ref="A81:A82"/>
    <mergeCell ref="B81:B82"/>
    <mergeCell ref="C81:C82"/>
    <mergeCell ref="D81:D82"/>
    <mergeCell ref="E81:E82"/>
    <mergeCell ref="O81:O82"/>
    <mergeCell ref="P81:P82"/>
    <mergeCell ref="AL81:AL82"/>
    <mergeCell ref="A83:A84"/>
    <mergeCell ref="B83:B84"/>
    <mergeCell ref="C83:C84"/>
    <mergeCell ref="D83:D84"/>
    <mergeCell ref="E83:E84"/>
    <mergeCell ref="F83:F84"/>
    <mergeCell ref="G83:G84"/>
    <mergeCell ref="F81:F82"/>
    <mergeCell ref="G81:G82"/>
    <mergeCell ref="H81:H82"/>
    <mergeCell ref="I81:I82"/>
    <mergeCell ref="J81:J82"/>
    <mergeCell ref="K81:K82"/>
    <mergeCell ref="AL83:AL84"/>
    <mergeCell ref="H83:H84"/>
    <mergeCell ref="I83:I84"/>
    <mergeCell ref="A85:A86"/>
    <mergeCell ref="B85:B86"/>
    <mergeCell ref="C85:C86"/>
    <mergeCell ref="D85:D86"/>
    <mergeCell ref="E85:E86"/>
    <mergeCell ref="F85:F86"/>
    <mergeCell ref="G85:G86"/>
    <mergeCell ref="H85:H86"/>
    <mergeCell ref="I85:I86"/>
    <mergeCell ref="J83:J84"/>
    <mergeCell ref="K83:K84"/>
    <mergeCell ref="O83:O84"/>
    <mergeCell ref="P83:P84"/>
    <mergeCell ref="J85:J86"/>
    <mergeCell ref="K85:K86"/>
    <mergeCell ref="O85:O86"/>
    <mergeCell ref="P85:P86"/>
    <mergeCell ref="AL85:AL86"/>
    <mergeCell ref="M85:M86"/>
    <mergeCell ref="N85:N86"/>
    <mergeCell ref="AL87:AL88"/>
    <mergeCell ref="A89:A90"/>
    <mergeCell ref="B89:B90"/>
    <mergeCell ref="C89:C90"/>
    <mergeCell ref="D89:D90"/>
    <mergeCell ref="E89:E90"/>
    <mergeCell ref="F89:F90"/>
    <mergeCell ref="G89:G90"/>
    <mergeCell ref="F87:F88"/>
    <mergeCell ref="G87:G88"/>
    <mergeCell ref="H87:H88"/>
    <mergeCell ref="I87:I88"/>
    <mergeCell ref="J87:J88"/>
    <mergeCell ref="K87:K88"/>
    <mergeCell ref="AL89:AL90"/>
    <mergeCell ref="H89:H90"/>
    <mergeCell ref="I89:I90"/>
    <mergeCell ref="J89:J90"/>
    <mergeCell ref="A87:A88"/>
    <mergeCell ref="B87:B88"/>
    <mergeCell ref="C87:C88"/>
    <mergeCell ref="D87:D88"/>
    <mergeCell ref="E87:E88"/>
    <mergeCell ref="P87:P88"/>
    <mergeCell ref="K89:K90"/>
    <mergeCell ref="O89:O90"/>
    <mergeCell ref="P89:P90"/>
    <mergeCell ref="L87:L88"/>
    <mergeCell ref="L89:L90"/>
    <mergeCell ref="M87:M88"/>
    <mergeCell ref="N87:N88"/>
    <mergeCell ref="M89:M90"/>
    <mergeCell ref="N89:N90"/>
    <mergeCell ref="AL91:AL92"/>
    <mergeCell ref="A93:A94"/>
    <mergeCell ref="B93:B94"/>
    <mergeCell ref="C93:C94"/>
    <mergeCell ref="D93:D94"/>
    <mergeCell ref="E93:E94"/>
    <mergeCell ref="AL93:AL94"/>
    <mergeCell ref="H93:H94"/>
    <mergeCell ref="I93:I94"/>
    <mergeCell ref="J93:J94"/>
    <mergeCell ref="K93:K94"/>
    <mergeCell ref="A91:A92"/>
    <mergeCell ref="B91:B92"/>
    <mergeCell ref="C91:C92"/>
    <mergeCell ref="D91:D92"/>
    <mergeCell ref="E91:E92"/>
    <mergeCell ref="F91:F92"/>
    <mergeCell ref="G91:G92"/>
    <mergeCell ref="H91:H92"/>
    <mergeCell ref="I91:I92"/>
    <mergeCell ref="J91:J92"/>
    <mergeCell ref="K91:K92"/>
    <mergeCell ref="O91:O92"/>
    <mergeCell ref="P91:P92"/>
    <mergeCell ref="A95:A96"/>
    <mergeCell ref="B95:B96"/>
    <mergeCell ref="C95:C96"/>
    <mergeCell ref="D95:D96"/>
    <mergeCell ref="E95:E96"/>
    <mergeCell ref="F95:F96"/>
    <mergeCell ref="G95:G96"/>
    <mergeCell ref="F93:F94"/>
    <mergeCell ref="G93:G94"/>
    <mergeCell ref="I101:I102"/>
    <mergeCell ref="J101:J102"/>
    <mergeCell ref="K101:K102"/>
    <mergeCell ref="AL95:AL96"/>
    <mergeCell ref="A97:A98"/>
    <mergeCell ref="B97:B98"/>
    <mergeCell ref="C97:C98"/>
    <mergeCell ref="D97:D98"/>
    <mergeCell ref="E97:E98"/>
    <mergeCell ref="F97:F98"/>
    <mergeCell ref="G97:G98"/>
    <mergeCell ref="H97:H98"/>
    <mergeCell ref="I97:I98"/>
    <mergeCell ref="H95:H96"/>
    <mergeCell ref="I95:I96"/>
    <mergeCell ref="J95:J96"/>
    <mergeCell ref="K95:K96"/>
    <mergeCell ref="O95:O96"/>
    <mergeCell ref="P95:P96"/>
    <mergeCell ref="J97:J98"/>
    <mergeCell ref="K97:K98"/>
    <mergeCell ref="O97:O98"/>
    <mergeCell ref="P97:P98"/>
    <mergeCell ref="AL97:AL98"/>
    <mergeCell ref="G103:G104"/>
    <mergeCell ref="H103:H104"/>
    <mergeCell ref="I103:I104"/>
    <mergeCell ref="A99:A100"/>
    <mergeCell ref="B99:B100"/>
    <mergeCell ref="C99:C100"/>
    <mergeCell ref="D99:D100"/>
    <mergeCell ref="E99:E100"/>
    <mergeCell ref="AL99:AL100"/>
    <mergeCell ref="A101:A102"/>
    <mergeCell ref="B101:B102"/>
    <mergeCell ref="C101:C102"/>
    <mergeCell ref="D101:D102"/>
    <mergeCell ref="E101:E102"/>
    <mergeCell ref="F101:F102"/>
    <mergeCell ref="G101:G102"/>
    <mergeCell ref="F99:F100"/>
    <mergeCell ref="G99:G100"/>
    <mergeCell ref="H99:H100"/>
    <mergeCell ref="I99:I100"/>
    <mergeCell ref="J99:J100"/>
    <mergeCell ref="K99:K100"/>
    <mergeCell ref="AL101:AL102"/>
    <mergeCell ref="H101:H102"/>
    <mergeCell ref="O101:O102"/>
    <mergeCell ref="P101:P102"/>
    <mergeCell ref="J103:J104"/>
    <mergeCell ref="K103:K104"/>
    <mergeCell ref="O103:O104"/>
    <mergeCell ref="P103:P104"/>
    <mergeCell ref="AL103:AL104"/>
    <mergeCell ref="A105:A106"/>
    <mergeCell ref="B105:B106"/>
    <mergeCell ref="C105:C106"/>
    <mergeCell ref="D105:D106"/>
    <mergeCell ref="E105:E106"/>
    <mergeCell ref="AL105:AL106"/>
    <mergeCell ref="H105:H106"/>
    <mergeCell ref="I105:I106"/>
    <mergeCell ref="J105:J106"/>
    <mergeCell ref="K105:K106"/>
    <mergeCell ref="L105:L106"/>
    <mergeCell ref="A103:A104"/>
    <mergeCell ref="B103:B104"/>
    <mergeCell ref="C103:C104"/>
    <mergeCell ref="D103:D104"/>
    <mergeCell ref="E103:E104"/>
    <mergeCell ref="F103:F104"/>
    <mergeCell ref="A107:A108"/>
    <mergeCell ref="B107:B108"/>
    <mergeCell ref="C107:C108"/>
    <mergeCell ref="D107:D108"/>
    <mergeCell ref="E107:E108"/>
    <mergeCell ref="F107:F108"/>
    <mergeCell ref="G107:G108"/>
    <mergeCell ref="F105:F106"/>
    <mergeCell ref="G105:G106"/>
    <mergeCell ref="AL107:AL108"/>
    <mergeCell ref="A109:A110"/>
    <mergeCell ref="B109:B110"/>
    <mergeCell ref="C109:C110"/>
    <mergeCell ref="D109:D110"/>
    <mergeCell ref="E109:E110"/>
    <mergeCell ref="F109:F110"/>
    <mergeCell ref="G109:G110"/>
    <mergeCell ref="H109:H110"/>
    <mergeCell ref="I109:I110"/>
    <mergeCell ref="H107:H108"/>
    <mergeCell ref="I107:I108"/>
    <mergeCell ref="J107:J108"/>
    <mergeCell ref="K107:K108"/>
    <mergeCell ref="O107:O108"/>
    <mergeCell ref="P107:P108"/>
    <mergeCell ref="J109:J110"/>
    <mergeCell ref="K109:K110"/>
    <mergeCell ref="O109:O110"/>
    <mergeCell ref="P109:P110"/>
    <mergeCell ref="AL109:AL110"/>
    <mergeCell ref="L107:L108"/>
    <mergeCell ref="L109:L110"/>
    <mergeCell ref="M109:M110"/>
    <mergeCell ref="A111:A112"/>
    <mergeCell ref="B111:B112"/>
    <mergeCell ref="C111:C112"/>
    <mergeCell ref="D111:D112"/>
    <mergeCell ref="E111:E112"/>
    <mergeCell ref="AL111:AL112"/>
    <mergeCell ref="A113:A114"/>
    <mergeCell ref="B113:B114"/>
    <mergeCell ref="C113:C114"/>
    <mergeCell ref="D113:D114"/>
    <mergeCell ref="E113:E114"/>
    <mergeCell ref="F113:F114"/>
    <mergeCell ref="G113:G114"/>
    <mergeCell ref="F111:F112"/>
    <mergeCell ref="G111:G112"/>
    <mergeCell ref="H111:H112"/>
    <mergeCell ref="I111:I112"/>
    <mergeCell ref="J111:J112"/>
    <mergeCell ref="K111:K112"/>
    <mergeCell ref="AL113:AL114"/>
    <mergeCell ref="L111:L112"/>
    <mergeCell ref="A116:C116"/>
    <mergeCell ref="H116:L116"/>
    <mergeCell ref="M116:N116"/>
    <mergeCell ref="O116:P116"/>
    <mergeCell ref="M117:P117"/>
    <mergeCell ref="H113:H114"/>
    <mergeCell ref="I113:I114"/>
    <mergeCell ref="J113:J114"/>
    <mergeCell ref="K113:K114"/>
    <mergeCell ref="O113:O114"/>
    <mergeCell ref="P113:P114"/>
    <mergeCell ref="L113:L114"/>
    <mergeCell ref="M139:P139"/>
    <mergeCell ref="A164:C164"/>
    <mergeCell ref="M130:P130"/>
    <mergeCell ref="M131:P131"/>
    <mergeCell ref="M132:P132"/>
    <mergeCell ref="M133:P133"/>
    <mergeCell ref="M134:P134"/>
    <mergeCell ref="M135:P135"/>
    <mergeCell ref="M124:P124"/>
    <mergeCell ref="M125:P125"/>
    <mergeCell ref="M126:P126"/>
    <mergeCell ref="M127:P127"/>
    <mergeCell ref="M128:P128"/>
    <mergeCell ref="M129:P129"/>
    <mergeCell ref="L63:L64"/>
    <mergeCell ref="L65:L66"/>
    <mergeCell ref="M136:P136"/>
    <mergeCell ref="M137:P137"/>
    <mergeCell ref="M138:P138"/>
    <mergeCell ref="M118:P118"/>
    <mergeCell ref="M119:P119"/>
    <mergeCell ref="M120:P120"/>
    <mergeCell ref="M121:P121"/>
    <mergeCell ref="M122:P122"/>
    <mergeCell ref="M123:P123"/>
    <mergeCell ref="O111:O112"/>
    <mergeCell ref="P111:P112"/>
    <mergeCell ref="O105:O106"/>
    <mergeCell ref="P105:P106"/>
    <mergeCell ref="O99:O100"/>
    <mergeCell ref="P99:P100"/>
    <mergeCell ref="O93:O94"/>
    <mergeCell ref="P93:P94"/>
    <mergeCell ref="O87:O88"/>
    <mergeCell ref="L79:L80"/>
    <mergeCell ref="L81:L82"/>
    <mergeCell ref="L83:L84"/>
    <mergeCell ref="L85:L86"/>
    <mergeCell ref="L69:L70"/>
    <mergeCell ref="L71:L72"/>
    <mergeCell ref="L73:L74"/>
    <mergeCell ref="L75:L76"/>
    <mergeCell ref="L77:L78"/>
    <mergeCell ref="L103:L104"/>
    <mergeCell ref="L91:L92"/>
    <mergeCell ref="L93:L94"/>
    <mergeCell ref="L95:L96"/>
    <mergeCell ref="L97:L98"/>
    <mergeCell ref="L99:L100"/>
    <mergeCell ref="L101:L102"/>
    <mergeCell ref="N61:N62"/>
    <mergeCell ref="M63:M64"/>
    <mergeCell ref="N63:N64"/>
    <mergeCell ref="M65:M66"/>
    <mergeCell ref="N65:N66"/>
    <mergeCell ref="M55:M56"/>
    <mergeCell ref="N55:N56"/>
    <mergeCell ref="M57:M58"/>
    <mergeCell ref="N57:N58"/>
    <mergeCell ref="M59:M60"/>
    <mergeCell ref="N59:N60"/>
    <mergeCell ref="M75:M76"/>
    <mergeCell ref="N75:N76"/>
    <mergeCell ref="M77:M78"/>
    <mergeCell ref="N77:N78"/>
    <mergeCell ref="M67:M68"/>
    <mergeCell ref="N67:N68"/>
    <mergeCell ref="M69:M70"/>
    <mergeCell ref="N69:N70"/>
    <mergeCell ref="M71:M72"/>
    <mergeCell ref="N71:N72"/>
    <mergeCell ref="M81:M82"/>
    <mergeCell ref="N81:N82"/>
    <mergeCell ref="M83:M84"/>
    <mergeCell ref="N83:N84"/>
    <mergeCell ref="M99:M100"/>
    <mergeCell ref="N99:N100"/>
    <mergeCell ref="M101:M102"/>
    <mergeCell ref="N101:N102"/>
    <mergeCell ref="M91:M92"/>
    <mergeCell ref="N91:N92"/>
    <mergeCell ref="M93:M94"/>
    <mergeCell ref="N93:N94"/>
    <mergeCell ref="M95:M96"/>
    <mergeCell ref="N95:N96"/>
    <mergeCell ref="M97:M98"/>
    <mergeCell ref="N97:N98"/>
    <mergeCell ref="N109:N110"/>
    <mergeCell ref="M111:M112"/>
    <mergeCell ref="N111:N112"/>
    <mergeCell ref="M113:M114"/>
    <mergeCell ref="N113:N114"/>
    <mergeCell ref="M103:M104"/>
    <mergeCell ref="N103:N104"/>
    <mergeCell ref="M105:M106"/>
    <mergeCell ref="N105:N106"/>
    <mergeCell ref="M107:M108"/>
    <mergeCell ref="N107:N108"/>
  </mergeCells>
  <conditionalFormatting sqref="E9:E12">
    <cfRule type="dataBar" priority="15">
      <dataBar showValue="0">
        <cfvo type="num" val="0"/>
        <cfvo type="num" val="1"/>
        <color rgb="FF00B050"/>
      </dataBar>
      <extLst>
        <ext xmlns:x14="http://schemas.microsoft.com/office/spreadsheetml/2009/9/main" uri="{B025F937-C7B1-47D3-B67F-A62EFF666E3E}">
          <x14:id>{287B8923-1FA3-428A-A00A-1C0310E9817A}</x14:id>
        </ext>
      </extLst>
    </cfRule>
  </conditionalFormatting>
  <conditionalFormatting sqref="R6:R25">
    <cfRule type="cellIs" dxfId="67" priority="1" operator="between">
      <formula>$Q$6</formula>
      <formula>0.01</formula>
    </cfRule>
    <cfRule type="cellIs" dxfId="66" priority="2" operator="greaterThanOrEqual">
      <formula>$Q$6</formula>
    </cfRule>
    <cfRule type="cellIs" dxfId="65" priority="3" operator="equal">
      <formula>0</formula>
    </cfRule>
  </conditionalFormatting>
  <conditionalFormatting sqref="Y6:Y25">
    <cfRule type="cellIs" dxfId="64" priority="14" operator="lessThanOrEqual">
      <formula>0.81</formula>
    </cfRule>
  </conditionalFormatting>
  <conditionalFormatting sqref="AB6:AB25">
    <cfRule type="containsText" dxfId="63" priority="4" operator="containsText" text="FALTA DE ACOMPANHAMENTO">
      <formula>NOT(ISERROR(SEARCH("FALTA DE ACOMPANHAMENTO",AB6)))</formula>
    </cfRule>
    <cfRule type="containsText" dxfId="62" priority="9" operator="containsText" text="Concluído">
      <formula>NOT(ISERROR(SEARCH("Concluído",AB6)))</formula>
    </cfRule>
    <cfRule type="containsText" dxfId="61" priority="10" operator="containsText" text="Conforme Planejado">
      <formula>NOT(ISERROR(SEARCH("Conforme Planejado",AB6)))</formula>
    </cfRule>
    <cfRule type="containsText" dxfId="60" priority="11" operator="containsText" text="PROJETO NÃO INICIADO">
      <formula>NOT(ISERROR(SEARCH("PROJETO NÃO INICIADO",AB6)))</formula>
    </cfRule>
    <cfRule type="containsText" dxfId="59" priority="12" operator="containsText" text="Atraso">
      <formula>NOT(ISERROR(SEARCH("Atraso",AB6)))</formula>
    </cfRule>
  </conditionalFormatting>
  <conditionalFormatting sqref="AD6:AD25">
    <cfRule type="containsText" dxfId="58" priority="5" operator="containsText" text="Concluído">
      <formula>NOT(ISERROR(SEARCH("Concluído",AD6)))</formula>
    </cfRule>
    <cfRule type="containsText" dxfId="57" priority="6" operator="containsText" text="Conforme Planejado">
      <formula>NOT(ISERROR(SEARCH("Conforme Planejado",AD6)))</formula>
    </cfRule>
    <cfRule type="containsText" dxfId="56" priority="7" operator="containsText" text="FALTA PLANEJAMENTO">
      <formula>NOT(ISERROR(SEARCH("FALTA PLANEJAMENTO",AD6)))</formula>
    </cfRule>
    <cfRule type="containsText" dxfId="55" priority="8" operator="containsText" text="Atraso">
      <formula>NOT(ISERROR(SEARCH("Atraso",AD6)))</formula>
    </cfRule>
  </conditionalFormatting>
  <dataValidations count="2">
    <dataValidation type="list" allowBlank="1" showInputMessage="1" showErrorMessage="1" sqref="D117:D163" xr:uid="{7210E48B-63F6-40DF-A6CB-D24BFE75AF56}">
      <formula1>"1,2,3"</formula1>
    </dataValidation>
    <dataValidation type="list" allowBlank="1" showInputMessage="1" showErrorMessage="1" sqref="L55:L60 L63:L64" xr:uid="{971C106F-8EDE-4BA6-926E-0F87B4E99145}">
      <formula1>$L$13:$L$17</formula1>
    </dataValidation>
  </dataValidations>
  <hyperlinks>
    <hyperlink ref="A59:A60" r:id="rId1" display="Kaizen" xr:uid="{55ECF97E-A3B0-473D-99CB-2305E8CC9EB1}"/>
    <hyperlink ref="A55:A56" r:id="rId2" display="Kaizen" xr:uid="{C4320E5D-14C6-434A-A657-961777BF4E0C}"/>
    <hyperlink ref="H126" r:id="rId3" xr:uid="{57FA0120-B096-4F7C-8619-0782728E7228}"/>
    <hyperlink ref="H127" r:id="rId4" xr:uid="{E52A86C6-DDBB-47AA-BBC7-BD0C37985888}"/>
    <hyperlink ref="C55" r:id="rId5" xr:uid="{72BDB7CD-0912-46E0-9CD4-FD801AE5F538}"/>
    <hyperlink ref="C57" r:id="rId6" xr:uid="{D0FC98B0-64E1-40B8-85F5-C7318DF4E55A}"/>
    <hyperlink ref="C59" r:id="rId7" xr:uid="{57FBB2B7-BE0B-4D16-81A4-E1F429B46C0F}"/>
    <hyperlink ref="C61" r:id="rId8" xr:uid="{61A116C8-F340-42B7-9280-DB41A1E1BD64}"/>
    <hyperlink ref="C69" r:id="rId9" xr:uid="{75C17F0A-09FA-429A-874D-ABDA863C46E3}"/>
    <hyperlink ref="C77" r:id="rId10" xr:uid="{BECAF3D6-6AD3-4743-8794-FF1AD2793823}"/>
    <hyperlink ref="C65" r:id="rId11" xr:uid="{2ABE4EAD-1CA5-4BC1-8E52-3DAA57531221}"/>
    <hyperlink ref="C63" r:id="rId12" xr:uid="{4898BD3E-24CC-498B-9910-B5128F7F7791}"/>
    <hyperlink ref="H118" r:id="rId13" xr:uid="{3C4866DE-74E0-4BD9-AE0F-E509F2B63AA9}"/>
    <hyperlink ref="H119" r:id="rId14" xr:uid="{775B490A-F517-41B0-A035-A0A864B2DBA8}"/>
    <hyperlink ref="H125" r:id="rId15" xr:uid="{E3C57CB7-178B-4377-9F55-AFDB40A5BD21}"/>
  </hyperlinks>
  <pageMargins left="0.75" right="0.75" top="1" bottom="1" header="0.5" footer="0.5"/>
  <drawing r:id="rId16"/>
  <legacyDrawing r:id="rId17"/>
  <mc:AlternateContent xmlns:mc="http://schemas.openxmlformats.org/markup-compatibility/2006">
    <mc:Choice Requires="x14">
      <controls>
        <mc:AlternateContent xmlns:mc="http://schemas.openxmlformats.org/markup-compatibility/2006">
          <mc:Choice Requires="x14">
            <control shapeId="17409" r:id="rId18" name="Check Box 1">
              <controlPr defaultSize="0" autoFill="0" autoLine="0" autoPict="0">
                <anchor moveWithCells="1">
                  <from>
                    <xdr:col>8</xdr:col>
                    <xdr:colOff>0</xdr:colOff>
                    <xdr:row>54</xdr:row>
                    <xdr:rowOff>30480</xdr:rowOff>
                  </from>
                  <to>
                    <xdr:col>9</xdr:col>
                    <xdr:colOff>0</xdr:colOff>
                    <xdr:row>54</xdr:row>
                    <xdr:rowOff>220980</xdr:rowOff>
                  </to>
                </anchor>
              </controlPr>
            </control>
          </mc:Choice>
        </mc:AlternateContent>
        <mc:AlternateContent xmlns:mc="http://schemas.openxmlformats.org/markup-compatibility/2006">
          <mc:Choice Requires="x14">
            <control shapeId="17410" r:id="rId19" name="Check Box 2">
              <controlPr defaultSize="0" autoFill="0" autoLine="0" autoPict="0">
                <anchor moveWithCells="1">
                  <from>
                    <xdr:col>8</xdr:col>
                    <xdr:colOff>0</xdr:colOff>
                    <xdr:row>54</xdr:row>
                    <xdr:rowOff>259080</xdr:rowOff>
                  </from>
                  <to>
                    <xdr:col>9</xdr:col>
                    <xdr:colOff>0</xdr:colOff>
                    <xdr:row>55</xdr:row>
                    <xdr:rowOff>106680</xdr:rowOff>
                  </to>
                </anchor>
              </controlPr>
            </control>
          </mc:Choice>
        </mc:AlternateContent>
        <mc:AlternateContent xmlns:mc="http://schemas.openxmlformats.org/markup-compatibility/2006">
          <mc:Choice Requires="x14">
            <control shapeId="17411" r:id="rId20" name="Check Box 3">
              <controlPr defaultSize="0" autoFill="0" autoLine="0" autoPict="0">
                <anchor moveWithCells="1">
                  <from>
                    <xdr:col>8</xdr:col>
                    <xdr:colOff>0</xdr:colOff>
                    <xdr:row>55</xdr:row>
                    <xdr:rowOff>106680</xdr:rowOff>
                  </from>
                  <to>
                    <xdr:col>9</xdr:col>
                    <xdr:colOff>0</xdr:colOff>
                    <xdr:row>55</xdr:row>
                    <xdr:rowOff>297180</xdr:rowOff>
                  </to>
                </anchor>
              </controlPr>
            </control>
          </mc:Choice>
        </mc:AlternateContent>
        <mc:AlternateContent xmlns:mc="http://schemas.openxmlformats.org/markup-compatibility/2006">
          <mc:Choice Requires="x14">
            <control shapeId="17412" r:id="rId21" name="Check Box 4">
              <controlPr defaultSize="0" autoFill="0" autoLine="0" autoPict="0">
                <anchor moveWithCells="1">
                  <from>
                    <xdr:col>8</xdr:col>
                    <xdr:colOff>0</xdr:colOff>
                    <xdr:row>56</xdr:row>
                    <xdr:rowOff>30480</xdr:rowOff>
                  </from>
                  <to>
                    <xdr:col>9</xdr:col>
                    <xdr:colOff>0</xdr:colOff>
                    <xdr:row>56</xdr:row>
                    <xdr:rowOff>220980</xdr:rowOff>
                  </to>
                </anchor>
              </controlPr>
            </control>
          </mc:Choice>
        </mc:AlternateContent>
        <mc:AlternateContent xmlns:mc="http://schemas.openxmlformats.org/markup-compatibility/2006">
          <mc:Choice Requires="x14">
            <control shapeId="17413" r:id="rId22" name="Check Box 5">
              <controlPr defaultSize="0" autoFill="0" autoLine="0" autoPict="0">
                <anchor moveWithCells="1">
                  <from>
                    <xdr:col>8</xdr:col>
                    <xdr:colOff>0</xdr:colOff>
                    <xdr:row>56</xdr:row>
                    <xdr:rowOff>259080</xdr:rowOff>
                  </from>
                  <to>
                    <xdr:col>9</xdr:col>
                    <xdr:colOff>0</xdr:colOff>
                    <xdr:row>57</xdr:row>
                    <xdr:rowOff>106680</xdr:rowOff>
                  </to>
                </anchor>
              </controlPr>
            </control>
          </mc:Choice>
        </mc:AlternateContent>
        <mc:AlternateContent xmlns:mc="http://schemas.openxmlformats.org/markup-compatibility/2006">
          <mc:Choice Requires="x14">
            <control shapeId="17414" r:id="rId23" name="Check Box 6">
              <controlPr defaultSize="0" autoFill="0" autoLine="0" autoPict="0">
                <anchor moveWithCells="1">
                  <from>
                    <xdr:col>8</xdr:col>
                    <xdr:colOff>0</xdr:colOff>
                    <xdr:row>57</xdr:row>
                    <xdr:rowOff>106680</xdr:rowOff>
                  </from>
                  <to>
                    <xdr:col>9</xdr:col>
                    <xdr:colOff>0</xdr:colOff>
                    <xdr:row>57</xdr:row>
                    <xdr:rowOff>297180</xdr:rowOff>
                  </to>
                </anchor>
              </controlPr>
            </control>
          </mc:Choice>
        </mc:AlternateContent>
        <mc:AlternateContent xmlns:mc="http://schemas.openxmlformats.org/markup-compatibility/2006">
          <mc:Choice Requires="x14">
            <control shapeId="17415" r:id="rId24" name="Check Box 7">
              <controlPr defaultSize="0" autoFill="0" autoLine="0" autoPict="0">
                <anchor moveWithCells="1">
                  <from>
                    <xdr:col>8</xdr:col>
                    <xdr:colOff>0</xdr:colOff>
                    <xdr:row>58</xdr:row>
                    <xdr:rowOff>30480</xdr:rowOff>
                  </from>
                  <to>
                    <xdr:col>9</xdr:col>
                    <xdr:colOff>0</xdr:colOff>
                    <xdr:row>58</xdr:row>
                    <xdr:rowOff>220980</xdr:rowOff>
                  </to>
                </anchor>
              </controlPr>
            </control>
          </mc:Choice>
        </mc:AlternateContent>
        <mc:AlternateContent xmlns:mc="http://schemas.openxmlformats.org/markup-compatibility/2006">
          <mc:Choice Requires="x14">
            <control shapeId="17416" r:id="rId25" name="Check Box 8">
              <controlPr defaultSize="0" autoFill="0" autoLine="0" autoPict="0">
                <anchor moveWithCells="1">
                  <from>
                    <xdr:col>8</xdr:col>
                    <xdr:colOff>0</xdr:colOff>
                    <xdr:row>58</xdr:row>
                    <xdr:rowOff>259080</xdr:rowOff>
                  </from>
                  <to>
                    <xdr:col>9</xdr:col>
                    <xdr:colOff>0</xdr:colOff>
                    <xdr:row>59</xdr:row>
                    <xdr:rowOff>106680</xdr:rowOff>
                  </to>
                </anchor>
              </controlPr>
            </control>
          </mc:Choice>
        </mc:AlternateContent>
        <mc:AlternateContent xmlns:mc="http://schemas.openxmlformats.org/markup-compatibility/2006">
          <mc:Choice Requires="x14">
            <control shapeId="17417" r:id="rId26" name="Check Box 9">
              <controlPr defaultSize="0" autoFill="0" autoLine="0" autoPict="0">
                <anchor moveWithCells="1">
                  <from>
                    <xdr:col>8</xdr:col>
                    <xdr:colOff>0</xdr:colOff>
                    <xdr:row>59</xdr:row>
                    <xdr:rowOff>106680</xdr:rowOff>
                  </from>
                  <to>
                    <xdr:col>9</xdr:col>
                    <xdr:colOff>0</xdr:colOff>
                    <xdr:row>59</xdr:row>
                    <xdr:rowOff>297180</xdr:rowOff>
                  </to>
                </anchor>
              </controlPr>
            </control>
          </mc:Choice>
        </mc:AlternateContent>
        <mc:AlternateContent xmlns:mc="http://schemas.openxmlformats.org/markup-compatibility/2006">
          <mc:Choice Requires="x14">
            <control shapeId="17418" r:id="rId27" name="Check Box 10">
              <controlPr defaultSize="0" autoFill="0" autoLine="0" autoPict="0">
                <anchor moveWithCells="1">
                  <from>
                    <xdr:col>8</xdr:col>
                    <xdr:colOff>0</xdr:colOff>
                    <xdr:row>60</xdr:row>
                    <xdr:rowOff>259080</xdr:rowOff>
                  </from>
                  <to>
                    <xdr:col>9</xdr:col>
                    <xdr:colOff>0</xdr:colOff>
                    <xdr:row>61</xdr:row>
                    <xdr:rowOff>106680</xdr:rowOff>
                  </to>
                </anchor>
              </controlPr>
            </control>
          </mc:Choice>
        </mc:AlternateContent>
        <mc:AlternateContent xmlns:mc="http://schemas.openxmlformats.org/markup-compatibility/2006">
          <mc:Choice Requires="x14">
            <control shapeId="17419" r:id="rId28" name="Check Box 11">
              <controlPr defaultSize="0" autoFill="0" autoLine="0" autoPict="0">
                <anchor moveWithCells="1">
                  <from>
                    <xdr:col>8</xdr:col>
                    <xdr:colOff>0</xdr:colOff>
                    <xdr:row>61</xdr:row>
                    <xdr:rowOff>106680</xdr:rowOff>
                  </from>
                  <to>
                    <xdr:col>9</xdr:col>
                    <xdr:colOff>0</xdr:colOff>
                    <xdr:row>61</xdr:row>
                    <xdr:rowOff>297180</xdr:rowOff>
                  </to>
                </anchor>
              </controlPr>
            </control>
          </mc:Choice>
        </mc:AlternateContent>
        <mc:AlternateContent xmlns:mc="http://schemas.openxmlformats.org/markup-compatibility/2006">
          <mc:Choice Requires="x14">
            <control shapeId="17420" r:id="rId29" name="Check Box 12">
              <controlPr defaultSize="0" autoFill="0" autoLine="0" autoPict="0">
                <anchor moveWithCells="1">
                  <from>
                    <xdr:col>8</xdr:col>
                    <xdr:colOff>0</xdr:colOff>
                    <xdr:row>62</xdr:row>
                    <xdr:rowOff>259080</xdr:rowOff>
                  </from>
                  <to>
                    <xdr:col>9</xdr:col>
                    <xdr:colOff>0</xdr:colOff>
                    <xdr:row>63</xdr:row>
                    <xdr:rowOff>106680</xdr:rowOff>
                  </to>
                </anchor>
              </controlPr>
            </control>
          </mc:Choice>
        </mc:AlternateContent>
        <mc:AlternateContent xmlns:mc="http://schemas.openxmlformats.org/markup-compatibility/2006">
          <mc:Choice Requires="x14">
            <control shapeId="17421" r:id="rId30" name="Check Box 13">
              <controlPr defaultSize="0" autoFill="0" autoLine="0" autoPict="0">
                <anchor moveWithCells="1">
                  <from>
                    <xdr:col>8</xdr:col>
                    <xdr:colOff>0</xdr:colOff>
                    <xdr:row>63</xdr:row>
                    <xdr:rowOff>106680</xdr:rowOff>
                  </from>
                  <to>
                    <xdr:col>9</xdr:col>
                    <xdr:colOff>0</xdr:colOff>
                    <xdr:row>63</xdr:row>
                    <xdr:rowOff>297180</xdr:rowOff>
                  </to>
                </anchor>
              </controlPr>
            </control>
          </mc:Choice>
        </mc:AlternateContent>
        <mc:AlternateContent xmlns:mc="http://schemas.openxmlformats.org/markup-compatibility/2006">
          <mc:Choice Requires="x14">
            <control shapeId="17422" r:id="rId31" name="Check Box 14">
              <controlPr defaultSize="0" autoFill="0" autoLine="0" autoPict="0">
                <anchor moveWithCells="1">
                  <from>
                    <xdr:col>8</xdr:col>
                    <xdr:colOff>0</xdr:colOff>
                    <xdr:row>64</xdr:row>
                    <xdr:rowOff>259080</xdr:rowOff>
                  </from>
                  <to>
                    <xdr:col>9</xdr:col>
                    <xdr:colOff>0</xdr:colOff>
                    <xdr:row>65</xdr:row>
                    <xdr:rowOff>106680</xdr:rowOff>
                  </to>
                </anchor>
              </controlPr>
            </control>
          </mc:Choice>
        </mc:AlternateContent>
        <mc:AlternateContent xmlns:mc="http://schemas.openxmlformats.org/markup-compatibility/2006">
          <mc:Choice Requires="x14">
            <control shapeId="17423" r:id="rId32" name="Check Box 15">
              <controlPr defaultSize="0" autoFill="0" autoLine="0" autoPict="0">
                <anchor moveWithCells="1">
                  <from>
                    <xdr:col>8</xdr:col>
                    <xdr:colOff>0</xdr:colOff>
                    <xdr:row>65</xdr:row>
                    <xdr:rowOff>106680</xdr:rowOff>
                  </from>
                  <to>
                    <xdr:col>9</xdr:col>
                    <xdr:colOff>0</xdr:colOff>
                    <xdr:row>65</xdr:row>
                    <xdr:rowOff>297180</xdr:rowOff>
                  </to>
                </anchor>
              </controlPr>
            </control>
          </mc:Choice>
        </mc:AlternateContent>
        <mc:AlternateContent xmlns:mc="http://schemas.openxmlformats.org/markup-compatibility/2006">
          <mc:Choice Requires="x14">
            <control shapeId="17424" r:id="rId33" name="Check Box 16">
              <controlPr defaultSize="0" autoFill="0" autoLine="0" autoPict="0">
                <anchor moveWithCells="1">
                  <from>
                    <xdr:col>8</xdr:col>
                    <xdr:colOff>0</xdr:colOff>
                    <xdr:row>66</xdr:row>
                    <xdr:rowOff>259080</xdr:rowOff>
                  </from>
                  <to>
                    <xdr:col>9</xdr:col>
                    <xdr:colOff>0</xdr:colOff>
                    <xdr:row>67</xdr:row>
                    <xdr:rowOff>106680</xdr:rowOff>
                  </to>
                </anchor>
              </controlPr>
            </control>
          </mc:Choice>
        </mc:AlternateContent>
        <mc:AlternateContent xmlns:mc="http://schemas.openxmlformats.org/markup-compatibility/2006">
          <mc:Choice Requires="x14">
            <control shapeId="17425" r:id="rId34" name="Check Box 17">
              <controlPr defaultSize="0" autoFill="0" autoLine="0" autoPict="0">
                <anchor moveWithCells="1">
                  <from>
                    <xdr:col>8</xdr:col>
                    <xdr:colOff>0</xdr:colOff>
                    <xdr:row>67</xdr:row>
                    <xdr:rowOff>106680</xdr:rowOff>
                  </from>
                  <to>
                    <xdr:col>9</xdr:col>
                    <xdr:colOff>0</xdr:colOff>
                    <xdr:row>67</xdr:row>
                    <xdr:rowOff>297180</xdr:rowOff>
                  </to>
                </anchor>
              </controlPr>
            </control>
          </mc:Choice>
        </mc:AlternateContent>
        <mc:AlternateContent xmlns:mc="http://schemas.openxmlformats.org/markup-compatibility/2006">
          <mc:Choice Requires="x14">
            <control shapeId="17426" r:id="rId35" name="Check Box 18">
              <controlPr defaultSize="0" autoFill="0" autoLine="0" autoPict="0">
                <anchor moveWithCells="1">
                  <from>
                    <xdr:col>8</xdr:col>
                    <xdr:colOff>0</xdr:colOff>
                    <xdr:row>68</xdr:row>
                    <xdr:rowOff>259080</xdr:rowOff>
                  </from>
                  <to>
                    <xdr:col>9</xdr:col>
                    <xdr:colOff>0</xdr:colOff>
                    <xdr:row>69</xdr:row>
                    <xdr:rowOff>106680</xdr:rowOff>
                  </to>
                </anchor>
              </controlPr>
            </control>
          </mc:Choice>
        </mc:AlternateContent>
        <mc:AlternateContent xmlns:mc="http://schemas.openxmlformats.org/markup-compatibility/2006">
          <mc:Choice Requires="x14">
            <control shapeId="17427" r:id="rId36" name="Check Box 19">
              <controlPr defaultSize="0" autoFill="0" autoLine="0" autoPict="0">
                <anchor moveWithCells="1">
                  <from>
                    <xdr:col>8</xdr:col>
                    <xdr:colOff>0</xdr:colOff>
                    <xdr:row>69</xdr:row>
                    <xdr:rowOff>106680</xdr:rowOff>
                  </from>
                  <to>
                    <xdr:col>9</xdr:col>
                    <xdr:colOff>0</xdr:colOff>
                    <xdr:row>69</xdr:row>
                    <xdr:rowOff>297180</xdr:rowOff>
                  </to>
                </anchor>
              </controlPr>
            </control>
          </mc:Choice>
        </mc:AlternateContent>
        <mc:AlternateContent xmlns:mc="http://schemas.openxmlformats.org/markup-compatibility/2006">
          <mc:Choice Requires="x14">
            <control shapeId="17428" r:id="rId37" name="Check Box 20">
              <controlPr defaultSize="0" autoFill="0" autoLine="0" autoPict="0">
                <anchor moveWithCells="1">
                  <from>
                    <xdr:col>8</xdr:col>
                    <xdr:colOff>0</xdr:colOff>
                    <xdr:row>70</xdr:row>
                    <xdr:rowOff>259080</xdr:rowOff>
                  </from>
                  <to>
                    <xdr:col>9</xdr:col>
                    <xdr:colOff>0</xdr:colOff>
                    <xdr:row>71</xdr:row>
                    <xdr:rowOff>106680</xdr:rowOff>
                  </to>
                </anchor>
              </controlPr>
            </control>
          </mc:Choice>
        </mc:AlternateContent>
        <mc:AlternateContent xmlns:mc="http://schemas.openxmlformats.org/markup-compatibility/2006">
          <mc:Choice Requires="x14">
            <control shapeId="17429" r:id="rId38" name="Check Box 21">
              <controlPr defaultSize="0" autoFill="0" autoLine="0" autoPict="0">
                <anchor moveWithCells="1">
                  <from>
                    <xdr:col>8</xdr:col>
                    <xdr:colOff>0</xdr:colOff>
                    <xdr:row>71</xdr:row>
                    <xdr:rowOff>106680</xdr:rowOff>
                  </from>
                  <to>
                    <xdr:col>9</xdr:col>
                    <xdr:colOff>0</xdr:colOff>
                    <xdr:row>71</xdr:row>
                    <xdr:rowOff>297180</xdr:rowOff>
                  </to>
                </anchor>
              </controlPr>
            </control>
          </mc:Choice>
        </mc:AlternateContent>
        <mc:AlternateContent xmlns:mc="http://schemas.openxmlformats.org/markup-compatibility/2006">
          <mc:Choice Requires="x14">
            <control shapeId="17430" r:id="rId39" name="Check Box 22">
              <controlPr defaultSize="0" autoFill="0" autoLine="0" autoPict="0">
                <anchor moveWithCells="1">
                  <from>
                    <xdr:col>8</xdr:col>
                    <xdr:colOff>0</xdr:colOff>
                    <xdr:row>72</xdr:row>
                    <xdr:rowOff>259080</xdr:rowOff>
                  </from>
                  <to>
                    <xdr:col>9</xdr:col>
                    <xdr:colOff>0</xdr:colOff>
                    <xdr:row>73</xdr:row>
                    <xdr:rowOff>106680</xdr:rowOff>
                  </to>
                </anchor>
              </controlPr>
            </control>
          </mc:Choice>
        </mc:AlternateContent>
        <mc:AlternateContent xmlns:mc="http://schemas.openxmlformats.org/markup-compatibility/2006">
          <mc:Choice Requires="x14">
            <control shapeId="17431" r:id="rId40" name="Check Box 23">
              <controlPr defaultSize="0" autoFill="0" autoLine="0" autoPict="0">
                <anchor moveWithCells="1">
                  <from>
                    <xdr:col>8</xdr:col>
                    <xdr:colOff>0</xdr:colOff>
                    <xdr:row>73</xdr:row>
                    <xdr:rowOff>106680</xdr:rowOff>
                  </from>
                  <to>
                    <xdr:col>9</xdr:col>
                    <xdr:colOff>0</xdr:colOff>
                    <xdr:row>73</xdr:row>
                    <xdr:rowOff>297180</xdr:rowOff>
                  </to>
                </anchor>
              </controlPr>
            </control>
          </mc:Choice>
        </mc:AlternateContent>
        <mc:AlternateContent xmlns:mc="http://schemas.openxmlformats.org/markup-compatibility/2006">
          <mc:Choice Requires="x14">
            <control shapeId="17432" r:id="rId41" name="Check Box 24">
              <controlPr defaultSize="0" autoFill="0" autoLine="0" autoPict="0">
                <anchor moveWithCells="1">
                  <from>
                    <xdr:col>8</xdr:col>
                    <xdr:colOff>0</xdr:colOff>
                    <xdr:row>74</xdr:row>
                    <xdr:rowOff>259080</xdr:rowOff>
                  </from>
                  <to>
                    <xdr:col>9</xdr:col>
                    <xdr:colOff>0</xdr:colOff>
                    <xdr:row>75</xdr:row>
                    <xdr:rowOff>106680</xdr:rowOff>
                  </to>
                </anchor>
              </controlPr>
            </control>
          </mc:Choice>
        </mc:AlternateContent>
        <mc:AlternateContent xmlns:mc="http://schemas.openxmlformats.org/markup-compatibility/2006">
          <mc:Choice Requires="x14">
            <control shapeId="17433" r:id="rId42" name="Check Box 25">
              <controlPr defaultSize="0" autoFill="0" autoLine="0" autoPict="0">
                <anchor moveWithCells="1">
                  <from>
                    <xdr:col>8</xdr:col>
                    <xdr:colOff>0</xdr:colOff>
                    <xdr:row>75</xdr:row>
                    <xdr:rowOff>106680</xdr:rowOff>
                  </from>
                  <to>
                    <xdr:col>9</xdr:col>
                    <xdr:colOff>0</xdr:colOff>
                    <xdr:row>75</xdr:row>
                    <xdr:rowOff>297180</xdr:rowOff>
                  </to>
                </anchor>
              </controlPr>
            </control>
          </mc:Choice>
        </mc:AlternateContent>
        <mc:AlternateContent xmlns:mc="http://schemas.openxmlformats.org/markup-compatibility/2006">
          <mc:Choice Requires="x14">
            <control shapeId="17434" r:id="rId43" name="Check Box 26">
              <controlPr defaultSize="0" autoFill="0" autoLine="0" autoPict="0">
                <anchor moveWithCells="1">
                  <from>
                    <xdr:col>8</xdr:col>
                    <xdr:colOff>0</xdr:colOff>
                    <xdr:row>76</xdr:row>
                    <xdr:rowOff>259080</xdr:rowOff>
                  </from>
                  <to>
                    <xdr:col>9</xdr:col>
                    <xdr:colOff>0</xdr:colOff>
                    <xdr:row>77</xdr:row>
                    <xdr:rowOff>106680</xdr:rowOff>
                  </to>
                </anchor>
              </controlPr>
            </control>
          </mc:Choice>
        </mc:AlternateContent>
        <mc:AlternateContent xmlns:mc="http://schemas.openxmlformats.org/markup-compatibility/2006">
          <mc:Choice Requires="x14">
            <control shapeId="17435" r:id="rId44" name="Check Box 27">
              <controlPr defaultSize="0" autoFill="0" autoLine="0" autoPict="0">
                <anchor moveWithCells="1">
                  <from>
                    <xdr:col>8</xdr:col>
                    <xdr:colOff>0</xdr:colOff>
                    <xdr:row>77</xdr:row>
                    <xdr:rowOff>106680</xdr:rowOff>
                  </from>
                  <to>
                    <xdr:col>9</xdr:col>
                    <xdr:colOff>0</xdr:colOff>
                    <xdr:row>77</xdr:row>
                    <xdr:rowOff>297180</xdr:rowOff>
                  </to>
                </anchor>
              </controlPr>
            </control>
          </mc:Choice>
        </mc:AlternateContent>
        <mc:AlternateContent xmlns:mc="http://schemas.openxmlformats.org/markup-compatibility/2006">
          <mc:Choice Requires="x14">
            <control shapeId="17436" r:id="rId45" name="Check Box 28">
              <controlPr defaultSize="0" autoFill="0" autoLine="0" autoPict="0">
                <anchor moveWithCells="1">
                  <from>
                    <xdr:col>8</xdr:col>
                    <xdr:colOff>0</xdr:colOff>
                    <xdr:row>78</xdr:row>
                    <xdr:rowOff>30480</xdr:rowOff>
                  </from>
                  <to>
                    <xdr:col>9</xdr:col>
                    <xdr:colOff>0</xdr:colOff>
                    <xdr:row>78</xdr:row>
                    <xdr:rowOff>220980</xdr:rowOff>
                  </to>
                </anchor>
              </controlPr>
            </control>
          </mc:Choice>
        </mc:AlternateContent>
        <mc:AlternateContent xmlns:mc="http://schemas.openxmlformats.org/markup-compatibility/2006">
          <mc:Choice Requires="x14">
            <control shapeId="17437" r:id="rId46" name="Check Box 29">
              <controlPr defaultSize="0" autoFill="0" autoLine="0" autoPict="0">
                <anchor moveWithCells="1">
                  <from>
                    <xdr:col>8</xdr:col>
                    <xdr:colOff>0</xdr:colOff>
                    <xdr:row>78</xdr:row>
                    <xdr:rowOff>259080</xdr:rowOff>
                  </from>
                  <to>
                    <xdr:col>9</xdr:col>
                    <xdr:colOff>0</xdr:colOff>
                    <xdr:row>79</xdr:row>
                    <xdr:rowOff>106680</xdr:rowOff>
                  </to>
                </anchor>
              </controlPr>
            </control>
          </mc:Choice>
        </mc:AlternateContent>
        <mc:AlternateContent xmlns:mc="http://schemas.openxmlformats.org/markup-compatibility/2006">
          <mc:Choice Requires="x14">
            <control shapeId="17438" r:id="rId47" name="Check Box 30">
              <controlPr defaultSize="0" autoFill="0" autoLine="0" autoPict="0">
                <anchor moveWithCells="1">
                  <from>
                    <xdr:col>8</xdr:col>
                    <xdr:colOff>0</xdr:colOff>
                    <xdr:row>79</xdr:row>
                    <xdr:rowOff>106680</xdr:rowOff>
                  </from>
                  <to>
                    <xdr:col>9</xdr:col>
                    <xdr:colOff>0</xdr:colOff>
                    <xdr:row>79</xdr:row>
                    <xdr:rowOff>297180</xdr:rowOff>
                  </to>
                </anchor>
              </controlPr>
            </control>
          </mc:Choice>
        </mc:AlternateContent>
        <mc:AlternateContent xmlns:mc="http://schemas.openxmlformats.org/markup-compatibility/2006">
          <mc:Choice Requires="x14">
            <control shapeId="17439" r:id="rId48" name="Check Box 31">
              <controlPr defaultSize="0" autoFill="0" autoLine="0" autoPict="0">
                <anchor moveWithCells="1">
                  <from>
                    <xdr:col>8</xdr:col>
                    <xdr:colOff>0</xdr:colOff>
                    <xdr:row>80</xdr:row>
                    <xdr:rowOff>259080</xdr:rowOff>
                  </from>
                  <to>
                    <xdr:col>9</xdr:col>
                    <xdr:colOff>0</xdr:colOff>
                    <xdr:row>81</xdr:row>
                    <xdr:rowOff>106680</xdr:rowOff>
                  </to>
                </anchor>
              </controlPr>
            </control>
          </mc:Choice>
        </mc:AlternateContent>
        <mc:AlternateContent xmlns:mc="http://schemas.openxmlformats.org/markup-compatibility/2006">
          <mc:Choice Requires="x14">
            <control shapeId="17440" r:id="rId49" name="Check Box 32">
              <controlPr defaultSize="0" autoFill="0" autoLine="0" autoPict="0">
                <anchor moveWithCells="1">
                  <from>
                    <xdr:col>8</xdr:col>
                    <xdr:colOff>0</xdr:colOff>
                    <xdr:row>81</xdr:row>
                    <xdr:rowOff>106680</xdr:rowOff>
                  </from>
                  <to>
                    <xdr:col>9</xdr:col>
                    <xdr:colOff>0</xdr:colOff>
                    <xdr:row>81</xdr:row>
                    <xdr:rowOff>297180</xdr:rowOff>
                  </to>
                </anchor>
              </controlPr>
            </control>
          </mc:Choice>
        </mc:AlternateContent>
        <mc:AlternateContent xmlns:mc="http://schemas.openxmlformats.org/markup-compatibility/2006">
          <mc:Choice Requires="x14">
            <control shapeId="17441" r:id="rId50" name="Check Box 33">
              <controlPr defaultSize="0" autoFill="0" autoLine="0" autoPict="0">
                <anchor moveWithCells="1">
                  <from>
                    <xdr:col>8</xdr:col>
                    <xdr:colOff>0</xdr:colOff>
                    <xdr:row>82</xdr:row>
                    <xdr:rowOff>259080</xdr:rowOff>
                  </from>
                  <to>
                    <xdr:col>9</xdr:col>
                    <xdr:colOff>0</xdr:colOff>
                    <xdr:row>83</xdr:row>
                    <xdr:rowOff>106680</xdr:rowOff>
                  </to>
                </anchor>
              </controlPr>
            </control>
          </mc:Choice>
        </mc:AlternateContent>
        <mc:AlternateContent xmlns:mc="http://schemas.openxmlformats.org/markup-compatibility/2006">
          <mc:Choice Requires="x14">
            <control shapeId="17442" r:id="rId51" name="Check Box 34">
              <controlPr defaultSize="0" autoFill="0" autoLine="0" autoPict="0">
                <anchor moveWithCells="1">
                  <from>
                    <xdr:col>8</xdr:col>
                    <xdr:colOff>0</xdr:colOff>
                    <xdr:row>83</xdr:row>
                    <xdr:rowOff>106680</xdr:rowOff>
                  </from>
                  <to>
                    <xdr:col>9</xdr:col>
                    <xdr:colOff>0</xdr:colOff>
                    <xdr:row>83</xdr:row>
                    <xdr:rowOff>297180</xdr:rowOff>
                  </to>
                </anchor>
              </controlPr>
            </control>
          </mc:Choice>
        </mc:AlternateContent>
        <mc:AlternateContent xmlns:mc="http://schemas.openxmlformats.org/markup-compatibility/2006">
          <mc:Choice Requires="x14">
            <control shapeId="17443" r:id="rId52" name="Check Box 35">
              <controlPr defaultSize="0" autoFill="0" autoLine="0" autoPict="0">
                <anchor moveWithCells="1">
                  <from>
                    <xdr:col>8</xdr:col>
                    <xdr:colOff>0</xdr:colOff>
                    <xdr:row>84</xdr:row>
                    <xdr:rowOff>259080</xdr:rowOff>
                  </from>
                  <to>
                    <xdr:col>9</xdr:col>
                    <xdr:colOff>0</xdr:colOff>
                    <xdr:row>85</xdr:row>
                    <xdr:rowOff>68580</xdr:rowOff>
                  </to>
                </anchor>
              </controlPr>
            </control>
          </mc:Choice>
        </mc:AlternateContent>
        <mc:AlternateContent xmlns:mc="http://schemas.openxmlformats.org/markup-compatibility/2006">
          <mc:Choice Requires="x14">
            <control shapeId="17444" r:id="rId53" name="Check Box 36">
              <controlPr defaultSize="0" autoFill="0" autoLine="0" autoPict="0">
                <anchor moveWithCells="1">
                  <from>
                    <xdr:col>8</xdr:col>
                    <xdr:colOff>0</xdr:colOff>
                    <xdr:row>85</xdr:row>
                    <xdr:rowOff>106680</xdr:rowOff>
                  </from>
                  <to>
                    <xdr:col>9</xdr:col>
                    <xdr:colOff>0</xdr:colOff>
                    <xdr:row>85</xdr:row>
                    <xdr:rowOff>297180</xdr:rowOff>
                  </to>
                </anchor>
              </controlPr>
            </control>
          </mc:Choice>
        </mc:AlternateContent>
        <mc:AlternateContent xmlns:mc="http://schemas.openxmlformats.org/markup-compatibility/2006">
          <mc:Choice Requires="x14">
            <control shapeId="17445" r:id="rId54" name="Check Box 37">
              <controlPr defaultSize="0" autoFill="0" autoLine="0" autoPict="0">
                <anchor moveWithCells="1">
                  <from>
                    <xdr:col>8</xdr:col>
                    <xdr:colOff>0</xdr:colOff>
                    <xdr:row>86</xdr:row>
                    <xdr:rowOff>259080</xdr:rowOff>
                  </from>
                  <to>
                    <xdr:col>9</xdr:col>
                    <xdr:colOff>0</xdr:colOff>
                    <xdr:row>87</xdr:row>
                    <xdr:rowOff>106680</xdr:rowOff>
                  </to>
                </anchor>
              </controlPr>
            </control>
          </mc:Choice>
        </mc:AlternateContent>
        <mc:AlternateContent xmlns:mc="http://schemas.openxmlformats.org/markup-compatibility/2006">
          <mc:Choice Requires="x14">
            <control shapeId="17446" r:id="rId55" name="Check Box 38">
              <controlPr defaultSize="0" autoFill="0" autoLine="0" autoPict="0">
                <anchor moveWithCells="1">
                  <from>
                    <xdr:col>8</xdr:col>
                    <xdr:colOff>0</xdr:colOff>
                    <xdr:row>87</xdr:row>
                    <xdr:rowOff>106680</xdr:rowOff>
                  </from>
                  <to>
                    <xdr:col>9</xdr:col>
                    <xdr:colOff>0</xdr:colOff>
                    <xdr:row>87</xdr:row>
                    <xdr:rowOff>297180</xdr:rowOff>
                  </to>
                </anchor>
              </controlPr>
            </control>
          </mc:Choice>
        </mc:AlternateContent>
        <mc:AlternateContent xmlns:mc="http://schemas.openxmlformats.org/markup-compatibility/2006">
          <mc:Choice Requires="x14">
            <control shapeId="17447" r:id="rId56" name="Check Box 39">
              <controlPr defaultSize="0" autoFill="0" autoLine="0" autoPict="0">
                <anchor moveWithCells="1">
                  <from>
                    <xdr:col>8</xdr:col>
                    <xdr:colOff>0</xdr:colOff>
                    <xdr:row>88</xdr:row>
                    <xdr:rowOff>259080</xdr:rowOff>
                  </from>
                  <to>
                    <xdr:col>9</xdr:col>
                    <xdr:colOff>0</xdr:colOff>
                    <xdr:row>89</xdr:row>
                    <xdr:rowOff>106680</xdr:rowOff>
                  </to>
                </anchor>
              </controlPr>
            </control>
          </mc:Choice>
        </mc:AlternateContent>
        <mc:AlternateContent xmlns:mc="http://schemas.openxmlformats.org/markup-compatibility/2006">
          <mc:Choice Requires="x14">
            <control shapeId="17448" r:id="rId57" name="Check Box 40">
              <controlPr defaultSize="0" autoFill="0" autoLine="0" autoPict="0">
                <anchor moveWithCells="1">
                  <from>
                    <xdr:col>8</xdr:col>
                    <xdr:colOff>0</xdr:colOff>
                    <xdr:row>89</xdr:row>
                    <xdr:rowOff>106680</xdr:rowOff>
                  </from>
                  <to>
                    <xdr:col>9</xdr:col>
                    <xdr:colOff>0</xdr:colOff>
                    <xdr:row>89</xdr:row>
                    <xdr:rowOff>297180</xdr:rowOff>
                  </to>
                </anchor>
              </controlPr>
            </control>
          </mc:Choice>
        </mc:AlternateContent>
        <mc:AlternateContent xmlns:mc="http://schemas.openxmlformats.org/markup-compatibility/2006">
          <mc:Choice Requires="x14">
            <control shapeId="17449" r:id="rId58" name="Check Box 41">
              <controlPr defaultSize="0" autoFill="0" autoLine="0" autoPict="0">
                <anchor moveWithCells="1">
                  <from>
                    <xdr:col>8</xdr:col>
                    <xdr:colOff>0</xdr:colOff>
                    <xdr:row>90</xdr:row>
                    <xdr:rowOff>259080</xdr:rowOff>
                  </from>
                  <to>
                    <xdr:col>9</xdr:col>
                    <xdr:colOff>0</xdr:colOff>
                    <xdr:row>91</xdr:row>
                    <xdr:rowOff>106680</xdr:rowOff>
                  </to>
                </anchor>
              </controlPr>
            </control>
          </mc:Choice>
        </mc:AlternateContent>
        <mc:AlternateContent xmlns:mc="http://schemas.openxmlformats.org/markup-compatibility/2006">
          <mc:Choice Requires="x14">
            <control shapeId="17450" r:id="rId59" name="Check Box 42">
              <controlPr defaultSize="0" autoFill="0" autoLine="0" autoPict="0">
                <anchor moveWithCells="1">
                  <from>
                    <xdr:col>8</xdr:col>
                    <xdr:colOff>0</xdr:colOff>
                    <xdr:row>91</xdr:row>
                    <xdr:rowOff>106680</xdr:rowOff>
                  </from>
                  <to>
                    <xdr:col>9</xdr:col>
                    <xdr:colOff>0</xdr:colOff>
                    <xdr:row>91</xdr:row>
                    <xdr:rowOff>297180</xdr:rowOff>
                  </to>
                </anchor>
              </controlPr>
            </control>
          </mc:Choice>
        </mc:AlternateContent>
        <mc:AlternateContent xmlns:mc="http://schemas.openxmlformats.org/markup-compatibility/2006">
          <mc:Choice Requires="x14">
            <control shapeId="17451" r:id="rId60" name="Check Box 43">
              <controlPr defaultSize="0" autoFill="0" autoLine="0" autoPict="0">
                <anchor moveWithCells="1">
                  <from>
                    <xdr:col>8</xdr:col>
                    <xdr:colOff>0</xdr:colOff>
                    <xdr:row>92</xdr:row>
                    <xdr:rowOff>259080</xdr:rowOff>
                  </from>
                  <to>
                    <xdr:col>9</xdr:col>
                    <xdr:colOff>0</xdr:colOff>
                    <xdr:row>93</xdr:row>
                    <xdr:rowOff>106680</xdr:rowOff>
                  </to>
                </anchor>
              </controlPr>
            </control>
          </mc:Choice>
        </mc:AlternateContent>
        <mc:AlternateContent xmlns:mc="http://schemas.openxmlformats.org/markup-compatibility/2006">
          <mc:Choice Requires="x14">
            <control shapeId="17452" r:id="rId61" name="Check Box 44">
              <controlPr defaultSize="0" autoFill="0" autoLine="0" autoPict="0">
                <anchor moveWithCells="1">
                  <from>
                    <xdr:col>8</xdr:col>
                    <xdr:colOff>0</xdr:colOff>
                    <xdr:row>93</xdr:row>
                    <xdr:rowOff>106680</xdr:rowOff>
                  </from>
                  <to>
                    <xdr:col>9</xdr:col>
                    <xdr:colOff>0</xdr:colOff>
                    <xdr:row>93</xdr:row>
                    <xdr:rowOff>297180</xdr:rowOff>
                  </to>
                </anchor>
              </controlPr>
            </control>
          </mc:Choice>
        </mc:AlternateContent>
        <mc:AlternateContent xmlns:mc="http://schemas.openxmlformats.org/markup-compatibility/2006">
          <mc:Choice Requires="x14">
            <control shapeId="17453" r:id="rId62" name="Check Box 45">
              <controlPr defaultSize="0" autoFill="0" autoLine="0" autoPict="0">
                <anchor moveWithCells="1">
                  <from>
                    <xdr:col>8</xdr:col>
                    <xdr:colOff>0</xdr:colOff>
                    <xdr:row>94</xdr:row>
                    <xdr:rowOff>259080</xdr:rowOff>
                  </from>
                  <to>
                    <xdr:col>9</xdr:col>
                    <xdr:colOff>0</xdr:colOff>
                    <xdr:row>95</xdr:row>
                    <xdr:rowOff>106680</xdr:rowOff>
                  </to>
                </anchor>
              </controlPr>
            </control>
          </mc:Choice>
        </mc:AlternateContent>
        <mc:AlternateContent xmlns:mc="http://schemas.openxmlformats.org/markup-compatibility/2006">
          <mc:Choice Requires="x14">
            <control shapeId="17454" r:id="rId63" name="Check Box 46">
              <controlPr defaultSize="0" autoFill="0" autoLine="0" autoPict="0">
                <anchor moveWithCells="1">
                  <from>
                    <xdr:col>8</xdr:col>
                    <xdr:colOff>0</xdr:colOff>
                    <xdr:row>95</xdr:row>
                    <xdr:rowOff>106680</xdr:rowOff>
                  </from>
                  <to>
                    <xdr:col>9</xdr:col>
                    <xdr:colOff>0</xdr:colOff>
                    <xdr:row>95</xdr:row>
                    <xdr:rowOff>297180</xdr:rowOff>
                  </to>
                </anchor>
              </controlPr>
            </control>
          </mc:Choice>
        </mc:AlternateContent>
        <mc:AlternateContent xmlns:mc="http://schemas.openxmlformats.org/markup-compatibility/2006">
          <mc:Choice Requires="x14">
            <control shapeId="17455" r:id="rId64" name="Check Box 47">
              <controlPr defaultSize="0" autoFill="0" autoLine="0" autoPict="0">
                <anchor moveWithCells="1">
                  <from>
                    <xdr:col>8</xdr:col>
                    <xdr:colOff>0</xdr:colOff>
                    <xdr:row>96</xdr:row>
                    <xdr:rowOff>259080</xdr:rowOff>
                  </from>
                  <to>
                    <xdr:col>9</xdr:col>
                    <xdr:colOff>0</xdr:colOff>
                    <xdr:row>97</xdr:row>
                    <xdr:rowOff>106680</xdr:rowOff>
                  </to>
                </anchor>
              </controlPr>
            </control>
          </mc:Choice>
        </mc:AlternateContent>
        <mc:AlternateContent xmlns:mc="http://schemas.openxmlformats.org/markup-compatibility/2006">
          <mc:Choice Requires="x14">
            <control shapeId="17456" r:id="rId65" name="Check Box 48">
              <controlPr defaultSize="0" autoFill="0" autoLine="0" autoPict="0">
                <anchor moveWithCells="1">
                  <from>
                    <xdr:col>8</xdr:col>
                    <xdr:colOff>0</xdr:colOff>
                    <xdr:row>97</xdr:row>
                    <xdr:rowOff>106680</xdr:rowOff>
                  </from>
                  <to>
                    <xdr:col>9</xdr:col>
                    <xdr:colOff>0</xdr:colOff>
                    <xdr:row>97</xdr:row>
                    <xdr:rowOff>297180</xdr:rowOff>
                  </to>
                </anchor>
              </controlPr>
            </control>
          </mc:Choice>
        </mc:AlternateContent>
        <mc:AlternateContent xmlns:mc="http://schemas.openxmlformats.org/markup-compatibility/2006">
          <mc:Choice Requires="x14">
            <control shapeId="17457" r:id="rId66" name="Check Box 49">
              <controlPr defaultSize="0" autoFill="0" autoLine="0" autoPict="0">
                <anchor moveWithCells="1">
                  <from>
                    <xdr:col>8</xdr:col>
                    <xdr:colOff>0</xdr:colOff>
                    <xdr:row>98</xdr:row>
                    <xdr:rowOff>259080</xdr:rowOff>
                  </from>
                  <to>
                    <xdr:col>9</xdr:col>
                    <xdr:colOff>0</xdr:colOff>
                    <xdr:row>99</xdr:row>
                    <xdr:rowOff>106680</xdr:rowOff>
                  </to>
                </anchor>
              </controlPr>
            </control>
          </mc:Choice>
        </mc:AlternateContent>
        <mc:AlternateContent xmlns:mc="http://schemas.openxmlformats.org/markup-compatibility/2006">
          <mc:Choice Requires="x14">
            <control shapeId="17458" r:id="rId67" name="Check Box 50">
              <controlPr defaultSize="0" autoFill="0" autoLine="0" autoPict="0">
                <anchor moveWithCells="1">
                  <from>
                    <xdr:col>8</xdr:col>
                    <xdr:colOff>0</xdr:colOff>
                    <xdr:row>99</xdr:row>
                    <xdr:rowOff>106680</xdr:rowOff>
                  </from>
                  <to>
                    <xdr:col>9</xdr:col>
                    <xdr:colOff>0</xdr:colOff>
                    <xdr:row>99</xdr:row>
                    <xdr:rowOff>297180</xdr:rowOff>
                  </to>
                </anchor>
              </controlPr>
            </control>
          </mc:Choice>
        </mc:AlternateContent>
        <mc:AlternateContent xmlns:mc="http://schemas.openxmlformats.org/markup-compatibility/2006">
          <mc:Choice Requires="x14">
            <control shapeId="17459" r:id="rId68" name="Check Box 51">
              <controlPr defaultSize="0" autoFill="0" autoLine="0" autoPict="0">
                <anchor moveWithCells="1">
                  <from>
                    <xdr:col>8</xdr:col>
                    <xdr:colOff>0</xdr:colOff>
                    <xdr:row>108</xdr:row>
                    <xdr:rowOff>259080</xdr:rowOff>
                  </from>
                  <to>
                    <xdr:col>9</xdr:col>
                    <xdr:colOff>0</xdr:colOff>
                    <xdr:row>109</xdr:row>
                    <xdr:rowOff>106680</xdr:rowOff>
                  </to>
                </anchor>
              </controlPr>
            </control>
          </mc:Choice>
        </mc:AlternateContent>
        <mc:AlternateContent xmlns:mc="http://schemas.openxmlformats.org/markup-compatibility/2006">
          <mc:Choice Requires="x14">
            <control shapeId="17460" r:id="rId69" name="Check Box 52">
              <controlPr defaultSize="0" autoFill="0" autoLine="0" autoPict="0">
                <anchor moveWithCells="1">
                  <from>
                    <xdr:col>8</xdr:col>
                    <xdr:colOff>0</xdr:colOff>
                    <xdr:row>109</xdr:row>
                    <xdr:rowOff>106680</xdr:rowOff>
                  </from>
                  <to>
                    <xdr:col>9</xdr:col>
                    <xdr:colOff>0</xdr:colOff>
                    <xdr:row>109</xdr:row>
                    <xdr:rowOff>297180</xdr:rowOff>
                  </to>
                </anchor>
              </controlPr>
            </control>
          </mc:Choice>
        </mc:AlternateContent>
        <mc:AlternateContent xmlns:mc="http://schemas.openxmlformats.org/markup-compatibility/2006">
          <mc:Choice Requires="x14">
            <control shapeId="17461" r:id="rId70" name="Check Box 53">
              <controlPr defaultSize="0" autoFill="0" autoLine="0" autoPict="0">
                <anchor moveWithCells="1">
                  <from>
                    <xdr:col>8</xdr:col>
                    <xdr:colOff>0</xdr:colOff>
                    <xdr:row>110</xdr:row>
                    <xdr:rowOff>259080</xdr:rowOff>
                  </from>
                  <to>
                    <xdr:col>9</xdr:col>
                    <xdr:colOff>0</xdr:colOff>
                    <xdr:row>111</xdr:row>
                    <xdr:rowOff>106680</xdr:rowOff>
                  </to>
                </anchor>
              </controlPr>
            </control>
          </mc:Choice>
        </mc:AlternateContent>
        <mc:AlternateContent xmlns:mc="http://schemas.openxmlformats.org/markup-compatibility/2006">
          <mc:Choice Requires="x14">
            <control shapeId="17462" r:id="rId71" name="Check Box 54">
              <controlPr defaultSize="0" autoFill="0" autoLine="0" autoPict="0">
                <anchor moveWithCells="1">
                  <from>
                    <xdr:col>8</xdr:col>
                    <xdr:colOff>0</xdr:colOff>
                    <xdr:row>111</xdr:row>
                    <xdr:rowOff>106680</xdr:rowOff>
                  </from>
                  <to>
                    <xdr:col>9</xdr:col>
                    <xdr:colOff>0</xdr:colOff>
                    <xdr:row>111</xdr:row>
                    <xdr:rowOff>297180</xdr:rowOff>
                  </to>
                </anchor>
              </controlPr>
            </control>
          </mc:Choice>
        </mc:AlternateContent>
        <mc:AlternateContent xmlns:mc="http://schemas.openxmlformats.org/markup-compatibility/2006">
          <mc:Choice Requires="x14">
            <control shapeId="17463" r:id="rId72" name="Check Box 55">
              <controlPr defaultSize="0" autoFill="0" autoLine="0" autoPict="0">
                <anchor moveWithCells="1">
                  <from>
                    <xdr:col>8</xdr:col>
                    <xdr:colOff>0</xdr:colOff>
                    <xdr:row>112</xdr:row>
                    <xdr:rowOff>259080</xdr:rowOff>
                  </from>
                  <to>
                    <xdr:col>9</xdr:col>
                    <xdr:colOff>0</xdr:colOff>
                    <xdr:row>113</xdr:row>
                    <xdr:rowOff>106680</xdr:rowOff>
                  </to>
                </anchor>
              </controlPr>
            </control>
          </mc:Choice>
        </mc:AlternateContent>
        <mc:AlternateContent xmlns:mc="http://schemas.openxmlformats.org/markup-compatibility/2006">
          <mc:Choice Requires="x14">
            <control shapeId="17464" r:id="rId73" name="Check Box 56">
              <controlPr defaultSize="0" autoFill="0" autoLine="0" autoPict="0">
                <anchor moveWithCells="1">
                  <from>
                    <xdr:col>8</xdr:col>
                    <xdr:colOff>0</xdr:colOff>
                    <xdr:row>113</xdr:row>
                    <xdr:rowOff>106680</xdr:rowOff>
                  </from>
                  <to>
                    <xdr:col>9</xdr:col>
                    <xdr:colOff>0</xdr:colOff>
                    <xdr:row>113</xdr:row>
                    <xdr:rowOff>297180</xdr:rowOff>
                  </to>
                </anchor>
              </controlPr>
            </control>
          </mc:Choice>
        </mc:AlternateContent>
        <mc:AlternateContent xmlns:mc="http://schemas.openxmlformats.org/markup-compatibility/2006">
          <mc:Choice Requires="x14">
            <control shapeId="17465" r:id="rId74" name="Check Box 57">
              <controlPr defaultSize="0" autoFill="0" autoLine="0" autoPict="0">
                <anchor moveWithCells="1">
                  <from>
                    <xdr:col>8</xdr:col>
                    <xdr:colOff>0</xdr:colOff>
                    <xdr:row>60</xdr:row>
                    <xdr:rowOff>30480</xdr:rowOff>
                  </from>
                  <to>
                    <xdr:col>9</xdr:col>
                    <xdr:colOff>0</xdr:colOff>
                    <xdr:row>60</xdr:row>
                    <xdr:rowOff>220980</xdr:rowOff>
                  </to>
                </anchor>
              </controlPr>
            </control>
          </mc:Choice>
        </mc:AlternateContent>
        <mc:AlternateContent xmlns:mc="http://schemas.openxmlformats.org/markup-compatibility/2006">
          <mc:Choice Requires="x14">
            <control shapeId="17466" r:id="rId75" name="Check Box 58">
              <controlPr defaultSize="0" autoFill="0" autoLine="0" autoPict="0">
                <anchor moveWithCells="1">
                  <from>
                    <xdr:col>8</xdr:col>
                    <xdr:colOff>0</xdr:colOff>
                    <xdr:row>62</xdr:row>
                    <xdr:rowOff>30480</xdr:rowOff>
                  </from>
                  <to>
                    <xdr:col>9</xdr:col>
                    <xdr:colOff>0</xdr:colOff>
                    <xdr:row>62</xdr:row>
                    <xdr:rowOff>220980</xdr:rowOff>
                  </to>
                </anchor>
              </controlPr>
            </control>
          </mc:Choice>
        </mc:AlternateContent>
        <mc:AlternateContent xmlns:mc="http://schemas.openxmlformats.org/markup-compatibility/2006">
          <mc:Choice Requires="x14">
            <control shapeId="17467" r:id="rId76" name="Check Box 59">
              <controlPr defaultSize="0" autoFill="0" autoLine="0" autoPict="0">
                <anchor moveWithCells="1">
                  <from>
                    <xdr:col>8</xdr:col>
                    <xdr:colOff>0</xdr:colOff>
                    <xdr:row>64</xdr:row>
                    <xdr:rowOff>30480</xdr:rowOff>
                  </from>
                  <to>
                    <xdr:col>9</xdr:col>
                    <xdr:colOff>0</xdr:colOff>
                    <xdr:row>64</xdr:row>
                    <xdr:rowOff>220980</xdr:rowOff>
                  </to>
                </anchor>
              </controlPr>
            </control>
          </mc:Choice>
        </mc:AlternateContent>
        <mc:AlternateContent xmlns:mc="http://schemas.openxmlformats.org/markup-compatibility/2006">
          <mc:Choice Requires="x14">
            <control shapeId="17468" r:id="rId77" name="Check Box 60">
              <controlPr defaultSize="0" autoFill="0" autoLine="0" autoPict="0">
                <anchor moveWithCells="1">
                  <from>
                    <xdr:col>8</xdr:col>
                    <xdr:colOff>0</xdr:colOff>
                    <xdr:row>66</xdr:row>
                    <xdr:rowOff>30480</xdr:rowOff>
                  </from>
                  <to>
                    <xdr:col>9</xdr:col>
                    <xdr:colOff>0</xdr:colOff>
                    <xdr:row>66</xdr:row>
                    <xdr:rowOff>220980</xdr:rowOff>
                  </to>
                </anchor>
              </controlPr>
            </control>
          </mc:Choice>
        </mc:AlternateContent>
        <mc:AlternateContent xmlns:mc="http://schemas.openxmlformats.org/markup-compatibility/2006">
          <mc:Choice Requires="x14">
            <control shapeId="17469" r:id="rId78" name="Check Box 61">
              <controlPr defaultSize="0" autoFill="0" autoLine="0" autoPict="0">
                <anchor moveWithCells="1">
                  <from>
                    <xdr:col>8</xdr:col>
                    <xdr:colOff>0</xdr:colOff>
                    <xdr:row>68</xdr:row>
                    <xdr:rowOff>30480</xdr:rowOff>
                  </from>
                  <to>
                    <xdr:col>9</xdr:col>
                    <xdr:colOff>0</xdr:colOff>
                    <xdr:row>68</xdr:row>
                    <xdr:rowOff>220980</xdr:rowOff>
                  </to>
                </anchor>
              </controlPr>
            </control>
          </mc:Choice>
        </mc:AlternateContent>
        <mc:AlternateContent xmlns:mc="http://schemas.openxmlformats.org/markup-compatibility/2006">
          <mc:Choice Requires="x14">
            <control shapeId="17470" r:id="rId79" name="Check Box 62">
              <controlPr defaultSize="0" autoFill="0" autoLine="0" autoPict="0">
                <anchor moveWithCells="1">
                  <from>
                    <xdr:col>8</xdr:col>
                    <xdr:colOff>0</xdr:colOff>
                    <xdr:row>70</xdr:row>
                    <xdr:rowOff>30480</xdr:rowOff>
                  </from>
                  <to>
                    <xdr:col>9</xdr:col>
                    <xdr:colOff>0</xdr:colOff>
                    <xdr:row>70</xdr:row>
                    <xdr:rowOff>220980</xdr:rowOff>
                  </to>
                </anchor>
              </controlPr>
            </control>
          </mc:Choice>
        </mc:AlternateContent>
        <mc:AlternateContent xmlns:mc="http://schemas.openxmlformats.org/markup-compatibility/2006">
          <mc:Choice Requires="x14">
            <control shapeId="17471" r:id="rId80" name="Check Box 63">
              <controlPr defaultSize="0" autoFill="0" autoLine="0" autoPict="0">
                <anchor moveWithCells="1">
                  <from>
                    <xdr:col>8</xdr:col>
                    <xdr:colOff>0</xdr:colOff>
                    <xdr:row>72</xdr:row>
                    <xdr:rowOff>30480</xdr:rowOff>
                  </from>
                  <to>
                    <xdr:col>9</xdr:col>
                    <xdr:colOff>0</xdr:colOff>
                    <xdr:row>72</xdr:row>
                    <xdr:rowOff>220980</xdr:rowOff>
                  </to>
                </anchor>
              </controlPr>
            </control>
          </mc:Choice>
        </mc:AlternateContent>
        <mc:AlternateContent xmlns:mc="http://schemas.openxmlformats.org/markup-compatibility/2006">
          <mc:Choice Requires="x14">
            <control shapeId="17472" r:id="rId81" name="Check Box 64">
              <controlPr defaultSize="0" autoFill="0" autoLine="0" autoPict="0">
                <anchor moveWithCells="1">
                  <from>
                    <xdr:col>8</xdr:col>
                    <xdr:colOff>0</xdr:colOff>
                    <xdr:row>74</xdr:row>
                    <xdr:rowOff>30480</xdr:rowOff>
                  </from>
                  <to>
                    <xdr:col>9</xdr:col>
                    <xdr:colOff>0</xdr:colOff>
                    <xdr:row>74</xdr:row>
                    <xdr:rowOff>220980</xdr:rowOff>
                  </to>
                </anchor>
              </controlPr>
            </control>
          </mc:Choice>
        </mc:AlternateContent>
        <mc:AlternateContent xmlns:mc="http://schemas.openxmlformats.org/markup-compatibility/2006">
          <mc:Choice Requires="x14">
            <control shapeId="17473" r:id="rId82" name="Check Box 65">
              <controlPr defaultSize="0" autoFill="0" autoLine="0" autoPict="0">
                <anchor moveWithCells="1">
                  <from>
                    <xdr:col>8</xdr:col>
                    <xdr:colOff>0</xdr:colOff>
                    <xdr:row>76</xdr:row>
                    <xdr:rowOff>30480</xdr:rowOff>
                  </from>
                  <to>
                    <xdr:col>9</xdr:col>
                    <xdr:colOff>0</xdr:colOff>
                    <xdr:row>76</xdr:row>
                    <xdr:rowOff>220980</xdr:rowOff>
                  </to>
                </anchor>
              </controlPr>
            </control>
          </mc:Choice>
        </mc:AlternateContent>
        <mc:AlternateContent xmlns:mc="http://schemas.openxmlformats.org/markup-compatibility/2006">
          <mc:Choice Requires="x14">
            <control shapeId="17474" r:id="rId83" name="Check Box 66">
              <controlPr defaultSize="0" autoFill="0" autoLine="0" autoPict="0">
                <anchor moveWithCells="1">
                  <from>
                    <xdr:col>8</xdr:col>
                    <xdr:colOff>0</xdr:colOff>
                    <xdr:row>80</xdr:row>
                    <xdr:rowOff>30480</xdr:rowOff>
                  </from>
                  <to>
                    <xdr:col>9</xdr:col>
                    <xdr:colOff>0</xdr:colOff>
                    <xdr:row>80</xdr:row>
                    <xdr:rowOff>220980</xdr:rowOff>
                  </to>
                </anchor>
              </controlPr>
            </control>
          </mc:Choice>
        </mc:AlternateContent>
        <mc:AlternateContent xmlns:mc="http://schemas.openxmlformats.org/markup-compatibility/2006">
          <mc:Choice Requires="x14">
            <control shapeId="17475" r:id="rId84" name="Check Box 67">
              <controlPr defaultSize="0" autoFill="0" autoLine="0" autoPict="0">
                <anchor moveWithCells="1">
                  <from>
                    <xdr:col>8</xdr:col>
                    <xdr:colOff>0</xdr:colOff>
                    <xdr:row>82</xdr:row>
                    <xdr:rowOff>30480</xdr:rowOff>
                  </from>
                  <to>
                    <xdr:col>9</xdr:col>
                    <xdr:colOff>0</xdr:colOff>
                    <xdr:row>82</xdr:row>
                    <xdr:rowOff>220980</xdr:rowOff>
                  </to>
                </anchor>
              </controlPr>
            </control>
          </mc:Choice>
        </mc:AlternateContent>
        <mc:AlternateContent xmlns:mc="http://schemas.openxmlformats.org/markup-compatibility/2006">
          <mc:Choice Requires="x14">
            <control shapeId="17476" r:id="rId85" name="Check Box 68">
              <controlPr defaultSize="0" autoFill="0" autoLine="0" autoPict="0">
                <anchor moveWithCells="1">
                  <from>
                    <xdr:col>8</xdr:col>
                    <xdr:colOff>0</xdr:colOff>
                    <xdr:row>84</xdr:row>
                    <xdr:rowOff>30480</xdr:rowOff>
                  </from>
                  <to>
                    <xdr:col>9</xdr:col>
                    <xdr:colOff>0</xdr:colOff>
                    <xdr:row>84</xdr:row>
                    <xdr:rowOff>220980</xdr:rowOff>
                  </to>
                </anchor>
              </controlPr>
            </control>
          </mc:Choice>
        </mc:AlternateContent>
        <mc:AlternateContent xmlns:mc="http://schemas.openxmlformats.org/markup-compatibility/2006">
          <mc:Choice Requires="x14">
            <control shapeId="17477" r:id="rId86" name="Check Box 69">
              <controlPr defaultSize="0" autoFill="0" autoLine="0" autoPict="0">
                <anchor moveWithCells="1">
                  <from>
                    <xdr:col>8</xdr:col>
                    <xdr:colOff>0</xdr:colOff>
                    <xdr:row>86</xdr:row>
                    <xdr:rowOff>30480</xdr:rowOff>
                  </from>
                  <to>
                    <xdr:col>9</xdr:col>
                    <xdr:colOff>0</xdr:colOff>
                    <xdr:row>86</xdr:row>
                    <xdr:rowOff>220980</xdr:rowOff>
                  </to>
                </anchor>
              </controlPr>
            </control>
          </mc:Choice>
        </mc:AlternateContent>
        <mc:AlternateContent xmlns:mc="http://schemas.openxmlformats.org/markup-compatibility/2006">
          <mc:Choice Requires="x14">
            <control shapeId="17478" r:id="rId87" name="Check Box 70">
              <controlPr defaultSize="0" autoFill="0" autoLine="0" autoPict="0">
                <anchor moveWithCells="1">
                  <from>
                    <xdr:col>8</xdr:col>
                    <xdr:colOff>0</xdr:colOff>
                    <xdr:row>88</xdr:row>
                    <xdr:rowOff>30480</xdr:rowOff>
                  </from>
                  <to>
                    <xdr:col>9</xdr:col>
                    <xdr:colOff>0</xdr:colOff>
                    <xdr:row>88</xdr:row>
                    <xdr:rowOff>220980</xdr:rowOff>
                  </to>
                </anchor>
              </controlPr>
            </control>
          </mc:Choice>
        </mc:AlternateContent>
        <mc:AlternateContent xmlns:mc="http://schemas.openxmlformats.org/markup-compatibility/2006">
          <mc:Choice Requires="x14">
            <control shapeId="17479" r:id="rId88" name="Check Box 71">
              <controlPr defaultSize="0" autoFill="0" autoLine="0" autoPict="0">
                <anchor moveWithCells="1">
                  <from>
                    <xdr:col>8</xdr:col>
                    <xdr:colOff>0</xdr:colOff>
                    <xdr:row>90</xdr:row>
                    <xdr:rowOff>30480</xdr:rowOff>
                  </from>
                  <to>
                    <xdr:col>9</xdr:col>
                    <xdr:colOff>0</xdr:colOff>
                    <xdr:row>90</xdr:row>
                    <xdr:rowOff>220980</xdr:rowOff>
                  </to>
                </anchor>
              </controlPr>
            </control>
          </mc:Choice>
        </mc:AlternateContent>
        <mc:AlternateContent xmlns:mc="http://schemas.openxmlformats.org/markup-compatibility/2006">
          <mc:Choice Requires="x14">
            <control shapeId="17480" r:id="rId89" name="Check Box 72">
              <controlPr defaultSize="0" autoFill="0" autoLine="0" autoPict="0">
                <anchor moveWithCells="1">
                  <from>
                    <xdr:col>8</xdr:col>
                    <xdr:colOff>0</xdr:colOff>
                    <xdr:row>92</xdr:row>
                    <xdr:rowOff>30480</xdr:rowOff>
                  </from>
                  <to>
                    <xdr:col>9</xdr:col>
                    <xdr:colOff>0</xdr:colOff>
                    <xdr:row>92</xdr:row>
                    <xdr:rowOff>220980</xdr:rowOff>
                  </to>
                </anchor>
              </controlPr>
            </control>
          </mc:Choice>
        </mc:AlternateContent>
        <mc:AlternateContent xmlns:mc="http://schemas.openxmlformats.org/markup-compatibility/2006">
          <mc:Choice Requires="x14">
            <control shapeId="17481" r:id="rId90" name="Check Box 73">
              <controlPr defaultSize="0" autoFill="0" autoLine="0" autoPict="0">
                <anchor moveWithCells="1">
                  <from>
                    <xdr:col>8</xdr:col>
                    <xdr:colOff>0</xdr:colOff>
                    <xdr:row>94</xdr:row>
                    <xdr:rowOff>30480</xdr:rowOff>
                  </from>
                  <to>
                    <xdr:col>9</xdr:col>
                    <xdr:colOff>0</xdr:colOff>
                    <xdr:row>94</xdr:row>
                    <xdr:rowOff>220980</xdr:rowOff>
                  </to>
                </anchor>
              </controlPr>
            </control>
          </mc:Choice>
        </mc:AlternateContent>
        <mc:AlternateContent xmlns:mc="http://schemas.openxmlformats.org/markup-compatibility/2006">
          <mc:Choice Requires="x14">
            <control shapeId="17482" r:id="rId91" name="Check Box 74">
              <controlPr defaultSize="0" autoFill="0" autoLine="0" autoPict="0">
                <anchor moveWithCells="1">
                  <from>
                    <xdr:col>8</xdr:col>
                    <xdr:colOff>0</xdr:colOff>
                    <xdr:row>96</xdr:row>
                    <xdr:rowOff>30480</xdr:rowOff>
                  </from>
                  <to>
                    <xdr:col>9</xdr:col>
                    <xdr:colOff>0</xdr:colOff>
                    <xdr:row>96</xdr:row>
                    <xdr:rowOff>220980</xdr:rowOff>
                  </to>
                </anchor>
              </controlPr>
            </control>
          </mc:Choice>
        </mc:AlternateContent>
        <mc:AlternateContent xmlns:mc="http://schemas.openxmlformats.org/markup-compatibility/2006">
          <mc:Choice Requires="x14">
            <control shapeId="17483" r:id="rId92" name="Check Box 75">
              <controlPr defaultSize="0" autoFill="0" autoLine="0" autoPict="0">
                <anchor moveWithCells="1">
                  <from>
                    <xdr:col>8</xdr:col>
                    <xdr:colOff>0</xdr:colOff>
                    <xdr:row>98</xdr:row>
                    <xdr:rowOff>30480</xdr:rowOff>
                  </from>
                  <to>
                    <xdr:col>9</xdr:col>
                    <xdr:colOff>0</xdr:colOff>
                    <xdr:row>98</xdr:row>
                    <xdr:rowOff>220980</xdr:rowOff>
                  </to>
                </anchor>
              </controlPr>
            </control>
          </mc:Choice>
        </mc:AlternateContent>
        <mc:AlternateContent xmlns:mc="http://schemas.openxmlformats.org/markup-compatibility/2006">
          <mc:Choice Requires="x14">
            <control shapeId="17484" r:id="rId93" name="Check Box 76">
              <controlPr defaultSize="0" autoFill="0" autoLine="0" autoPict="0">
                <anchor moveWithCells="1">
                  <from>
                    <xdr:col>8</xdr:col>
                    <xdr:colOff>0</xdr:colOff>
                    <xdr:row>108</xdr:row>
                    <xdr:rowOff>30480</xdr:rowOff>
                  </from>
                  <to>
                    <xdr:col>9</xdr:col>
                    <xdr:colOff>0</xdr:colOff>
                    <xdr:row>108</xdr:row>
                    <xdr:rowOff>228600</xdr:rowOff>
                  </to>
                </anchor>
              </controlPr>
            </control>
          </mc:Choice>
        </mc:AlternateContent>
        <mc:AlternateContent xmlns:mc="http://schemas.openxmlformats.org/markup-compatibility/2006">
          <mc:Choice Requires="x14">
            <control shapeId="17485" r:id="rId94" name="Check Box 77">
              <controlPr defaultSize="0" autoFill="0" autoLine="0" autoPict="0">
                <anchor moveWithCells="1">
                  <from>
                    <xdr:col>8</xdr:col>
                    <xdr:colOff>0</xdr:colOff>
                    <xdr:row>110</xdr:row>
                    <xdr:rowOff>30480</xdr:rowOff>
                  </from>
                  <to>
                    <xdr:col>9</xdr:col>
                    <xdr:colOff>0</xdr:colOff>
                    <xdr:row>110</xdr:row>
                    <xdr:rowOff>228600</xdr:rowOff>
                  </to>
                </anchor>
              </controlPr>
            </control>
          </mc:Choice>
        </mc:AlternateContent>
        <mc:AlternateContent xmlns:mc="http://schemas.openxmlformats.org/markup-compatibility/2006">
          <mc:Choice Requires="x14">
            <control shapeId="17486" r:id="rId95" name="Check Box 78">
              <controlPr defaultSize="0" autoFill="0" autoLine="0" autoPict="0">
                <anchor moveWithCells="1">
                  <from>
                    <xdr:col>8</xdr:col>
                    <xdr:colOff>0</xdr:colOff>
                    <xdr:row>112</xdr:row>
                    <xdr:rowOff>30480</xdr:rowOff>
                  </from>
                  <to>
                    <xdr:col>9</xdr:col>
                    <xdr:colOff>0</xdr:colOff>
                    <xdr:row>112</xdr:row>
                    <xdr:rowOff>228600</xdr:rowOff>
                  </to>
                </anchor>
              </controlPr>
            </control>
          </mc:Choice>
        </mc:AlternateContent>
        <mc:AlternateContent xmlns:mc="http://schemas.openxmlformats.org/markup-compatibility/2006">
          <mc:Choice Requires="x14">
            <control shapeId="17487" r:id="rId96" name="Check Box 79">
              <controlPr defaultSize="0" autoFill="0" autoLine="0" autoPict="0">
                <anchor moveWithCells="1">
                  <from>
                    <xdr:col>8</xdr:col>
                    <xdr:colOff>0</xdr:colOff>
                    <xdr:row>104</xdr:row>
                    <xdr:rowOff>259080</xdr:rowOff>
                  </from>
                  <to>
                    <xdr:col>9</xdr:col>
                    <xdr:colOff>0</xdr:colOff>
                    <xdr:row>105</xdr:row>
                    <xdr:rowOff>106680</xdr:rowOff>
                  </to>
                </anchor>
              </controlPr>
            </control>
          </mc:Choice>
        </mc:AlternateContent>
        <mc:AlternateContent xmlns:mc="http://schemas.openxmlformats.org/markup-compatibility/2006">
          <mc:Choice Requires="x14">
            <control shapeId="17488" r:id="rId97" name="Check Box 80">
              <controlPr defaultSize="0" autoFill="0" autoLine="0" autoPict="0">
                <anchor moveWithCells="1">
                  <from>
                    <xdr:col>8</xdr:col>
                    <xdr:colOff>0</xdr:colOff>
                    <xdr:row>105</xdr:row>
                    <xdr:rowOff>106680</xdr:rowOff>
                  </from>
                  <to>
                    <xdr:col>9</xdr:col>
                    <xdr:colOff>0</xdr:colOff>
                    <xdr:row>105</xdr:row>
                    <xdr:rowOff>297180</xdr:rowOff>
                  </to>
                </anchor>
              </controlPr>
            </control>
          </mc:Choice>
        </mc:AlternateContent>
        <mc:AlternateContent xmlns:mc="http://schemas.openxmlformats.org/markup-compatibility/2006">
          <mc:Choice Requires="x14">
            <control shapeId="17489" r:id="rId98" name="Check Box 81">
              <controlPr defaultSize="0" autoFill="0" autoLine="0" autoPict="0">
                <anchor moveWithCells="1">
                  <from>
                    <xdr:col>8</xdr:col>
                    <xdr:colOff>0</xdr:colOff>
                    <xdr:row>106</xdr:row>
                    <xdr:rowOff>259080</xdr:rowOff>
                  </from>
                  <to>
                    <xdr:col>9</xdr:col>
                    <xdr:colOff>0</xdr:colOff>
                    <xdr:row>107</xdr:row>
                    <xdr:rowOff>106680</xdr:rowOff>
                  </to>
                </anchor>
              </controlPr>
            </control>
          </mc:Choice>
        </mc:AlternateContent>
        <mc:AlternateContent xmlns:mc="http://schemas.openxmlformats.org/markup-compatibility/2006">
          <mc:Choice Requires="x14">
            <control shapeId="17490" r:id="rId99" name="Check Box 82">
              <controlPr defaultSize="0" autoFill="0" autoLine="0" autoPict="0">
                <anchor moveWithCells="1">
                  <from>
                    <xdr:col>8</xdr:col>
                    <xdr:colOff>0</xdr:colOff>
                    <xdr:row>107</xdr:row>
                    <xdr:rowOff>106680</xdr:rowOff>
                  </from>
                  <to>
                    <xdr:col>9</xdr:col>
                    <xdr:colOff>0</xdr:colOff>
                    <xdr:row>107</xdr:row>
                    <xdr:rowOff>297180</xdr:rowOff>
                  </to>
                </anchor>
              </controlPr>
            </control>
          </mc:Choice>
        </mc:AlternateContent>
        <mc:AlternateContent xmlns:mc="http://schemas.openxmlformats.org/markup-compatibility/2006">
          <mc:Choice Requires="x14">
            <control shapeId="17491" r:id="rId100" name="Check Box 83">
              <controlPr defaultSize="0" autoFill="0" autoLine="0" autoPict="0">
                <anchor moveWithCells="1">
                  <from>
                    <xdr:col>8</xdr:col>
                    <xdr:colOff>0</xdr:colOff>
                    <xdr:row>104</xdr:row>
                    <xdr:rowOff>30480</xdr:rowOff>
                  </from>
                  <to>
                    <xdr:col>9</xdr:col>
                    <xdr:colOff>0</xdr:colOff>
                    <xdr:row>104</xdr:row>
                    <xdr:rowOff>228600</xdr:rowOff>
                  </to>
                </anchor>
              </controlPr>
            </control>
          </mc:Choice>
        </mc:AlternateContent>
        <mc:AlternateContent xmlns:mc="http://schemas.openxmlformats.org/markup-compatibility/2006">
          <mc:Choice Requires="x14">
            <control shapeId="17492" r:id="rId101" name="Check Box 84">
              <controlPr defaultSize="0" autoFill="0" autoLine="0" autoPict="0">
                <anchor moveWithCells="1">
                  <from>
                    <xdr:col>8</xdr:col>
                    <xdr:colOff>0</xdr:colOff>
                    <xdr:row>106</xdr:row>
                    <xdr:rowOff>30480</xdr:rowOff>
                  </from>
                  <to>
                    <xdr:col>9</xdr:col>
                    <xdr:colOff>0</xdr:colOff>
                    <xdr:row>106</xdr:row>
                    <xdr:rowOff>228600</xdr:rowOff>
                  </to>
                </anchor>
              </controlPr>
            </control>
          </mc:Choice>
        </mc:AlternateContent>
        <mc:AlternateContent xmlns:mc="http://schemas.openxmlformats.org/markup-compatibility/2006">
          <mc:Choice Requires="x14">
            <control shapeId="17493" r:id="rId102" name="Check Box 85">
              <controlPr defaultSize="0" autoFill="0" autoLine="0" autoPict="0">
                <anchor moveWithCells="1">
                  <from>
                    <xdr:col>8</xdr:col>
                    <xdr:colOff>0</xdr:colOff>
                    <xdr:row>100</xdr:row>
                    <xdr:rowOff>259080</xdr:rowOff>
                  </from>
                  <to>
                    <xdr:col>9</xdr:col>
                    <xdr:colOff>0</xdr:colOff>
                    <xdr:row>101</xdr:row>
                    <xdr:rowOff>106680</xdr:rowOff>
                  </to>
                </anchor>
              </controlPr>
            </control>
          </mc:Choice>
        </mc:AlternateContent>
        <mc:AlternateContent xmlns:mc="http://schemas.openxmlformats.org/markup-compatibility/2006">
          <mc:Choice Requires="x14">
            <control shapeId="17494" r:id="rId103" name="Check Box 86">
              <controlPr defaultSize="0" autoFill="0" autoLine="0" autoPict="0">
                <anchor moveWithCells="1">
                  <from>
                    <xdr:col>8</xdr:col>
                    <xdr:colOff>0</xdr:colOff>
                    <xdr:row>101</xdr:row>
                    <xdr:rowOff>106680</xdr:rowOff>
                  </from>
                  <to>
                    <xdr:col>9</xdr:col>
                    <xdr:colOff>0</xdr:colOff>
                    <xdr:row>101</xdr:row>
                    <xdr:rowOff>297180</xdr:rowOff>
                  </to>
                </anchor>
              </controlPr>
            </control>
          </mc:Choice>
        </mc:AlternateContent>
        <mc:AlternateContent xmlns:mc="http://schemas.openxmlformats.org/markup-compatibility/2006">
          <mc:Choice Requires="x14">
            <control shapeId="17495" r:id="rId104" name="Check Box 87">
              <controlPr defaultSize="0" autoFill="0" autoLine="0" autoPict="0">
                <anchor moveWithCells="1">
                  <from>
                    <xdr:col>8</xdr:col>
                    <xdr:colOff>0</xdr:colOff>
                    <xdr:row>102</xdr:row>
                    <xdr:rowOff>259080</xdr:rowOff>
                  </from>
                  <to>
                    <xdr:col>9</xdr:col>
                    <xdr:colOff>0</xdr:colOff>
                    <xdr:row>103</xdr:row>
                    <xdr:rowOff>106680</xdr:rowOff>
                  </to>
                </anchor>
              </controlPr>
            </control>
          </mc:Choice>
        </mc:AlternateContent>
        <mc:AlternateContent xmlns:mc="http://schemas.openxmlformats.org/markup-compatibility/2006">
          <mc:Choice Requires="x14">
            <control shapeId="17496" r:id="rId105" name="Check Box 88">
              <controlPr defaultSize="0" autoFill="0" autoLine="0" autoPict="0">
                <anchor moveWithCells="1">
                  <from>
                    <xdr:col>8</xdr:col>
                    <xdr:colOff>0</xdr:colOff>
                    <xdr:row>103</xdr:row>
                    <xdr:rowOff>106680</xdr:rowOff>
                  </from>
                  <to>
                    <xdr:col>9</xdr:col>
                    <xdr:colOff>0</xdr:colOff>
                    <xdr:row>103</xdr:row>
                    <xdr:rowOff>297180</xdr:rowOff>
                  </to>
                </anchor>
              </controlPr>
            </control>
          </mc:Choice>
        </mc:AlternateContent>
        <mc:AlternateContent xmlns:mc="http://schemas.openxmlformats.org/markup-compatibility/2006">
          <mc:Choice Requires="x14">
            <control shapeId="17497" r:id="rId106" name="Check Box 89">
              <controlPr defaultSize="0" autoFill="0" autoLine="0" autoPict="0">
                <anchor moveWithCells="1">
                  <from>
                    <xdr:col>8</xdr:col>
                    <xdr:colOff>0</xdr:colOff>
                    <xdr:row>100</xdr:row>
                    <xdr:rowOff>30480</xdr:rowOff>
                  </from>
                  <to>
                    <xdr:col>9</xdr:col>
                    <xdr:colOff>0</xdr:colOff>
                    <xdr:row>100</xdr:row>
                    <xdr:rowOff>228600</xdr:rowOff>
                  </to>
                </anchor>
              </controlPr>
            </control>
          </mc:Choice>
        </mc:AlternateContent>
        <mc:AlternateContent xmlns:mc="http://schemas.openxmlformats.org/markup-compatibility/2006">
          <mc:Choice Requires="x14">
            <control shapeId="17498" r:id="rId107" name="Check Box 90">
              <controlPr defaultSize="0" autoFill="0" autoLine="0" autoPict="0">
                <anchor moveWithCells="1">
                  <from>
                    <xdr:col>8</xdr:col>
                    <xdr:colOff>0</xdr:colOff>
                    <xdr:row>102</xdr:row>
                    <xdr:rowOff>30480</xdr:rowOff>
                  </from>
                  <to>
                    <xdr:col>9</xdr:col>
                    <xdr:colOff>0</xdr:colOff>
                    <xdr:row>102</xdr:row>
                    <xdr:rowOff>228600</xdr:rowOff>
                  </to>
                </anchor>
              </controlPr>
            </control>
          </mc:Choice>
        </mc:AlternateContent>
      </controls>
    </mc:Choice>
  </mc:AlternateContent>
  <tableParts count="1">
    <tablePart r:id="rId108"/>
  </tableParts>
  <extLst>
    <ext xmlns:x14="http://schemas.microsoft.com/office/spreadsheetml/2009/9/main" uri="{78C0D931-6437-407d-A8EE-F0AAD7539E65}">
      <x14:conditionalFormattings>
        <x14:conditionalFormatting xmlns:xm="http://schemas.microsoft.com/office/excel/2006/main">
          <x14:cfRule type="dataBar" id="{287B8923-1FA3-428A-A00A-1C0310E9817A}">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 xmlns:xm="http://schemas.microsoft.com/office/excel/2006/main">
          <x14:cfRule type="iconSet" priority="13" id="{989505A7-0A1C-408F-8589-B66D5FAD8EC9}">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4045780E-09D4-4495-A815-1F24D9E76A98}">
          <x14:formula1>
            <xm:f>Parâmetros!$A$28:$A$30</xm:f>
          </x14:formula1>
          <xm:sqref>E117:F163</xm:sqref>
        </x14:dataValidation>
        <x14:dataValidation type="list" allowBlank="1" showInputMessage="1" showErrorMessage="1" xr:uid="{548AA944-E6B6-4AF0-B2C8-E5A790E31D1C}">
          <x14:formula1>
            <xm:f>Parâmetros!$A$36:$A$38</xm:f>
          </x14:formula1>
          <xm:sqref>AC29:AC51 AA29:AA51 Y29:Y51 I34:I51 W29:W51 U29:U51 S29:S51 Q29:Q51 O29:O51 M29:M51 K29:K51 I29:I32 AE29:AE51</xm:sqref>
        </x14:dataValidation>
        <x14:dataValidation type="list" allowBlank="1" showInputMessage="1" showErrorMessage="1" xr:uid="{B2F94090-D211-497E-8A25-66AA46451A39}">
          <x14:formula1>
            <xm:f>Parâmetros!$A$31:$A$33</xm:f>
          </x14:formula1>
          <xm:sqref>O55 O57 O59 O61 O63 O65 O67 O69:O114</xm:sqref>
        </x14:dataValidation>
        <x14:dataValidation type="list" allowBlank="1" showInputMessage="1" showErrorMessage="1" xr:uid="{C095A7F8-4FB4-4915-AD38-956C2F1E3FEC}">
          <x14:formula1>
            <xm:f>Parâmetros!$A$28:$A$29</xm:f>
          </x14:formula1>
          <xm:sqref>I118:K139 J55:J114</xm:sqref>
        </x14:dataValidation>
        <x14:dataValidation type="list" allowBlank="1" showInputMessage="1" showErrorMessage="1" xr:uid="{E316A9CD-55A2-4BFA-90E9-3457BFC69F93}">
          <x14:formula1>
            <xm:f>Parâmetros!$A$24:$A$27</xm:f>
          </x14:formula1>
          <xm:sqref>A55:A114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2232-72DE-4790-A7AD-D94B304EE399}">
  <dimension ref="A1:C12"/>
  <sheetViews>
    <sheetView workbookViewId="0">
      <selection activeCell="A10" sqref="A10"/>
    </sheetView>
  </sheetViews>
  <sheetFormatPr defaultRowHeight="14.4" x14ac:dyDescent="0.3"/>
  <cols>
    <col min="1" max="1" width="31.44140625" customWidth="1"/>
    <col min="2" max="2" width="8.5546875" bestFit="1" customWidth="1"/>
    <col min="3" max="3" width="130" customWidth="1"/>
  </cols>
  <sheetData>
    <row r="1" spans="1:3" ht="31.2" x14ac:dyDescent="0.3">
      <c r="A1" s="13" t="s">
        <v>2330</v>
      </c>
      <c r="B1" s="13" t="s">
        <v>73</v>
      </c>
      <c r="C1" s="13" t="s">
        <v>2331</v>
      </c>
    </row>
    <row r="2" spans="1:3" x14ac:dyDescent="0.3">
      <c r="A2" s="14" t="s">
        <v>2332</v>
      </c>
      <c r="B2" s="14" t="s">
        <v>167</v>
      </c>
      <c r="C2" s="14" t="s">
        <v>2333</v>
      </c>
    </row>
    <row r="3" spans="1:3" x14ac:dyDescent="0.3">
      <c r="A3" s="14" t="s">
        <v>171</v>
      </c>
      <c r="B3" s="14" t="s">
        <v>167</v>
      </c>
      <c r="C3" s="14" t="s">
        <v>2334</v>
      </c>
    </row>
    <row r="4" spans="1:3" ht="28.8" x14ac:dyDescent="0.3">
      <c r="A4" s="14" t="s">
        <v>2335</v>
      </c>
      <c r="B4" s="14" t="s">
        <v>167</v>
      </c>
      <c r="C4" s="14" t="s">
        <v>2336</v>
      </c>
    </row>
    <row r="5" spans="1:3" ht="28.8" x14ac:dyDescent="0.3">
      <c r="A5" s="14" t="s">
        <v>2337</v>
      </c>
      <c r="B5" s="14" t="s">
        <v>167</v>
      </c>
      <c r="C5" s="14" t="s">
        <v>2338</v>
      </c>
    </row>
    <row r="6" spans="1:3" x14ac:dyDescent="0.3">
      <c r="A6" s="14" t="s">
        <v>2339</v>
      </c>
      <c r="B6" s="14" t="s">
        <v>2340</v>
      </c>
      <c r="C6" s="14" t="s">
        <v>2341</v>
      </c>
    </row>
    <row r="7" spans="1:3" x14ac:dyDescent="0.3">
      <c r="A7" s="14" t="s">
        <v>2342</v>
      </c>
      <c r="B7" s="14" t="s">
        <v>2340</v>
      </c>
      <c r="C7" s="14" t="s">
        <v>2343</v>
      </c>
    </row>
    <row r="8" spans="1:3" x14ac:dyDescent="0.3">
      <c r="A8" s="14" t="s">
        <v>2344</v>
      </c>
      <c r="B8" s="14" t="s">
        <v>2345</v>
      </c>
      <c r="C8" s="14" t="s">
        <v>2346</v>
      </c>
    </row>
    <row r="9" spans="1:3" x14ac:dyDescent="0.3">
      <c r="A9" s="14" t="s">
        <v>2347</v>
      </c>
      <c r="B9" s="14" t="s">
        <v>167</v>
      </c>
      <c r="C9" s="14" t="s">
        <v>2348</v>
      </c>
    </row>
    <row r="10" spans="1:3" ht="28.8" x14ac:dyDescent="0.3">
      <c r="A10" s="14" t="s">
        <v>2349</v>
      </c>
      <c r="B10" s="14" t="s">
        <v>2350</v>
      </c>
      <c r="C10" s="14" t="s">
        <v>2351</v>
      </c>
    </row>
    <row r="11" spans="1:3" ht="28.8" x14ac:dyDescent="0.3">
      <c r="A11" s="14" t="s">
        <v>2352</v>
      </c>
      <c r="B11" s="14" t="s">
        <v>167</v>
      </c>
      <c r="C11" s="14" t="s">
        <v>2353</v>
      </c>
    </row>
    <row r="12" spans="1:3" x14ac:dyDescent="0.3">
      <c r="A12" s="14" t="s">
        <v>229</v>
      </c>
      <c r="B12" s="14" t="s">
        <v>167</v>
      </c>
      <c r="C12" s="14" t="s">
        <v>2354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C14C-6D4C-47F3-AEE6-8386BDC53B83}">
  <dimension ref="A1:AP390"/>
  <sheetViews>
    <sheetView topLeftCell="Q48" zoomScale="70" zoomScaleNormal="70" zoomScaleSheetLayoutView="63" workbookViewId="0">
      <selection activeCell="AP55" sqref="AP55:AP102"/>
    </sheetView>
  </sheetViews>
  <sheetFormatPr defaultColWidth="8.5546875" defaultRowHeight="14.4" x14ac:dyDescent="0.3"/>
  <cols>
    <col min="1" max="1" width="33.44140625" style="62" customWidth="1"/>
    <col min="2" max="2" width="27.5546875" style="62" customWidth="1"/>
    <col min="3" max="3" width="34" style="62" customWidth="1"/>
    <col min="4" max="4" width="39.5546875" style="62" customWidth="1"/>
    <col min="5" max="5" width="18.44140625" style="62" customWidth="1"/>
    <col min="6" max="6" width="17.5546875" style="62" customWidth="1"/>
    <col min="7" max="7" width="22.44140625" style="62" customWidth="1"/>
    <col min="8" max="8" width="26.5546875" style="62" bestFit="1" customWidth="1"/>
    <col min="9" max="9" width="25.5546875" style="62" bestFit="1" customWidth="1"/>
    <col min="10" max="10" width="18.44140625" style="62" bestFit="1" customWidth="1"/>
    <col min="11" max="11" width="26.44140625" style="62" bestFit="1" customWidth="1"/>
    <col min="12" max="12" width="19.5546875" style="62" customWidth="1"/>
    <col min="13" max="13" width="27.5546875" style="62" customWidth="1"/>
    <col min="14" max="14" width="25" style="62" customWidth="1"/>
    <col min="15" max="15" width="13.5546875" style="62" bestFit="1" customWidth="1"/>
    <col min="16" max="16" width="19.44140625" style="62" bestFit="1" customWidth="1"/>
    <col min="17" max="17" width="37.77734375" style="62" customWidth="1"/>
    <col min="18" max="18" width="21.5546875" style="62" customWidth="1"/>
    <col min="19" max="19" width="17.5546875" style="62" bestFit="1" customWidth="1"/>
    <col min="20" max="20" width="19.44140625" style="62" bestFit="1" customWidth="1"/>
    <col min="21" max="21" width="17.5546875" style="62" customWidth="1"/>
    <col min="22" max="22" width="20.5546875" style="62" customWidth="1"/>
    <col min="23" max="23" width="17.44140625" style="62" customWidth="1"/>
    <col min="24" max="24" width="21.44140625" style="62" customWidth="1"/>
    <col min="25" max="25" width="14.5546875" style="62" customWidth="1"/>
    <col min="26" max="26" width="28.5546875" style="62" bestFit="1" customWidth="1"/>
    <col min="27" max="27" width="28.44140625" style="62" bestFit="1" customWidth="1"/>
    <col min="28" max="28" width="28.5546875" style="62" bestFit="1" customWidth="1"/>
    <col min="29" max="29" width="19.5546875" style="62" bestFit="1" customWidth="1"/>
    <col min="30" max="30" width="21.44140625" style="62" bestFit="1" customWidth="1"/>
    <col min="31" max="31" width="18.5546875" style="62" bestFit="1" customWidth="1"/>
    <col min="32" max="32" width="16" style="62" bestFit="1" customWidth="1"/>
    <col min="33" max="33" width="16.5546875" style="62" bestFit="1" customWidth="1"/>
    <col min="34" max="34" width="19.44140625" style="62" bestFit="1" customWidth="1"/>
    <col min="35" max="35" width="49.44140625" style="62" customWidth="1"/>
    <col min="36" max="36" width="11.5546875" style="62" customWidth="1"/>
    <col min="37" max="37" width="20.44140625" style="62" bestFit="1" customWidth="1"/>
    <col min="38" max="38" width="18.5546875" style="62" customWidth="1"/>
    <col min="39" max="39" width="32.5546875" style="62" bestFit="1" customWidth="1"/>
    <col min="40" max="40" width="8.5546875" style="62"/>
    <col min="41" max="41" width="13.44140625" style="62" bestFit="1" customWidth="1"/>
    <col min="42" max="42" width="19.109375" style="62" bestFit="1" customWidth="1"/>
    <col min="43" max="16384" width="8.5546875" style="62"/>
  </cols>
  <sheetData>
    <row r="1" spans="1:40" ht="50.1" customHeight="1" x14ac:dyDescent="0.3">
      <c r="A1" s="1181" t="s">
        <v>1855</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c r="AF1" s="1181"/>
      <c r="AG1" s="47"/>
      <c r="AH1" s="47"/>
      <c r="AI1" s="47"/>
      <c r="AJ1" s="47"/>
      <c r="AK1" s="47"/>
      <c r="AL1" s="47"/>
    </row>
    <row r="2" spans="1:40" ht="25.35" customHeight="1" x14ac:dyDescent="0.3">
      <c r="A2" s="1183" t="s">
        <v>46</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c r="AF2" s="1183"/>
      <c r="AG2" s="47"/>
      <c r="AH2" s="47"/>
      <c r="AI2" s="47"/>
      <c r="AJ2" s="47"/>
      <c r="AK2" s="47"/>
      <c r="AL2" s="47"/>
    </row>
    <row r="3" spans="1:40"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row>
    <row r="4" spans="1:40" ht="22.35" customHeight="1" x14ac:dyDescent="0.3">
      <c r="A4" s="1185" t="s">
        <v>89</v>
      </c>
      <c r="B4" s="1185"/>
      <c r="C4" s="508" t="s">
        <v>110</v>
      </c>
      <c r="D4" s="511" t="s">
        <v>49</v>
      </c>
      <c r="E4" s="1187" t="s">
        <v>50</v>
      </c>
      <c r="F4" s="1187"/>
      <c r="G4" s="1188" t="s">
        <v>51</v>
      </c>
      <c r="H4" s="1188"/>
      <c r="I4" s="1188"/>
      <c r="J4" s="1189" t="s">
        <v>53</v>
      </c>
      <c r="K4" s="1191"/>
      <c r="L4" s="1189" t="s">
        <v>54</v>
      </c>
      <c r="M4" s="1191"/>
      <c r="N4" s="47"/>
      <c r="O4" s="1192" t="s">
        <v>112</v>
      </c>
      <c r="P4" s="1193"/>
      <c r="Q4" s="1193"/>
      <c r="R4" s="1193"/>
      <c r="S4" s="1193"/>
      <c r="T4" s="1193"/>
      <c r="U4" s="1193"/>
      <c r="V4" s="1193"/>
      <c r="W4" s="1193"/>
      <c r="X4" s="1193"/>
      <c r="Y4" s="1193"/>
      <c r="Z4" s="1193"/>
      <c r="AA4" s="1193"/>
      <c r="AB4" s="1193"/>
      <c r="AC4" s="1193"/>
      <c r="AD4" s="1193"/>
      <c r="AE4" s="1193"/>
      <c r="AF4" s="1193"/>
      <c r="AG4" s="47"/>
      <c r="AH4" s="47"/>
      <c r="AI4" s="47"/>
      <c r="AJ4" s="47"/>
      <c r="AK4" s="47"/>
      <c r="AL4" s="47"/>
    </row>
    <row r="5" spans="1:40" ht="45" customHeight="1" x14ac:dyDescent="0.3">
      <c r="A5" s="1196">
        <f>Parâmetros!E9</f>
        <v>3841000</v>
      </c>
      <c r="B5" s="1196"/>
      <c r="C5" s="510">
        <f>SUM(I55:I102)</f>
        <v>1275000.0001000001</v>
      </c>
      <c r="D5" s="512">
        <f>SUMIF(Q55:Q102,"Previsto",AI55:AI102)</f>
        <v>924316.70950000011</v>
      </c>
      <c r="E5" s="1198">
        <f>SUM(N55:N102)</f>
        <v>512316.7095</v>
      </c>
      <c r="F5" s="1198"/>
      <c r="G5" s="1078">
        <f>SUMIF(Q55:Q102,"Real",AI55:AI102)</f>
        <v>141116.67417433049</v>
      </c>
      <c r="H5" s="1078"/>
      <c r="I5" s="1078"/>
      <c r="J5" s="1050">
        <f>G5/A5</f>
        <v>3.6739566304173521E-2</v>
      </c>
      <c r="K5" s="1052"/>
      <c r="L5" s="1060">
        <f ca="1">SUM(I9:I11)</f>
        <v>13</v>
      </c>
      <c r="M5" s="1061"/>
      <c r="N5" s="242"/>
      <c r="O5" s="243" t="s">
        <v>115</v>
      </c>
      <c r="P5" s="382" t="s">
        <v>72</v>
      </c>
      <c r="Q5" s="244" t="s">
        <v>891</v>
      </c>
      <c r="R5" s="386" t="s">
        <v>117</v>
      </c>
      <c r="S5" s="386" t="s">
        <v>118</v>
      </c>
      <c r="T5" s="542" t="s">
        <v>119</v>
      </c>
      <c r="U5" s="1542" t="s">
        <v>120</v>
      </c>
      <c r="V5" s="1650"/>
      <c r="W5" s="1650"/>
      <c r="X5" s="1650"/>
      <c r="Y5" s="1651"/>
      <c r="Z5" s="244" t="s">
        <v>121</v>
      </c>
      <c r="AA5" s="244" t="s">
        <v>122</v>
      </c>
      <c r="AB5" s="382" t="s">
        <v>123</v>
      </c>
      <c r="AC5" s="382" t="s">
        <v>124</v>
      </c>
      <c r="AD5" s="382" t="s">
        <v>125</v>
      </c>
      <c r="AE5" s="386" t="s">
        <v>126</v>
      </c>
      <c r="AF5" s="47"/>
      <c r="AG5" s="47"/>
      <c r="AH5" s="47"/>
      <c r="AI5" s="47"/>
      <c r="AJ5" s="47"/>
      <c r="AK5" s="47"/>
      <c r="AL5" s="47"/>
      <c r="AM5" s="47"/>
    </row>
    <row r="6" spans="1:40" ht="20.100000000000001" customHeight="1" x14ac:dyDescent="0.3">
      <c r="A6" s="47"/>
      <c r="B6" s="47"/>
      <c r="C6" s="47"/>
      <c r="D6" s="47"/>
      <c r="E6" s="47"/>
      <c r="F6" s="47"/>
      <c r="G6" s="47"/>
      <c r="H6" s="47"/>
      <c r="I6" s="47"/>
      <c r="J6" s="47"/>
      <c r="K6" s="47"/>
      <c r="L6" s="47"/>
      <c r="M6" s="47"/>
      <c r="N6" s="47"/>
      <c r="O6" s="241" cm="1">
        <f t="array" ref="O6:O25">_xlfn.SEQUENCE(20)</f>
        <v>1</v>
      </c>
      <c r="P6" s="398" t="str">
        <f t="shared" ref="P6:P14" si="0">_xlfn.XLOOKUP(U6,$C$55:$C$124,$A$55:$A$124)</f>
        <v>Redução de custo</v>
      </c>
      <c r="Q6" s="404">
        <f>MAX(I55:I124)</f>
        <v>530000</v>
      </c>
      <c r="R6" s="404">
        <f t="shared" ref="R6:R14" si="1">_xlfn.XLOOKUP(Q6,$I$55:$I$124,$N$55:$N$124)</f>
        <v>50000</v>
      </c>
      <c r="S6" s="534">
        <f>_xlfn.XLOOKUP(U6,$C$55:$C$176,$J$55:$J$176)</f>
        <v>0</v>
      </c>
      <c r="T6" s="543" cm="1">
        <f t="array" aca="1" ref="T6" ca="1">SUMPRODUCT(($C$55:$C$124=U6)*(S$54:$AG$54&lt;=TODAY())*(ISNUMBER(S$55:$AG$124)),S$55:$AG$124)</f>
        <v>50000</v>
      </c>
      <c r="U6" s="1748" t="str">
        <f t="shared" ref="U6:U14" si="2">IFERROR(HYPERLINK(INDEX($D$55:$D$124,MATCH(Q6,$I$55:$I$124,0)),INDEX($C$55:$C$124,MATCH(Q6,$I$55:$I$124,0))
   ),
   ""
)</f>
        <v>01 - VENDA DE ATIVOS</v>
      </c>
      <c r="V6" s="1749"/>
      <c r="W6" s="1749"/>
      <c r="X6" s="1749"/>
      <c r="Y6" s="1750"/>
      <c r="Z6" s="707">
        <f t="shared" ref="Z6:Z14" si="3">IF(Q6="","",Q6/$C$5)</f>
        <v>0.41568627447720108</v>
      </c>
      <c r="AA6" s="1011">
        <f>Pareto!E182</f>
        <v>0.41568627447720108</v>
      </c>
      <c r="AB6" s="591">
        <f>R55</f>
        <v>0.70582782800985189</v>
      </c>
      <c r="AC6" s="591">
        <f>R56</f>
        <v>0.71775086505190311</v>
      </c>
      <c r="AD6" s="400" t="str">
        <f t="shared" ref="AD6:AD13" si="4">IF(OR(AB6="",AC6=""),"",IF(AC6=100%,"CONCLUÍDO",IF(AC6=0,IF(AB6=0,"PROJETO NÃO INICIADO","FALTA DE ACOMPANHAMENTO"),IF(AC6&gt;AB6,"ADIANTADO",IF(AC6=AB6,"CONFORME PLANEJADO","ATRASO")))))</f>
        <v>ADIANTADO</v>
      </c>
      <c r="AE6" s="376" cm="1">
        <f t="array" ref="AE6:AE25">_xlfn.XLOOKUP($U$6:$U$25,$C$55:$C$116,$P$55:$P$116)</f>
        <v>0.5</v>
      </c>
      <c r="AF6" s="47"/>
      <c r="AG6" s="47"/>
      <c r="AH6" s="47"/>
      <c r="AI6" s="47"/>
      <c r="AJ6" s="47"/>
      <c r="AK6" s="47"/>
      <c r="AL6" s="47"/>
      <c r="AM6" s="47"/>
    </row>
    <row r="7" spans="1:40" ht="20.100000000000001" customHeight="1" x14ac:dyDescent="0.3">
      <c r="A7" s="1392" t="s">
        <v>129</v>
      </c>
      <c r="B7" s="1392"/>
      <c r="C7" s="1392"/>
      <c r="D7" s="1392"/>
      <c r="E7" s="1392"/>
      <c r="F7" s="1392"/>
      <c r="G7" s="47"/>
      <c r="H7" s="1059" t="s">
        <v>59</v>
      </c>
      <c r="I7" s="1059"/>
      <c r="J7" s="1059"/>
      <c r="K7" s="1393" t="s">
        <v>60</v>
      </c>
      <c r="L7" s="1394"/>
      <c r="M7" s="1394"/>
      <c r="N7" s="47"/>
      <c r="O7" s="278">
        <v>2</v>
      </c>
      <c r="P7" s="399" t="str">
        <f t="shared" si="0"/>
        <v>Redução de custo</v>
      </c>
      <c r="Q7" s="405">
        <f t="shared" ref="Q7:Q14" si="5">IFERROR(LARGE($I$55:$I$124,O7)," ")</f>
        <v>400000</v>
      </c>
      <c r="R7" s="405">
        <f t="shared" si="1"/>
        <v>0</v>
      </c>
      <c r="S7" s="535">
        <f t="shared" ref="S7:S14" si="6">_xlfn.XLOOKUP(U7,$C$55:$C$124,$J$55:$J$124)</f>
        <v>46218</v>
      </c>
      <c r="T7" s="544" cm="1">
        <f t="array" aca="1" ref="T7" ca="1">SUMPRODUCT(($C$55:$C$124=U7)*(S$54:$AG$54&lt;=TODAY())*(ISNUMBER(S$55:$AG$124)),S$55:$AG$124)</f>
        <v>0</v>
      </c>
      <c r="U7" s="1751" t="str">
        <f t="shared" si="2"/>
        <v>02 - TANQUE DE DECAPAGEM</v>
      </c>
      <c r="V7" s="1752"/>
      <c r="W7" s="1752"/>
      <c r="X7" s="1752"/>
      <c r="Y7" s="1753"/>
      <c r="Z7" s="708">
        <f t="shared" si="3"/>
        <v>0.3137254901714725</v>
      </c>
      <c r="AA7" s="1012">
        <f>Pareto!E183</f>
        <v>0.72941176464867352</v>
      </c>
      <c r="AB7" s="592">
        <f>R57</f>
        <v>0.99510646366357636</v>
      </c>
      <c r="AC7" s="592">
        <f>R58</f>
        <v>0.99546075085324226</v>
      </c>
      <c r="AD7" s="401" t="str">
        <f t="shared" si="4"/>
        <v>ADIANTADO</v>
      </c>
      <c r="AE7" s="381">
        <v>0.4</v>
      </c>
      <c r="AG7" s="47"/>
      <c r="AH7" s="47"/>
      <c r="AI7" s="47"/>
      <c r="AJ7" s="47"/>
      <c r="AK7" s="47"/>
      <c r="AL7" s="47"/>
      <c r="AM7" s="47"/>
      <c r="AN7" s="47"/>
    </row>
    <row r="8" spans="1:40" ht="20.100000000000001" customHeight="1" x14ac:dyDescent="0.3">
      <c r="A8" s="385" t="s">
        <v>62</v>
      </c>
      <c r="B8" s="385" t="s">
        <v>63</v>
      </c>
      <c r="C8" s="385" t="s">
        <v>64</v>
      </c>
      <c r="D8" s="49" t="s">
        <v>65</v>
      </c>
      <c r="E8" s="385" t="s">
        <v>66</v>
      </c>
      <c r="F8" s="385" t="s">
        <v>131</v>
      </c>
      <c r="G8" s="47"/>
      <c r="H8" s="15" t="s">
        <v>67</v>
      </c>
      <c r="I8" s="299" t="s">
        <v>63</v>
      </c>
      <c r="J8" s="15" t="s">
        <v>68</v>
      </c>
      <c r="K8" s="1404" t="s">
        <v>69</v>
      </c>
      <c r="L8" s="1408" t="s">
        <v>70</v>
      </c>
      <c r="M8" s="1408" t="s">
        <v>132</v>
      </c>
      <c r="N8" s="47"/>
      <c r="O8" s="241">
        <v>3</v>
      </c>
      <c r="P8" s="398" t="str">
        <f t="shared" si="0"/>
        <v>Redução de custo</v>
      </c>
      <c r="Q8" s="1009">
        <f t="shared" si="5"/>
        <v>135000</v>
      </c>
      <c r="R8" s="404">
        <f t="shared" si="1"/>
        <v>135866.62950000001</v>
      </c>
      <c r="S8" s="534">
        <f t="shared" si="6"/>
        <v>46054</v>
      </c>
      <c r="T8" s="543" cm="1">
        <f t="array" aca="1" ref="T8" ca="1">SUMPRODUCT(($C$55:$C$124=U8)*(S$54:$AG$54&lt;=TODAY())*(ISNUMBER(S$55:$AG$124)),S$55:$AG$124)</f>
        <v>61757.558863636368</v>
      </c>
      <c r="U8" s="1748" t="str">
        <f t="shared" si="2"/>
        <v>03 - PRODUTOS QUÍMICOS KTL</v>
      </c>
      <c r="V8" s="1749"/>
      <c r="W8" s="1749"/>
      <c r="X8" s="1749"/>
      <c r="Y8" s="1750"/>
      <c r="Z8" s="707">
        <f t="shared" si="3"/>
        <v>0.10588235293287197</v>
      </c>
      <c r="AA8" s="1011">
        <f>Pareto!E184</f>
        <v>0.83529411758154548</v>
      </c>
      <c r="AB8" s="591">
        <f>R59</f>
        <v>1</v>
      </c>
      <c r="AC8" s="591">
        <f>R60</f>
        <v>1</v>
      </c>
      <c r="AD8" s="400" t="str">
        <f t="shared" si="4"/>
        <v>CONCLUÍDO</v>
      </c>
      <c r="AE8" s="376">
        <v>1</v>
      </c>
      <c r="AG8" s="47"/>
      <c r="AH8" s="47"/>
      <c r="AI8" s="47"/>
      <c r="AJ8" s="47"/>
      <c r="AK8" s="47"/>
      <c r="AL8" s="47"/>
      <c r="AM8" s="47"/>
      <c r="AN8" s="47"/>
    </row>
    <row r="9" spans="1:40" ht="20.100000000000001" customHeight="1" x14ac:dyDescent="0.3">
      <c r="A9" s="388" t="s">
        <v>76</v>
      </c>
      <c r="B9" s="388">
        <f>COUNTIF($A$56:$A$99,A9)</f>
        <v>0</v>
      </c>
      <c r="C9" s="392">
        <f>SUMIF($A$55:$A$102,A9,$I$55:$I$102)</f>
        <v>0</v>
      </c>
      <c r="D9" s="392">
        <f>SUMIF($A$55:$A$102,A9,$N$55:$N$102)</f>
        <v>0</v>
      </c>
      <c r="E9" s="389">
        <f>IF($C$13=0,"",C9/$C$13)</f>
        <v>0</v>
      </c>
      <c r="F9" s="393">
        <f>E9</f>
        <v>0</v>
      </c>
      <c r="G9" s="47"/>
      <c r="H9" s="21" t="s">
        <v>77</v>
      </c>
      <c r="I9" s="300">
        <f ca="1">COUNTIF($O$55:$O$102,H9)</f>
        <v>0</v>
      </c>
      <c r="J9" s="193">
        <f ca="1">SUMIF($O$59:$O$102,H9,$I$59:$I$102)</f>
        <v>0</v>
      </c>
      <c r="K9" s="1405"/>
      <c r="L9" s="1409"/>
      <c r="M9" s="1409"/>
      <c r="O9" s="278">
        <v>4</v>
      </c>
      <c r="P9" s="399" t="str">
        <f t="shared" si="0"/>
        <v>Redução de custo</v>
      </c>
      <c r="Q9" s="405">
        <f t="shared" si="5"/>
        <v>100000.0001</v>
      </c>
      <c r="R9" s="405">
        <f t="shared" si="1"/>
        <v>253098.29</v>
      </c>
      <c r="S9" s="535">
        <f t="shared" si="6"/>
        <v>46113</v>
      </c>
      <c r="T9" s="544" cm="1">
        <f t="array" aca="1" ref="T9" ca="1">SUMPRODUCT(($C$55:$C$124=U9)*(S$54:$AG$54&lt;=TODAY())*(ISNUMBER(S$55:$AG$124)),S$55:$AG$124)</f>
        <v>84366.096666666679</v>
      </c>
      <c r="U9" s="1066" t="str">
        <f>IFERROR(HYPERLINK(INDEX($D$55:$D$124,MATCH(Q9,$I$55:$I$124,0)),INDEX($C$55:$C$124,MATCH(Q9,$I$55:$I$124,0))
   ),
   ""
)</f>
        <v>04 - GÁS</v>
      </c>
      <c r="V9" s="1067"/>
      <c r="W9" s="1067"/>
      <c r="X9" s="1067"/>
      <c r="Y9" s="1068"/>
      <c r="Z9" s="708">
        <f t="shared" si="3"/>
        <v>7.8431372621299497E-2</v>
      </c>
      <c r="AA9" s="1012">
        <f>Pareto!E185</f>
        <v>0.91372549020284499</v>
      </c>
      <c r="AB9" s="592">
        <f>R61</f>
        <v>0.23731749710312863</v>
      </c>
      <c r="AC9" s="592">
        <f>R62</f>
        <v>0.57908458864426415</v>
      </c>
      <c r="AD9" s="401" t="str">
        <f t="shared" si="4"/>
        <v>ADIANTADO</v>
      </c>
      <c r="AE9" s="381">
        <v>1</v>
      </c>
      <c r="AG9" s="47"/>
      <c r="AH9" s="47"/>
      <c r="AI9" s="47"/>
      <c r="AJ9" s="47"/>
      <c r="AK9" s="47"/>
      <c r="AL9" s="47"/>
      <c r="AM9" s="47"/>
      <c r="AN9" s="47"/>
    </row>
    <row r="10" spans="1:40" ht="20.100000000000001" customHeight="1" x14ac:dyDescent="0.3">
      <c r="A10" s="388" t="s">
        <v>79</v>
      </c>
      <c r="B10" s="388">
        <f>COUNTIF($A$55:$A$98,A10)</f>
        <v>13</v>
      </c>
      <c r="C10" s="392">
        <f>SUMIF($A$55:$A$102,A10,$I$55:$I$102)</f>
        <v>1275000.0001000001</v>
      </c>
      <c r="D10" s="392">
        <f>SUMIF($A$55:$A$102,A10,$N$55:$N$102)</f>
        <v>512316.7095</v>
      </c>
      <c r="E10" s="389">
        <f>IF($C$13=0,"",C10/$C$13)</f>
        <v>1</v>
      </c>
      <c r="F10" s="393">
        <f t="shared" ref="F10:F11" si="7">E10</f>
        <v>1</v>
      </c>
      <c r="G10" s="47"/>
      <c r="H10" s="22" t="s">
        <v>80</v>
      </c>
      <c r="I10" s="301">
        <f ca="1">COUNTIF($O$55:$O$102,H10)</f>
        <v>13</v>
      </c>
      <c r="J10" s="194">
        <f ca="1">SUMIF($O$55:$O$102,H10,$I$55:$I$102)</f>
        <v>1275000.0001000001</v>
      </c>
      <c r="K10" s="1406">
        <f>E133</f>
        <v>0.6785714285714286</v>
      </c>
      <c r="L10" s="1385">
        <f>F133</f>
        <v>0.42857142857142855</v>
      </c>
      <c r="M10" s="1385">
        <f>L128</f>
        <v>0.33333332999999998</v>
      </c>
      <c r="N10" s="47"/>
      <c r="O10" s="241">
        <v>5</v>
      </c>
      <c r="P10" s="398" t="str">
        <f t="shared" si="0"/>
        <v>Redução de custo</v>
      </c>
      <c r="Q10" s="1009">
        <f t="shared" si="5"/>
        <v>51000</v>
      </c>
      <c r="R10" s="404">
        <f t="shared" si="1"/>
        <v>0</v>
      </c>
      <c r="S10" s="534">
        <f t="shared" si="6"/>
        <v>0</v>
      </c>
      <c r="T10" s="543" cm="1">
        <f t="array" aca="1" ref="T10" ca="1">SUMPRODUCT(($C$55:$C$124=U10)*(S$54:$AG$54&lt;=TODAY())*(ISNUMBER(S$55:$AG$124)),S$55:$AG$124)</f>
        <v>0</v>
      </c>
      <c r="U10" s="1748" t="str">
        <f t="shared" si="2"/>
        <v>06 - CONSUMO DE TINTA PÓ</v>
      </c>
      <c r="V10" s="1749"/>
      <c r="W10" s="1749"/>
      <c r="X10" s="1749"/>
      <c r="Y10" s="1750"/>
      <c r="Z10" s="707">
        <f t="shared" si="3"/>
        <v>3.9999999996862746E-2</v>
      </c>
      <c r="AA10" s="1011">
        <f>Pareto!E186</f>
        <v>0.95372549019970776</v>
      </c>
      <c r="AB10" s="591">
        <f>R65</f>
        <v>0.28470979759182513</v>
      </c>
      <c r="AC10" s="591">
        <f>R66</f>
        <v>0.30094481605351175</v>
      </c>
      <c r="AD10" s="400" t="str">
        <f t="shared" si="4"/>
        <v>ADIANTADO</v>
      </c>
      <c r="AE10" s="376">
        <v>1</v>
      </c>
      <c r="AG10" s="47"/>
      <c r="AH10" s="47"/>
      <c r="AI10" s="47"/>
      <c r="AJ10" s="47"/>
      <c r="AK10" s="47"/>
      <c r="AL10" s="47"/>
      <c r="AM10" s="47"/>
      <c r="AN10" s="47"/>
    </row>
    <row r="11" spans="1:40" ht="20.100000000000001" customHeight="1" x14ac:dyDescent="0.3">
      <c r="A11" s="388" t="s">
        <v>82</v>
      </c>
      <c r="B11" s="388">
        <f>COUNTIF($A$54:$A$101,A11)</f>
        <v>0</v>
      </c>
      <c r="C11" s="392">
        <f>SUMIF($A$55:$A$102,A11,$I$55:$I$102)</f>
        <v>0</v>
      </c>
      <c r="D11" s="392">
        <f>SUMIF($A$55:$A$102,A11,$N$55:$N$102)</f>
        <v>0</v>
      </c>
      <c r="E11" s="389">
        <f>IF($C$13=0,"",C11/$C$13)</f>
        <v>0</v>
      </c>
      <c r="F11" s="393">
        <f t="shared" si="7"/>
        <v>0</v>
      </c>
      <c r="G11" s="47"/>
      <c r="H11" s="23" t="s">
        <v>83</v>
      </c>
      <c r="I11" s="302">
        <f ca="1">COUNTIF($O$55:$O$102,H11)</f>
        <v>0</v>
      </c>
      <c r="J11" s="195">
        <f ca="1">SUMIF($O$55:$O$102,H11,$I$55:$I$102)</f>
        <v>0</v>
      </c>
      <c r="K11" s="1407"/>
      <c r="L11" s="1386"/>
      <c r="M11" s="1386"/>
      <c r="N11" s="47"/>
      <c r="O11" s="278">
        <v>6</v>
      </c>
      <c r="P11" s="399" t="str">
        <f t="shared" si="0"/>
        <v>Redução de custo</v>
      </c>
      <c r="Q11" s="405">
        <f t="shared" si="5"/>
        <v>32000</v>
      </c>
      <c r="R11" s="405">
        <f t="shared" si="1"/>
        <v>58351.79</v>
      </c>
      <c r="S11" s="535">
        <f t="shared" si="6"/>
        <v>46082</v>
      </c>
      <c r="T11" s="544" cm="1">
        <f t="array" aca="1" ref="T11" ca="1">SUMPRODUCT(($C$55:$C$124=U11)*(S$54:$AG$54&lt;=TODAY())*(ISNUMBER(S$55:$AG$124)),S$55:$AG$124)</f>
        <v>23340.716</v>
      </c>
      <c r="U11" s="1751" t="str">
        <f t="shared" si="2"/>
        <v>07 - CONSUMO DE EPI e SERVIÇOS</v>
      </c>
      <c r="V11" s="1752"/>
      <c r="W11" s="1752"/>
      <c r="X11" s="1752"/>
      <c r="Y11" s="1753"/>
      <c r="Z11" s="708">
        <f t="shared" si="3"/>
        <v>2.5098039213717799E-2</v>
      </c>
      <c r="AA11" s="1012">
        <f>Pareto!E187</f>
        <v>0.97882352941342554</v>
      </c>
      <c r="AB11" s="592">
        <f>R67</f>
        <v>1</v>
      </c>
      <c r="AC11" s="592">
        <f>R68</f>
        <v>1</v>
      </c>
      <c r="AD11" s="401" t="str">
        <f t="shared" si="4"/>
        <v>CONCLUÍDO</v>
      </c>
      <c r="AE11" s="381">
        <v>1</v>
      </c>
      <c r="AG11" s="47"/>
      <c r="AH11" s="47"/>
      <c r="AI11" s="47"/>
      <c r="AJ11" s="47"/>
      <c r="AK11" s="47"/>
      <c r="AL11" s="47"/>
      <c r="AM11" s="47"/>
      <c r="AN11" s="47"/>
    </row>
    <row r="12" spans="1:40" ht="20.100000000000001" customHeight="1" x14ac:dyDescent="0.3">
      <c r="A12" s="388" t="s">
        <v>85</v>
      </c>
      <c r="B12" s="388">
        <f>COUNTIF($A$55:$A$102,A12)</f>
        <v>0</v>
      </c>
      <c r="C12" s="392">
        <f>SUMIF($A$55:$A$102,A12,$I$55:$I$102)</f>
        <v>0</v>
      </c>
      <c r="D12" s="392">
        <f>SUMIF($A$55:$A$102,B12,$I$55:$I$102)</f>
        <v>0</v>
      </c>
      <c r="E12" s="389">
        <f>IF($C$13=0,"",C12/$C$13)</f>
        <v>0</v>
      </c>
      <c r="F12" s="393">
        <f t="shared" ref="F12" si="8">E12</f>
        <v>0</v>
      </c>
      <c r="G12" s="47"/>
      <c r="H12" s="47"/>
      <c r="I12" s="47"/>
      <c r="J12" s="47"/>
      <c r="K12" s="47"/>
      <c r="L12" s="47"/>
      <c r="M12" s="47"/>
      <c r="N12" s="47"/>
      <c r="O12" s="241">
        <v>7</v>
      </c>
      <c r="P12" s="398" t="str">
        <f t="shared" si="0"/>
        <v>Redução de custo</v>
      </c>
      <c r="Q12" s="1009">
        <f t="shared" si="5"/>
        <v>15000</v>
      </c>
      <c r="R12" s="404">
        <f t="shared" si="1"/>
        <v>15000</v>
      </c>
      <c r="S12" s="534">
        <f t="shared" si="6"/>
        <v>46113</v>
      </c>
      <c r="T12" s="543" cm="1">
        <f t="array" aca="1" ref="T12" ca="1">SUMPRODUCT(($C$55:$C$124=U12)*(S$54:$AG$54&lt;=TODAY())*(ISNUMBER(S$55:$AG$124)),S$55:$AG$124)</f>
        <v>5000</v>
      </c>
      <c r="U12" s="1748" t="str">
        <f t="shared" si="2"/>
        <v>10 - CONSUMO PERNA DE MOÇA</v>
      </c>
      <c r="V12" s="1749"/>
      <c r="W12" s="1749"/>
      <c r="X12" s="1749"/>
      <c r="Y12" s="1750"/>
      <c r="Z12" s="707">
        <f t="shared" si="3"/>
        <v>1.1764705881430219E-2</v>
      </c>
      <c r="AA12" s="1011">
        <f>Pareto!E188</f>
        <v>0.99058823529485573</v>
      </c>
      <c r="AB12" s="591">
        <f>R73</f>
        <v>0.85688323489323026</v>
      </c>
      <c r="AC12" s="591">
        <f>R74</f>
        <v>0.87323943661971826</v>
      </c>
      <c r="AD12" s="400" t="str">
        <f t="shared" si="4"/>
        <v>ADIANTADO</v>
      </c>
      <c r="AE12" s="376">
        <v>0.7</v>
      </c>
      <c r="AG12" s="47"/>
      <c r="AH12" s="47"/>
      <c r="AI12" s="47"/>
      <c r="AJ12" s="47"/>
      <c r="AK12" s="47"/>
      <c r="AL12" s="47"/>
      <c r="AM12" s="47"/>
      <c r="AN12" s="47"/>
    </row>
    <row r="13" spans="1:40" ht="20.100000000000001" customHeight="1" x14ac:dyDescent="0.45">
      <c r="A13" s="390" t="s">
        <v>29</v>
      </c>
      <c r="B13" s="390">
        <f>SUM(B9:B12)</f>
        <v>13</v>
      </c>
      <c r="C13" s="394">
        <f>SUM(C9:C12)</f>
        <v>1275000.0001000001</v>
      </c>
      <c r="D13" s="394">
        <f>SUM(D9:D12)</f>
        <v>512316.7095</v>
      </c>
      <c r="E13" s="391">
        <f>SUM(E9:E12)</f>
        <v>1</v>
      </c>
      <c r="F13" s="29"/>
      <c r="G13" s="47"/>
      <c r="H13" s="47"/>
      <c r="I13" s="47"/>
      <c r="J13" s="47"/>
      <c r="K13" s="47"/>
      <c r="L13" s="168"/>
      <c r="M13" s="475"/>
      <c r="N13" s="475"/>
      <c r="O13" s="278">
        <v>8</v>
      </c>
      <c r="P13" s="399" t="str">
        <f t="shared" si="0"/>
        <v>Redução de custo</v>
      </c>
      <c r="Q13" s="405">
        <f t="shared" si="5"/>
        <v>7000</v>
      </c>
      <c r="R13" s="405">
        <f t="shared" si="1"/>
        <v>0</v>
      </c>
      <c r="S13" s="535">
        <f t="shared" si="6"/>
        <v>46235</v>
      </c>
      <c r="T13" s="544" cm="1">
        <f t="array" aca="1" ref="T13" ca="1">SUMPRODUCT(($C$55:$C$124=U13)*(S$54:$AG$54&lt;=TODAY())*(ISNUMBER(S$55:$AG$124)),S$55:$AG$124)</f>
        <v>0</v>
      </c>
      <c r="U13" s="1754" t="str">
        <f t="shared" si="2"/>
        <v>12 - Vendas de descartáveis</v>
      </c>
      <c r="V13" s="1755"/>
      <c r="W13" s="1755"/>
      <c r="X13" s="1755"/>
      <c r="Y13" s="1756"/>
      <c r="Z13" s="708">
        <f t="shared" si="3"/>
        <v>5.4901960780007683E-3</v>
      </c>
      <c r="AA13" s="1012">
        <f>Pareto!E189</f>
        <v>0.99607843137285645</v>
      </c>
      <c r="AB13" s="592">
        <f>R77</f>
        <v>0.74437500000000001</v>
      </c>
      <c r="AC13" s="592">
        <f>R78</f>
        <v>0.75031249999999994</v>
      </c>
      <c r="AD13" s="401" t="str">
        <f t="shared" si="4"/>
        <v>ADIANTADO</v>
      </c>
      <c r="AE13" s="381">
        <v>0.5</v>
      </c>
      <c r="AG13" s="47"/>
      <c r="AH13" s="47"/>
      <c r="AI13" s="47"/>
      <c r="AJ13" s="47"/>
      <c r="AK13" s="47"/>
      <c r="AL13" s="47"/>
      <c r="AM13" s="47"/>
      <c r="AN13" s="47"/>
    </row>
    <row r="14" spans="1:40" ht="20.100000000000001" customHeight="1" x14ac:dyDescent="0.3">
      <c r="A14" s="47"/>
      <c r="B14" s="47"/>
      <c r="C14" s="47"/>
      <c r="D14" s="47"/>
      <c r="E14" s="47"/>
      <c r="F14" s="47"/>
      <c r="G14" s="47"/>
      <c r="H14" s="47"/>
      <c r="I14" s="47"/>
      <c r="J14" s="47"/>
      <c r="K14" s="47"/>
      <c r="L14" s="47"/>
      <c r="M14" s="47"/>
      <c r="N14" s="47"/>
      <c r="O14" s="241">
        <v>9</v>
      </c>
      <c r="P14" s="398" t="str">
        <f t="shared" si="0"/>
        <v>Redução de custo</v>
      </c>
      <c r="Q14" s="1009">
        <f t="shared" si="5"/>
        <v>5000</v>
      </c>
      <c r="R14" s="404">
        <f t="shared" si="1"/>
        <v>0</v>
      </c>
      <c r="S14" s="534">
        <f t="shared" si="6"/>
        <v>46143</v>
      </c>
      <c r="T14" s="543" cm="1">
        <f t="array" aca="1" ref="T14" ca="1">SUMPRODUCT(($C$55:$C$124=U14)*(S$54:$AG$54&lt;=TODAY())*(ISNUMBER(S$55:$AG$124)),S$55:$AG$124)</f>
        <v>1250</v>
      </c>
      <c r="U14" s="1641" t="str">
        <f t="shared" si="2"/>
        <v>13 - Consumo de materiais da ETE</v>
      </c>
      <c r="V14" s="1642"/>
      <c r="W14" s="1642"/>
      <c r="X14" s="1642"/>
      <c r="Y14" s="1643"/>
      <c r="Z14" s="707">
        <f t="shared" si="3"/>
        <v>3.9215686271434061E-3</v>
      </c>
      <c r="AA14" s="1011">
        <f>Pareto!E190</f>
        <v>0.99999999999999989</v>
      </c>
      <c r="AB14" s="591">
        <f>R79</f>
        <v>0.48561541981239992</v>
      </c>
      <c r="AC14" s="591">
        <f>R80</f>
        <v>0.49048387096774188</v>
      </c>
      <c r="AD14" s="400" t="str">
        <f t="shared" ref="AD14" si="9">IF(OR(AB14="",AC14=""),"",IF(AC14=100%,"CONCLUÍDO",IF(AC14=0,IF(AB14=0,"PROJETO NÃO INICIADO","FALTA DE ACOMPANHAMENTO"),IF(AC14&gt;AB14,"ADIANTADO",IF(AC14=AB14,"CONFORME PLANEJADO","ATRASO")))))</f>
        <v>ADIANTADO</v>
      </c>
      <c r="AE14" s="376">
        <v>1</v>
      </c>
      <c r="AF14" s="47"/>
      <c r="AG14" s="47"/>
      <c r="AH14" s="47"/>
      <c r="AI14" s="47"/>
      <c r="AJ14" s="47"/>
      <c r="AK14" s="47"/>
      <c r="AL14" s="47"/>
      <c r="AM14" s="47"/>
    </row>
    <row r="15" spans="1:40" ht="20.100000000000001" customHeight="1" x14ac:dyDescent="0.3">
      <c r="A15" s="47"/>
      <c r="B15" s="47"/>
      <c r="C15" s="47"/>
      <c r="D15" s="47"/>
      <c r="E15" s="47"/>
      <c r="F15" s="47" t="s">
        <v>90</v>
      </c>
      <c r="G15" s="967">
        <f>SUMIF($B$55:$B$102,F15,$N$55:$N$102)</f>
        <v>0</v>
      </c>
      <c r="H15" s="47"/>
      <c r="I15" s="47"/>
      <c r="J15" s="47"/>
      <c r="K15" s="47"/>
      <c r="L15" s="47"/>
      <c r="M15" s="47"/>
      <c r="N15" s="47"/>
      <c r="O15" s="278">
        <v>10</v>
      </c>
      <c r="P15" s="399"/>
      <c r="Q15" s="405"/>
      <c r="R15" s="405"/>
      <c r="S15" s="535"/>
      <c r="T15" s="544"/>
      <c r="U15" s="1301"/>
      <c r="V15" s="1301"/>
      <c r="W15" s="1301"/>
      <c r="X15" s="1301"/>
      <c r="Y15" s="1301"/>
      <c r="Z15" s="381" t="str">
        <f t="shared" ref="Z15:Z16" si="10">IF(Q15="","",Q15/$C$5)</f>
        <v/>
      </c>
      <c r="AA15" s="277" t="str">
        <f>Pareto!E191</f>
        <v xml:space="preserve"> </v>
      </c>
      <c r="AB15" s="592"/>
      <c r="AC15" s="592"/>
      <c r="AD15" s="401"/>
      <c r="AE15" s="381">
        <v>0</v>
      </c>
      <c r="AF15" s="47"/>
      <c r="AG15" s="47"/>
      <c r="AH15" s="47"/>
      <c r="AI15" s="47"/>
      <c r="AJ15" s="47"/>
      <c r="AK15" s="47"/>
      <c r="AL15" s="47"/>
      <c r="AM15" s="47"/>
    </row>
    <row r="16" spans="1:40" ht="20.100000000000001" customHeight="1" x14ac:dyDescent="0.3">
      <c r="A16" s="47"/>
      <c r="B16" s="47"/>
      <c r="C16" s="47"/>
      <c r="D16" s="47"/>
      <c r="E16" s="47"/>
      <c r="F16" s="47" t="s">
        <v>91</v>
      </c>
      <c r="G16" s="967">
        <f t="shared" ref="G16:G18" si="11">SUMIF($B$55:$B$102,F16,$N$55:$N$102)</f>
        <v>15000</v>
      </c>
      <c r="H16" s="47"/>
      <c r="I16" s="47"/>
      <c r="J16" s="47"/>
      <c r="K16" s="47"/>
      <c r="L16" s="47"/>
      <c r="M16" s="47"/>
      <c r="N16" s="47"/>
      <c r="O16" s="241">
        <v>11</v>
      </c>
      <c r="P16" s="398"/>
      <c r="Q16" s="1009"/>
      <c r="R16" s="404"/>
      <c r="S16" s="534"/>
      <c r="T16" s="543"/>
      <c r="U16" s="1302"/>
      <c r="V16" s="1302"/>
      <c r="W16" s="1302"/>
      <c r="X16" s="1302"/>
      <c r="Y16" s="1302"/>
      <c r="Z16" s="376" t="str">
        <f t="shared" si="10"/>
        <v/>
      </c>
      <c r="AA16" s="248" t="str">
        <f>Pareto!E192</f>
        <v xml:space="preserve"> </v>
      </c>
      <c r="AB16" s="591"/>
      <c r="AC16" s="591"/>
      <c r="AD16" s="400"/>
      <c r="AE16" s="376">
        <v>0</v>
      </c>
      <c r="AF16" s="47"/>
      <c r="AG16" s="47"/>
      <c r="AH16" s="47"/>
      <c r="AI16" s="47"/>
      <c r="AJ16" s="47"/>
      <c r="AK16" s="47"/>
      <c r="AL16" s="47"/>
      <c r="AM16" s="47"/>
    </row>
    <row r="17" spans="1:39" ht="20.100000000000001" customHeight="1" x14ac:dyDescent="0.3">
      <c r="A17" s="47"/>
      <c r="B17" s="47"/>
      <c r="C17" s="47"/>
      <c r="D17" s="47"/>
      <c r="E17" s="47"/>
      <c r="F17" s="47" t="s">
        <v>93</v>
      </c>
      <c r="G17" s="967">
        <f t="shared" si="11"/>
        <v>447316.7095</v>
      </c>
      <c r="H17" s="47"/>
      <c r="I17" s="47"/>
      <c r="J17" s="47"/>
      <c r="K17" s="47"/>
      <c r="L17" s="47"/>
      <c r="M17" s="47"/>
      <c r="N17" s="47"/>
      <c r="O17" s="278">
        <v>12</v>
      </c>
      <c r="P17" s="399"/>
      <c r="Q17" s="405"/>
      <c r="R17" s="405"/>
      <c r="S17" s="535"/>
      <c r="T17" s="544"/>
      <c r="U17" s="1301"/>
      <c r="V17" s="1301"/>
      <c r="W17" s="1301"/>
      <c r="X17" s="1301"/>
      <c r="Y17" s="1301"/>
      <c r="Z17" s="381"/>
      <c r="AA17" s="277" t="str">
        <f>Pareto!E193</f>
        <v xml:space="preserve"> </v>
      </c>
      <c r="AB17" s="592"/>
      <c r="AC17" s="592"/>
      <c r="AD17" s="401"/>
      <c r="AE17" s="381">
        <v>0</v>
      </c>
      <c r="AF17" s="47"/>
      <c r="AG17" s="47"/>
      <c r="AH17" s="47"/>
      <c r="AI17" s="47"/>
      <c r="AJ17" s="47"/>
      <c r="AK17" s="47"/>
      <c r="AL17" s="47"/>
      <c r="AM17" s="47"/>
    </row>
    <row r="18" spans="1:39" ht="20.100000000000001" customHeight="1" x14ac:dyDescent="0.3">
      <c r="A18" s="47"/>
      <c r="B18" s="47"/>
      <c r="C18" s="47"/>
      <c r="D18" s="47"/>
      <c r="E18" s="47"/>
      <c r="F18" s="47" t="s">
        <v>94</v>
      </c>
      <c r="G18" s="967">
        <f t="shared" si="11"/>
        <v>50000</v>
      </c>
      <c r="H18" s="47"/>
      <c r="I18" s="47"/>
      <c r="J18" s="47"/>
      <c r="K18" s="47"/>
      <c r="L18" s="47"/>
      <c r="M18" s="47"/>
      <c r="N18" s="47"/>
      <c r="O18" s="241">
        <v>13</v>
      </c>
      <c r="P18" s="398"/>
      <c r="Q18" s="1009"/>
      <c r="R18" s="404"/>
      <c r="S18" s="534"/>
      <c r="T18" s="543"/>
      <c r="U18" s="1302"/>
      <c r="V18" s="1302"/>
      <c r="W18" s="1302"/>
      <c r="X18" s="1302"/>
      <c r="Y18" s="1302"/>
      <c r="Z18" s="376"/>
      <c r="AA18" s="248" t="str">
        <f>Pareto!E194</f>
        <v xml:space="preserve"> </v>
      </c>
      <c r="AB18" s="591"/>
      <c r="AC18" s="591"/>
      <c r="AD18" s="400"/>
      <c r="AE18" s="376">
        <v>0</v>
      </c>
      <c r="AF18" s="47"/>
      <c r="AG18" s="47"/>
      <c r="AH18" s="47"/>
      <c r="AI18" s="47"/>
      <c r="AJ18" s="47"/>
      <c r="AK18" s="47"/>
      <c r="AL18" s="47"/>
      <c r="AM18" s="47"/>
    </row>
    <row r="19" spans="1:39" ht="20.100000000000001" customHeight="1" x14ac:dyDescent="0.3">
      <c r="A19" s="47"/>
      <c r="B19" s="47"/>
      <c r="C19" s="47"/>
      <c r="D19" s="47"/>
      <c r="E19" s="47"/>
      <c r="F19" s="47"/>
      <c r="G19" s="47"/>
      <c r="H19" s="47"/>
      <c r="I19" s="47"/>
      <c r="J19" s="47"/>
      <c r="K19" s="47"/>
      <c r="L19" s="47"/>
      <c r="M19" s="47"/>
      <c r="N19" s="47"/>
      <c r="O19" s="278">
        <v>14</v>
      </c>
      <c r="P19" s="399"/>
      <c r="Q19" s="405"/>
      <c r="R19" s="405"/>
      <c r="S19" s="535"/>
      <c r="T19" s="544"/>
      <c r="U19" s="1301"/>
      <c r="V19" s="1301"/>
      <c r="W19" s="1301"/>
      <c r="X19" s="1301"/>
      <c r="Y19" s="1301"/>
      <c r="Z19" s="381"/>
      <c r="AA19" s="277"/>
      <c r="AB19" s="384"/>
      <c r="AC19" s="384"/>
      <c r="AD19" s="401"/>
      <c r="AE19" s="381">
        <v>0</v>
      </c>
      <c r="AF19" s="47"/>
      <c r="AG19" s="47"/>
      <c r="AH19" s="47"/>
      <c r="AI19" s="47"/>
      <c r="AJ19" s="47"/>
      <c r="AK19" s="47"/>
      <c r="AL19" s="47"/>
      <c r="AM19" s="47"/>
    </row>
    <row r="20" spans="1:39" ht="20.100000000000001" customHeight="1" x14ac:dyDescent="0.3">
      <c r="A20" s="47"/>
      <c r="B20" s="47"/>
      <c r="C20" s="47"/>
      <c r="D20" s="47"/>
      <c r="E20" s="47"/>
      <c r="F20" s="47"/>
      <c r="G20" s="47"/>
      <c r="H20" s="47"/>
      <c r="I20" s="47"/>
      <c r="J20" s="47"/>
      <c r="K20" s="47"/>
      <c r="L20" s="47"/>
      <c r="M20" s="47"/>
      <c r="N20" s="47"/>
      <c r="O20" s="241">
        <v>15</v>
      </c>
      <c r="P20" s="398"/>
      <c r="Q20" s="404"/>
      <c r="R20" s="404"/>
      <c r="S20" s="534"/>
      <c r="T20" s="543"/>
      <c r="U20" s="1302"/>
      <c r="V20" s="1302"/>
      <c r="W20" s="1302"/>
      <c r="X20" s="1302"/>
      <c r="Y20" s="1302"/>
      <c r="Z20" s="376"/>
      <c r="AA20" s="248"/>
      <c r="AB20" s="383"/>
      <c r="AC20" s="383"/>
      <c r="AD20" s="400"/>
      <c r="AE20" s="376">
        <v>0</v>
      </c>
      <c r="AF20" s="47"/>
      <c r="AG20" s="47"/>
      <c r="AH20" s="47"/>
      <c r="AI20" s="47"/>
      <c r="AJ20" s="47"/>
      <c r="AK20" s="47"/>
      <c r="AL20" s="47"/>
      <c r="AM20" s="47"/>
    </row>
    <row r="21" spans="1:39" ht="20.100000000000001" customHeight="1" x14ac:dyDescent="0.3">
      <c r="A21" s="47"/>
      <c r="B21" s="47"/>
      <c r="C21" s="47"/>
      <c r="D21" s="47"/>
      <c r="E21" s="47"/>
      <c r="F21" s="47"/>
      <c r="G21" s="47"/>
      <c r="H21" s="47"/>
      <c r="I21" s="47"/>
      <c r="J21" s="47"/>
      <c r="K21" s="47"/>
      <c r="L21" s="47"/>
      <c r="M21" s="47"/>
      <c r="N21" s="47"/>
      <c r="O21" s="278">
        <v>16</v>
      </c>
      <c r="P21" s="399"/>
      <c r="Q21" s="405"/>
      <c r="R21" s="405"/>
      <c r="S21" s="535"/>
      <c r="T21" s="544"/>
      <c r="U21" s="1301"/>
      <c r="V21" s="1301"/>
      <c r="W21" s="1301"/>
      <c r="X21" s="1301"/>
      <c r="Y21" s="1301"/>
      <c r="Z21" s="381"/>
      <c r="AA21" s="277"/>
      <c r="AB21" s="384"/>
      <c r="AC21" s="384"/>
      <c r="AD21" s="401"/>
      <c r="AE21" s="381">
        <v>0</v>
      </c>
      <c r="AF21" s="47"/>
      <c r="AG21" s="47"/>
      <c r="AH21" s="47"/>
      <c r="AI21" s="47"/>
      <c r="AJ21" s="47"/>
      <c r="AK21" s="47"/>
      <c r="AL21" s="47"/>
      <c r="AM21" s="47"/>
    </row>
    <row r="22" spans="1:39" ht="20.100000000000001" customHeight="1" x14ac:dyDescent="0.3">
      <c r="A22" s="47"/>
      <c r="B22" s="47"/>
      <c r="C22" s="47"/>
      <c r="D22" s="47"/>
      <c r="E22" s="47"/>
      <c r="F22" s="47"/>
      <c r="G22" s="47"/>
      <c r="H22" s="47"/>
      <c r="I22" s="47"/>
      <c r="J22" s="47"/>
      <c r="K22" s="47"/>
      <c r="L22" s="47"/>
      <c r="M22" s="47"/>
      <c r="N22" s="47"/>
      <c r="O22" s="241">
        <v>17</v>
      </c>
      <c r="P22" s="398"/>
      <c r="Q22" s="404"/>
      <c r="R22" s="404"/>
      <c r="S22" s="534"/>
      <c r="T22" s="543"/>
      <c r="U22" s="1302"/>
      <c r="V22" s="1302"/>
      <c r="W22" s="1302"/>
      <c r="X22" s="1302"/>
      <c r="Y22" s="1302"/>
      <c r="Z22" s="376"/>
      <c r="AA22" s="248"/>
      <c r="AB22" s="383"/>
      <c r="AC22" s="383"/>
      <c r="AD22" s="400"/>
      <c r="AE22" s="376">
        <v>0</v>
      </c>
      <c r="AF22" s="47"/>
      <c r="AG22" s="47"/>
      <c r="AH22" s="47"/>
      <c r="AI22" s="47"/>
      <c r="AJ22" s="47"/>
      <c r="AK22" s="47"/>
      <c r="AL22" s="47"/>
      <c r="AM22" s="47"/>
    </row>
    <row r="23" spans="1:39" ht="20.100000000000001" customHeight="1" x14ac:dyDescent="0.3">
      <c r="A23" s="47"/>
      <c r="B23" s="47"/>
      <c r="C23" s="47"/>
      <c r="D23" s="47"/>
      <c r="E23" s="47"/>
      <c r="F23" s="47"/>
      <c r="G23" s="47"/>
      <c r="H23" s="47"/>
      <c r="I23" s="47"/>
      <c r="J23" s="47"/>
      <c r="K23" s="47"/>
      <c r="L23" s="47"/>
      <c r="M23" s="47"/>
      <c r="N23" s="47"/>
      <c r="O23" s="278">
        <v>18</v>
      </c>
      <c r="P23" s="399"/>
      <c r="Q23" s="405"/>
      <c r="R23" s="405"/>
      <c r="S23" s="535"/>
      <c r="T23" s="544"/>
      <c r="U23" s="1301"/>
      <c r="V23" s="1301"/>
      <c r="W23" s="1301"/>
      <c r="X23" s="1301"/>
      <c r="Y23" s="1301"/>
      <c r="Z23" s="381"/>
      <c r="AA23" s="277"/>
      <c r="AB23" s="384"/>
      <c r="AC23" s="384"/>
      <c r="AD23" s="401"/>
      <c r="AE23" s="381">
        <v>0</v>
      </c>
      <c r="AF23" s="47"/>
      <c r="AG23" s="47"/>
      <c r="AH23" s="47"/>
      <c r="AI23" s="47"/>
      <c r="AJ23" s="47"/>
      <c r="AK23" s="47"/>
      <c r="AL23" s="47"/>
      <c r="AM23" s="47"/>
    </row>
    <row r="24" spans="1:39" ht="20.100000000000001" customHeight="1" x14ac:dyDescent="0.3">
      <c r="A24" s="47"/>
      <c r="B24" s="47"/>
      <c r="C24" s="47"/>
      <c r="D24" s="47"/>
      <c r="E24" s="47"/>
      <c r="F24" s="47"/>
      <c r="G24" s="47"/>
      <c r="H24" s="47"/>
      <c r="I24" s="47"/>
      <c r="J24" s="47"/>
      <c r="K24" s="47"/>
      <c r="L24" s="47"/>
      <c r="M24" s="47"/>
      <c r="N24" s="47"/>
      <c r="O24" s="241">
        <v>19</v>
      </c>
      <c r="P24" s="398"/>
      <c r="Q24" s="404"/>
      <c r="R24" s="404"/>
      <c r="S24" s="534"/>
      <c r="T24" s="543"/>
      <c r="U24" s="1302"/>
      <c r="V24" s="1302"/>
      <c r="W24" s="1302"/>
      <c r="X24" s="1302"/>
      <c r="Y24" s="1302"/>
      <c r="Z24" s="376"/>
      <c r="AA24" s="248"/>
      <c r="AB24" s="383"/>
      <c r="AC24" s="383"/>
      <c r="AD24" s="400"/>
      <c r="AE24" s="376">
        <v>0</v>
      </c>
      <c r="AF24" s="47"/>
      <c r="AG24" s="47"/>
      <c r="AH24" s="47"/>
      <c r="AI24" s="47"/>
      <c r="AJ24" s="47"/>
      <c r="AK24" s="47"/>
      <c r="AL24" s="47"/>
      <c r="AM24" s="47"/>
    </row>
    <row r="25" spans="1:39" ht="20.100000000000001" customHeight="1" x14ac:dyDescent="0.3">
      <c r="A25" s="47"/>
      <c r="B25" s="47"/>
      <c r="C25" s="47"/>
      <c r="D25" s="47"/>
      <c r="E25" s="47"/>
      <c r="F25" s="47"/>
      <c r="G25" s="47"/>
      <c r="H25" s="47"/>
      <c r="I25" s="47"/>
      <c r="J25" s="47"/>
      <c r="K25" s="47"/>
      <c r="L25" s="47"/>
      <c r="M25" s="47"/>
      <c r="N25" s="47"/>
      <c r="O25" s="278">
        <v>20</v>
      </c>
      <c r="P25" s="399"/>
      <c r="Q25" s="405"/>
      <c r="R25" s="405"/>
      <c r="S25" s="535"/>
      <c r="T25" s="544"/>
      <c r="U25" s="1301"/>
      <c r="V25" s="1301"/>
      <c r="W25" s="1301"/>
      <c r="X25" s="1301"/>
      <c r="Y25" s="1301"/>
      <c r="Z25" s="381"/>
      <c r="AA25" s="277"/>
      <c r="AB25" s="384"/>
      <c r="AC25" s="384"/>
      <c r="AD25" s="401"/>
      <c r="AE25" s="381">
        <v>0</v>
      </c>
      <c r="AF25" s="47"/>
      <c r="AG25" s="47"/>
      <c r="AH25" s="47"/>
      <c r="AI25" s="47"/>
      <c r="AJ25" s="47"/>
      <c r="AK25" s="47"/>
      <c r="AL25" s="47"/>
      <c r="AM25" s="47"/>
    </row>
    <row r="26" spans="1:39" ht="20.100000000000001" customHeight="1" x14ac:dyDescent="0.3">
      <c r="A26" s="47"/>
      <c r="B26" s="47"/>
      <c r="C26" s="47"/>
      <c r="D26" s="47"/>
      <c r="E26" s="47"/>
      <c r="F26" s="47"/>
      <c r="G26" s="47"/>
      <c r="H26" s="47"/>
      <c r="I26" s="47"/>
      <c r="J26" s="47"/>
      <c r="K26" s="47"/>
      <c r="L26" s="47"/>
      <c r="M26" s="47"/>
      <c r="N26" s="47"/>
      <c r="O26" s="1079" t="s">
        <v>133</v>
      </c>
      <c r="P26" s="1080"/>
      <c r="Q26" s="435">
        <f>SUM(Q6:Q25)</f>
        <v>1275000.0001000001</v>
      </c>
      <c r="R26" s="435">
        <f>SUM(R6:R25)</f>
        <v>512316.7095</v>
      </c>
      <c r="S26" s="47"/>
      <c r="T26" s="435">
        <f ca="1">SUM(T6:T25)</f>
        <v>225714.37153030303</v>
      </c>
      <c r="U26" s="47"/>
      <c r="V26" s="47"/>
      <c r="W26" s="47"/>
      <c r="X26" s="47"/>
      <c r="Y26" s="47"/>
      <c r="Z26" s="47"/>
      <c r="AA26" s="47"/>
      <c r="AB26" s="47"/>
      <c r="AC26" s="47"/>
      <c r="AD26" s="47"/>
      <c r="AE26" s="47"/>
      <c r="AF26" s="47"/>
      <c r="AG26" s="47"/>
      <c r="AH26" s="47"/>
      <c r="AI26" s="47"/>
      <c r="AJ26" s="47"/>
      <c r="AK26" s="47"/>
      <c r="AL26" s="47"/>
    </row>
    <row r="27" spans="1:39" ht="15.6" x14ac:dyDescent="0.3">
      <c r="A27" s="63" t="s">
        <v>134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47"/>
      <c r="AG27" s="47"/>
      <c r="AH27" s="47"/>
      <c r="AI27" s="47"/>
      <c r="AJ27" s="47"/>
      <c r="AK27" s="47"/>
      <c r="AL27" s="47"/>
    </row>
    <row r="28" spans="1:39" x14ac:dyDescent="0.3">
      <c r="A28" s="64" t="s">
        <v>135</v>
      </c>
      <c r="B28" s="65" t="s">
        <v>31</v>
      </c>
      <c r="C28" s="65" t="s">
        <v>136</v>
      </c>
      <c r="D28" s="65" t="s">
        <v>137</v>
      </c>
      <c r="E28" s="65" t="s">
        <v>138</v>
      </c>
      <c r="F28" s="65" t="s">
        <v>139</v>
      </c>
      <c r="G28" s="65" t="s">
        <v>140</v>
      </c>
      <c r="H28" s="65" t="s">
        <v>141</v>
      </c>
      <c r="I28" s="66" t="s">
        <v>142</v>
      </c>
      <c r="J28" s="65" t="s">
        <v>143</v>
      </c>
      <c r="K28" s="66" t="s">
        <v>144</v>
      </c>
      <c r="L28" s="65" t="s">
        <v>145</v>
      </c>
      <c r="M28" s="66" t="s">
        <v>146</v>
      </c>
      <c r="N28" s="65" t="s">
        <v>147</v>
      </c>
      <c r="O28" s="66" t="s">
        <v>148</v>
      </c>
      <c r="P28" s="65" t="s">
        <v>149</v>
      </c>
      <c r="Q28" s="66" t="s">
        <v>150</v>
      </c>
      <c r="R28" s="65" t="s">
        <v>151</v>
      </c>
      <c r="S28" s="66" t="s">
        <v>152</v>
      </c>
      <c r="T28" s="65" t="s">
        <v>153</v>
      </c>
      <c r="U28" s="66" t="s">
        <v>154</v>
      </c>
      <c r="V28" s="65" t="s">
        <v>155</v>
      </c>
      <c r="W28" s="66" t="s">
        <v>156</v>
      </c>
      <c r="X28" s="65" t="s">
        <v>157</v>
      </c>
      <c r="Y28" s="66" t="s">
        <v>158</v>
      </c>
      <c r="Z28" s="65" t="s">
        <v>159</v>
      </c>
      <c r="AA28" s="66" t="s">
        <v>160</v>
      </c>
      <c r="AB28" s="65" t="s">
        <v>161</v>
      </c>
      <c r="AC28" s="66" t="s">
        <v>162</v>
      </c>
      <c r="AD28" s="65" t="s">
        <v>163</v>
      </c>
      <c r="AE28" s="172" t="s">
        <v>164</v>
      </c>
      <c r="AF28" s="47"/>
      <c r="AG28" s="47"/>
      <c r="AH28" s="47"/>
      <c r="AI28" s="47"/>
      <c r="AJ28" s="47"/>
      <c r="AK28" s="47"/>
      <c r="AL28" s="47"/>
    </row>
    <row r="29" spans="1:39" x14ac:dyDescent="0.3">
      <c r="A29" s="397" t="s">
        <v>165</v>
      </c>
      <c r="B29" s="261" t="s">
        <v>166</v>
      </c>
      <c r="C29" s="197" t="s">
        <v>167</v>
      </c>
      <c r="D29" s="69" t="s">
        <v>168</v>
      </c>
      <c r="E29" s="197" t="s">
        <v>169</v>
      </c>
      <c r="F29" s="198">
        <v>28.3</v>
      </c>
      <c r="G29" s="198">
        <v>22.3</v>
      </c>
      <c r="H29" s="488">
        <v>0.252</v>
      </c>
      <c r="I29" s="198" t="s">
        <v>1856</v>
      </c>
      <c r="J29" s="632">
        <v>0.23</v>
      </c>
      <c r="K29" s="198" t="s">
        <v>1856</v>
      </c>
      <c r="L29" s="873">
        <v>0.19500000000000001</v>
      </c>
      <c r="M29" s="198" t="s">
        <v>1857</v>
      </c>
      <c r="N29" s="674">
        <v>22.1</v>
      </c>
      <c r="O29" s="69"/>
      <c r="P29" s="1028">
        <v>0.23</v>
      </c>
      <c r="Q29" s="674"/>
      <c r="R29" s="69"/>
      <c r="S29" s="69"/>
      <c r="T29" s="69"/>
      <c r="U29" s="69"/>
      <c r="V29" s="69"/>
      <c r="W29" s="69"/>
      <c r="X29" s="69"/>
      <c r="Y29" s="69"/>
      <c r="Z29" s="69"/>
      <c r="AA29" s="69"/>
      <c r="AB29" s="69"/>
      <c r="AC29" s="69"/>
      <c r="AD29" s="69"/>
      <c r="AE29" s="69"/>
      <c r="AF29" s="47"/>
      <c r="AG29" s="47"/>
      <c r="AH29" s="47"/>
      <c r="AI29" s="47"/>
      <c r="AJ29" s="47"/>
      <c r="AK29" s="47"/>
      <c r="AL29" s="47"/>
    </row>
    <row r="30" spans="1:39" x14ac:dyDescent="0.3">
      <c r="A30" s="397" t="s">
        <v>165</v>
      </c>
      <c r="B30" s="261" t="s">
        <v>171</v>
      </c>
      <c r="C30" s="197" t="s">
        <v>167</v>
      </c>
      <c r="D30" s="68" t="s">
        <v>168</v>
      </c>
      <c r="E30" s="197" t="s">
        <v>172</v>
      </c>
      <c r="F30" s="199">
        <v>2.9999999999999997E-4</v>
      </c>
      <c r="G30" s="199">
        <v>3.0000000000000001E-3</v>
      </c>
      <c r="H30" s="199">
        <f>640/265000</f>
        <v>2.4150943396226416E-3</v>
      </c>
      <c r="I30" s="198" t="s">
        <v>1857</v>
      </c>
      <c r="J30" s="583">
        <v>2.8E-3</v>
      </c>
      <c r="K30" s="197" t="s">
        <v>1857</v>
      </c>
      <c r="L30" s="199">
        <v>1.1000000000000001E-3</v>
      </c>
      <c r="M30" s="197" t="s">
        <v>1857</v>
      </c>
      <c r="N30" s="677">
        <v>1.1000000000000001E-3</v>
      </c>
      <c r="O30" s="68"/>
      <c r="P30" s="674" t="s">
        <v>1858</v>
      </c>
      <c r="Q30" s="261"/>
      <c r="R30" s="68"/>
      <c r="S30" s="68"/>
      <c r="T30" s="68"/>
      <c r="U30" s="68"/>
      <c r="V30" s="68"/>
      <c r="W30" s="68"/>
      <c r="X30" s="68"/>
      <c r="Y30" s="68"/>
      <c r="Z30" s="68"/>
      <c r="AA30" s="68"/>
      <c r="AB30" s="68"/>
      <c r="AC30" s="68"/>
      <c r="AD30" s="68"/>
      <c r="AE30" s="68"/>
      <c r="AF30" s="47"/>
      <c r="AG30" s="47"/>
      <c r="AH30" s="47"/>
      <c r="AI30" s="47"/>
      <c r="AJ30" s="47"/>
      <c r="AK30" s="47"/>
      <c r="AL30" s="47"/>
    </row>
    <row r="31" spans="1:39" x14ac:dyDescent="0.3">
      <c r="A31" s="397" t="s">
        <v>174</v>
      </c>
      <c r="B31" s="261" t="s">
        <v>896</v>
      </c>
      <c r="C31" s="197" t="s">
        <v>167</v>
      </c>
      <c r="D31" s="68" t="s">
        <v>176</v>
      </c>
      <c r="E31" s="197" t="s">
        <v>169</v>
      </c>
      <c r="F31" s="199">
        <v>0.72</v>
      </c>
      <c r="G31" s="199">
        <v>0.75</v>
      </c>
      <c r="H31" s="318">
        <f>H33*H34*H35</f>
        <v>0.63883152899999995</v>
      </c>
      <c r="I31" s="197" t="s">
        <v>1859</v>
      </c>
      <c r="J31" s="583">
        <v>0.71299999999999997</v>
      </c>
      <c r="K31" s="197" t="s">
        <v>1859</v>
      </c>
      <c r="L31" s="201">
        <f>L33*L34*L35</f>
        <v>0.71917910100000004</v>
      </c>
      <c r="M31" s="197" t="s">
        <v>904</v>
      </c>
      <c r="N31" s="697">
        <f>N33*N34*N35</f>
        <v>0.70653609600000011</v>
      </c>
      <c r="O31" s="68" t="s">
        <v>1860</v>
      </c>
      <c r="P31" s="677">
        <f>P33*P34*P35</f>
        <v>0.73287039600000004</v>
      </c>
      <c r="Q31" s="261"/>
      <c r="R31" s="68"/>
      <c r="S31" s="68"/>
      <c r="T31" s="68"/>
      <c r="U31" s="68"/>
      <c r="V31" s="68"/>
      <c r="W31" s="68"/>
      <c r="X31" s="68"/>
      <c r="Y31" s="68"/>
      <c r="Z31" s="68"/>
      <c r="AA31" s="68"/>
      <c r="AB31" s="68"/>
      <c r="AC31" s="68"/>
      <c r="AD31" s="68"/>
      <c r="AE31" s="68"/>
      <c r="AF31" s="47"/>
      <c r="AG31" s="47"/>
      <c r="AH31" s="47"/>
      <c r="AI31" s="47"/>
      <c r="AJ31" s="47"/>
      <c r="AK31" s="47"/>
      <c r="AL31" s="47"/>
    </row>
    <row r="32" spans="1:39" x14ac:dyDescent="0.3">
      <c r="A32" s="397" t="s">
        <v>174</v>
      </c>
      <c r="B32" s="261" t="s">
        <v>899</v>
      </c>
      <c r="C32" s="197" t="s">
        <v>167</v>
      </c>
      <c r="D32" s="68" t="s">
        <v>168</v>
      </c>
      <c r="E32" s="197" t="s">
        <v>169</v>
      </c>
      <c r="F32" s="199">
        <v>0.69399999999999995</v>
      </c>
      <c r="G32" s="199">
        <v>0.72</v>
      </c>
      <c r="H32" s="292">
        <v>0.61499999999999999</v>
      </c>
      <c r="I32" s="197" t="s">
        <v>1861</v>
      </c>
      <c r="J32" s="78">
        <v>0.68300000000000005</v>
      </c>
      <c r="K32" s="197" t="s">
        <v>1861</v>
      </c>
      <c r="L32" s="199">
        <v>0.73099999999999998</v>
      </c>
      <c r="M32" s="197" t="s">
        <v>1857</v>
      </c>
      <c r="N32" s="677">
        <v>0.67700000000000005</v>
      </c>
      <c r="O32" s="68"/>
      <c r="P32" s="674" t="s">
        <v>1858</v>
      </c>
      <c r="Q32" s="261"/>
      <c r="R32" s="68"/>
      <c r="S32" s="68"/>
      <c r="T32" s="68"/>
      <c r="U32" s="68"/>
      <c r="V32" s="68"/>
      <c r="W32" s="68"/>
      <c r="X32" s="68"/>
      <c r="Y32" s="68"/>
      <c r="Z32" s="68"/>
      <c r="AA32" s="68"/>
      <c r="AB32" s="68"/>
      <c r="AC32" s="68"/>
      <c r="AD32" s="68"/>
      <c r="AE32" s="68"/>
      <c r="AF32" s="47"/>
      <c r="AG32" s="47"/>
      <c r="AH32" s="47"/>
      <c r="AI32" s="47"/>
      <c r="AJ32" s="47"/>
      <c r="AK32" s="47"/>
      <c r="AL32" s="47"/>
    </row>
    <row r="33" spans="1:38" x14ac:dyDescent="0.3">
      <c r="A33" s="397" t="s">
        <v>174</v>
      </c>
      <c r="B33" s="261" t="s">
        <v>902</v>
      </c>
      <c r="C33" s="197" t="s">
        <v>167</v>
      </c>
      <c r="D33" s="68" t="s">
        <v>176</v>
      </c>
      <c r="E33" s="197" t="s">
        <v>169</v>
      </c>
      <c r="F33" s="199">
        <v>0.83099999999999996</v>
      </c>
      <c r="G33" s="199">
        <v>0.84</v>
      </c>
      <c r="H33" s="292">
        <v>0.82299999999999995</v>
      </c>
      <c r="I33" s="197" t="s">
        <v>1861</v>
      </c>
      <c r="J33" s="583">
        <v>0.90600000000000003</v>
      </c>
      <c r="K33" s="197" t="s">
        <v>1857</v>
      </c>
      <c r="L33" s="292">
        <v>0.90100000000000002</v>
      </c>
      <c r="M33" s="197" t="s">
        <v>1857</v>
      </c>
      <c r="N33" s="677">
        <v>0.90300000000000002</v>
      </c>
      <c r="O33" s="68"/>
      <c r="P33" s="677">
        <v>0.96399999999999997</v>
      </c>
      <c r="Q33" s="261"/>
      <c r="R33" s="68"/>
      <c r="S33" s="68"/>
      <c r="T33" s="68"/>
      <c r="U33" s="68"/>
      <c r="V33" s="68"/>
      <c r="W33" s="68"/>
      <c r="X33" s="68"/>
      <c r="Y33" s="68"/>
      <c r="Z33" s="68"/>
      <c r="AA33" s="68"/>
      <c r="AB33" s="68"/>
      <c r="AC33" s="68"/>
      <c r="AD33" s="68"/>
      <c r="AE33" s="68"/>
      <c r="AF33" s="47"/>
      <c r="AG33" s="47"/>
      <c r="AH33" s="47"/>
      <c r="AI33" s="47"/>
      <c r="AJ33" s="47"/>
      <c r="AK33" s="47"/>
      <c r="AL33" s="47"/>
    </row>
    <row r="34" spans="1:38" x14ac:dyDescent="0.3">
      <c r="A34" s="397" t="s">
        <v>174</v>
      </c>
      <c r="B34" s="261" t="s">
        <v>200</v>
      </c>
      <c r="C34" s="197" t="s">
        <v>167</v>
      </c>
      <c r="D34" s="68" t="s">
        <v>176</v>
      </c>
      <c r="E34" s="197" t="s">
        <v>169</v>
      </c>
      <c r="F34" s="199">
        <v>0.995</v>
      </c>
      <c r="G34" s="199">
        <v>0.997</v>
      </c>
      <c r="H34" s="292">
        <v>0.999</v>
      </c>
      <c r="I34" s="197" t="s">
        <v>1857</v>
      </c>
      <c r="J34" s="68">
        <v>99.7</v>
      </c>
      <c r="K34" s="197" t="s">
        <v>1857</v>
      </c>
      <c r="L34" s="292">
        <v>0.999</v>
      </c>
      <c r="M34" s="197" t="s">
        <v>1857</v>
      </c>
      <c r="N34" s="677">
        <v>0.998</v>
      </c>
      <c r="O34" s="68"/>
      <c r="P34" s="677">
        <v>0.999</v>
      </c>
      <c r="Q34" s="261"/>
      <c r="R34" s="68"/>
      <c r="S34" s="68"/>
      <c r="T34" s="68"/>
      <c r="U34" s="68"/>
      <c r="V34" s="68"/>
      <c r="W34" s="68"/>
      <c r="X34" s="68"/>
      <c r="Y34" s="68"/>
      <c r="Z34" s="68"/>
      <c r="AA34" s="68"/>
      <c r="AB34" s="68"/>
      <c r="AC34" s="68"/>
      <c r="AD34" s="68"/>
      <c r="AE34" s="68"/>
      <c r="AF34" s="47"/>
      <c r="AG34" s="47"/>
      <c r="AH34" s="47"/>
      <c r="AI34" s="47"/>
      <c r="AJ34" s="47"/>
      <c r="AK34" s="47"/>
      <c r="AL34" s="47"/>
    </row>
    <row r="35" spans="1:38" x14ac:dyDescent="0.3">
      <c r="A35" s="397" t="s">
        <v>174</v>
      </c>
      <c r="B35" s="261" t="s">
        <v>904</v>
      </c>
      <c r="C35" s="197" t="s">
        <v>167</v>
      </c>
      <c r="D35" s="68" t="s">
        <v>176</v>
      </c>
      <c r="E35" s="197" t="s">
        <v>169</v>
      </c>
      <c r="F35" s="199">
        <v>0.879</v>
      </c>
      <c r="G35" s="199">
        <v>0.9</v>
      </c>
      <c r="H35" s="292">
        <v>0.77700000000000002</v>
      </c>
      <c r="I35" s="198" t="s">
        <v>1861</v>
      </c>
      <c r="J35" s="583">
        <v>0.78700000000000003</v>
      </c>
      <c r="K35" s="198" t="s">
        <v>1861</v>
      </c>
      <c r="L35" s="292">
        <v>0.79900000000000004</v>
      </c>
      <c r="M35" s="197" t="s">
        <v>1862</v>
      </c>
      <c r="N35" s="677">
        <v>0.78400000000000003</v>
      </c>
      <c r="O35" s="68" t="s">
        <v>1863</v>
      </c>
      <c r="P35" s="677">
        <v>0.76100000000000001</v>
      </c>
      <c r="Q35" s="261"/>
      <c r="R35" s="68"/>
      <c r="S35" s="68"/>
      <c r="T35" s="68"/>
      <c r="U35" s="68"/>
      <c r="V35" s="68"/>
      <c r="W35" s="68"/>
      <c r="X35" s="68"/>
      <c r="Y35" s="68"/>
      <c r="Z35" s="68"/>
      <c r="AA35" s="68"/>
      <c r="AB35" s="68"/>
      <c r="AC35" s="68"/>
      <c r="AD35" s="68"/>
      <c r="AE35" s="68"/>
      <c r="AF35" s="47"/>
      <c r="AG35" s="47"/>
      <c r="AH35" s="47"/>
      <c r="AI35" s="47"/>
      <c r="AJ35" s="47"/>
      <c r="AK35" s="47"/>
      <c r="AL35" s="47"/>
    </row>
    <row r="36" spans="1:38" x14ac:dyDescent="0.3">
      <c r="A36" s="397" t="s">
        <v>174</v>
      </c>
      <c r="B36" s="261" t="s">
        <v>185</v>
      </c>
      <c r="C36" s="197" t="s">
        <v>186</v>
      </c>
      <c r="D36" s="68" t="s">
        <v>168</v>
      </c>
      <c r="E36" s="197" t="s">
        <v>169</v>
      </c>
      <c r="F36" s="197">
        <v>130</v>
      </c>
      <c r="G36" s="197">
        <v>150</v>
      </c>
      <c r="H36" s="197">
        <v>213</v>
      </c>
      <c r="I36" s="198" t="s">
        <v>1857</v>
      </c>
      <c r="J36" s="68">
        <v>243</v>
      </c>
      <c r="K36" s="197" t="s">
        <v>1857</v>
      </c>
      <c r="L36" s="197">
        <v>200</v>
      </c>
      <c r="M36" s="197" t="s">
        <v>1857</v>
      </c>
      <c r="N36" s="700">
        <v>11.461805555555555</v>
      </c>
      <c r="O36" s="68"/>
      <c r="P36" s="700">
        <v>10.125</v>
      </c>
      <c r="Q36" s="261"/>
      <c r="R36" s="68"/>
      <c r="S36" s="68"/>
      <c r="T36" s="68"/>
      <c r="U36" s="68"/>
      <c r="V36" s="68"/>
      <c r="W36" s="68"/>
      <c r="X36" s="68"/>
      <c r="Y36" s="68"/>
      <c r="Z36" s="68"/>
      <c r="AA36" s="68"/>
      <c r="AB36" s="68"/>
      <c r="AC36" s="68"/>
      <c r="AD36" s="68"/>
      <c r="AE36" s="68"/>
      <c r="AF36" s="47"/>
      <c r="AG36" s="47"/>
      <c r="AH36" s="47"/>
      <c r="AI36" s="47"/>
      <c r="AJ36" s="47"/>
      <c r="AK36" s="47"/>
      <c r="AL36" s="47"/>
    </row>
    <row r="37" spans="1:38" x14ac:dyDescent="0.3">
      <c r="A37" s="397" t="s">
        <v>174</v>
      </c>
      <c r="B37" s="261" t="s">
        <v>190</v>
      </c>
      <c r="C37" s="197" t="s">
        <v>186</v>
      </c>
      <c r="D37" s="68" t="s">
        <v>168</v>
      </c>
      <c r="E37" s="197" t="s">
        <v>172</v>
      </c>
      <c r="F37" s="203">
        <v>5.4166666666666669E-2</v>
      </c>
      <c r="G37" s="203">
        <v>0.05</v>
      </c>
      <c r="H37" s="317">
        <v>0.97986111111111107</v>
      </c>
      <c r="I37" s="198" t="s">
        <v>1857</v>
      </c>
      <c r="J37" s="286">
        <v>1.3194444444444444E-2</v>
      </c>
      <c r="K37" s="197" t="s">
        <v>1857</v>
      </c>
      <c r="L37" s="297">
        <v>1.1111111111111112E-2</v>
      </c>
      <c r="M37" s="197" t="s">
        <v>1857</v>
      </c>
      <c r="N37" s="682">
        <v>1.0416666666666666E-2</v>
      </c>
      <c r="O37" s="68"/>
      <c r="P37" s="682">
        <v>8.3333333333333332E-3</v>
      </c>
      <c r="Q37" s="261"/>
      <c r="R37" s="68"/>
      <c r="S37" s="68"/>
      <c r="T37" s="68"/>
      <c r="U37" s="68"/>
      <c r="V37" s="68"/>
      <c r="W37" s="68"/>
      <c r="X37" s="68"/>
      <c r="Y37" s="68"/>
      <c r="Z37" s="68"/>
      <c r="AA37" s="68"/>
      <c r="AB37" s="68"/>
      <c r="AC37" s="68"/>
      <c r="AD37" s="68"/>
      <c r="AE37" s="68"/>
      <c r="AF37" s="47"/>
      <c r="AG37" s="47"/>
      <c r="AH37" s="47"/>
      <c r="AI37" s="47"/>
      <c r="AJ37" s="47"/>
      <c r="AK37" s="47"/>
      <c r="AL37" s="47"/>
    </row>
    <row r="38" spans="1:38" x14ac:dyDescent="0.3">
      <c r="A38" s="397" t="s">
        <v>174</v>
      </c>
      <c r="B38" s="261" t="s">
        <v>195</v>
      </c>
      <c r="C38" s="197" t="s">
        <v>196</v>
      </c>
      <c r="D38" s="68" t="s">
        <v>168</v>
      </c>
      <c r="E38" s="197" t="s">
        <v>172</v>
      </c>
      <c r="F38" s="200">
        <v>305977.01</v>
      </c>
      <c r="G38" s="200">
        <v>150000</v>
      </c>
      <c r="H38" s="487">
        <v>1065.75</v>
      </c>
      <c r="I38" s="198" t="s">
        <v>1864</v>
      </c>
      <c r="J38" s="68">
        <v>397</v>
      </c>
      <c r="K38" s="197" t="s">
        <v>1865</v>
      </c>
      <c r="L38" s="962">
        <v>1755.55</v>
      </c>
      <c r="M38" s="197" t="s">
        <v>1866</v>
      </c>
      <c r="N38" s="261">
        <v>2463.66</v>
      </c>
      <c r="O38" s="68"/>
      <c r="P38" s="695">
        <v>1718.24</v>
      </c>
      <c r="Q38" s="261" t="s">
        <v>1866</v>
      </c>
      <c r="R38" s="68"/>
      <c r="S38" s="68"/>
      <c r="T38" s="68"/>
      <c r="U38" s="68"/>
      <c r="V38" s="68"/>
      <c r="W38" s="68"/>
      <c r="X38" s="68"/>
      <c r="Y38" s="68"/>
      <c r="Z38" s="68"/>
      <c r="AA38" s="68"/>
      <c r="AB38" s="68"/>
      <c r="AC38" s="68"/>
      <c r="AD38" s="68"/>
      <c r="AE38" s="68"/>
      <c r="AF38" s="47"/>
      <c r="AG38" s="47"/>
      <c r="AH38" s="47"/>
      <c r="AI38" s="47"/>
      <c r="AJ38" s="47"/>
      <c r="AK38" s="47"/>
      <c r="AL38" s="47"/>
    </row>
    <row r="39" spans="1:38" x14ac:dyDescent="0.3">
      <c r="A39" s="397" t="s">
        <v>174</v>
      </c>
      <c r="B39" s="261" t="s">
        <v>197</v>
      </c>
      <c r="C39" s="197" t="s">
        <v>196</v>
      </c>
      <c r="D39" s="68" t="s">
        <v>176</v>
      </c>
      <c r="E39" s="197" t="s">
        <v>172</v>
      </c>
      <c r="F39" s="197"/>
      <c r="G39" s="197"/>
      <c r="H39" s="197"/>
      <c r="I39" s="198" t="s">
        <v>1857</v>
      </c>
      <c r="J39" s="68"/>
      <c r="K39" s="197"/>
      <c r="L39" s="197"/>
      <c r="M39" s="197"/>
      <c r="N39" s="261"/>
      <c r="O39" s="68"/>
      <c r="P39" s="261" t="s">
        <v>1867</v>
      </c>
      <c r="Q39" s="261"/>
      <c r="R39" s="68"/>
      <c r="S39" s="68"/>
      <c r="T39" s="68"/>
      <c r="U39" s="68"/>
      <c r="V39" s="68"/>
      <c r="W39" s="68"/>
      <c r="X39" s="68"/>
      <c r="Y39" s="68"/>
      <c r="Z39" s="68"/>
      <c r="AA39" s="68"/>
      <c r="AB39" s="68"/>
      <c r="AC39" s="68"/>
      <c r="AD39" s="68"/>
      <c r="AE39" s="68"/>
      <c r="AF39" s="47"/>
      <c r="AG39" s="47"/>
      <c r="AH39" s="47"/>
      <c r="AI39" s="47"/>
      <c r="AJ39" s="47"/>
      <c r="AK39" s="47"/>
      <c r="AL39" s="47"/>
    </row>
    <row r="40" spans="1:38" x14ac:dyDescent="0.3">
      <c r="A40" s="397" t="s">
        <v>200</v>
      </c>
      <c r="B40" s="261" t="s">
        <v>201</v>
      </c>
      <c r="C40" s="197" t="s">
        <v>202</v>
      </c>
      <c r="D40" s="68" t="s">
        <v>168</v>
      </c>
      <c r="E40" s="197" t="s">
        <v>172</v>
      </c>
      <c r="F40" s="197">
        <v>109</v>
      </c>
      <c r="G40" s="197">
        <v>180</v>
      </c>
      <c r="H40" s="197">
        <v>56</v>
      </c>
      <c r="I40" s="198" t="s">
        <v>1857</v>
      </c>
      <c r="J40" s="68">
        <v>60</v>
      </c>
      <c r="K40" s="197" t="s">
        <v>1857</v>
      </c>
      <c r="L40" s="197">
        <v>51.4</v>
      </c>
      <c r="M40" s="186" t="s">
        <v>1857</v>
      </c>
      <c r="N40" s="261">
        <v>39.4</v>
      </c>
      <c r="O40" s="68"/>
      <c r="P40" s="261">
        <v>44.8</v>
      </c>
      <c r="Q40" s="261"/>
      <c r="R40" s="68"/>
      <c r="S40" s="68"/>
      <c r="T40" s="68"/>
      <c r="U40" s="68"/>
      <c r="V40" s="68"/>
      <c r="W40" s="68"/>
      <c r="X40" s="68"/>
      <c r="Y40" s="68"/>
      <c r="Z40" s="68"/>
      <c r="AA40" s="68"/>
      <c r="AB40" s="68"/>
      <c r="AC40" s="68"/>
      <c r="AD40" s="68"/>
      <c r="AE40" s="68"/>
      <c r="AF40" s="47"/>
      <c r="AG40" s="47"/>
      <c r="AH40" s="47"/>
      <c r="AI40" s="47"/>
      <c r="AJ40" s="47"/>
      <c r="AK40" s="47"/>
      <c r="AL40" s="47"/>
    </row>
    <row r="41" spans="1:38" x14ac:dyDescent="0.3">
      <c r="A41" s="397" t="s">
        <v>200</v>
      </c>
      <c r="B41" s="261" t="s">
        <v>204</v>
      </c>
      <c r="C41" s="197" t="s">
        <v>202</v>
      </c>
      <c r="D41" s="68" t="s">
        <v>168</v>
      </c>
      <c r="E41" s="197" t="s">
        <v>172</v>
      </c>
      <c r="F41" s="197">
        <v>350</v>
      </c>
      <c r="G41" s="197">
        <v>800</v>
      </c>
      <c r="H41" s="197">
        <v>35</v>
      </c>
      <c r="I41" s="198" t="s">
        <v>1857</v>
      </c>
      <c r="J41" s="68">
        <v>1156</v>
      </c>
      <c r="K41" s="197" t="s">
        <v>1868</v>
      </c>
      <c r="L41" s="197">
        <v>858</v>
      </c>
      <c r="M41" s="197" t="s">
        <v>1868</v>
      </c>
      <c r="N41" s="261">
        <v>39</v>
      </c>
      <c r="O41" s="68"/>
      <c r="P41" s="261">
        <v>29</v>
      </c>
      <c r="Q41" s="261"/>
      <c r="R41" s="68"/>
      <c r="S41" s="68"/>
      <c r="T41" s="68"/>
      <c r="U41" s="68"/>
      <c r="V41" s="68"/>
      <c r="W41" s="68"/>
      <c r="X41" s="68"/>
      <c r="Y41" s="68"/>
      <c r="Z41" s="68"/>
      <c r="AA41" s="68"/>
      <c r="AB41" s="68"/>
      <c r="AC41" s="68"/>
      <c r="AD41" s="68"/>
      <c r="AE41" s="68"/>
      <c r="AF41" s="47"/>
      <c r="AG41" s="47"/>
      <c r="AH41" s="47"/>
      <c r="AI41" s="47"/>
      <c r="AJ41" s="47"/>
      <c r="AK41" s="47"/>
      <c r="AL41" s="47"/>
    </row>
    <row r="42" spans="1:38" x14ac:dyDescent="0.3">
      <c r="A42" s="397" t="s">
        <v>200</v>
      </c>
      <c r="B42" s="261" t="s">
        <v>210</v>
      </c>
      <c r="C42" s="197" t="s">
        <v>167</v>
      </c>
      <c r="D42" s="68" t="s">
        <v>168</v>
      </c>
      <c r="E42" s="197" t="s">
        <v>172</v>
      </c>
      <c r="F42" s="199">
        <v>3.5999999999999999E-3</v>
      </c>
      <c r="G42" s="199">
        <v>3.0000000000000001E-3</v>
      </c>
      <c r="H42" s="199">
        <v>2.0999999999999999E-3</v>
      </c>
      <c r="I42" s="198" t="s">
        <v>1857</v>
      </c>
      <c r="J42" s="583">
        <v>2.0000000000000001E-4</v>
      </c>
      <c r="K42" s="197" t="s">
        <v>1857</v>
      </c>
      <c r="L42" s="199">
        <v>2.0000000000000001E-4</v>
      </c>
      <c r="M42" s="197"/>
      <c r="N42" s="677">
        <v>5.9999999999999995E-4</v>
      </c>
      <c r="O42" s="68"/>
      <c r="P42" s="677">
        <v>4.0000000000000002E-4</v>
      </c>
      <c r="Q42" s="261"/>
      <c r="R42" s="68"/>
      <c r="S42" s="68"/>
      <c r="T42" s="68"/>
      <c r="U42" s="68"/>
      <c r="V42" s="68"/>
      <c r="W42" s="68"/>
      <c r="X42" s="68"/>
      <c r="Y42" s="68"/>
      <c r="Z42" s="68"/>
      <c r="AA42" s="68"/>
      <c r="AB42" s="68"/>
      <c r="AC42" s="68"/>
      <c r="AD42" s="68"/>
      <c r="AE42" s="68"/>
      <c r="AF42" s="47"/>
      <c r="AG42" s="47"/>
      <c r="AH42" s="47"/>
      <c r="AI42" s="47"/>
      <c r="AJ42" s="47"/>
      <c r="AK42" s="47"/>
      <c r="AL42" s="47"/>
    </row>
    <row r="43" spans="1:38" x14ac:dyDescent="0.3">
      <c r="A43" s="397" t="s">
        <v>200</v>
      </c>
      <c r="B43" s="261" t="s">
        <v>214</v>
      </c>
      <c r="C43" s="197" t="s">
        <v>215</v>
      </c>
      <c r="D43" s="68" t="s">
        <v>216</v>
      </c>
      <c r="E43" s="197" t="s">
        <v>172</v>
      </c>
      <c r="F43" s="197">
        <v>30</v>
      </c>
      <c r="G43" s="197">
        <v>31</v>
      </c>
      <c r="H43" s="197">
        <v>4</v>
      </c>
      <c r="I43" s="198" t="s">
        <v>1869</v>
      </c>
      <c r="J43" s="68">
        <v>3</v>
      </c>
      <c r="K43" s="197" t="s">
        <v>1857</v>
      </c>
      <c r="L43" s="197">
        <v>5</v>
      </c>
      <c r="M43" s="197" t="s">
        <v>1870</v>
      </c>
      <c r="N43" s="261">
        <v>1</v>
      </c>
      <c r="O43" s="68"/>
      <c r="P43" s="261">
        <v>4</v>
      </c>
      <c r="Q43" s="261"/>
      <c r="R43" s="68"/>
      <c r="S43" s="68"/>
      <c r="T43" s="68"/>
      <c r="U43" s="68"/>
      <c r="V43" s="68"/>
      <c r="W43" s="68"/>
      <c r="X43" s="68"/>
      <c r="Y43" s="68"/>
      <c r="Z43" s="68"/>
      <c r="AA43" s="68"/>
      <c r="AB43" s="68"/>
      <c r="AC43" s="68"/>
      <c r="AD43" s="68"/>
      <c r="AE43" s="68"/>
      <c r="AF43" s="47"/>
      <c r="AG43" s="47"/>
      <c r="AH43" s="47"/>
      <c r="AI43" s="47"/>
      <c r="AJ43" s="47"/>
      <c r="AK43" s="47"/>
      <c r="AL43" s="47"/>
    </row>
    <row r="44" spans="1:38" x14ac:dyDescent="0.3">
      <c r="A44" s="397" t="s">
        <v>218</v>
      </c>
      <c r="B44" s="261" t="s">
        <v>219</v>
      </c>
      <c r="C44" s="197" t="s">
        <v>220</v>
      </c>
      <c r="D44" s="325" t="s">
        <v>168</v>
      </c>
      <c r="E44" s="197" t="s">
        <v>172</v>
      </c>
      <c r="F44" s="197">
        <v>27</v>
      </c>
      <c r="G44" s="197">
        <v>32</v>
      </c>
      <c r="H44" s="197">
        <v>0</v>
      </c>
      <c r="I44" s="198" t="s">
        <v>1857</v>
      </c>
      <c r="J44" s="68">
        <v>80</v>
      </c>
      <c r="K44" s="197" t="s">
        <v>1871</v>
      </c>
      <c r="L44" s="963">
        <v>0</v>
      </c>
      <c r="M44" s="186" t="s">
        <v>1857</v>
      </c>
      <c r="N44" s="261">
        <v>0</v>
      </c>
      <c r="O44" s="68"/>
      <c r="P44" s="261">
        <v>70</v>
      </c>
      <c r="Q44" s="261" t="s">
        <v>1872</v>
      </c>
      <c r="R44" s="68"/>
      <c r="S44" s="68"/>
      <c r="T44" s="68"/>
      <c r="U44" s="68"/>
      <c r="V44" s="68"/>
      <c r="W44" s="68"/>
      <c r="X44" s="68"/>
      <c r="Y44" s="68"/>
      <c r="Z44" s="68"/>
      <c r="AA44" s="68"/>
      <c r="AB44" s="68"/>
      <c r="AC44" s="68"/>
      <c r="AD44" s="68"/>
      <c r="AE44" s="68"/>
      <c r="AF44" s="47"/>
      <c r="AG44" s="47"/>
      <c r="AH44" s="47"/>
      <c r="AI44" s="47"/>
      <c r="AJ44" s="47"/>
      <c r="AK44" s="47"/>
      <c r="AL44" s="47"/>
    </row>
    <row r="45" spans="1:38" ht="15.6" x14ac:dyDescent="0.3">
      <c r="A45" s="397" t="s">
        <v>222</v>
      </c>
      <c r="B45" s="261" t="s">
        <v>223</v>
      </c>
      <c r="C45" s="197" t="s">
        <v>167</v>
      </c>
      <c r="D45" s="68" t="s">
        <v>224</v>
      </c>
      <c r="E45" s="197" t="s">
        <v>169</v>
      </c>
      <c r="F45" s="197" t="s">
        <v>562</v>
      </c>
      <c r="G45" s="201">
        <v>0.9</v>
      </c>
      <c r="H45" s="201">
        <v>1</v>
      </c>
      <c r="I45" s="197" t="s">
        <v>1857</v>
      </c>
      <c r="J45" s="78">
        <v>0.25</v>
      </c>
      <c r="K45" s="197" t="s">
        <v>1857</v>
      </c>
      <c r="L45" s="78">
        <v>0.3</v>
      </c>
      <c r="M45" s="197" t="s">
        <v>1857</v>
      </c>
      <c r="N45" s="697">
        <v>0.54</v>
      </c>
      <c r="O45" s="68"/>
      <c r="P45" s="697">
        <v>1</v>
      </c>
      <c r="Q45" s="261"/>
      <c r="R45" s="68"/>
      <c r="S45" s="68"/>
      <c r="T45" s="68"/>
      <c r="U45" s="68"/>
      <c r="V45" s="68"/>
      <c r="W45" s="68"/>
      <c r="X45" s="68"/>
      <c r="Y45" s="68"/>
      <c r="Z45" s="68"/>
      <c r="AA45" s="68"/>
      <c r="AB45" s="68"/>
      <c r="AC45" s="68"/>
      <c r="AD45" s="68"/>
      <c r="AE45" s="68"/>
      <c r="AF45" s="47"/>
      <c r="AG45" s="47"/>
      <c r="AH45" s="47"/>
      <c r="AI45" s="47"/>
      <c r="AJ45" s="1203" t="s">
        <v>227</v>
      </c>
      <c r="AK45" s="1203"/>
      <c r="AL45" s="47"/>
    </row>
    <row r="46" spans="1:38" x14ac:dyDescent="0.3">
      <c r="A46" s="397" t="s">
        <v>228</v>
      </c>
      <c r="B46" s="261" t="s">
        <v>229</v>
      </c>
      <c r="C46" s="197" t="s">
        <v>167</v>
      </c>
      <c r="D46" s="68" t="s">
        <v>176</v>
      </c>
      <c r="E46" s="197" t="s">
        <v>169</v>
      </c>
      <c r="F46" s="197" t="s">
        <v>562</v>
      </c>
      <c r="G46" s="201">
        <v>1</v>
      </c>
      <c r="H46" s="201">
        <v>0.79</v>
      </c>
      <c r="I46" s="197" t="s">
        <v>1873</v>
      </c>
      <c r="J46" s="78">
        <v>0.4</v>
      </c>
      <c r="K46" s="197" t="s">
        <v>1874</v>
      </c>
      <c r="L46" s="78">
        <v>0.4</v>
      </c>
      <c r="M46" s="197" t="s">
        <v>1875</v>
      </c>
      <c r="N46" s="697">
        <v>0.64</v>
      </c>
      <c r="O46" s="68"/>
      <c r="P46" s="697">
        <v>0.67</v>
      </c>
      <c r="Q46" s="261"/>
      <c r="R46" s="68"/>
      <c r="S46" s="68"/>
      <c r="T46" s="68"/>
      <c r="U46" s="68"/>
      <c r="V46" s="68"/>
      <c r="W46" s="68"/>
      <c r="X46" s="68"/>
      <c r="Y46" s="68"/>
      <c r="Z46" s="68"/>
      <c r="AA46" s="68"/>
      <c r="AB46" s="68"/>
      <c r="AC46" s="68"/>
      <c r="AD46" s="68"/>
      <c r="AE46" s="68"/>
      <c r="AF46" s="47"/>
      <c r="AG46" s="47"/>
      <c r="AH46" s="47"/>
      <c r="AI46" s="47"/>
      <c r="AJ46" s="476" t="s">
        <v>232</v>
      </c>
      <c r="AK46" s="476" t="s">
        <v>233</v>
      </c>
      <c r="AL46" s="47"/>
    </row>
    <row r="47" spans="1:38" x14ac:dyDescent="0.3">
      <c r="A47" s="67" t="s">
        <v>246</v>
      </c>
      <c r="B47" s="954" t="s">
        <v>247</v>
      </c>
      <c r="C47" s="197" t="s">
        <v>248</v>
      </c>
      <c r="D47" s="68" t="s">
        <v>168</v>
      </c>
      <c r="E47" s="197" t="s">
        <v>169</v>
      </c>
      <c r="F47" s="536" t="s">
        <v>88</v>
      </c>
      <c r="G47" s="536" t="s">
        <v>88</v>
      </c>
      <c r="H47" s="95">
        <v>162527</v>
      </c>
      <c r="I47" s="68"/>
      <c r="J47" s="740">
        <v>292639</v>
      </c>
      <c r="K47" s="68"/>
      <c r="L47" s="964">
        <v>149735</v>
      </c>
      <c r="M47" s="197"/>
      <c r="N47" s="689">
        <v>53132</v>
      </c>
      <c r="O47" s="68"/>
      <c r="P47" s="1018">
        <v>779047</v>
      </c>
      <c r="Q47" s="261"/>
      <c r="R47" s="68"/>
      <c r="S47" s="68"/>
      <c r="T47" s="68"/>
      <c r="U47" s="68"/>
      <c r="V47" s="68"/>
      <c r="W47" s="68"/>
      <c r="X47" s="68"/>
      <c r="Y47" s="68"/>
      <c r="Z47" s="68"/>
      <c r="AA47" s="68"/>
      <c r="AB47" s="68"/>
      <c r="AC47" s="68"/>
      <c r="AD47" s="68"/>
      <c r="AE47" s="68"/>
      <c r="AF47" s="47"/>
      <c r="AG47" s="47"/>
      <c r="AH47" s="47"/>
      <c r="AI47" s="47"/>
      <c r="AJ47" s="239" t="s">
        <v>26</v>
      </c>
      <c r="AK47" s="477">
        <f>SUMIF($AH$55:$AH$106,AJ47,$AJ$55:$AJ$106)</f>
        <v>0</v>
      </c>
      <c r="AL47" s="47"/>
    </row>
    <row r="48" spans="1:38" x14ac:dyDescent="0.3">
      <c r="A48" s="397"/>
      <c r="B48" s="197"/>
      <c r="C48" s="197"/>
      <c r="D48" s="68" t="s">
        <v>168</v>
      </c>
      <c r="E48" s="197"/>
      <c r="F48" s="197"/>
      <c r="G48" s="197"/>
      <c r="H48" s="197"/>
      <c r="I48" s="68"/>
      <c r="J48" s="68"/>
      <c r="K48" s="68"/>
      <c r="L48" s="68"/>
      <c r="M48" s="68"/>
      <c r="N48" s="68"/>
      <c r="O48" s="68"/>
      <c r="P48" s="68"/>
      <c r="Q48" s="261"/>
      <c r="R48" s="68"/>
      <c r="S48" s="68"/>
      <c r="T48" s="68"/>
      <c r="U48" s="68"/>
      <c r="V48" s="68"/>
      <c r="W48" s="68"/>
      <c r="X48" s="68"/>
      <c r="Y48" s="68"/>
      <c r="Z48" s="68"/>
      <c r="AA48" s="68"/>
      <c r="AB48" s="68"/>
      <c r="AC48" s="68"/>
      <c r="AD48" s="68"/>
      <c r="AE48" s="68"/>
      <c r="AF48" s="47"/>
      <c r="AG48" s="47"/>
      <c r="AH48" s="47"/>
      <c r="AI48" s="47"/>
      <c r="AJ48" s="265" t="s">
        <v>27</v>
      </c>
      <c r="AK48" s="478">
        <f>SUMIF($AH$55:$AH$106,AJ48,$AJ$55:$AJ$106)</f>
        <v>0</v>
      </c>
      <c r="AL48" s="47"/>
    </row>
    <row r="49" spans="1:42" x14ac:dyDescent="0.3">
      <c r="A49" s="397"/>
      <c r="B49" s="197"/>
      <c r="C49" s="197"/>
      <c r="D49" s="68" t="s">
        <v>168</v>
      </c>
      <c r="E49" s="197"/>
      <c r="F49" s="197"/>
      <c r="G49" s="197"/>
      <c r="H49" s="197"/>
      <c r="I49" s="68"/>
      <c r="J49" s="68"/>
      <c r="K49" s="68"/>
      <c r="L49" s="68"/>
      <c r="M49" s="68"/>
      <c r="N49" s="68"/>
      <c r="O49" s="68"/>
      <c r="P49" s="68"/>
      <c r="Q49" s="261"/>
      <c r="R49" s="68"/>
      <c r="S49" s="68"/>
      <c r="T49" s="68"/>
      <c r="U49" s="68"/>
      <c r="V49" s="68"/>
      <c r="W49" s="68"/>
      <c r="X49" s="68"/>
      <c r="Y49" s="68"/>
      <c r="Z49" s="68"/>
      <c r="AA49" s="68"/>
      <c r="AB49" s="68"/>
      <c r="AC49" s="68"/>
      <c r="AD49" s="68"/>
      <c r="AE49" s="68"/>
      <c r="AF49" s="47"/>
      <c r="AG49" s="47"/>
      <c r="AH49" s="47"/>
      <c r="AI49" s="47"/>
      <c r="AJ49" s="239" t="s">
        <v>249</v>
      </c>
      <c r="AK49" s="477">
        <f>SUMIF($AH$55:$AH$106,AJ49,$AJ$55:$AJ$106)</f>
        <v>0</v>
      </c>
      <c r="AL49" s="47"/>
    </row>
    <row r="50" spans="1:42" x14ac:dyDescent="0.3">
      <c r="A50" s="67"/>
      <c r="B50" s="68"/>
      <c r="C50" s="68"/>
      <c r="D50" s="68"/>
      <c r="E50" s="68"/>
      <c r="F50" s="197"/>
      <c r="G50" s="197"/>
      <c r="H50" s="68"/>
      <c r="I50" s="68"/>
      <c r="J50" s="68"/>
      <c r="K50" s="68"/>
      <c r="L50" s="68"/>
      <c r="M50" s="68"/>
      <c r="N50" s="68"/>
      <c r="O50" s="68"/>
      <c r="P50" s="68"/>
      <c r="Q50" s="261"/>
      <c r="R50" s="68"/>
      <c r="S50" s="68"/>
      <c r="T50" s="68"/>
      <c r="U50" s="68"/>
      <c r="V50" s="68"/>
      <c r="W50" s="68"/>
      <c r="X50" s="68"/>
      <c r="Y50" s="68"/>
      <c r="Z50" s="68"/>
      <c r="AA50" s="68"/>
      <c r="AB50" s="68"/>
      <c r="AC50" s="68"/>
      <c r="AD50" s="68"/>
      <c r="AE50" s="68"/>
      <c r="AF50" s="47"/>
      <c r="AG50" s="47"/>
      <c r="AH50" s="47"/>
      <c r="AI50" s="47"/>
      <c r="AJ50" s="265" t="s">
        <v>250</v>
      </c>
      <c r="AK50" s="478">
        <f>SUMIF($AH$55:$AH$106,AJ50,$AJ$55:$AJ$106)</f>
        <v>0</v>
      </c>
      <c r="AL50" s="47"/>
    </row>
    <row r="51" spans="1:42" x14ac:dyDescent="0.3">
      <c r="A51" s="79"/>
      <c r="B51" s="80"/>
      <c r="C51" s="80"/>
      <c r="D51" s="80"/>
      <c r="E51" s="80"/>
      <c r="F51" s="202"/>
      <c r="G51" s="202"/>
      <c r="H51" s="80"/>
      <c r="I51" s="80"/>
      <c r="J51" s="80"/>
      <c r="K51" s="80"/>
      <c r="L51" s="80"/>
      <c r="M51" s="80"/>
      <c r="N51" s="80"/>
      <c r="O51" s="80"/>
      <c r="P51" s="80"/>
      <c r="Q51" s="262"/>
      <c r="R51" s="80"/>
      <c r="S51" s="80"/>
      <c r="T51" s="80"/>
      <c r="U51" s="80"/>
      <c r="V51" s="80"/>
      <c r="W51" s="80"/>
      <c r="X51" s="80"/>
      <c r="Y51" s="80"/>
      <c r="Z51" s="80"/>
      <c r="AA51" s="80"/>
      <c r="AB51" s="80"/>
      <c r="AC51" s="80"/>
      <c r="AD51" s="80"/>
      <c r="AE51" s="80"/>
      <c r="AF51" s="47"/>
      <c r="AG51" s="47"/>
      <c r="AH51" s="47"/>
      <c r="AI51" s="47"/>
      <c r="AJ51" s="239" t="s">
        <v>251</v>
      </c>
      <c r="AK51" s="477">
        <f>SUMIF($AH$55:$AH$106,AJ51,$AJ$55:$AJ$106)</f>
        <v>0</v>
      </c>
      <c r="AL51" s="47"/>
    </row>
    <row r="52" spans="1:42" x14ac:dyDescent="0.3">
      <c r="Q52" s="263"/>
      <c r="V52" s="81"/>
      <c r="AF52" s="47"/>
      <c r="AG52" s="47"/>
      <c r="AH52" s="47"/>
      <c r="AI52" s="47"/>
      <c r="AJ52" s="47"/>
      <c r="AL52" s="47"/>
    </row>
    <row r="53" spans="1:42" ht="15.6" x14ac:dyDescent="0.3">
      <c r="A53" s="208" t="s">
        <v>252</v>
      </c>
      <c r="B53" s="208"/>
      <c r="C53" s="208"/>
      <c r="D53" s="208"/>
      <c r="E53" s="208"/>
      <c r="F53" s="208"/>
      <c r="G53" s="208"/>
      <c r="H53" s="208"/>
      <c r="I53" s="208"/>
      <c r="J53" s="208"/>
      <c r="K53" s="208"/>
      <c r="L53" s="208"/>
      <c r="M53" s="208"/>
      <c r="N53" s="208"/>
      <c r="O53" s="82"/>
      <c r="P53" s="208"/>
      <c r="Q53" s="82"/>
      <c r="R53" s="82"/>
      <c r="S53" s="204" t="s">
        <v>253</v>
      </c>
      <c r="T53" s="204"/>
      <c r="U53" s="204"/>
      <c r="V53" s="204"/>
      <c r="W53" s="204" t="s">
        <v>254</v>
      </c>
      <c r="X53" s="204"/>
      <c r="Y53" s="204"/>
      <c r="Z53" s="204"/>
      <c r="AA53" s="204" t="s">
        <v>255</v>
      </c>
      <c r="AB53" s="204"/>
      <c r="AC53" s="204"/>
      <c r="AD53" s="204"/>
      <c r="AE53" s="204" t="s">
        <v>256</v>
      </c>
      <c r="AF53" s="204"/>
      <c r="AG53" s="204"/>
      <c r="AH53" s="204"/>
      <c r="AI53" s="83"/>
      <c r="AJ53" s="82"/>
      <c r="AK53" s="1204"/>
      <c r="AL53" s="1204"/>
      <c r="AM53" s="1204"/>
    </row>
    <row r="54" spans="1:42" ht="46.8" x14ac:dyDescent="0.3">
      <c r="A54" s="371" t="s">
        <v>914</v>
      </c>
      <c r="B54" s="84" t="s">
        <v>258</v>
      </c>
      <c r="C54" s="371" t="s">
        <v>259</v>
      </c>
      <c r="D54" s="84" t="s">
        <v>260</v>
      </c>
      <c r="E54" s="371" t="s">
        <v>261</v>
      </c>
      <c r="F54" s="371" t="s">
        <v>262</v>
      </c>
      <c r="G54" s="371" t="s">
        <v>263</v>
      </c>
      <c r="H54" s="371" t="s">
        <v>264</v>
      </c>
      <c r="I54" s="371" t="s">
        <v>915</v>
      </c>
      <c r="J54" s="371" t="s">
        <v>1350</v>
      </c>
      <c r="K54" s="264" t="s">
        <v>267</v>
      </c>
      <c r="L54" s="371" t="s">
        <v>268</v>
      </c>
      <c r="M54" s="371" t="s">
        <v>916</v>
      </c>
      <c r="N54" s="371" t="s">
        <v>270</v>
      </c>
      <c r="O54" s="84" t="s">
        <v>67</v>
      </c>
      <c r="P54" s="84" t="s">
        <v>126</v>
      </c>
      <c r="Q54" s="84" t="s">
        <v>271</v>
      </c>
      <c r="R54" s="84" t="s">
        <v>1876</v>
      </c>
      <c r="S54" s="85">
        <v>46023</v>
      </c>
      <c r="T54" s="85">
        <v>46054</v>
      </c>
      <c r="U54" s="85">
        <v>46082</v>
      </c>
      <c r="V54" s="86" t="s">
        <v>273</v>
      </c>
      <c r="W54" s="85">
        <v>46113</v>
      </c>
      <c r="X54" s="85">
        <v>46143</v>
      </c>
      <c r="Y54" s="85">
        <v>46174</v>
      </c>
      <c r="Z54" s="86" t="s">
        <v>274</v>
      </c>
      <c r="AA54" s="85">
        <v>46204</v>
      </c>
      <c r="AB54" s="85">
        <v>46235</v>
      </c>
      <c r="AC54" s="85">
        <v>46266</v>
      </c>
      <c r="AD54" s="86" t="s">
        <v>275</v>
      </c>
      <c r="AE54" s="85">
        <v>46296</v>
      </c>
      <c r="AF54" s="85">
        <v>46327</v>
      </c>
      <c r="AG54" s="85">
        <v>46357</v>
      </c>
      <c r="AH54" s="84" t="s">
        <v>276</v>
      </c>
      <c r="AI54" s="84" t="s">
        <v>277</v>
      </c>
      <c r="AJ54" s="84" t="s">
        <v>1877</v>
      </c>
      <c r="AK54" s="84" t="s">
        <v>227</v>
      </c>
      <c r="AL54" s="84" t="s">
        <v>279</v>
      </c>
      <c r="AM54" s="84" t="s">
        <v>280</v>
      </c>
      <c r="AN54" s="62" t="s">
        <v>281</v>
      </c>
      <c r="AP54" s="542" t="s">
        <v>282</v>
      </c>
    </row>
    <row r="55" spans="1:42" ht="29.1" customHeight="1" x14ac:dyDescent="0.3">
      <c r="A55" s="1036" t="s">
        <v>310</v>
      </c>
      <c r="B55" s="1036" t="s">
        <v>94</v>
      </c>
      <c r="C55" s="1113" t="s">
        <v>1878</v>
      </c>
      <c r="D55" s="1115" t="s">
        <v>1879</v>
      </c>
      <c r="E55" s="1303" t="s">
        <v>1668</v>
      </c>
      <c r="F55" s="1040" t="s">
        <v>1880</v>
      </c>
      <c r="G55" s="1117">
        <v>46023</v>
      </c>
      <c r="H55" s="1117">
        <v>46357</v>
      </c>
      <c r="I55" s="1074">
        <v>530000</v>
      </c>
      <c r="J55" s="1158"/>
      <c r="K55" s="1121" t="str">
        <f>IF(J55="", "", 12 - MONTH(J55) + 1)</f>
        <v/>
      </c>
      <c r="L55" s="1074"/>
      <c r="M55" s="1119" t="s">
        <v>287</v>
      </c>
      <c r="N55" s="1053">
        <v>50000</v>
      </c>
      <c r="O55" s="1057" t="s">
        <v>80</v>
      </c>
      <c r="P55" s="1057">
        <v>0.5</v>
      </c>
      <c r="Q55" s="87" t="s">
        <v>106</v>
      </c>
      <c r="R55" s="91">
        <f>[37]Estrutura!$F$12</f>
        <v>0.70582782800985189</v>
      </c>
      <c r="S55" s="309">
        <v>50000</v>
      </c>
      <c r="T55" s="309">
        <f>IFERROR(IF(AND(T$54&gt;=EOMONTH($J55,-1)+1,T$54&lt;=EOMONTH(EOMONTH($J55,-1)+1,$K55-1)),IF(NOT(ISBLANK($N55)),$N55/$K55,$I55/$K55),0),0)</f>
        <v>0</v>
      </c>
      <c r="U55" s="309">
        <f>IFERROR(IF(AND(U$54&gt;=EOMONTH($J55,-1)+1,U$54&lt;=EOMONTH(EOMONTH($J55,-1)+1,$K55-1)),IF(NOT(ISBLANK($N55)),$N55/$K55,$I55/$K55),0),0)</f>
        <v>0</v>
      </c>
      <c r="V55" s="310">
        <f>SUM(S55:U55)</f>
        <v>50000</v>
      </c>
      <c r="W55" s="309">
        <f>IFERROR(IF(AND(W$54&gt;=EOMONTH($J55,-1)+1,W$54&lt;=EOMONTH(EOMONTH($J55,-1)+1,$K55-1)),IF(NOT(ISBLANK($N55)),$N55/$K55,$I55/$K55),0),0)</f>
        <v>0</v>
      </c>
      <c r="X55" s="309">
        <f>IFERROR(IF(AND(X$54&gt;=EOMONTH($J55,-1)+1,X$54&lt;=EOMONTH(EOMONTH($J55,-1)+1,$K55-1)),IF(NOT(ISBLANK($N55)),$N55/$K55,$I55/$K55),0),0)</f>
        <v>0</v>
      </c>
      <c r="Y55" s="309">
        <f>IFERROR(IF(AND(Y$54&gt;=EOMONTH($J55,-1)+1,Y$54&lt;=EOMONTH(EOMONTH($J55,-1)+1,$K55-1)),IF(NOT(ISBLANK($N55)),$N55/$K55,$I55/$K55),0),0)</f>
        <v>0</v>
      </c>
      <c r="Z55" s="89">
        <f>SUM(W55:Y55)</f>
        <v>0</v>
      </c>
      <c r="AA55" s="309">
        <f>IFERROR(IF(AND(AA$54&gt;=EOMONTH($J55,-1)+1,AA$54&lt;=EOMONTH(EOMONTH($J55,-1)+1,$K55-1)),IF(NOT(ISBLANK($N55)),$N55/$K55,$I55/$K55),0),0)</f>
        <v>0</v>
      </c>
      <c r="AB55" s="309">
        <f>IFERROR(IF(AND(AB$54&gt;=EOMONTH($J55,-1)+1,AB$54&lt;=EOMONTH(EOMONTH($J55,-1)+1,$K55-1)),IF(NOT(ISBLANK($N55)),$N55/$K55,$I55/$K55),0),0)</f>
        <v>0</v>
      </c>
      <c r="AC55" s="309">
        <f>IFERROR(IF(AND(AC$54&gt;=EOMONTH($J55,-1)+1,AC$54&lt;=EOMONTH(EOMONTH($J55,-1)+1,$K55-1)),IF(NOT(ISBLANK($N55)),$N55/$K55,$I55/$K55),0),0)</f>
        <v>0</v>
      </c>
      <c r="AD55" s="89">
        <f>SUM(AA55:AC55)</f>
        <v>0</v>
      </c>
      <c r="AE55" s="309">
        <f>IFERROR(IF(AND(AE$54&gt;=EOMONTH($J55,-1)+1,AE$54&lt;=EOMONTH(EOMONTH($J55,-1)+1,$K55-1)),IF(NOT(ISBLANK($N55)),$N55/$K55,$I55/$K55),0),0)</f>
        <v>0</v>
      </c>
      <c r="AF55" s="309">
        <f>IFERROR(IF(AND(AF$54&gt;=EOMONTH($J55,-1)+1,AF$54&lt;=EOMONTH(EOMONTH($J55,-1)+1,$K55-1)),IF(NOT(ISBLANK($N55)),$N55/$K55,$I55/$K55),0),0)</f>
        <v>0</v>
      </c>
      <c r="AG55" s="309">
        <f>IFERROR(IF(AND(AG$54&gt;=EOMONTH($J55,-1)+1,AG$54&lt;=EOMONTH(EOMONTH($J55,-1)+1,$K55-1)),IF(NOT(ISBLANK($N55)),$N55/$K55,$I55/$K55),0),0)</f>
        <v>0</v>
      </c>
      <c r="AH55" s="89">
        <f>SUM(AE55:AG55)</f>
        <v>0</v>
      </c>
      <c r="AI55" s="90">
        <f>SUM(V55,Z55,AD55,AH55)</f>
        <v>50000</v>
      </c>
      <c r="AJ55" s="98"/>
      <c r="AK55" s="1040"/>
      <c r="AL55" s="1048"/>
      <c r="AM55" s="1046">
        <f>N55*AL55</f>
        <v>0</v>
      </c>
      <c r="AN55" s="62" t="str">
        <f>C55</f>
        <v>01 - VENDA DE ATIVOS</v>
      </c>
      <c r="AO55" s="62" t="s">
        <v>289</v>
      </c>
      <c r="AP55" s="543" cm="1">
        <f t="array" aca="1" ref="AP55" ca="1">IF(OR(AN55="",AN55=0),"",IF(SUMPRODUCT(($C$55:$C$138=AN55)*(S$54:$AG$54&lt;EOMONTH(TODAY(),-1)+1)*(ISNUMBER(S$55:$AG$138)),S$55:$AG$138)=0,"",SUMPRODUCT(($C$55:$C$138=AN55)*(S$54:$AG$54&lt;EOMONTH(TODAY(),-1)+1)*(ISNUMBER(S$55:$AG$138)),S$55:$AG$138)))</f>
        <v>50000</v>
      </c>
    </row>
    <row r="56" spans="1:42" ht="29.1" customHeight="1" x14ac:dyDescent="0.3">
      <c r="A56" s="1037"/>
      <c r="B56" s="1037"/>
      <c r="C56" s="1114"/>
      <c r="D56" s="1539"/>
      <c r="E56" s="1304"/>
      <c r="F56" s="1041"/>
      <c r="G56" s="1118"/>
      <c r="H56" s="1118"/>
      <c r="I56" s="1075"/>
      <c r="J56" s="1159"/>
      <c r="K56" s="1122"/>
      <c r="L56" s="1075"/>
      <c r="M56" s="1120"/>
      <c r="N56" s="1054"/>
      <c r="O56" s="1058"/>
      <c r="P56" s="1058"/>
      <c r="Q56" s="87" t="s">
        <v>107</v>
      </c>
      <c r="R56" s="629">
        <f>[37]Estrutura!$G$12</f>
        <v>0.71775086505190311</v>
      </c>
      <c r="S56" s="309">
        <v>50000</v>
      </c>
      <c r="T56" s="309">
        <v>0</v>
      </c>
      <c r="U56" s="309">
        <v>0</v>
      </c>
      <c r="V56" s="310">
        <f>SUM(S56:U56)</f>
        <v>50000</v>
      </c>
      <c r="W56" s="309">
        <v>0</v>
      </c>
      <c r="X56" s="309"/>
      <c r="Y56" s="309"/>
      <c r="Z56" s="310">
        <f>SUM(W56:Y56)</f>
        <v>0</v>
      </c>
      <c r="AA56" s="309"/>
      <c r="AB56" s="309"/>
      <c r="AC56" s="309"/>
      <c r="AD56" s="310">
        <f>SUM(AA56:AC56)</f>
        <v>0</v>
      </c>
      <c r="AE56" s="309"/>
      <c r="AF56" s="309"/>
      <c r="AG56" s="309"/>
      <c r="AH56" s="310">
        <f>SUM(AE56:AG56)</f>
        <v>0</v>
      </c>
      <c r="AI56" s="311">
        <f>SUM(V56,Z56,AD56,AH56)</f>
        <v>50000</v>
      </c>
      <c r="AJ56" s="360"/>
      <c r="AK56" s="1041"/>
      <c r="AL56" s="1049"/>
      <c r="AM56" s="1047"/>
      <c r="AN56" s="62" t="str">
        <f>C55</f>
        <v>01 - VENDA DE ATIVOS</v>
      </c>
      <c r="AO56" s="62" t="s">
        <v>291</v>
      </c>
      <c r="AP56" s="543" cm="1">
        <f t="array" aca="1" ref="AP56" ca="1">IF(OR(AN56="",AN56=0),"",IF(SUMPRODUCT(($C$55:$C$153=AN56)*($S$54:AG$54&lt;=TODAY())*(ISNUMBER($S$56:AG$154)),$S$56:AG$154)=0,"",SUMPRODUCT(($C$55:$C$153=AN56)*($S$54:AG$54&lt;=TODAY())*(ISNUMBER($S$56:AG$154)),$S$56:AG$154)))</f>
        <v>50000</v>
      </c>
    </row>
    <row r="57" spans="1:42" ht="29.1" customHeight="1" x14ac:dyDescent="0.3">
      <c r="A57" s="1038" t="s">
        <v>310</v>
      </c>
      <c r="B57" s="1038" t="s">
        <v>91</v>
      </c>
      <c r="C57" s="1095" t="s">
        <v>1881</v>
      </c>
      <c r="D57" s="1097" t="s">
        <v>1882</v>
      </c>
      <c r="E57" s="1363" t="s">
        <v>1883</v>
      </c>
      <c r="F57" s="1099" t="s">
        <v>1884</v>
      </c>
      <c r="G57" s="1150">
        <v>46054</v>
      </c>
      <c r="H57" s="1150">
        <v>46203</v>
      </c>
      <c r="I57" s="1624">
        <v>400000</v>
      </c>
      <c r="J57" s="1109">
        <v>46218</v>
      </c>
      <c r="K57" s="1213">
        <f>IF(J57="", "", 12 - MONTH(J57) + 1)</f>
        <v>6</v>
      </c>
      <c r="L57" s="1076"/>
      <c r="M57" s="1091" t="s">
        <v>287</v>
      </c>
      <c r="N57" s="1055"/>
      <c r="O57" s="1042" t="s">
        <v>80</v>
      </c>
      <c r="P57" s="1042">
        <v>0.4</v>
      </c>
      <c r="Q57" s="93" t="s">
        <v>106</v>
      </c>
      <c r="R57" s="953">
        <f>[38]Estrutura!$F$33</f>
        <v>0.99510646366357636</v>
      </c>
      <c r="S57" s="532">
        <f>IFERROR(IF(AND(S$54&gt;=EOMONTH($J57,-1)+1,S$54&lt;=EOMONTH(EOMONTH($J57,-1)+1,$K57-1)),IF(NOT(ISBLANK($N57)),$N57/$K57,$I57/$K57),0),0)</f>
        <v>0</v>
      </c>
      <c r="T57" s="532">
        <f>IFERROR(IF(AND(T$54&gt;=EOMONTH($J57,-1)+1,T$54&lt;=EOMONTH(EOMONTH($J57,-1)+1,$K57-1)),IF(NOT(ISBLANK($N57)),$N57/$K57,$I57/$K57),0),0)</f>
        <v>0</v>
      </c>
      <c r="U57" s="532">
        <f>IFERROR(IF(AND(U$54&gt;=EOMONTH($J57,-1)+1,U$54&lt;=EOMONTH(EOMONTH($J57,-1)+1,$K57-1)),IF(NOT(ISBLANK($N57)),$N57/$K57,$I57/$K57),0),0)</f>
        <v>0</v>
      </c>
      <c r="V57" s="310">
        <f>SUM(S57:U57)</f>
        <v>0</v>
      </c>
      <c r="W57" s="532">
        <f>IFERROR(IF(AND(W$54&gt;=EOMONTH($J57,-1)+1,W$54&lt;=EOMONTH(EOMONTH($J57,-1)+1,$K57-1)),IF(NOT(ISBLANK($N57)),$N57/$K57,$I57/$K57),0),0)</f>
        <v>0</v>
      </c>
      <c r="X57" s="532">
        <f>IFERROR(IF(AND(X$54&gt;=EOMONTH($J57,-1)+1,X$54&lt;=EOMONTH(EOMONTH($J57,-1)+1,$K57-1)),IF(NOT(ISBLANK($N57)),$N57/$K57,$I57/$K57),0),0)</f>
        <v>0</v>
      </c>
      <c r="Y57" s="532">
        <f>IFERROR(IF(AND(Y$54&gt;=EOMONTH($J57,-1)+1,Y$54&lt;=EOMONTH(EOMONTH($J57,-1)+1,$K57-1)),IF(NOT(ISBLANK($N57)),$N57/$K57,$I57/$K57),0),0)</f>
        <v>0</v>
      </c>
      <c r="Z57" s="89">
        <f>SUM(W57:Y57)</f>
        <v>0</v>
      </c>
      <c r="AA57" s="532">
        <f>IFERROR(IF(AND(AA$54&gt;=EOMONTH($J57,-1)+1,AA$54&lt;=EOMONTH(EOMONTH($J57,-1)+1,$K57-1)),IF(NOT(ISBLANK($N57)),$N57/$K57,$I57/$K57),0),0)</f>
        <v>66666.666666666672</v>
      </c>
      <c r="AB57" s="532">
        <f>IFERROR(IF(AND(AB$54&gt;=EOMONTH($J57,-1)+1,AB$54&lt;=EOMONTH(EOMONTH($J57,-1)+1,$K57-1)),IF(NOT(ISBLANK($N57)),$N57/$K57,$I57/$K57),0),0)</f>
        <v>66666.666666666672</v>
      </c>
      <c r="AC57" s="532">
        <f>IFERROR(IF(AND(AC$54&gt;=EOMONTH($J57,-1)+1,AC$54&lt;=EOMONTH(EOMONTH($J57,-1)+1,$K57-1)),IF(NOT(ISBLANK($N57)),$N57/$K57,$I57/$K57),0),0)</f>
        <v>66666.666666666672</v>
      </c>
      <c r="AD57" s="89">
        <f>SUM(AA57:AC57)</f>
        <v>200000</v>
      </c>
      <c r="AE57" s="532">
        <f>IFERROR(IF(AND(AE$54&gt;=EOMONTH($J57,-1)+1,AE$54&lt;=EOMONTH(EOMONTH($J57,-1)+1,$K57-1)),IF(NOT(ISBLANK($N57)),$N57/$K57,$I57/$K57),0),0)</f>
        <v>66666.666666666672</v>
      </c>
      <c r="AF57" s="532">
        <f>IFERROR(IF(AND(AF$54&gt;=EOMONTH($J57,-1)+1,AF$54&lt;=EOMONTH(EOMONTH($J57,-1)+1,$K57-1)),IF(NOT(ISBLANK($N57)),$N57/$K57,$I57/$K57),0),0)</f>
        <v>66666.666666666672</v>
      </c>
      <c r="AG57" s="532">
        <f>IFERROR(IF(AND(AG$54&gt;=EOMONTH($J57,-1)+1,AG$54&lt;=EOMONTH(EOMONTH($J57,-1)+1,$K57-1)),IF(NOT(ISBLANK($N57)),$N57/$K57,$I57/$K57),0),0)</f>
        <v>66666.666666666672</v>
      </c>
      <c r="AH57" s="89">
        <f>SUM(AE57:AG57)</f>
        <v>200000</v>
      </c>
      <c r="AI57" s="95">
        <f>SUM(V57,Z57,AD57,AH57)</f>
        <v>400000</v>
      </c>
      <c r="AJ57" s="97"/>
      <c r="AK57" s="1038"/>
      <c r="AL57" s="1042"/>
      <c r="AM57" s="1044">
        <f>N57*AL57</f>
        <v>0</v>
      </c>
      <c r="AN57" s="62" t="str">
        <f>C57</f>
        <v>02 - TANQUE DE DECAPAGEM</v>
      </c>
      <c r="AO57" s="62" t="s">
        <v>289</v>
      </c>
      <c r="AP57" s="543" t="str" cm="1">
        <f t="array" aca="1" ref="AP57" ca="1">IF(OR(AN57="",AN57=0),"",IF(SUMPRODUCT(($C$55:$C$138=AN57)*(S$54:$AG$54&lt;EOMONTH(TODAY(),-1)+1)*(ISNUMBER(S$55:$AG$138)),S$55:$AG$138)=0,"",SUMPRODUCT(($C$55:$C$138=AN57)*(S$54:$AG$54&lt;EOMONTH(TODAY(),-1)+1)*(ISNUMBER(S$55:$AG$138)),S$55:$AG$138)))</f>
        <v/>
      </c>
    </row>
    <row r="58" spans="1:42" ht="29.1" customHeight="1" x14ac:dyDescent="0.3">
      <c r="A58" s="1039"/>
      <c r="B58" s="1039"/>
      <c r="C58" s="1096"/>
      <c r="D58" s="1098"/>
      <c r="E58" s="1364"/>
      <c r="F58" s="1100"/>
      <c r="G58" s="1151"/>
      <c r="H58" s="1151"/>
      <c r="I58" s="1625"/>
      <c r="J58" s="1110"/>
      <c r="K58" s="1214"/>
      <c r="L58" s="1077"/>
      <c r="M58" s="1092"/>
      <c r="N58" s="1056"/>
      <c r="O58" s="1043"/>
      <c r="P58" s="1043"/>
      <c r="Q58" s="93" t="s">
        <v>107</v>
      </c>
      <c r="R58" s="953">
        <f>[38]Estrutura!$G$33</f>
        <v>0.99546075085324226</v>
      </c>
      <c r="S58" s="312"/>
      <c r="T58" s="312"/>
      <c r="U58" s="312"/>
      <c r="V58" s="310">
        <f>SUM(S58:U58)</f>
        <v>0</v>
      </c>
      <c r="W58" s="312"/>
      <c r="X58" s="312"/>
      <c r="Y58" s="312"/>
      <c r="Z58" s="310">
        <f>SUM(W58:Y58)</f>
        <v>0</v>
      </c>
      <c r="AA58" s="312"/>
      <c r="AB58" s="312"/>
      <c r="AC58" s="312"/>
      <c r="AD58" s="310">
        <f>SUM(AA58:AC58)</f>
        <v>0</v>
      </c>
      <c r="AE58" s="312"/>
      <c r="AF58" s="312"/>
      <c r="AG58" s="312"/>
      <c r="AH58" s="310">
        <f>SUM(AE58:AG58)</f>
        <v>0</v>
      </c>
      <c r="AI58" s="313">
        <f>SUM(V58,Z58,AD58,AH58)</f>
        <v>0</v>
      </c>
      <c r="AJ58" s="97"/>
      <c r="AK58" s="1039"/>
      <c r="AL58" s="1043"/>
      <c r="AM58" s="1045"/>
      <c r="AN58" s="62" t="str">
        <f>C57</f>
        <v>02 - TANQUE DE DECAPAGEM</v>
      </c>
      <c r="AO58" s="62" t="s">
        <v>291</v>
      </c>
      <c r="AP58" s="543" t="str" cm="1">
        <f t="array" aca="1" ref="AP58" ca="1">IF(OR(AN58="",AN58=0),"",IF(SUMPRODUCT(($C$55:$C$153=AN58)*($S$54:AG$54&lt;=TODAY())*(ISNUMBER($S$56:AG$154)),$S$56:AG$154)=0,"",SUMPRODUCT(($C$55:$C$153=AN58)*($S$54:AG$54&lt;=TODAY())*(ISNUMBER($S$56:AG$154)),$S$56:AG$154)))</f>
        <v/>
      </c>
    </row>
    <row r="59" spans="1:42" ht="29.1" customHeight="1" x14ac:dyDescent="0.3">
      <c r="A59" s="1036" t="s">
        <v>310</v>
      </c>
      <c r="B59" s="1036" t="s">
        <v>93</v>
      </c>
      <c r="C59" s="1113" t="s">
        <v>1885</v>
      </c>
      <c r="D59" s="1115" t="s">
        <v>1886</v>
      </c>
      <c r="E59" s="1303" t="s">
        <v>1887</v>
      </c>
      <c r="F59" s="1099" t="s">
        <v>1884</v>
      </c>
      <c r="G59" s="1117">
        <v>46054</v>
      </c>
      <c r="H59" s="1117">
        <v>46113</v>
      </c>
      <c r="I59" s="1074">
        <v>135000</v>
      </c>
      <c r="J59" s="1158">
        <v>46054</v>
      </c>
      <c r="K59" s="1121">
        <f t="shared" ref="K59" si="12">IF(J59="", "", 12 - MONTH(J59) + 1)</f>
        <v>11</v>
      </c>
      <c r="L59" s="1074"/>
      <c r="M59" s="1119" t="s">
        <v>287</v>
      </c>
      <c r="N59" s="1053">
        <v>135866.62950000001</v>
      </c>
      <c r="O59" s="1057" t="s">
        <v>80</v>
      </c>
      <c r="P59" s="1057">
        <v>1</v>
      </c>
      <c r="Q59" s="87" t="s">
        <v>106</v>
      </c>
      <c r="R59" s="629">
        <f>[39]Estrutura!$F$10</f>
        <v>1</v>
      </c>
      <c r="S59" s="309">
        <f>IFERROR(IF(AND(S$54&gt;=EOMONTH($J59,-1)+1,S$54&lt;=EOMONTH(EOMONTH($J59,-1)+1,$K59-1)),IF(NOT(ISBLANK($N59)),$N59/$K59,$I59/$K59),0),0)</f>
        <v>0</v>
      </c>
      <c r="T59" s="309">
        <f>IFERROR(IF(AND(T$54&gt;=EOMONTH($J59,-1)+1,T$54&lt;=EOMONTH(EOMONTH($J59,-1)+1,$K59-1)),IF(NOT(ISBLANK($N59)),$N59/$K59,$I59/$K59),0),0)</f>
        <v>12351.511772727274</v>
      </c>
      <c r="U59" s="309">
        <f>IFERROR(IF(AND(U$54&gt;=EOMONTH($J59,-1)+1,U$54&lt;=EOMONTH(EOMONTH($J59,-1)+1,$K59-1)),IF(NOT(ISBLANK($N59)),$N59/$K59,$I59/$K59),0),0)</f>
        <v>12351.511772727274</v>
      </c>
      <c r="V59" s="310">
        <f t="shared" ref="V59:V102" si="13">SUM(S59:U59)</f>
        <v>24703.023545454547</v>
      </c>
      <c r="W59" s="309">
        <f>IFERROR(IF(AND(W$54&gt;=EOMONTH($J59,-1)+1,W$54&lt;=EOMONTH(EOMONTH($J59,-1)+1,$K59-1)),IF(NOT(ISBLANK($N59)),$N59/$K59,$I59/$K59),0),0)</f>
        <v>12351.511772727274</v>
      </c>
      <c r="X59" s="309">
        <f>IFERROR(IF(AND(X$54&gt;=EOMONTH($J59,-1)+1,X$54&lt;=EOMONTH(EOMONTH($J59,-1)+1,$K59-1)),IF(NOT(ISBLANK($N59)),$N59/$K59,$I59/$K59),0),0)</f>
        <v>12351.511772727274</v>
      </c>
      <c r="Y59" s="309">
        <f>IFERROR(IF(AND(Y$54&gt;=EOMONTH($J59,-1)+1,Y$54&lt;=EOMONTH(EOMONTH($J59,-1)+1,$K59-1)),IF(NOT(ISBLANK($N59)),$N59/$K59,$I59/$K59),0),0)</f>
        <v>12351.511772727274</v>
      </c>
      <c r="Z59" s="89">
        <f t="shared" ref="Z59:Z102" si="14">SUM(W59:Y59)</f>
        <v>37054.535318181821</v>
      </c>
      <c r="AA59" s="309">
        <f>IFERROR(IF(AND(AA$54&gt;=EOMONTH($J59,-1)+1,AA$54&lt;=EOMONTH(EOMONTH($J59,-1)+1,$K59-1)),IF(NOT(ISBLANK($N59)),$N59/$K59,$I59/$K59),0),0)</f>
        <v>12351.511772727274</v>
      </c>
      <c r="AB59" s="309">
        <f>IFERROR(IF(AND(AB$54&gt;=EOMONTH($J59,-1)+1,AB$54&lt;=EOMONTH(EOMONTH($J59,-1)+1,$K59-1)),IF(NOT(ISBLANK($N59)),$N59/$K59,$I59/$K59),0),0)</f>
        <v>12351.511772727274</v>
      </c>
      <c r="AC59" s="309">
        <f>IFERROR(IF(AND(AC$54&gt;=EOMONTH($J59,-1)+1,AC$54&lt;=EOMONTH(EOMONTH($J59,-1)+1,$K59-1)),IF(NOT(ISBLANK($N59)),$N59/$K59,$I59/$K59),0),0)</f>
        <v>12351.511772727274</v>
      </c>
      <c r="AD59" s="89">
        <f t="shared" ref="AD59:AD102" si="15">SUM(AA59:AC59)</f>
        <v>37054.535318181821</v>
      </c>
      <c r="AE59" s="309">
        <f>IFERROR(IF(AND(AE$54&gt;=EOMONTH($J59,-1)+1,AE$54&lt;=EOMONTH(EOMONTH($J59,-1)+1,$K59-1)),IF(NOT(ISBLANK($N59)),$N59/$K59,$I59/$K59),0),0)</f>
        <v>12351.511772727274</v>
      </c>
      <c r="AF59" s="309">
        <f>IFERROR(IF(AND(AF$54&gt;=EOMONTH($J59,-1)+1,AF$54&lt;=EOMONTH(EOMONTH($J59,-1)+1,$K59-1)),IF(NOT(ISBLANK($N59)),$N59/$K59,$I59/$K59),0),0)</f>
        <v>12351.511772727274</v>
      </c>
      <c r="AG59" s="309">
        <f>IFERROR(IF(AND(AG$54&gt;=EOMONTH($J59,-1)+1,AG$54&lt;=EOMONTH(EOMONTH($J59,-1)+1,$K59-1)),IF(NOT(ISBLANK($N59)),$N59/$K59,$I59/$K59),0),0)</f>
        <v>12351.511772727274</v>
      </c>
      <c r="AH59" s="89">
        <f t="shared" ref="AH59:AH82" si="16">SUM(AE59:AG59)</f>
        <v>37054.535318181821</v>
      </c>
      <c r="AI59" s="90">
        <f>SUM(V59,Z59,AD59,AH59)</f>
        <v>135866.62950000001</v>
      </c>
      <c r="AJ59" s="98"/>
      <c r="AK59" s="1040"/>
      <c r="AL59" s="1048"/>
      <c r="AM59" s="1046">
        <f t="shared" ref="AM59" si="17">N59*AL59</f>
        <v>0</v>
      </c>
      <c r="AN59" s="62" t="str">
        <f>C59</f>
        <v>03 - PRODUTOS QUÍMICOS KTL</v>
      </c>
      <c r="AO59" s="62" t="s">
        <v>289</v>
      </c>
      <c r="AP59" s="543" cm="1">
        <f t="array" aca="1" ref="AP59" ca="1">IF(OR(AN59="",AN59=0),"",IF(SUMPRODUCT(($C$55:$C$138=AN59)*(S$54:$AG$54&lt;EOMONTH(TODAY(),-1)+1)*(ISNUMBER(S$55:$AG$138)),S$55:$AG$138)=0,"",SUMPRODUCT(($C$55:$C$138=AN59)*(S$54:$AG$54&lt;EOMONTH(TODAY(),-1)+1)*(ISNUMBER(S$55:$AG$138)),S$55:$AG$138)))</f>
        <v>49406.047090909095</v>
      </c>
    </row>
    <row r="60" spans="1:42" ht="29.1" customHeight="1" x14ac:dyDescent="0.3">
      <c r="A60" s="1037"/>
      <c r="B60" s="1037"/>
      <c r="C60" s="1114"/>
      <c r="D60" s="1539"/>
      <c r="E60" s="1304"/>
      <c r="F60" s="1100"/>
      <c r="G60" s="1118"/>
      <c r="H60" s="1118"/>
      <c r="I60" s="1075"/>
      <c r="J60" s="1159"/>
      <c r="K60" s="1122"/>
      <c r="L60" s="1075"/>
      <c r="M60" s="1120"/>
      <c r="N60" s="1054"/>
      <c r="O60" s="1058"/>
      <c r="P60" s="1058"/>
      <c r="Q60" s="87" t="s">
        <v>107</v>
      </c>
      <c r="R60" s="629">
        <f>[39]Estrutura!$G$10</f>
        <v>1</v>
      </c>
      <c r="S60" s="830">
        <v>-37047.53</v>
      </c>
      <c r="T60" s="589">
        <v>66080.55</v>
      </c>
      <c r="U60" s="309">
        <v>1684.3489999999999</v>
      </c>
      <c r="V60" s="310">
        <f>SUM(S60:U60)</f>
        <v>30717.369000000002</v>
      </c>
      <c r="W60" s="309">
        <v>30504.61</v>
      </c>
      <c r="X60" s="589">
        <v>31964.16</v>
      </c>
      <c r="Y60" s="309"/>
      <c r="Z60" s="310">
        <f t="shared" si="14"/>
        <v>62468.770000000004</v>
      </c>
      <c r="AA60" s="309"/>
      <c r="AB60" s="309"/>
      <c r="AC60" s="309"/>
      <c r="AD60" s="310">
        <f t="shared" si="15"/>
        <v>0</v>
      </c>
      <c r="AE60" s="309"/>
      <c r="AF60" s="309"/>
      <c r="AG60" s="309"/>
      <c r="AH60" s="310">
        <f t="shared" si="16"/>
        <v>0</v>
      </c>
      <c r="AI60" s="311">
        <f t="shared" ref="AI60:AI102" si="18">SUM(V60,Z60,AD60,AH60)</f>
        <v>93186.13900000001</v>
      </c>
      <c r="AJ60" s="360"/>
      <c r="AK60" s="1041"/>
      <c r="AL60" s="1049"/>
      <c r="AM60" s="1047"/>
      <c r="AN60" s="62" t="str">
        <f>C59</f>
        <v>03 - PRODUTOS QUÍMICOS KTL</v>
      </c>
      <c r="AO60" s="62" t="s">
        <v>291</v>
      </c>
      <c r="AP60" s="543" cm="1">
        <f t="array" aca="1" ref="AP60" ca="1">IF(OR(AN60="",AN60=0),"",IF(SUMPRODUCT(($C$55:$C$153=AN60)*($S$54:AG$54&lt;=TODAY())*(ISNUMBER($S$56:AG$154)),$S$56:AG$154)=0,"",SUMPRODUCT(($C$55:$C$153=AN60)*($S$54:AG$54&lt;=TODAY())*(ISNUMBER($S$56:AG$154)),$S$56:AG$154)))</f>
        <v>93186.13900000001</v>
      </c>
    </row>
    <row r="61" spans="1:42" ht="29.1" customHeight="1" x14ac:dyDescent="0.3">
      <c r="A61" s="1038" t="s">
        <v>310</v>
      </c>
      <c r="B61" s="1038" t="s">
        <v>93</v>
      </c>
      <c r="C61" s="1095" t="s">
        <v>1888</v>
      </c>
      <c r="D61" s="1097" t="s">
        <v>1889</v>
      </c>
      <c r="E61" s="1363" t="s">
        <v>1890</v>
      </c>
      <c r="F61" s="1099" t="s">
        <v>1891</v>
      </c>
      <c r="G61" s="1150">
        <v>46054</v>
      </c>
      <c r="H61" s="1150">
        <v>46143</v>
      </c>
      <c r="I61" s="1624">
        <v>100000.0001</v>
      </c>
      <c r="J61" s="1109">
        <v>46113</v>
      </c>
      <c r="K61" s="1213">
        <f t="shared" ref="K61" si="19">IF(J61="", "", 12 - MONTH(J61) + 1)</f>
        <v>9</v>
      </c>
      <c r="L61" s="1076"/>
      <c r="M61" s="1329" t="s">
        <v>287</v>
      </c>
      <c r="N61" s="1449">
        <v>253098.29</v>
      </c>
      <c r="O61" s="1042" t="s">
        <v>80</v>
      </c>
      <c r="P61" s="1042">
        <v>1</v>
      </c>
      <c r="Q61" s="93" t="s">
        <v>106</v>
      </c>
      <c r="R61" s="629">
        <f>[40]Estrutura!$F$17</f>
        <v>0.23731749710312863</v>
      </c>
      <c r="S61" s="532">
        <f>IFERROR(IF(AND(S$54&gt;=EOMONTH($J61,-1)+1,S$54&lt;=EOMONTH(EOMONTH($J61,-1)+1,$K61-1)),IF(NOT(ISBLANK($N61)),$N61/$K61,$I61/$K61),0),0)</f>
        <v>0</v>
      </c>
      <c r="T61" s="532">
        <f>IFERROR(IF(AND(T$54&gt;=EOMONTH($J61,-1)+1,T$54&lt;=EOMONTH(EOMONTH($J61,-1)+1,$K61-1)),IF(NOT(ISBLANK($N61)),$N61/$K61,$I61/$K61),0),0)</f>
        <v>0</v>
      </c>
      <c r="U61" s="802">
        <f>IFERROR(IF(AND(U$54&gt;=EOMONTH($J61,-1)+1,U$54&lt;=EOMONTH(EOMONTH($J61,-1)+1,$K61-1)),IF(NOT(ISBLANK($N61)),$N61/$K61,$I61/$K61),0),0)</f>
        <v>0</v>
      </c>
      <c r="V61" s="310">
        <f t="shared" si="13"/>
        <v>0</v>
      </c>
      <c r="W61" s="802">
        <f>IFERROR(IF(AND(W$54&gt;=EOMONTH($J61,-1)+1,W$54&lt;=EOMONTH(EOMONTH($J61,-1)+1,$K61-1)),IF(NOT(ISBLANK($N61)),$N61/$K61,$I61/$K61),0),0)</f>
        <v>28122.032222222224</v>
      </c>
      <c r="X61" s="532">
        <f>IFERROR(IF(AND(X$54&gt;=EOMONTH($J61,-1)+1,X$54&lt;=EOMONTH(EOMONTH($J61,-1)+1,$K61-1)),IF(NOT(ISBLANK($N61)),$N61/$K61,$I61/$K61),0),0)</f>
        <v>28122.032222222224</v>
      </c>
      <c r="Y61" s="532">
        <f>IFERROR(IF(AND(Y$54&gt;=EOMONTH($J61,-1)+1,Y$54&lt;=EOMONTH(EOMONTH($J61,-1)+1,$K61-1)),IF(NOT(ISBLANK($N61)),$N61/$K61,$I61/$K61),0),0)</f>
        <v>28122.032222222224</v>
      </c>
      <c r="Z61" s="89">
        <f t="shared" si="14"/>
        <v>84366.096666666679</v>
      </c>
      <c r="AA61" s="532">
        <f>IFERROR(IF(AND(AA$54&gt;=EOMONTH($J61,-1)+1,AA$54&lt;=EOMONTH(EOMONTH($J61,-1)+1,$K61-1)),IF(NOT(ISBLANK($N61)),$N61/$K61,$I61/$K61),0),0)</f>
        <v>28122.032222222224</v>
      </c>
      <c r="AB61" s="532">
        <f>IFERROR(IF(AND(AB$54&gt;=EOMONTH($J61,-1)+1,AB$54&lt;=EOMONTH(EOMONTH($J61,-1)+1,$K61-1)),IF(NOT(ISBLANK($N61)),$N61/$K61,$I61/$K61),0),0)</f>
        <v>28122.032222222224</v>
      </c>
      <c r="AC61" s="532">
        <f>IFERROR(IF(AND(AC$54&gt;=EOMONTH($J61,-1)+1,AC$54&lt;=EOMONTH(EOMONTH($J61,-1)+1,$K61-1)),IF(NOT(ISBLANK($N61)),$N61/$K61,$I61/$K61),0),0)</f>
        <v>28122.032222222224</v>
      </c>
      <c r="AD61" s="89">
        <f t="shared" si="15"/>
        <v>84366.096666666679</v>
      </c>
      <c r="AE61" s="532">
        <f>IFERROR(IF(AND(AE$54&gt;=EOMONTH($J61,-1)+1,AE$54&lt;=EOMONTH(EOMONTH($J61,-1)+1,$K61-1)),IF(NOT(ISBLANK($N61)),$N61/$K61,$I61/$K61),0),0)</f>
        <v>28122.032222222224</v>
      </c>
      <c r="AF61" s="532">
        <f>IFERROR(IF(AND(AF$54&gt;=EOMONTH($J61,-1)+1,AF$54&lt;=EOMONTH(EOMONTH($J61,-1)+1,$K61-1)),IF(NOT(ISBLANK($N61)),$N61/$K61,$I61/$K61),0),0)</f>
        <v>28122.032222222224</v>
      </c>
      <c r="AG61" s="532">
        <f>IFERROR(IF(AND(AG$54&gt;=EOMONTH($J61,-1)+1,AG$54&lt;=EOMONTH(EOMONTH($J61,-1)+1,$K61-1)),IF(NOT(ISBLANK($N61)),$N61/$K61,$I61/$K61),0),0)</f>
        <v>28122.032222222224</v>
      </c>
      <c r="AH61" s="89">
        <f>SUM(AE61:AG61)</f>
        <v>84366.096666666679</v>
      </c>
      <c r="AI61" s="95">
        <f>SUM(V61,Z61,AD61,AH61)</f>
        <v>253098.29000000004</v>
      </c>
      <c r="AJ61" s="97"/>
      <c r="AK61" s="1038"/>
      <c r="AL61" s="1042"/>
      <c r="AM61" s="1044">
        <f t="shared" ref="AM61" si="20">N61*AL61</f>
        <v>0</v>
      </c>
      <c r="AN61" s="62" t="str">
        <f>C61</f>
        <v>04 - GÁS</v>
      </c>
      <c r="AO61" s="62" t="s">
        <v>289</v>
      </c>
      <c r="AP61" s="543" cm="1">
        <f t="array" aca="1" ref="AP61" ca="1">IF(OR(AN61="",AN61=0),"",IF(SUMPRODUCT(($C$55:$C$138=AN61)*(S$54:$AG$54&lt;EOMONTH(TODAY(),-1)+1)*(ISNUMBER(S$55:$AG$138)),S$55:$AG$138)=0,"",SUMPRODUCT(($C$55:$C$138=AN61)*(S$54:$AG$54&lt;EOMONTH(TODAY(),-1)+1)*(ISNUMBER(S$55:$AG$138)),S$55:$AG$138)))</f>
        <v>56244.064444444448</v>
      </c>
    </row>
    <row r="62" spans="1:42" ht="29.1" customHeight="1" x14ac:dyDescent="0.3">
      <c r="A62" s="1039"/>
      <c r="B62" s="1039"/>
      <c r="C62" s="1096"/>
      <c r="D62" s="1501"/>
      <c r="E62" s="1364"/>
      <c r="F62" s="1100"/>
      <c r="G62" s="1151"/>
      <c r="H62" s="1151"/>
      <c r="I62" s="1625"/>
      <c r="J62" s="1110"/>
      <c r="K62" s="1214"/>
      <c r="L62" s="1077"/>
      <c r="M62" s="1330"/>
      <c r="N62" s="1450"/>
      <c r="O62" s="1043"/>
      <c r="P62" s="1043"/>
      <c r="Q62" s="93" t="s">
        <v>107</v>
      </c>
      <c r="R62" s="629">
        <f>[40]Estrutura!$G$17</f>
        <v>0.57908458864426415</v>
      </c>
      <c r="S62" s="312"/>
      <c r="T62" s="312"/>
      <c r="U62" s="486"/>
      <c r="V62" s="310">
        <f>SUM(S62:U62)</f>
        <v>0</v>
      </c>
      <c r="W62" s="486">
        <v>23370.639999999999</v>
      </c>
      <c r="X62" s="568">
        <v>-26160.89</v>
      </c>
      <c r="Y62" s="312"/>
      <c r="Z62" s="310">
        <f t="shared" si="14"/>
        <v>-2790.25</v>
      </c>
      <c r="AA62" s="312"/>
      <c r="AB62" s="312"/>
      <c r="AC62" s="312"/>
      <c r="AD62" s="310">
        <f t="shared" si="15"/>
        <v>0</v>
      </c>
      <c r="AE62" s="312"/>
      <c r="AF62" s="312"/>
      <c r="AG62" s="312"/>
      <c r="AH62" s="310">
        <f>SUM(AE62:AG62)</f>
        <v>0</v>
      </c>
      <c r="AI62" s="313">
        <f>SUM(V62,Z62,AD62,AH62)</f>
        <v>-2790.25</v>
      </c>
      <c r="AJ62" s="97"/>
      <c r="AK62" s="1039"/>
      <c r="AL62" s="1043"/>
      <c r="AM62" s="1045"/>
      <c r="AN62" s="62" t="str">
        <f>C61</f>
        <v>04 - GÁS</v>
      </c>
      <c r="AO62" s="62" t="s">
        <v>291</v>
      </c>
      <c r="AP62" s="543" cm="1">
        <f t="array" aca="1" ref="AP62" ca="1">IF(OR(AN62="",AN62=0),"",IF(SUMPRODUCT(($C$55:$C$153=AN62)*($S$54:AG$54&lt;=TODAY())*(ISNUMBER($S$56:AG$154)),$S$56:AG$154)=0,"",SUMPRODUCT(($C$55:$C$153=AN62)*($S$54:AG$54&lt;=TODAY())*(ISNUMBER($S$56:AG$154)),$S$56:AG$154)))</f>
        <v>-2790.25</v>
      </c>
    </row>
    <row r="63" spans="1:42" s="815" customFormat="1" ht="29.1" customHeight="1" x14ac:dyDescent="0.3">
      <c r="A63" s="1601" t="s">
        <v>310</v>
      </c>
      <c r="B63" s="1036" t="s">
        <v>94</v>
      </c>
      <c r="C63" s="1603" t="s">
        <v>1892</v>
      </c>
      <c r="D63" s="1595" t="s">
        <v>1893</v>
      </c>
      <c r="E63" s="1605" t="s">
        <v>1894</v>
      </c>
      <c r="F63" s="1607" t="s">
        <v>1895</v>
      </c>
      <c r="G63" s="1561">
        <v>46023</v>
      </c>
      <c r="H63" s="1561">
        <v>46113</v>
      </c>
      <c r="I63" s="1563"/>
      <c r="J63" s="1644"/>
      <c r="K63" s="1569" t="str">
        <f t="shared" ref="K63" si="21">IF(J63="", "", 12 - MONTH(J63) + 1)</f>
        <v/>
      </c>
      <c r="L63" s="1563"/>
      <c r="M63" s="1646" t="s">
        <v>388</v>
      </c>
      <c r="N63" s="1648"/>
      <c r="O63" s="1565" t="s">
        <v>80</v>
      </c>
      <c r="P63" s="1567">
        <v>1</v>
      </c>
      <c r="Q63" s="808" t="s">
        <v>106</v>
      </c>
      <c r="R63" s="809">
        <f>[41]Estrutura!$F$13</f>
        <v>0.26339740691408114</v>
      </c>
      <c r="S63" s="810">
        <f>IFERROR(IF(AND(S$54&gt;=EOMONTH($J63,-1)+1,S$54&lt;=EOMONTH(EOMONTH($J63,-1)+1,$K63-1)),IF(NOT(ISBLANK($N63)),$N63/$K63,$I63/$K63),0),0)</f>
        <v>0</v>
      </c>
      <c r="T63" s="810">
        <f>IFERROR(IF(AND(T$54&gt;=EOMONTH($J63,-1)+1,T$54&lt;=EOMONTH(EOMONTH($J63,-1)+1,$K63-1)),IF(NOT(ISBLANK($N63)),$N63/$K63,$I63/$K63),0),0)</f>
        <v>0</v>
      </c>
      <c r="U63" s="810">
        <f>IFERROR(IF(AND(U$54&gt;=EOMONTH($J63,-1)+1,U$54&lt;=EOMONTH(EOMONTH($J63,-1)+1,$K63-1)),IF(NOT(ISBLANK($N63)),$N63/$K63,$I63/$K63),0),0)</f>
        <v>0</v>
      </c>
      <c r="V63" s="811">
        <f t="shared" si="13"/>
        <v>0</v>
      </c>
      <c r="W63" s="810">
        <f>IFERROR(IF(AND(W$54&gt;=EOMONTH($J63,-1)+1,W$54&lt;=EOMONTH(EOMONTH($J63,-1)+1,$K63-1)),IF(NOT(ISBLANK($N63)),$N63/$K63,$I63/$K63),0),0)</f>
        <v>0</v>
      </c>
      <c r="X63" s="810">
        <f>IFERROR(IF(AND(X$54&gt;=EOMONTH($J63,-1)+1,X$54&lt;=EOMONTH(EOMONTH($J63,-1)+1,$K63-1)),IF(NOT(ISBLANK($N63)),$N63/$K63,$I63/$K63),0),0)</f>
        <v>0</v>
      </c>
      <c r="Y63" s="810">
        <f>IFERROR(IF(AND(Y$54&gt;=EOMONTH($J63,-1)+1,Y$54&lt;=EOMONTH(EOMONTH($J63,-1)+1,$K63-1)),IF(NOT(ISBLANK($N63)),$N63/$K63,$I63/$K63),0),0)</f>
        <v>0</v>
      </c>
      <c r="Z63" s="812">
        <f t="shared" si="14"/>
        <v>0</v>
      </c>
      <c r="AA63" s="810">
        <f>IFERROR(IF(AND(AA$54&gt;=EOMONTH($J63,-1)+1,AA$54&lt;=EOMONTH(EOMONTH($J63,-1)+1,$K63-1)),IF(NOT(ISBLANK($N63)),$N63/$K63,$I63/$K63),0),0)</f>
        <v>0</v>
      </c>
      <c r="AB63" s="810">
        <f>IFERROR(IF(AND(AB$54&gt;=EOMONTH($J63,-1)+1,AB$54&lt;=EOMONTH(EOMONTH($J63,-1)+1,$K63-1)),IF(NOT(ISBLANK($N63)),$N63/$K63,$I63/$K63),0),0)</f>
        <v>0</v>
      </c>
      <c r="AC63" s="810">
        <f>IFERROR(IF(AND(AC$54&gt;=EOMONTH($J63,-1)+1,AC$54&lt;=EOMONTH(EOMONTH($J63,-1)+1,$K63-1)),IF(NOT(ISBLANK($N63)),$N63/$K63,$I63/$K63),0),0)</f>
        <v>0</v>
      </c>
      <c r="AD63" s="812">
        <f t="shared" si="15"/>
        <v>0</v>
      </c>
      <c r="AE63" s="810">
        <f>IFERROR(IF(AND(AE$54&gt;=EOMONTH($J63,-1)+1,AE$54&lt;=EOMONTH(EOMONTH($J63,-1)+1,$K63-1)),IF(NOT(ISBLANK($N63)),$N63/$K63,$I63/$K63),0),0)</f>
        <v>0</v>
      </c>
      <c r="AF63" s="810">
        <f>IFERROR(IF(AND(AF$54&gt;=EOMONTH($J63,-1)+1,AF$54&lt;=EOMONTH(EOMONTH($J63,-1)+1,$K63-1)),IF(NOT(ISBLANK($N63)),$N63/$K63,$I63/$K63),0),0)</f>
        <v>0</v>
      </c>
      <c r="AG63" s="810">
        <f>IFERROR(IF(AND(AG$54&gt;=EOMONTH($J63,-1)+1,AG$54&lt;=EOMONTH(EOMONTH($J63,-1)+1,$K63-1)),IF(NOT(ISBLANK($N63)),$N63/$K63,$I63/$K63),0),0)</f>
        <v>0</v>
      </c>
      <c r="AH63" s="812">
        <f>SUM(AE63:AG63)</f>
        <v>0</v>
      </c>
      <c r="AI63" s="813">
        <f>SUM(V63,Z63,AD63,AH63)</f>
        <v>0</v>
      </c>
      <c r="AJ63" s="814"/>
      <c r="AK63" s="1569"/>
      <c r="AL63" s="1654"/>
      <c r="AM63" s="1652">
        <f t="shared" ref="AM63" si="22">N63*AL63</f>
        <v>0</v>
      </c>
      <c r="AN63" s="815" t="str">
        <f>C63</f>
        <v>05 - REDUÇÃO DE FRETE</v>
      </c>
      <c r="AO63" s="815" t="s">
        <v>289</v>
      </c>
      <c r="AP63" s="543" t="str" cm="1">
        <f t="array" aca="1" ref="AP63" ca="1">IF(OR(AN63="",AN63=0),"",IF(SUMPRODUCT(($C$55:$C$138=AN63)*(S$54:$AG$54&lt;EOMONTH(TODAY(),-1)+1)*(ISNUMBER(S$55:$AG$138)),S$55:$AG$138)=0,"",SUMPRODUCT(($C$55:$C$138=AN63)*(S$54:$AG$54&lt;EOMONTH(TODAY(),-1)+1)*(ISNUMBER(S$55:$AG$138)),S$55:$AG$138)))</f>
        <v/>
      </c>
    </row>
    <row r="64" spans="1:42" s="815" customFormat="1" ht="29.1" customHeight="1" x14ac:dyDescent="0.3">
      <c r="A64" s="1602"/>
      <c r="B64" s="1037"/>
      <c r="C64" s="1604"/>
      <c r="D64" s="1596"/>
      <c r="E64" s="1606"/>
      <c r="F64" s="1608"/>
      <c r="G64" s="1562"/>
      <c r="H64" s="1562"/>
      <c r="I64" s="1564"/>
      <c r="J64" s="1645"/>
      <c r="K64" s="1570"/>
      <c r="L64" s="1564"/>
      <c r="M64" s="1647"/>
      <c r="N64" s="1649"/>
      <c r="O64" s="1566"/>
      <c r="P64" s="1568"/>
      <c r="Q64" s="808" t="s">
        <v>107</v>
      </c>
      <c r="R64" s="809">
        <f>[41]Estrutura!$G$13</f>
        <v>0.26615521855486174</v>
      </c>
      <c r="S64" s="810"/>
      <c r="T64" s="810"/>
      <c r="U64" s="822"/>
      <c r="V64" s="811">
        <f t="shared" si="13"/>
        <v>0</v>
      </c>
      <c r="W64" s="810"/>
      <c r="X64" s="810"/>
      <c r="Y64" s="810"/>
      <c r="Z64" s="811">
        <f t="shared" si="14"/>
        <v>0</v>
      </c>
      <c r="AA64" s="810"/>
      <c r="AB64" s="810"/>
      <c r="AC64" s="810"/>
      <c r="AD64" s="811">
        <f t="shared" si="15"/>
        <v>0</v>
      </c>
      <c r="AE64" s="810"/>
      <c r="AF64" s="810"/>
      <c r="AG64" s="810"/>
      <c r="AH64" s="811">
        <f>SUM(AE64:AG64)</f>
        <v>0</v>
      </c>
      <c r="AI64" s="816">
        <f>SUM(V64,Z64,AD64,AH64)</f>
        <v>0</v>
      </c>
      <c r="AJ64" s="817"/>
      <c r="AK64" s="1570"/>
      <c r="AL64" s="1655"/>
      <c r="AM64" s="1653"/>
      <c r="AN64" s="815" t="str">
        <f>C63</f>
        <v>05 - REDUÇÃO DE FRETE</v>
      </c>
      <c r="AO64" s="815" t="s">
        <v>291</v>
      </c>
      <c r="AP64" s="543" t="str" cm="1">
        <f t="array" aca="1" ref="AP64" ca="1">IF(OR(AN64="",AN64=0),"",IF(SUMPRODUCT(($C$55:$C$153=AN64)*($S$54:AG$54&lt;=TODAY())*(ISNUMBER($S$56:AG$154)),$S$56:AG$154)=0,"",SUMPRODUCT(($C$55:$C$153=AN64)*($S$54:AG$54&lt;=TODAY())*(ISNUMBER($S$56:AG$154)),$S$56:AG$154)))</f>
        <v/>
      </c>
    </row>
    <row r="65" spans="1:42" ht="29.1" customHeight="1" x14ac:dyDescent="0.3">
      <c r="A65" s="1626" t="s">
        <v>310</v>
      </c>
      <c r="B65" s="1038" t="s">
        <v>93</v>
      </c>
      <c r="C65" s="1628" t="s">
        <v>1896</v>
      </c>
      <c r="D65" s="1591" t="s">
        <v>1897</v>
      </c>
      <c r="E65" s="1630" t="s">
        <v>1898</v>
      </c>
      <c r="F65" s="1571" t="s">
        <v>1899</v>
      </c>
      <c r="G65" s="1638">
        <v>46083</v>
      </c>
      <c r="H65" s="1638">
        <v>46205</v>
      </c>
      <c r="I65" s="1587">
        <v>51000</v>
      </c>
      <c r="J65" s="1573"/>
      <c r="K65" s="1571" t="str">
        <f t="shared" ref="K65" si="23">IF(J65="", "", 12 - MONTH(J65) + 1)</f>
        <v/>
      </c>
      <c r="L65" s="1589"/>
      <c r="M65" s="1609" t="s">
        <v>388</v>
      </c>
      <c r="N65" s="1657"/>
      <c r="O65" s="1559" t="s">
        <v>80</v>
      </c>
      <c r="P65" s="1042">
        <v>1</v>
      </c>
      <c r="Q65" s="93" t="s">
        <v>106</v>
      </c>
      <c r="R65" s="629">
        <f>[42]Estrutura!$F$18</f>
        <v>0.28470979759182513</v>
      </c>
      <c r="S65" s="532">
        <f>IFERROR(IF(AND(S$54&gt;=EOMONTH($J65,-1)+1,S$54&lt;=EOMONTH(EOMONTH($J65,-1)+1,$K65-1)),IF(NOT(ISBLANK($N65)),$N65/$K65,$I65/$K65),0),0)</f>
        <v>0</v>
      </c>
      <c r="T65" s="532">
        <f>IFERROR(IF(AND(T$54&gt;=EOMONTH($J65,-1)+1,T$54&lt;=EOMONTH(EOMONTH($J65,-1)+1,$K65-1)),IF(NOT(ISBLANK($N65)),$N65/$K65,$I65/$K65),0),0)</f>
        <v>0</v>
      </c>
      <c r="U65" s="532">
        <f>IFERROR(IF(AND(U$54&gt;=EOMONTH($J65,-1)+1,U$54&lt;=EOMONTH(EOMONTH($J65,-1)+1,$K65-1)),IF(NOT(ISBLANK($N65)),$N65/$K65,$I65/$K65),0),0)</f>
        <v>0</v>
      </c>
      <c r="V65" s="310">
        <f t="shared" si="13"/>
        <v>0</v>
      </c>
      <c r="W65" s="532">
        <f>IFERROR(IF(AND(W$54&gt;=EOMONTH($J65,-1)+1,W$54&lt;=EOMONTH(EOMONTH($J65,-1)+1,$K65-1)),IF(NOT(ISBLANK($N65)),$N65/$K65,$I65/$K65),0),0)</f>
        <v>0</v>
      </c>
      <c r="X65" s="532">
        <f>IFERROR(IF(AND(X$54&gt;=EOMONTH($J65,-1)+1,X$54&lt;=EOMONTH(EOMONTH($J65,-1)+1,$K65-1)),IF(NOT(ISBLANK($N65)),$N65/$K65,$I65/$K65),0),0)</f>
        <v>0</v>
      </c>
      <c r="Y65" s="532">
        <f>IFERROR(IF(AND(Y$54&gt;=EOMONTH($J65,-1)+1,Y$54&lt;=EOMONTH(EOMONTH($J65,-1)+1,$K65-1)),IF(NOT(ISBLANK($N65)),$N65/$K65,$I65/$K65),0),0)</f>
        <v>0</v>
      </c>
      <c r="Z65" s="89">
        <f t="shared" si="14"/>
        <v>0</v>
      </c>
      <c r="AA65" s="532">
        <f>IFERROR(IF(AND(AA$54&gt;=EOMONTH($J65,-1)+1,AA$54&lt;=EOMONTH(EOMONTH($J65,-1)+1,$K65-1)),IF(NOT(ISBLANK($N65)),$N65/$K65,$I65/$K65),0),0)</f>
        <v>0</v>
      </c>
      <c r="AB65" s="532">
        <f>IFERROR(IF(AND(AB$54&gt;=EOMONTH($J65,-1)+1,AB$54&lt;=EOMONTH(EOMONTH($J65,-1)+1,$K65-1)),IF(NOT(ISBLANK($N65)),$N65/$K65,$I65/$K65),0),0)</f>
        <v>0</v>
      </c>
      <c r="AC65" s="532">
        <f>IFERROR(IF(AND(AC$54&gt;=EOMONTH($J65,-1)+1,AC$54&lt;=EOMONTH(EOMONTH($J65,-1)+1,$K65-1)),IF(NOT(ISBLANK($N65)),$N65/$K65,$I65/$K65),0),0)</f>
        <v>0</v>
      </c>
      <c r="AD65" s="89">
        <f t="shared" si="15"/>
        <v>0</v>
      </c>
      <c r="AE65" s="532">
        <f>IFERROR(IF(AND(AE$54&gt;=EOMONTH($J65,-1)+1,AE$54&lt;=EOMONTH(EOMONTH($J65,-1)+1,$K65-1)),IF(NOT(ISBLANK($N65)),$N65/$K65,$I65/$K65),0),0)</f>
        <v>0</v>
      </c>
      <c r="AF65" s="532">
        <f>IFERROR(IF(AND(AF$54&gt;=EOMONTH($J65,-1)+1,AF$54&lt;=EOMONTH(EOMONTH($J65,-1)+1,$K65-1)),IF(NOT(ISBLANK($N65)),$N65/$K65,$I65/$K65),0),0)</f>
        <v>0</v>
      </c>
      <c r="AG65" s="532">
        <f>IFERROR(IF(AND(AG$54&gt;=EOMONTH($J65,-1)+1,AG$54&lt;=EOMONTH(EOMONTH($J65,-1)+1,$K65-1)),IF(NOT(ISBLANK($N65)),$N65/$K65,$I65/$K65),0),0)</f>
        <v>0</v>
      </c>
      <c r="AH65" s="89">
        <f t="shared" si="16"/>
        <v>0</v>
      </c>
      <c r="AI65" s="95">
        <f t="shared" si="18"/>
        <v>0</v>
      </c>
      <c r="AJ65" s="97"/>
      <c r="AK65" s="1038"/>
      <c r="AL65" s="1042"/>
      <c r="AM65" s="1044">
        <f t="shared" ref="AM65" si="24">N65*AL65</f>
        <v>0</v>
      </c>
      <c r="AN65" s="62" t="str">
        <f>C65</f>
        <v>06 - CONSUMO DE TINTA PÓ</v>
      </c>
      <c r="AO65" s="62" t="s">
        <v>289</v>
      </c>
      <c r="AP65" s="543" t="str" cm="1">
        <f t="array" aca="1" ref="AP65" ca="1">IF(OR(AN65="",AN65=0),"",IF(SUMPRODUCT(($C$55:$C$138=AN65)*(S$54:$AG$54&lt;EOMONTH(TODAY(),-1)+1)*(ISNUMBER(S$55:$AG$138)),S$55:$AG$138)=0,"",SUMPRODUCT(($C$55:$C$138=AN65)*(S$54:$AG$54&lt;EOMONTH(TODAY(),-1)+1)*(ISNUMBER(S$55:$AG$138)),S$55:$AG$138)))</f>
        <v/>
      </c>
    </row>
    <row r="66" spans="1:42" ht="29.1" customHeight="1" x14ac:dyDescent="0.3">
      <c r="A66" s="1627"/>
      <c r="B66" s="1039"/>
      <c r="C66" s="1629"/>
      <c r="D66" s="1592"/>
      <c r="E66" s="1631"/>
      <c r="F66" s="1572"/>
      <c r="G66" s="1588"/>
      <c r="H66" s="1588"/>
      <c r="I66" s="1588"/>
      <c r="J66" s="1574"/>
      <c r="K66" s="1572"/>
      <c r="L66" s="1590"/>
      <c r="M66" s="1610"/>
      <c r="N66" s="1658"/>
      <c r="O66" s="1560"/>
      <c r="P66" s="1043"/>
      <c r="Q66" s="93" t="s">
        <v>107</v>
      </c>
      <c r="R66" s="629">
        <f>[42]Estrutura!$G$18</f>
        <v>0.30094481605351175</v>
      </c>
      <c r="S66" s="312"/>
      <c r="T66" s="312"/>
      <c r="U66" s="630"/>
      <c r="V66" s="310">
        <f t="shared" si="13"/>
        <v>0</v>
      </c>
      <c r="W66" s="312"/>
      <c r="X66" s="312"/>
      <c r="Y66" s="312"/>
      <c r="Z66" s="310">
        <f t="shared" si="14"/>
        <v>0</v>
      </c>
      <c r="AA66" s="312"/>
      <c r="AB66" s="312"/>
      <c r="AC66" s="312"/>
      <c r="AD66" s="310">
        <f t="shared" si="15"/>
        <v>0</v>
      </c>
      <c r="AE66" s="312"/>
      <c r="AF66" s="312"/>
      <c r="AG66" s="312"/>
      <c r="AH66" s="310">
        <f t="shared" si="16"/>
        <v>0</v>
      </c>
      <c r="AI66" s="313">
        <f t="shared" si="18"/>
        <v>0</v>
      </c>
      <c r="AJ66" s="97"/>
      <c r="AK66" s="1039"/>
      <c r="AL66" s="1043"/>
      <c r="AM66" s="1045"/>
      <c r="AN66" s="62" t="str">
        <f>C65</f>
        <v>06 - CONSUMO DE TINTA PÓ</v>
      </c>
      <c r="AO66" s="62" t="s">
        <v>291</v>
      </c>
      <c r="AP66" s="543" t="str" cm="1">
        <f t="array" aca="1" ref="AP66" ca="1">IF(OR(AN66="",AN66=0),"",IF(SUMPRODUCT(($C$55:$C$153=AN66)*($S$54:AG$54&lt;=TODAY())*(ISNUMBER($S$56:AG$154)),$S$56:AG$154)=0,"",SUMPRODUCT(($C$55:$C$153=AN66)*($S$54:AG$54&lt;=TODAY())*(ISNUMBER($S$56:AG$154)),$S$56:AG$154)))</f>
        <v/>
      </c>
    </row>
    <row r="67" spans="1:42" ht="29.1" customHeight="1" x14ac:dyDescent="0.3">
      <c r="A67" s="1036" t="s">
        <v>310</v>
      </c>
      <c r="B67" s="1036" t="s">
        <v>93</v>
      </c>
      <c r="C67" s="1113" t="s">
        <v>1900</v>
      </c>
      <c r="D67" s="1115" t="s">
        <v>1901</v>
      </c>
      <c r="E67" s="1303" t="s">
        <v>1902</v>
      </c>
      <c r="F67" s="1040" t="s">
        <v>1903</v>
      </c>
      <c r="G67" s="1117">
        <v>46054</v>
      </c>
      <c r="H67" s="1117">
        <v>46204</v>
      </c>
      <c r="I67" s="1575">
        <v>32000</v>
      </c>
      <c r="J67" s="1158">
        <v>46082</v>
      </c>
      <c r="K67" s="1121">
        <f t="shared" ref="K67" si="25">IF(J67="", "", 12 - MONTH(J67) + 1)</f>
        <v>10</v>
      </c>
      <c r="L67" s="1074" t="s">
        <v>1904</v>
      </c>
      <c r="M67" s="1119" t="s">
        <v>287</v>
      </c>
      <c r="N67" s="1659">
        <v>58351.79</v>
      </c>
      <c r="O67" s="1057" t="s">
        <v>80</v>
      </c>
      <c r="P67" s="1057">
        <v>1</v>
      </c>
      <c r="Q67" s="87" t="s">
        <v>106</v>
      </c>
      <c r="R67" s="629">
        <f>[43]Estrutura!$F$11</f>
        <v>1</v>
      </c>
      <c r="S67" s="309">
        <f>IFERROR(IF(AND(S$54&gt;=EOMONTH($J67,-1)+1,S$54&lt;=EOMONTH(EOMONTH($J67,-1)+1,$K67-1)),IF(NOT(ISBLANK($N67)),$N67/$K67,$I67/$K67),0),0)</f>
        <v>0</v>
      </c>
      <c r="T67" s="309">
        <f>IFERROR(IF(AND(T$54&gt;=EOMONTH($J67,-1)+1,T$54&lt;=EOMONTH(EOMONTH($J67,-1)+1,$K67-1)),IF(NOT(ISBLANK($N67)),$N67/$K67,$I67/$K67),0),0)</f>
        <v>0</v>
      </c>
      <c r="U67" s="589">
        <f>IFERROR(IF(AND(U$54&gt;=EOMONTH($J67,-1)+1,U$54&lt;=EOMONTH(EOMONTH($J67,-1)+1,$K67-1)),IF(NOT(ISBLANK($N67)),$N67/$K67,$I67/$K67),0),0)</f>
        <v>5835.1790000000001</v>
      </c>
      <c r="V67" s="310">
        <f t="shared" si="13"/>
        <v>5835.1790000000001</v>
      </c>
      <c r="W67" s="589">
        <f>IFERROR(IF(AND(W$54&gt;=EOMONTH($J67,-1)+1,W$54&lt;=EOMONTH(EOMONTH($J67,-1)+1,$K67-1)),IF(NOT(ISBLANK($N67)),$N67/$K67,$I67/$K67),0),0)</f>
        <v>5835.1790000000001</v>
      </c>
      <c r="X67" s="309">
        <f>IFERROR(IF(AND(X$54&gt;=EOMONTH($J67,-1)+1,X$54&lt;=EOMONTH(EOMONTH($J67,-1)+1,$K67-1)),IF(NOT(ISBLANK($N67)),$N67/$K67,$I67/$K67),0),0)</f>
        <v>5835.1790000000001</v>
      </c>
      <c r="Y67" s="309">
        <f>IFERROR(IF(AND(Y$54&gt;=EOMONTH($J67,-1)+1,Y$54&lt;=EOMONTH(EOMONTH($J67,-1)+1,$K67-1)),IF(NOT(ISBLANK($N67)),$N67/$K67,$I67/$K67),0),0)</f>
        <v>5835.1790000000001</v>
      </c>
      <c r="Z67" s="89">
        <f t="shared" si="14"/>
        <v>17505.537</v>
      </c>
      <c r="AA67" s="309">
        <f>IFERROR(IF(AND(AA$54&gt;=EOMONTH($J67,-1)+1,AA$54&lt;=EOMONTH(EOMONTH($J67,-1)+1,$K67-1)),IF(NOT(ISBLANK($N67)),$N67/$K67,$I67/$K67),0),0)</f>
        <v>5835.1790000000001</v>
      </c>
      <c r="AB67" s="309">
        <f>IFERROR(IF(AND(AB$54&gt;=EOMONTH($J67,-1)+1,AB$54&lt;=EOMONTH(EOMONTH($J67,-1)+1,$K67-1)),IF(NOT(ISBLANK($N67)),$N67/$K67,$I67/$K67),0),0)</f>
        <v>5835.1790000000001</v>
      </c>
      <c r="AC67" s="309">
        <f>IFERROR(IF(AND(AC$54&gt;=EOMONTH($J67,-1)+1,AC$54&lt;=EOMONTH(EOMONTH($J67,-1)+1,$K67-1)),IF(NOT(ISBLANK($N67)),$N67/$K67,$I67/$K67),0),0)</f>
        <v>5835.1790000000001</v>
      </c>
      <c r="AD67" s="89">
        <f t="shared" si="15"/>
        <v>17505.537</v>
      </c>
      <c r="AE67" s="309">
        <f>IFERROR(IF(AND(AE$54&gt;=EOMONTH($J67,-1)+1,AE$54&lt;=EOMONTH(EOMONTH($J67,-1)+1,$K67-1)),IF(NOT(ISBLANK($N67)),$N67/$K67,$I67/$K67),0),0)</f>
        <v>5835.1790000000001</v>
      </c>
      <c r="AF67" s="309">
        <f>IFERROR(IF(AND(AF$54&gt;=EOMONTH($J67,-1)+1,AF$54&lt;=EOMONTH(EOMONTH($J67,-1)+1,$K67-1)),IF(NOT(ISBLANK($N67)),$N67/$K67,$I67/$K67),0),0)</f>
        <v>5835.1790000000001</v>
      </c>
      <c r="AG67" s="309">
        <f>IFERROR(IF(AND(AG$54&gt;=EOMONTH($J67,-1)+1,AG$54&lt;=EOMONTH(EOMONTH($J67,-1)+1,$K67-1)),IF(NOT(ISBLANK($N67)),$N67/$K67,$I67/$K67),0),0)</f>
        <v>5835.1790000000001</v>
      </c>
      <c r="AH67" s="89">
        <f t="shared" ref="AH67:AH72" si="26">SUM(AE67:AG67)</f>
        <v>17505.537</v>
      </c>
      <c r="AI67" s="90">
        <f t="shared" ref="AI67:AI72" si="27">SUM(V67,Z67,AD67,AH67)</f>
        <v>58351.789999999994</v>
      </c>
      <c r="AJ67" s="98"/>
      <c r="AK67" s="1040"/>
      <c r="AL67" s="1048"/>
      <c r="AM67" s="1046">
        <f t="shared" ref="AM67" si="28">N67*AL67</f>
        <v>0</v>
      </c>
      <c r="AN67" s="62" t="str">
        <f>C67</f>
        <v>07 - CONSUMO DE EPI e SERVIÇOS</v>
      </c>
      <c r="AO67" s="62" t="s">
        <v>289</v>
      </c>
      <c r="AP67" s="543" cm="1">
        <f t="array" aca="1" ref="AP67" ca="1">IF(OR(AN67="",AN67=0),"",IF(SUMPRODUCT(($C$55:$C$138=AN67)*(S$54:$AG$54&lt;EOMONTH(TODAY(),-1)+1)*(ISNUMBER(S$55:$AG$138)),S$55:$AG$138)=0,"",SUMPRODUCT(($C$55:$C$138=AN67)*(S$54:$AG$54&lt;EOMONTH(TODAY(),-1)+1)*(ISNUMBER(S$55:$AG$138)),S$55:$AG$138)))</f>
        <v>17505.537</v>
      </c>
    </row>
    <row r="68" spans="1:42" ht="29.1" customHeight="1" x14ac:dyDescent="0.3">
      <c r="A68" s="1037"/>
      <c r="B68" s="1037"/>
      <c r="C68" s="1114"/>
      <c r="D68" s="1539"/>
      <c r="E68" s="1304"/>
      <c r="F68" s="1041"/>
      <c r="G68" s="1118"/>
      <c r="H68" s="1118"/>
      <c r="I68" s="1576"/>
      <c r="J68" s="1159"/>
      <c r="K68" s="1122"/>
      <c r="L68" s="1075"/>
      <c r="M68" s="1120"/>
      <c r="N68" s="1315"/>
      <c r="O68" s="1058"/>
      <c r="P68" s="1058"/>
      <c r="Q68" s="87" t="s">
        <v>107</v>
      </c>
      <c r="R68" s="629">
        <f>[43]Estrutura!$G$11</f>
        <v>1</v>
      </c>
      <c r="S68" s="309"/>
      <c r="T68" s="309"/>
      <c r="U68" s="589">
        <v>5483.2257453259226</v>
      </c>
      <c r="V68" s="310">
        <f t="shared" si="13"/>
        <v>5483.2257453259226</v>
      </c>
      <c r="W68" s="309">
        <v>5835.1794290045482</v>
      </c>
      <c r="X68" s="569">
        <v>-7710.98</v>
      </c>
      <c r="Y68" s="309"/>
      <c r="Z68" s="310">
        <f t="shared" si="14"/>
        <v>-1875.8005709954514</v>
      </c>
      <c r="AA68" s="309"/>
      <c r="AB68" s="309"/>
      <c r="AC68" s="309"/>
      <c r="AD68" s="310">
        <f t="shared" si="15"/>
        <v>0</v>
      </c>
      <c r="AE68" s="309"/>
      <c r="AF68" s="309"/>
      <c r="AG68" s="309"/>
      <c r="AH68" s="310">
        <f t="shared" si="26"/>
        <v>0</v>
      </c>
      <c r="AI68" s="311">
        <f t="shared" si="27"/>
        <v>3607.4251743304712</v>
      </c>
      <c r="AJ68" s="360"/>
      <c r="AK68" s="1041"/>
      <c r="AL68" s="1049"/>
      <c r="AM68" s="1047"/>
      <c r="AN68" s="62" t="str">
        <f>C67</f>
        <v>07 - CONSUMO DE EPI e SERVIÇOS</v>
      </c>
      <c r="AO68" s="62" t="s">
        <v>291</v>
      </c>
      <c r="AP68" s="543" cm="1">
        <f t="array" aca="1" ref="AP68" ca="1">IF(OR(AN68="",AN68=0),"",IF(SUMPRODUCT(($C$55:$C$153=AN68)*($S$54:AG$54&lt;=TODAY())*(ISNUMBER($S$56:AG$154)),$S$56:AG$154)=0,"",SUMPRODUCT(($C$55:$C$153=AN68)*($S$54:AG$54&lt;=TODAY())*(ISNUMBER($S$56:AG$154)),$S$56:AG$154)))</f>
        <v>3607.4251743304703</v>
      </c>
    </row>
    <row r="69" spans="1:42" ht="39.6" customHeight="1" x14ac:dyDescent="0.3">
      <c r="A69" s="1639" t="s">
        <v>310</v>
      </c>
      <c r="B69" s="1038" t="s">
        <v>91</v>
      </c>
      <c r="C69" s="1632" t="s">
        <v>1905</v>
      </c>
      <c r="D69" s="1097" t="s">
        <v>1906</v>
      </c>
      <c r="E69" s="1634" t="s">
        <v>1907</v>
      </c>
      <c r="F69" s="1636" t="s">
        <v>1908</v>
      </c>
      <c r="G69" s="1619">
        <v>46054</v>
      </c>
      <c r="H69" s="1619">
        <v>46113</v>
      </c>
      <c r="I69" s="1621"/>
      <c r="J69" s="1109" t="s">
        <v>562</v>
      </c>
      <c r="K69" s="1213" t="s">
        <v>562</v>
      </c>
      <c r="L69" s="1076"/>
      <c r="M69" s="1609"/>
      <c r="N69" s="1583"/>
      <c r="O69" s="1042" t="s">
        <v>80</v>
      </c>
      <c r="P69" s="1042">
        <v>1</v>
      </c>
      <c r="Q69" s="93" t="s">
        <v>106</v>
      </c>
      <c r="R69" s="96">
        <f>[44]Estrutura!$F$13</f>
        <v>0.28999999999999998</v>
      </c>
      <c r="S69" s="802">
        <f>IFERROR(IF(AND(S$54&gt;=EOMONTH($J69,-1)+1,S$54&lt;=EOMONTH(EOMONTH($J69,-1)+1,$K69-1)),IF(NOT(ISBLANK($N69)),$N69/$K69,$I69/$K69),0),0)</f>
        <v>0</v>
      </c>
      <c r="T69" s="802">
        <f>IFERROR(IF(AND(T$54&gt;=EOMONTH($J69,-1)+1,T$54&lt;=EOMONTH(EOMONTH($J69,-1)+1,$K69-1)),IF(NOT(ISBLANK($N69)),$N69/$K69,$I69/$K69),0),0)</f>
        <v>0</v>
      </c>
      <c r="U69" s="949">
        <f>IFERROR(IF(AND(U$54&gt;=EOMONTH($J69,-1)+1,U$54&lt;=EOMONTH(EOMONTH($J69,-1)+1,$K69-1)),IF(NOT(ISBLANK($N69)),$N69/$K69,$I69/$K69),0),0)</f>
        <v>0</v>
      </c>
      <c r="V69" s="310">
        <f t="shared" si="13"/>
        <v>0</v>
      </c>
      <c r="W69" s="949">
        <f>IFERROR(IF(AND(W$54&gt;=EOMONTH($J69,-1)+1,W$54&lt;=EOMONTH(EOMONTH($J69,-1)+1,$K69-1)),IF(NOT(ISBLANK($N69)),$N69/$K69,$I69/$K69),0),0)</f>
        <v>0</v>
      </c>
      <c r="X69" s="802">
        <f>IFERROR(IF(AND(X$54&gt;=EOMONTH($J69,-1)+1,X$54&lt;=EOMONTH(EOMONTH($J69,-1)+1,$K69-1)),IF(NOT(ISBLANK($N69)),$N69/$K69,$I69/$K69),0),0)</f>
        <v>0</v>
      </c>
      <c r="Y69" s="802">
        <f>IFERROR(IF(AND(Y$54&gt;=EOMONTH($J69,-1)+1,Y$54&lt;=EOMONTH(EOMONTH($J69,-1)+1,$K69-1)),IF(NOT(ISBLANK($N69)),$N69/$K69,$I69/$K69),0),0)</f>
        <v>0</v>
      </c>
      <c r="Z69" s="89">
        <f t="shared" si="14"/>
        <v>0</v>
      </c>
      <c r="AA69" s="802">
        <f>IFERROR(IF(AND(AA$54&gt;=EOMONTH($J69,-1)+1,AA$54&lt;=EOMONTH(EOMONTH($J69,-1)+1,$K69-1)),IF(NOT(ISBLANK($N69)),$N69/$K69,$I69/$K69),0),0)</f>
        <v>0</v>
      </c>
      <c r="AB69" s="802">
        <f>IFERROR(IF(AND(AB$54&gt;=EOMONTH($J69,-1)+1,AB$54&lt;=EOMONTH(EOMONTH($J69,-1)+1,$K69-1)),IF(NOT(ISBLANK($N69)),$N69/$K69,$I69/$K69),0),0)</f>
        <v>0</v>
      </c>
      <c r="AC69" s="802">
        <f>IFERROR(IF(AND(AC$54&gt;=EOMONTH($J69,-1)+1,AC$54&lt;=EOMONTH(EOMONTH($J69,-1)+1,$K69-1)),IF(NOT(ISBLANK($N69)),$N69/$K69,$I69/$K69),0),0)</f>
        <v>0</v>
      </c>
      <c r="AD69" s="89">
        <f t="shared" si="15"/>
        <v>0</v>
      </c>
      <c r="AE69" s="802">
        <f>IFERROR(IF(AND(AE$54&gt;=EOMONTH($J69,-1)+1,AE$54&lt;=EOMONTH(EOMONTH($J69,-1)+1,$K69-1)),IF(NOT(ISBLANK($N69)),$N69/$K69,$I69/$K69),0),0)</f>
        <v>0</v>
      </c>
      <c r="AF69" s="802">
        <f>IFERROR(IF(AND(AF$54&gt;=EOMONTH($J69,-1)+1,AF$54&lt;=EOMONTH(EOMONTH($J69,-1)+1,$K69-1)),IF(NOT(ISBLANK($N69)),$N69/$K69,$I69/$K69),0),0)</f>
        <v>0</v>
      </c>
      <c r="AG69" s="802">
        <f>IFERROR(IF(AND(AG$54&gt;=EOMONTH($J69,-1)+1,AG$54&lt;=EOMONTH(EOMONTH($J69,-1)+1,$K69-1)),IF(NOT(ISBLANK($N69)),$N69/$K69,$I69/$K69),0),0)</f>
        <v>0</v>
      </c>
      <c r="AH69" s="89">
        <f t="shared" si="26"/>
        <v>0</v>
      </c>
      <c r="AI69" s="95">
        <f t="shared" si="27"/>
        <v>0</v>
      </c>
      <c r="AJ69" s="97"/>
      <c r="AK69" s="1038"/>
      <c r="AL69" s="1042"/>
      <c r="AM69" s="1044">
        <f t="shared" ref="AM69" si="29">N69*AL69</f>
        <v>0</v>
      </c>
      <c r="AN69" s="62" t="str">
        <f>C69</f>
        <v>08- ÁGUA</v>
      </c>
      <c r="AO69" s="62" t="s">
        <v>289</v>
      </c>
      <c r="AP69" s="543" t="str" cm="1">
        <f t="array" aca="1" ref="AP69" ca="1">IF(OR(AN69="",AN69=0),"",IF(SUMPRODUCT(($C$55:$C$138=AN69)*(S$54:$AG$54&lt;EOMONTH(TODAY(),-1)+1)*(ISNUMBER(S$55:$AG$138)),S$55:$AG$138)=0,"",SUMPRODUCT(($C$55:$C$138=AN69)*(S$54:$AG$54&lt;EOMONTH(TODAY(),-1)+1)*(ISNUMBER(S$55:$AG$138)),S$55:$AG$138)))</f>
        <v/>
      </c>
    </row>
    <row r="70" spans="1:42" ht="34.35" customHeight="1" x14ac:dyDescent="0.3">
      <c r="A70" s="1640"/>
      <c r="B70" s="1039"/>
      <c r="C70" s="1633"/>
      <c r="D70" s="1501"/>
      <c r="E70" s="1635"/>
      <c r="F70" s="1637"/>
      <c r="G70" s="1620"/>
      <c r="H70" s="1620"/>
      <c r="I70" s="1622"/>
      <c r="J70" s="1110"/>
      <c r="K70" s="1214"/>
      <c r="L70" s="1077"/>
      <c r="M70" s="1610"/>
      <c r="N70" s="1584"/>
      <c r="O70" s="1043"/>
      <c r="P70" s="1043"/>
      <c r="Q70" s="93" t="s">
        <v>107</v>
      </c>
      <c r="R70" s="96">
        <f>[44]Estrutura!$G$13</f>
        <v>0.68</v>
      </c>
      <c r="S70" s="486"/>
      <c r="T70" s="486"/>
      <c r="U70" s="486"/>
      <c r="V70" s="310">
        <f t="shared" si="13"/>
        <v>0</v>
      </c>
      <c r="W70" s="486"/>
      <c r="X70" s="486"/>
      <c r="Y70" s="486"/>
      <c r="Z70" s="310">
        <f t="shared" si="14"/>
        <v>0</v>
      </c>
      <c r="AA70" s="486"/>
      <c r="AB70" s="486"/>
      <c r="AC70" s="486"/>
      <c r="AD70" s="310">
        <f t="shared" si="15"/>
        <v>0</v>
      </c>
      <c r="AE70" s="486"/>
      <c r="AF70" s="486"/>
      <c r="AG70" s="486"/>
      <c r="AH70" s="310">
        <f t="shared" si="26"/>
        <v>0</v>
      </c>
      <c r="AI70" s="950">
        <f t="shared" si="27"/>
        <v>0</v>
      </c>
      <c r="AJ70" s="97"/>
      <c r="AK70" s="1039"/>
      <c r="AL70" s="1043"/>
      <c r="AM70" s="1045"/>
      <c r="AN70" s="62" t="str">
        <f>C69</f>
        <v>08- ÁGUA</v>
      </c>
      <c r="AO70" s="62" t="s">
        <v>291</v>
      </c>
      <c r="AP70" s="543" t="str" cm="1">
        <f t="array" aca="1" ref="AP70" ca="1">IF(OR(AN70="",AN70=0),"",IF(SUMPRODUCT(($C$55:$C$153=AN70)*($S$54:AG$54&lt;=TODAY())*(ISNUMBER($S$56:AG$154)),$S$56:AG$154)=0,"",SUMPRODUCT(($C$55:$C$153=AN70)*($S$54:AG$54&lt;=TODAY())*(ISNUMBER($S$56:AG$154)),$S$56:AG$154)))</f>
        <v/>
      </c>
    </row>
    <row r="71" spans="1:42" ht="29.1" customHeight="1" x14ac:dyDescent="0.3">
      <c r="A71" s="1611" t="s">
        <v>310</v>
      </c>
      <c r="B71" s="1036" t="s">
        <v>91</v>
      </c>
      <c r="C71" s="1613" t="s">
        <v>1909</v>
      </c>
      <c r="D71" s="1593" t="s">
        <v>1910</v>
      </c>
      <c r="E71" s="1615" t="s">
        <v>1911</v>
      </c>
      <c r="F71" s="1599" t="s">
        <v>1908</v>
      </c>
      <c r="G71" s="1577">
        <v>46054</v>
      </c>
      <c r="H71" s="1577">
        <v>46204</v>
      </c>
      <c r="I71" s="1579"/>
      <c r="J71" s="1585" t="s">
        <v>562</v>
      </c>
      <c r="K71" s="1585" t="s">
        <v>562</v>
      </c>
      <c r="L71" s="1581"/>
      <c r="M71" s="1581"/>
      <c r="N71" s="1581"/>
      <c r="O71" s="1042" t="s">
        <v>80</v>
      </c>
      <c r="P71" s="1057">
        <v>1</v>
      </c>
      <c r="Q71" s="87" t="s">
        <v>106</v>
      </c>
      <c r="R71" s="91">
        <f>[45]Estrutura!$F$14</f>
        <v>0.28292611008199825</v>
      </c>
      <c r="S71" s="309">
        <f>IFERROR(IF(AND(S$54&gt;=EOMONTH($J71,-1)+1,S$54&lt;=EOMONTH(EOMONTH($J71,-1)+1,$K71-1)),IF(NOT(ISBLANK($N71)),$N71/$K71,$I71/$K71),0),0)</f>
        <v>0</v>
      </c>
      <c r="T71" s="309">
        <f>IFERROR(IF(AND(T$54&gt;=EOMONTH($J71,-1)+1,T$54&lt;=EOMONTH(EOMONTH($J71,-1)+1,$K71-1)),IF(NOT(ISBLANK($N71)),$N71/$K71,$I71/$K71),0),0)</f>
        <v>0</v>
      </c>
      <c r="U71" s="589">
        <f>IFERROR(IF(AND(U$54&gt;=EOMONTH($J71,-1)+1,U$54&lt;=EOMONTH(EOMONTH($J71,-1)+1,$K71-1)),IF(NOT(ISBLANK($N71)),$N71/$K71,$I71/$K71),0),0)</f>
        <v>0</v>
      </c>
      <c r="V71" s="310">
        <f t="shared" si="13"/>
        <v>0</v>
      </c>
      <c r="W71" s="589">
        <f>IFERROR(IF(AND(W$54&gt;=EOMONTH($J71,-1)+1,W$54&lt;=EOMONTH(EOMONTH($J71,-1)+1,$K71-1)),IF(NOT(ISBLANK($N71)),$N71/$K71,$I71/$K71),0),0)</f>
        <v>0</v>
      </c>
      <c r="X71" s="309">
        <f>IFERROR(IF(AND(X$54&gt;=EOMONTH($J71,-1)+1,X$54&lt;=EOMONTH(EOMONTH($J71,-1)+1,$K71-1)),IF(NOT(ISBLANK($N71)),$N71/$K71,$I71/$K71),0),0)</f>
        <v>0</v>
      </c>
      <c r="Y71" s="309">
        <f>IFERROR(IF(AND(Y$54&gt;=EOMONTH($J71,-1)+1,Y$54&lt;=EOMONTH(EOMONTH($J71,-1)+1,$K71-1)),IF(NOT(ISBLANK($N71)),$N71/$K71,$I71/$K71),0),0)</f>
        <v>0</v>
      </c>
      <c r="Z71" s="89">
        <f t="shared" si="14"/>
        <v>0</v>
      </c>
      <c r="AA71" s="309">
        <f>IFERROR(IF(AND(AA$54&gt;=EOMONTH($J71,-1)+1,AA$54&lt;=EOMONTH(EOMONTH($J71,-1)+1,$K71-1)),IF(NOT(ISBLANK($N71)),$N71/$K71,$I71/$K71),0),0)</f>
        <v>0</v>
      </c>
      <c r="AB71" s="309">
        <f>IFERROR(IF(AND(AB$54&gt;=EOMONTH($J71,-1)+1,AB$54&lt;=EOMONTH(EOMONTH($J71,-1)+1,$K71-1)),IF(NOT(ISBLANK($N71)),$N71/$K71,$I71/$K71),0),0)</f>
        <v>0</v>
      </c>
      <c r="AC71" s="309">
        <f>IFERROR(IF(AND(AC$54&gt;=EOMONTH($J71,-1)+1,AC$54&lt;=EOMONTH(EOMONTH($J71,-1)+1,$K71-1)),IF(NOT(ISBLANK($N71)),$N71/$K71,$I71/$K71),0),0)</f>
        <v>0</v>
      </c>
      <c r="AD71" s="89">
        <f t="shared" si="15"/>
        <v>0</v>
      </c>
      <c r="AE71" s="309">
        <f>IFERROR(IF(AND(AE$54&gt;=EOMONTH($J71,-1)+1,AE$54&lt;=EOMONTH(EOMONTH($J71,-1)+1,$K71-1)),IF(NOT(ISBLANK($N71)),$N71/$K71,$I71/$K71),0),0)</f>
        <v>0</v>
      </c>
      <c r="AF71" s="309">
        <f>IFERROR(IF(AND(AF$54&gt;=EOMONTH($J71,-1)+1,AF$54&lt;=EOMONTH(EOMONTH($J71,-1)+1,$K71-1)),IF(NOT(ISBLANK($N71)),$N71/$K71,$I71/$K71),0),0)</f>
        <v>0</v>
      </c>
      <c r="AG71" s="309">
        <f>IFERROR(IF(AND(AG$54&gt;=EOMONTH($J71,-1)+1,AG$54&lt;=EOMONTH(EOMONTH($J71,-1)+1,$K71-1)),IF(NOT(ISBLANK($N71)),$N71/$K71,$I71/$K71),0),0)</f>
        <v>0</v>
      </c>
      <c r="AH71" s="89">
        <f t="shared" si="26"/>
        <v>0</v>
      </c>
      <c r="AI71" s="90">
        <f t="shared" si="27"/>
        <v>0</v>
      </c>
      <c r="AJ71" s="98"/>
      <c r="AK71" s="1040"/>
      <c r="AL71" s="1048"/>
      <c r="AM71" s="1046">
        <f t="shared" ref="AM71" si="30">N71*AL71</f>
        <v>0</v>
      </c>
      <c r="AN71" s="62" t="str">
        <f>C71</f>
        <v>09 - ENERGIA ELÉTRICA</v>
      </c>
      <c r="AO71" s="62" t="s">
        <v>289</v>
      </c>
      <c r="AP71" s="543" t="str" cm="1">
        <f t="array" aca="1" ref="AP71" ca="1">IF(OR(AN71="",AN71=0),"",IF(SUMPRODUCT(($C$55:$C$138=AN71)*(S$54:$AG$54&lt;EOMONTH(TODAY(),-1)+1)*(ISNUMBER(S$55:$AG$138)),S$55:$AG$138)=0,"",SUMPRODUCT(($C$55:$C$138=AN71)*(S$54:$AG$54&lt;EOMONTH(TODAY(),-1)+1)*(ISNUMBER(S$55:$AG$138)),S$55:$AG$138)))</f>
        <v/>
      </c>
    </row>
    <row r="72" spans="1:42" ht="29.1" customHeight="1" x14ac:dyDescent="0.3">
      <c r="A72" s="1612"/>
      <c r="B72" s="1037"/>
      <c r="C72" s="1614"/>
      <c r="D72" s="1594"/>
      <c r="E72" s="1616"/>
      <c r="F72" s="1600"/>
      <c r="G72" s="1578"/>
      <c r="H72" s="1578"/>
      <c r="I72" s="1580"/>
      <c r="J72" s="1586"/>
      <c r="K72" s="1586"/>
      <c r="L72" s="1582"/>
      <c r="M72" s="1582"/>
      <c r="N72" s="1582"/>
      <c r="O72" s="1043"/>
      <c r="P72" s="1058"/>
      <c r="Q72" s="87" t="s">
        <v>107</v>
      </c>
      <c r="R72" s="91">
        <f>[45]Estrutura!$G$14</f>
        <v>0.53560872624912037</v>
      </c>
      <c r="S72" s="309"/>
      <c r="T72" s="309"/>
      <c r="U72" s="589"/>
      <c r="V72" s="310">
        <f t="shared" si="13"/>
        <v>0</v>
      </c>
      <c r="W72" s="309"/>
      <c r="X72" s="309"/>
      <c r="Y72" s="309"/>
      <c r="Z72" s="310">
        <f t="shared" si="14"/>
        <v>0</v>
      </c>
      <c r="AA72" s="309"/>
      <c r="AB72" s="309"/>
      <c r="AC72" s="309"/>
      <c r="AD72" s="310">
        <f t="shared" si="15"/>
        <v>0</v>
      </c>
      <c r="AE72" s="309"/>
      <c r="AF72" s="309"/>
      <c r="AG72" s="309"/>
      <c r="AH72" s="310">
        <f t="shared" si="26"/>
        <v>0</v>
      </c>
      <c r="AI72" s="311">
        <f t="shared" si="27"/>
        <v>0</v>
      </c>
      <c r="AJ72" s="360"/>
      <c r="AK72" s="1041"/>
      <c r="AL72" s="1049"/>
      <c r="AM72" s="1047"/>
      <c r="AN72" s="62" t="str">
        <f>C71</f>
        <v>09 - ENERGIA ELÉTRICA</v>
      </c>
      <c r="AO72" s="62" t="s">
        <v>291</v>
      </c>
      <c r="AP72" s="543" t="str" cm="1">
        <f t="array" aca="1" ref="AP72" ca="1">IF(OR(AN72="",AN72=0),"",IF(SUMPRODUCT(($C$55:$C$153=AN72)*($S$54:AG$54&lt;=TODAY())*(ISNUMBER($S$56:AG$154)),$S$56:AG$154)=0,"",SUMPRODUCT(($C$55:$C$153=AN72)*($S$54:AG$54&lt;=TODAY())*(ISNUMBER($S$56:AG$154)),$S$56:AG$154)))</f>
        <v/>
      </c>
    </row>
    <row r="73" spans="1:42" ht="29.1" customHeight="1" x14ac:dyDescent="0.3">
      <c r="A73" s="1038" t="s">
        <v>310</v>
      </c>
      <c r="B73" s="1038" t="s">
        <v>91</v>
      </c>
      <c r="C73" s="1095" t="s">
        <v>1912</v>
      </c>
      <c r="D73" s="1097" t="s">
        <v>1913</v>
      </c>
      <c r="E73" s="1617" t="s">
        <v>1914</v>
      </c>
      <c r="F73" s="1099" t="s">
        <v>1915</v>
      </c>
      <c r="G73" s="1150">
        <v>46054</v>
      </c>
      <c r="H73" s="1150">
        <v>46142</v>
      </c>
      <c r="I73" s="1597">
        <v>15000</v>
      </c>
      <c r="J73" s="1109">
        <v>46113</v>
      </c>
      <c r="K73" s="1213">
        <f t="shared" ref="K73" si="31">IF(J73="", "", 12 - MONTH(J73) + 1)</f>
        <v>9</v>
      </c>
      <c r="L73" s="1076"/>
      <c r="M73" s="1091" t="s">
        <v>287</v>
      </c>
      <c r="N73" s="1597">
        <v>15000</v>
      </c>
      <c r="O73" s="1042" t="s">
        <v>80</v>
      </c>
      <c r="P73" s="1042">
        <v>0.7</v>
      </c>
      <c r="Q73" s="93" t="s">
        <v>106</v>
      </c>
      <c r="R73" s="91">
        <f>[46]Estrutura!$F$16</f>
        <v>0.85688323489323026</v>
      </c>
      <c r="S73" s="532">
        <f>IFERROR(IF(AND(S$54&gt;=EOMONTH($J73,-1)+1,S$54&lt;=EOMONTH(EOMONTH($J73,-1)+1,$K73-1)),IF(NOT(ISBLANK($N73)),$N73/$K73,$I73/$K73),0),0)</f>
        <v>0</v>
      </c>
      <c r="T73" s="532">
        <f>IFERROR(IF(AND(T$54&gt;=EOMONTH($J73,-1)+1,T$54&lt;=EOMONTH(EOMONTH($J73,-1)+1,$K73-1)),IF(NOT(ISBLANK($N73)),$N73/$K73,$I73/$K73),0),0)</f>
        <v>0</v>
      </c>
      <c r="U73" s="532">
        <f>IFERROR(IF(AND(U$54&gt;=EOMONTH($J73,-1)+1,U$54&lt;=EOMONTH(EOMONTH($J73,-1)+1,$K73-1)),IF(NOT(ISBLANK($N73)),$N73/$K73,$I73/$K73),0),0)</f>
        <v>0</v>
      </c>
      <c r="V73" s="310">
        <f t="shared" si="13"/>
        <v>0</v>
      </c>
      <c r="W73" s="802">
        <f>IFERROR(IF(AND(W$54&gt;=EOMONTH($J73,-1)+1,W$54&lt;=EOMONTH(EOMONTH($J73,-1)+1,$K73-1)),IF(NOT(ISBLANK($N73)),$N73/$K73,$I73/$K73),0),0)</f>
        <v>1666.6666666666667</v>
      </c>
      <c r="X73" s="532">
        <f>IFERROR(IF(AND(X$54&gt;=EOMONTH($J73,-1)+1,X$54&lt;=EOMONTH(EOMONTH($J73,-1)+1,$K73-1)),IF(NOT(ISBLANK($N73)),$N73/$K73,$I73/$K73),0),0)</f>
        <v>1666.6666666666667</v>
      </c>
      <c r="Y73" s="532">
        <f>IFERROR(IF(AND(Y$54&gt;=EOMONTH($J73,-1)+1,Y$54&lt;=EOMONTH(EOMONTH($J73,-1)+1,$K73-1)),IF(NOT(ISBLANK($N73)),$N73/$K73,$I73/$K73),0),0)</f>
        <v>1666.6666666666667</v>
      </c>
      <c r="Z73" s="89">
        <f t="shared" si="14"/>
        <v>5000</v>
      </c>
      <c r="AA73" s="532">
        <f>IFERROR(IF(AND(AA$54&gt;=EOMONTH($J73,-1)+1,AA$54&lt;=EOMONTH(EOMONTH($J73,-1)+1,$K73-1)),IF(NOT(ISBLANK($N73)),$N73/$K73,$I73/$K73),0),0)</f>
        <v>1666.6666666666667</v>
      </c>
      <c r="AB73" s="532">
        <f>IFERROR(IF(AND(AB$54&gt;=EOMONTH($J73,-1)+1,AB$54&lt;=EOMONTH(EOMONTH($J73,-1)+1,$K73-1)),IF(NOT(ISBLANK($N73)),$N73/$K73,$I73/$K73),0),0)</f>
        <v>1666.6666666666667</v>
      </c>
      <c r="AC73" s="532">
        <f>IFERROR(IF(AND(AC$54&gt;=EOMONTH($J73,-1)+1,AC$54&lt;=EOMONTH(EOMONTH($J73,-1)+1,$K73-1)),IF(NOT(ISBLANK($N73)),$N73/$K73,$I73/$K73),0),0)</f>
        <v>1666.6666666666667</v>
      </c>
      <c r="AD73" s="89">
        <f t="shared" si="15"/>
        <v>5000</v>
      </c>
      <c r="AE73" s="532">
        <f>IFERROR(IF(AND(AE$54&gt;=EOMONTH($J73,-1)+1,AE$54&lt;=EOMONTH(EOMONTH($J73,-1)+1,$K73-1)),IF(NOT(ISBLANK($N73)),$N73/$K73,$I73/$K73),0),0)</f>
        <v>1666.6666666666667</v>
      </c>
      <c r="AF73" s="532">
        <f>IFERROR(IF(AND(AF$54&gt;=EOMONTH($J73,-1)+1,AF$54&lt;=EOMONTH(EOMONTH($J73,-1)+1,$K73-1)),IF(NOT(ISBLANK($N73)),$N73/$K73,$I73/$K73),0),0)</f>
        <v>1666.6666666666667</v>
      </c>
      <c r="AG73" s="532">
        <f>IFERROR(IF(AND(AG$54&gt;=EOMONTH($J73,-1)+1,AG$54&lt;=EOMONTH(EOMONTH($J73,-1)+1,$K73-1)),IF(NOT(ISBLANK($N73)),$N73/$K73,$I73/$K73),0),0)</f>
        <v>1666.6666666666667</v>
      </c>
      <c r="AH73" s="89">
        <f t="shared" si="16"/>
        <v>5000</v>
      </c>
      <c r="AI73" s="95">
        <f t="shared" si="18"/>
        <v>15000</v>
      </c>
      <c r="AJ73" s="97"/>
      <c r="AK73" s="1038"/>
      <c r="AL73" s="1042"/>
      <c r="AM73" s="1044">
        <f t="shared" ref="AM73" si="32">N73*AL73</f>
        <v>0</v>
      </c>
      <c r="AN73" s="62" t="str">
        <f>C73</f>
        <v>10 - CONSUMO PERNA DE MOÇA</v>
      </c>
      <c r="AO73" s="62" t="s">
        <v>289</v>
      </c>
      <c r="AP73" s="543" cm="1">
        <f t="array" aca="1" ref="AP73" ca="1">IF(OR(AN73="",AN73=0),"",IF(SUMPRODUCT(($C$55:$C$138=AN73)*(S$54:$AG$54&lt;EOMONTH(TODAY(),-1)+1)*(ISNUMBER(S$55:$AG$138)),S$55:$AG$138)=0,"",SUMPRODUCT(($C$55:$C$138=AN73)*(S$54:$AG$54&lt;EOMONTH(TODAY(),-1)+1)*(ISNUMBER(S$55:$AG$138)),S$55:$AG$138)))</f>
        <v>3333.3333333333335</v>
      </c>
    </row>
    <row r="74" spans="1:42" ht="29.1" customHeight="1" x14ac:dyDescent="0.3">
      <c r="A74" s="1039"/>
      <c r="B74" s="1039"/>
      <c r="C74" s="1096"/>
      <c r="D74" s="1501"/>
      <c r="E74" s="1618"/>
      <c r="F74" s="1100"/>
      <c r="G74" s="1151"/>
      <c r="H74" s="1151"/>
      <c r="I74" s="1598"/>
      <c r="J74" s="1110"/>
      <c r="K74" s="1214"/>
      <c r="L74" s="1077"/>
      <c r="M74" s="1137"/>
      <c r="N74" s="1598"/>
      <c r="O74" s="1043"/>
      <c r="P74" s="1043"/>
      <c r="Q74" s="93" t="s">
        <v>107</v>
      </c>
      <c r="R74" s="96">
        <f>[46]Estrutura!$G$16</f>
        <v>0.87323943661971826</v>
      </c>
      <c r="S74" s="312"/>
      <c r="T74" s="312"/>
      <c r="U74" s="312"/>
      <c r="V74" s="310">
        <f t="shared" si="13"/>
        <v>0</v>
      </c>
      <c r="W74" s="883">
        <v>-2886.64</v>
      </c>
      <c r="X74" s="312"/>
      <c r="Y74" s="312"/>
      <c r="Z74" s="310">
        <f t="shared" si="14"/>
        <v>-2886.64</v>
      </c>
      <c r="AA74" s="312"/>
      <c r="AB74" s="312"/>
      <c r="AC74" s="312"/>
      <c r="AD74" s="310">
        <f t="shared" si="15"/>
        <v>0</v>
      </c>
      <c r="AE74" s="312"/>
      <c r="AF74" s="312"/>
      <c r="AG74" s="312"/>
      <c r="AH74" s="310">
        <f t="shared" si="16"/>
        <v>0</v>
      </c>
      <c r="AI74" s="313">
        <f t="shared" si="18"/>
        <v>-2886.64</v>
      </c>
      <c r="AJ74" s="97"/>
      <c r="AK74" s="1039"/>
      <c r="AL74" s="1043"/>
      <c r="AM74" s="1045"/>
      <c r="AN74" s="62" t="str">
        <f>C73</f>
        <v>10 - CONSUMO PERNA DE MOÇA</v>
      </c>
      <c r="AO74" s="62" t="s">
        <v>291</v>
      </c>
      <c r="AP74" s="543" cm="1">
        <f t="array" aca="1" ref="AP74" ca="1">IF(OR(AN74="",AN74=0),"",IF(SUMPRODUCT(($C$55:$C$153=AN74)*($S$54:AG$54&lt;=TODAY())*(ISNUMBER($S$56:AG$154)),$S$56:AG$154)=0,"",SUMPRODUCT(($C$55:$C$153=AN74)*($S$54:AG$54&lt;=TODAY())*(ISNUMBER($S$56:AG$154)),$S$56:AG$154)))</f>
        <v>-2886.64</v>
      </c>
    </row>
    <row r="75" spans="1:42" ht="29.1" customHeight="1" x14ac:dyDescent="0.3">
      <c r="A75" s="1611" t="s">
        <v>310</v>
      </c>
      <c r="B75" s="1036"/>
      <c r="C75" s="1613" t="s">
        <v>1916</v>
      </c>
      <c r="D75" s="1593" t="s">
        <v>1917</v>
      </c>
      <c r="E75" s="1615" t="s">
        <v>1918</v>
      </c>
      <c r="F75" s="1599" t="s">
        <v>1880</v>
      </c>
      <c r="G75" s="1577">
        <v>46054</v>
      </c>
      <c r="H75" s="1577">
        <v>46113</v>
      </c>
      <c r="I75" s="1579"/>
      <c r="J75" s="1585" t="s">
        <v>562</v>
      </c>
      <c r="K75" s="1585" t="s">
        <v>562</v>
      </c>
      <c r="L75" s="1581" t="s">
        <v>562</v>
      </c>
      <c r="M75" s="1581"/>
      <c r="N75" s="1581"/>
      <c r="O75" s="1042" t="s">
        <v>80</v>
      </c>
      <c r="P75" s="1057">
        <v>1</v>
      </c>
      <c r="Q75" s="87" t="s">
        <v>106</v>
      </c>
      <c r="R75" s="91">
        <f ca="1">IF(OR(G75="", H75=""), "", IF(TODAY()&lt;G75, 0, IF(TODAY()&gt;H75, 1, (TODAY()-G75+1)/(H75-G75+1))))</f>
        <v>1</v>
      </c>
      <c r="S75" s="309">
        <f>IFERROR(IF(AND(S$54&gt;=EOMONTH($J75,-1)+1,S$54&lt;=EOMONTH(EOMONTH($J75,-1)+1,$K75-1)),IF(NOT(ISBLANK($N75)),$N75/$K75,$I75/$K75),0),0)</f>
        <v>0</v>
      </c>
      <c r="T75" s="309">
        <f>IFERROR(IF(AND(T$54&gt;=EOMONTH($J75,-1)+1,T$54&lt;=EOMONTH(EOMONTH($J75,-1)+1,$K75-1)),IF(NOT(ISBLANK($N75)),$N75/$K75,$I75/$K75),0),0)</f>
        <v>0</v>
      </c>
      <c r="U75" s="309">
        <f>IFERROR(IF(AND(U$54&gt;=EOMONTH($J75,-1)+1,U$54&lt;=EOMONTH(EOMONTH($J75,-1)+1,$K75-1)),IF(NOT(ISBLANK($N75)),$N75/$K75,$I75/$K75),0),0)</f>
        <v>0</v>
      </c>
      <c r="V75" s="310">
        <f t="shared" si="13"/>
        <v>0</v>
      </c>
      <c r="W75" s="309">
        <f>IFERROR(IF(AND(W$54&gt;=EOMONTH($J75,-1)+1,W$54&lt;=EOMONTH(EOMONTH($J75,-1)+1,$K75-1)),IF(NOT(ISBLANK($N75)),$N75/$K75,$I75/$K75),0),0)</f>
        <v>0</v>
      </c>
      <c r="X75" s="309">
        <f>IFERROR(IF(AND(X$54&gt;=EOMONTH($J75,-1)+1,X$54&lt;=EOMONTH(EOMONTH($J75,-1)+1,$K75-1)),IF(NOT(ISBLANK($N75)),$N75/$K75,$I75/$K75),0),0)</f>
        <v>0</v>
      </c>
      <c r="Y75" s="309">
        <f>IFERROR(IF(AND(Y$54&gt;=EOMONTH($J75,-1)+1,Y$54&lt;=EOMONTH(EOMONTH($J75,-1)+1,$K75-1)),IF(NOT(ISBLANK($N75)),$N75/$K75,$I75/$K75),0),0)</f>
        <v>0</v>
      </c>
      <c r="Z75" s="89">
        <f t="shared" si="14"/>
        <v>0</v>
      </c>
      <c r="AA75" s="309">
        <f>IFERROR(IF(AND(AA$54&gt;=EOMONTH($J75,-1)+1,AA$54&lt;=EOMONTH(EOMONTH($J75,-1)+1,$K75-1)),IF(NOT(ISBLANK($N75)),$N75/$K75,$I75/$K75),0),0)</f>
        <v>0</v>
      </c>
      <c r="AB75" s="309">
        <f>IFERROR(IF(AND(AB$54&gt;=EOMONTH($J75,-1)+1,AB$54&lt;=EOMONTH(EOMONTH($J75,-1)+1,$K75-1)),IF(NOT(ISBLANK($N75)),$N75/$K75,$I75/$K75),0),0)</f>
        <v>0</v>
      </c>
      <c r="AC75" s="309">
        <f>IFERROR(IF(AND(AC$54&gt;=EOMONTH($J75,-1)+1,AC$54&lt;=EOMONTH(EOMONTH($J75,-1)+1,$K75-1)),IF(NOT(ISBLANK($N75)),$N75/$K75,$I75/$K75),0),0)</f>
        <v>0</v>
      </c>
      <c r="AD75" s="89">
        <f t="shared" si="15"/>
        <v>0</v>
      </c>
      <c r="AE75" s="309">
        <f>IFERROR(IF(AND(AE$54&gt;=EOMONTH($J75,-1)+1,AE$54&lt;=EOMONTH(EOMONTH($J75,-1)+1,$K75-1)),IF(NOT(ISBLANK($N75)),$N75/$K75,$I75/$K75),0),0)</f>
        <v>0</v>
      </c>
      <c r="AF75" s="309">
        <f>IFERROR(IF(AND(AF$54&gt;=EOMONTH($J75,-1)+1,AF$54&lt;=EOMONTH(EOMONTH($J75,-1)+1,$K75-1)),IF(NOT(ISBLANK($N75)),$N75/$K75,$I75/$K75),0),0)</f>
        <v>0</v>
      </c>
      <c r="AG75" s="309">
        <f>IFERROR(IF(AND(AG$54&gt;=EOMONTH($J75,-1)+1,AG$54&lt;=EOMONTH(EOMONTH($J75,-1)+1,$K75-1)),IF(NOT(ISBLANK($N75)),$N75/$K75,$I75/$K75),0),0)</f>
        <v>0</v>
      </c>
      <c r="AH75" s="89">
        <f t="shared" ref="AH75:AH80" si="33">SUM(AE75:AG75)</f>
        <v>0</v>
      </c>
      <c r="AI75" s="90">
        <f t="shared" ref="AI75:AI80" si="34">SUM(V75,Z75,AD75,AH75)</f>
        <v>0</v>
      </c>
      <c r="AJ75" s="98"/>
      <c r="AK75" s="1040"/>
      <c r="AL75" s="1048"/>
      <c r="AM75" s="1046">
        <f t="shared" ref="AM75" si="35">N75*AL75</f>
        <v>0</v>
      </c>
      <c r="AN75" s="62" t="str">
        <f>C75</f>
        <v>11 - WORKSHOP LIXAMENTO DD / DF</v>
      </c>
      <c r="AO75" s="62" t="s">
        <v>289</v>
      </c>
      <c r="AP75" s="543" t="str" cm="1">
        <f t="array" aca="1" ref="AP75" ca="1">IF(OR(AN75="",AN75=0),"",IF(SUMPRODUCT(($C$55:$C$138=AN75)*(S$54:$AG$54&lt;EOMONTH(TODAY(),-1)+1)*(ISNUMBER(S$55:$AG$138)),S$55:$AG$138)=0,"",SUMPRODUCT(($C$55:$C$138=AN75)*(S$54:$AG$54&lt;EOMONTH(TODAY(),-1)+1)*(ISNUMBER(S$55:$AG$138)),S$55:$AG$138)))</f>
        <v/>
      </c>
    </row>
    <row r="76" spans="1:42" ht="29.1" customHeight="1" x14ac:dyDescent="0.3">
      <c r="A76" s="1612"/>
      <c r="B76" s="1037"/>
      <c r="C76" s="1614"/>
      <c r="D76" s="1594"/>
      <c r="E76" s="1616"/>
      <c r="F76" s="1600"/>
      <c r="G76" s="1578"/>
      <c r="H76" s="1578"/>
      <c r="I76" s="1580"/>
      <c r="J76" s="1586"/>
      <c r="K76" s="1586"/>
      <c r="L76" s="1582"/>
      <c r="M76" s="1582"/>
      <c r="N76" s="1582"/>
      <c r="O76" s="1043"/>
      <c r="P76" s="1058"/>
      <c r="Q76" s="87" t="s">
        <v>107</v>
      </c>
      <c r="R76" s="91">
        <v>1</v>
      </c>
      <c r="S76" s="309"/>
      <c r="T76" s="309"/>
      <c r="U76" s="309"/>
      <c r="V76" s="310">
        <f t="shared" si="13"/>
        <v>0</v>
      </c>
      <c r="W76" s="309"/>
      <c r="X76" s="309"/>
      <c r="Y76" s="309"/>
      <c r="Z76" s="310">
        <f t="shared" si="14"/>
        <v>0</v>
      </c>
      <c r="AA76" s="309"/>
      <c r="AB76" s="309"/>
      <c r="AC76" s="309"/>
      <c r="AD76" s="310">
        <f t="shared" si="15"/>
        <v>0</v>
      </c>
      <c r="AE76" s="309"/>
      <c r="AF76" s="309"/>
      <c r="AG76" s="309"/>
      <c r="AH76" s="310">
        <f t="shared" si="33"/>
        <v>0</v>
      </c>
      <c r="AI76" s="311">
        <f t="shared" si="34"/>
        <v>0</v>
      </c>
      <c r="AJ76" s="360"/>
      <c r="AK76" s="1041"/>
      <c r="AL76" s="1049"/>
      <c r="AM76" s="1047"/>
      <c r="AN76" s="62" t="str">
        <f>C75</f>
        <v>11 - WORKSHOP LIXAMENTO DD / DF</v>
      </c>
      <c r="AO76" s="62" t="s">
        <v>291</v>
      </c>
      <c r="AP76" s="543" t="str" cm="1">
        <f t="array" aca="1" ref="AP76" ca="1">IF(OR(AN76="",AN76=0),"",IF(SUMPRODUCT(($C$55:$C$153=AN76)*($S$54:AG$54&lt;=TODAY())*(ISNUMBER($S$56:AG$154)),$S$56:AG$154)=0,"",SUMPRODUCT(($C$55:$C$153=AN76)*($S$54:AG$54&lt;=TODAY())*(ISNUMBER($S$56:AG$154)),$S$56:AG$154)))</f>
        <v/>
      </c>
    </row>
    <row r="77" spans="1:42" ht="29.1" customHeight="1" x14ac:dyDescent="0.3">
      <c r="A77" s="1038" t="s">
        <v>310</v>
      </c>
      <c r="B77" s="1038" t="s">
        <v>94</v>
      </c>
      <c r="C77" s="1095" t="s">
        <v>1919</v>
      </c>
      <c r="D77" s="1097" t="s">
        <v>1920</v>
      </c>
      <c r="E77" s="1363" t="s">
        <v>1921</v>
      </c>
      <c r="F77" s="1099" t="s">
        <v>1880</v>
      </c>
      <c r="G77" s="1150">
        <v>46204</v>
      </c>
      <c r="H77" s="1150">
        <v>46174</v>
      </c>
      <c r="I77" s="1152">
        <v>7000</v>
      </c>
      <c r="J77" s="1109">
        <v>46235</v>
      </c>
      <c r="K77" s="1213">
        <f t="shared" ref="K77" si="36">IF(J77="", "", 12 - MONTH(J77) + 1)</f>
        <v>5</v>
      </c>
      <c r="L77" s="1076"/>
      <c r="M77" s="1072"/>
      <c r="N77" s="1055"/>
      <c r="O77" s="1042" t="s">
        <v>80</v>
      </c>
      <c r="P77" s="1042">
        <v>0.5</v>
      </c>
      <c r="Q77" s="93" t="s">
        <v>106</v>
      </c>
      <c r="R77" s="96">
        <f>[47]Estrutura!$F$15</f>
        <v>0.74437500000000001</v>
      </c>
      <c r="S77" s="532">
        <f>IFERROR(IF(AND(S$54&gt;=EOMONTH($J77,-1)+1,S$54&lt;=EOMONTH(EOMONTH($J77,-1)+1,$K77-1)),IF(NOT(ISBLANK($N77)),$N77/$K77,$I77/$K77),0),0)</f>
        <v>0</v>
      </c>
      <c r="T77" s="532">
        <f>IFERROR(IF(AND(T$54&gt;=EOMONTH($J77,-1)+1,T$54&lt;=EOMONTH(EOMONTH($J77,-1)+1,$K77-1)),IF(NOT(ISBLANK($N77)),$N77/$K77,$I77/$K77),0),0)</f>
        <v>0</v>
      </c>
      <c r="U77" s="532">
        <f>IFERROR(IF(AND(U$54&gt;=EOMONTH($J77,-1)+1,U$54&lt;=EOMONTH(EOMONTH($J77,-1)+1,$K77-1)),IF(NOT(ISBLANK($N77)),$N77/$K77,$I77/$K77),0),0)</f>
        <v>0</v>
      </c>
      <c r="V77" s="310">
        <f t="shared" si="13"/>
        <v>0</v>
      </c>
      <c r="W77" s="717">
        <f>IFERROR(IF(AND(W$54&gt;=EOMONTH($J77,-1)+1,W$54&lt;=EOMONTH(EOMONTH($J77,-1)+1,$K77-1)),IF(NOT(ISBLANK($N77)),$N77/$K77,$I77/$K77),0),0)</f>
        <v>0</v>
      </c>
      <c r="X77" s="532">
        <f>IFERROR(IF(AND(X$54&gt;=EOMONTH($J77,-1)+1,X$54&lt;=EOMONTH(EOMONTH($J77,-1)+1,$K77-1)),IF(NOT(ISBLANK($N77)),$N77/$K77,$I77/$K77),0),0)</f>
        <v>0</v>
      </c>
      <c r="Y77" s="532">
        <f>IFERROR(IF(AND(Y$54&gt;=EOMONTH($J77,-1)+1,Y$54&lt;=EOMONTH(EOMONTH($J77,-1)+1,$K77-1)),IF(NOT(ISBLANK($N77)),$N77/$K77,$I77/$K77),0),0)</f>
        <v>0</v>
      </c>
      <c r="Z77" s="89">
        <f t="shared" si="14"/>
        <v>0</v>
      </c>
      <c r="AA77" s="532">
        <f>IFERROR(IF(AND(AA$54&gt;=EOMONTH($J77,-1)+1,AA$54&lt;=EOMONTH(EOMONTH($J77,-1)+1,$K77-1)),IF(NOT(ISBLANK($N77)),$N77/$K77,$I77/$K77),0),0)</f>
        <v>0</v>
      </c>
      <c r="AB77" s="532">
        <f>IFERROR(IF(AND(AB$54&gt;=EOMONTH($J77,-1)+1,AB$54&lt;=EOMONTH(EOMONTH($J77,-1)+1,$K77-1)),IF(NOT(ISBLANK($N77)),$N77/$K77,$I77/$K77),0),0)</f>
        <v>1400</v>
      </c>
      <c r="AC77" s="532">
        <f>IFERROR(IF(AND(AC$54&gt;=EOMONTH($J77,-1)+1,AC$54&lt;=EOMONTH(EOMONTH($J77,-1)+1,$K77-1)),IF(NOT(ISBLANK($N77)),$N77/$K77,$I77/$K77),0),0)</f>
        <v>1400</v>
      </c>
      <c r="AD77" s="89">
        <f t="shared" si="15"/>
        <v>2800</v>
      </c>
      <c r="AE77" s="532">
        <f>IFERROR(IF(AND(AE$54&gt;=EOMONTH($J77,-1)+1,AE$54&lt;=EOMONTH(EOMONTH($J77,-1)+1,$K77-1)),IF(NOT(ISBLANK($N77)),$N77/$K77,$I77/$K77),0),0)</f>
        <v>1400</v>
      </c>
      <c r="AF77" s="532">
        <f>IFERROR(IF(AND(AF$54&gt;=EOMONTH($J77,-1)+1,AF$54&lt;=EOMONTH(EOMONTH($J77,-1)+1,$K77-1)),IF(NOT(ISBLANK($N77)),$N77/$K77,$I77/$K77),0),0)</f>
        <v>1400</v>
      </c>
      <c r="AG77" s="532">
        <f>IFERROR(IF(AND(AG$54&gt;=EOMONTH($J77,-1)+1,AG$54&lt;=EOMONTH(EOMONTH($J77,-1)+1,$K77-1)),IF(NOT(ISBLANK($N77)),$N77/$K77,$I77/$K77),0),0)</f>
        <v>1400</v>
      </c>
      <c r="AH77" s="89">
        <f t="shared" si="33"/>
        <v>4200</v>
      </c>
      <c r="AI77" s="95">
        <f t="shared" si="34"/>
        <v>7000</v>
      </c>
      <c r="AJ77" s="97"/>
      <c r="AK77" s="1038"/>
      <c r="AL77" s="1042"/>
      <c r="AM77" s="1044">
        <f t="shared" ref="AM77" si="37">N77*AL77</f>
        <v>0</v>
      </c>
      <c r="AN77" s="62" t="str">
        <f>C77</f>
        <v>12 - Vendas de descartáveis</v>
      </c>
      <c r="AO77" s="62" t="s">
        <v>289</v>
      </c>
      <c r="AP77" s="543" t="str" cm="1">
        <f t="array" aca="1" ref="AP77" ca="1">IF(OR(AN77="",AN77=0),"",IF(SUMPRODUCT(($C$55:$C$138=AN77)*(S$54:$AG$54&lt;EOMONTH(TODAY(),-1)+1)*(ISNUMBER(S$55:$AG$138)),S$55:$AG$138)=0,"",SUMPRODUCT(($C$55:$C$138=AN77)*(S$54:$AG$54&lt;EOMONTH(TODAY(),-1)+1)*(ISNUMBER(S$55:$AG$138)),S$55:$AG$138)))</f>
        <v/>
      </c>
    </row>
    <row r="78" spans="1:42" ht="29.1" customHeight="1" x14ac:dyDescent="0.3">
      <c r="A78" s="1039"/>
      <c r="B78" s="1039"/>
      <c r="C78" s="1096"/>
      <c r="D78" s="1501"/>
      <c r="E78" s="1364"/>
      <c r="F78" s="1100"/>
      <c r="G78" s="1151"/>
      <c r="H78" s="1151"/>
      <c r="I78" s="1151"/>
      <c r="J78" s="1110"/>
      <c r="K78" s="1214"/>
      <c r="L78" s="1077"/>
      <c r="M78" s="1073"/>
      <c r="N78" s="1056"/>
      <c r="O78" s="1043"/>
      <c r="P78" s="1043"/>
      <c r="Q78" s="93" t="s">
        <v>107</v>
      </c>
      <c r="R78" s="96">
        <f>[47]Estrutura!$G$15</f>
        <v>0.75031249999999994</v>
      </c>
      <c r="S78" s="312"/>
      <c r="T78" s="312"/>
      <c r="U78" s="312"/>
      <c r="V78" s="310">
        <f t="shared" si="13"/>
        <v>0</v>
      </c>
      <c r="W78" s="312"/>
      <c r="X78" s="312"/>
      <c r="Y78" s="312"/>
      <c r="Z78" s="310">
        <f t="shared" si="14"/>
        <v>0</v>
      </c>
      <c r="AA78" s="312"/>
      <c r="AB78" s="312"/>
      <c r="AC78" s="312"/>
      <c r="AD78" s="310">
        <f t="shared" si="15"/>
        <v>0</v>
      </c>
      <c r="AE78" s="312"/>
      <c r="AF78" s="312"/>
      <c r="AG78" s="312"/>
      <c r="AH78" s="310">
        <f t="shared" si="33"/>
        <v>0</v>
      </c>
      <c r="AI78" s="313">
        <f t="shared" si="34"/>
        <v>0</v>
      </c>
      <c r="AJ78" s="97"/>
      <c r="AK78" s="1039"/>
      <c r="AL78" s="1043"/>
      <c r="AM78" s="1045"/>
      <c r="AN78" s="62" t="str">
        <f>C77</f>
        <v>12 - Vendas de descartáveis</v>
      </c>
      <c r="AO78" s="62" t="s">
        <v>291</v>
      </c>
      <c r="AP78" s="543" t="str" cm="1">
        <f t="array" aca="1" ref="AP78" ca="1">IF(OR(AN78="",AN78=0),"",IF(SUMPRODUCT(($C$55:$C$153=AN78)*($S$54:AG$54&lt;=TODAY())*(ISNUMBER($S$56:AG$154)),$S$56:AG$154)=0,"",SUMPRODUCT(($C$55:$C$153=AN78)*($S$54:AG$54&lt;=TODAY())*(ISNUMBER($S$56:AG$154)),$S$56:AG$154)))</f>
        <v/>
      </c>
    </row>
    <row r="79" spans="1:42" ht="29.1" customHeight="1" x14ac:dyDescent="0.3">
      <c r="A79" s="1036" t="s">
        <v>310</v>
      </c>
      <c r="B79" s="1036" t="s">
        <v>91</v>
      </c>
      <c r="C79" s="1113" t="s">
        <v>1922</v>
      </c>
      <c r="D79" s="1528" t="s">
        <v>1923</v>
      </c>
      <c r="E79" s="1303" t="s">
        <v>1924</v>
      </c>
      <c r="F79" s="1040" t="s">
        <v>1899</v>
      </c>
      <c r="G79" s="1117">
        <v>46235</v>
      </c>
      <c r="H79" s="1117">
        <v>46174</v>
      </c>
      <c r="I79" s="1074">
        <v>5000</v>
      </c>
      <c r="J79" s="1158">
        <v>46143</v>
      </c>
      <c r="K79" s="1121">
        <f t="shared" ref="K79" si="38">IF(J79="", "", 12 - MONTH(J79) + 1)</f>
        <v>8</v>
      </c>
      <c r="L79" s="1074"/>
      <c r="M79" s="1119"/>
      <c r="N79" s="1053"/>
      <c r="O79" s="1057" t="s">
        <v>80</v>
      </c>
      <c r="P79" s="1057">
        <v>1</v>
      </c>
      <c r="Q79" s="87" t="s">
        <v>106</v>
      </c>
      <c r="R79" s="91">
        <f>[48]Estrutura!$F$13</f>
        <v>0.48561541981239992</v>
      </c>
      <c r="S79" s="309">
        <f>IFERROR(IF(AND(S$54&gt;=EOMONTH($J79,-1)+1,S$54&lt;=EOMONTH(EOMONTH($J79,-1)+1,$K79-1)),IF(NOT(ISBLANK($N79)),$N79/$K79,$I79/$K79),0),0)</f>
        <v>0</v>
      </c>
      <c r="T79" s="309">
        <f>IFERROR(IF(AND(T$54&gt;=EOMONTH($J79,-1)+1,T$54&lt;=EOMONTH(EOMONTH($J79,-1)+1,$K79-1)),IF(NOT(ISBLANK($N79)),$N79/$K79,$I79/$K79),0),0)</f>
        <v>0</v>
      </c>
      <c r="U79" s="309">
        <f>IFERROR(IF(AND(U$54&gt;=EOMONTH($J79,-1)+1,U$54&lt;=EOMONTH(EOMONTH($J79,-1)+1,$K79-1)),IF(NOT(ISBLANK($N79)),$N79/$K79,$I79/$K79),0),0)</f>
        <v>0</v>
      </c>
      <c r="V79" s="310">
        <f t="shared" si="13"/>
        <v>0</v>
      </c>
      <c r="W79" s="309">
        <f>IFERROR(IF(AND(W$54&gt;=EOMONTH($J79,-1)+1,W$54&lt;=EOMONTH(EOMONTH($J79,-1)+1,$K79-1)),IF(NOT(ISBLANK($N79)),$N79/$K79,$I79/$K79),0),0)</f>
        <v>0</v>
      </c>
      <c r="X79" s="309">
        <f>IFERROR(IF(AND(X$54&gt;=EOMONTH($J79,-1)+1,X$54&lt;=EOMONTH(EOMONTH($J79,-1)+1,$K79-1)),IF(NOT(ISBLANK($N79)),$N79/$K79,$I79/$K79),0),0)</f>
        <v>625</v>
      </c>
      <c r="Y79" s="309">
        <f>IFERROR(IF(AND(Y$54&gt;=EOMONTH($J79,-1)+1,Y$54&lt;=EOMONTH(EOMONTH($J79,-1)+1,$K79-1)),IF(NOT(ISBLANK($N79)),$N79/$K79,$I79/$K79),0),0)</f>
        <v>625</v>
      </c>
      <c r="Z79" s="89">
        <f t="shared" si="14"/>
        <v>1250</v>
      </c>
      <c r="AA79" s="309">
        <f>IFERROR(IF(AND(AA$54&gt;=EOMONTH($J79,-1)+1,AA$54&lt;=EOMONTH(EOMONTH($J79,-1)+1,$K79-1)),IF(NOT(ISBLANK($N79)),$N79/$K79,$I79/$K79),0),0)</f>
        <v>625</v>
      </c>
      <c r="AB79" s="309">
        <f>IFERROR(IF(AND(AB$54&gt;=EOMONTH($J79,-1)+1,AB$54&lt;=EOMONTH(EOMONTH($J79,-1)+1,$K79-1)),IF(NOT(ISBLANK($N79)),$N79/$K79,$I79/$K79),0),0)</f>
        <v>625</v>
      </c>
      <c r="AC79" s="309">
        <f>IFERROR(IF(AND(AC$54&gt;=EOMONTH($J79,-1)+1,AC$54&lt;=EOMONTH(EOMONTH($J79,-1)+1,$K79-1)),IF(NOT(ISBLANK($N79)),$N79/$K79,$I79/$K79),0),0)</f>
        <v>625</v>
      </c>
      <c r="AD79" s="89">
        <f t="shared" si="15"/>
        <v>1875</v>
      </c>
      <c r="AE79" s="309">
        <f>IFERROR(IF(AND(AE$54&gt;=EOMONTH($J79,-1)+1,AE$54&lt;=EOMONTH(EOMONTH($J79,-1)+1,$K79-1)),IF(NOT(ISBLANK($N79)),$N79/$K79,$I79/$K79),0),0)</f>
        <v>625</v>
      </c>
      <c r="AF79" s="309">
        <f>IFERROR(IF(AND(AF$54&gt;=EOMONTH($J79,-1)+1,AF$54&lt;=EOMONTH(EOMONTH($J79,-1)+1,$K79-1)),IF(NOT(ISBLANK($N79)),$N79/$K79,$I79/$K79),0),0)</f>
        <v>625</v>
      </c>
      <c r="AG79" s="309">
        <f>IFERROR(IF(AND(AG$54&gt;=EOMONTH($J79,-1)+1,AG$54&lt;=EOMONTH(EOMONTH($J79,-1)+1,$K79-1)),IF(NOT(ISBLANK($N79)),$N79/$K79,$I79/$K79),0),0)</f>
        <v>625</v>
      </c>
      <c r="AH79" s="89">
        <f t="shared" si="33"/>
        <v>1875</v>
      </c>
      <c r="AI79" s="90">
        <f t="shared" si="34"/>
        <v>5000</v>
      </c>
      <c r="AJ79" s="98"/>
      <c r="AK79" s="1040"/>
      <c r="AL79" s="1048"/>
      <c r="AM79" s="1046">
        <f t="shared" ref="AM79" si="39">N79*AL79</f>
        <v>0</v>
      </c>
      <c r="AN79" s="62" t="str">
        <f>C79</f>
        <v>13 - Consumo de materiais da ETE</v>
      </c>
      <c r="AO79" s="62" t="s">
        <v>289</v>
      </c>
      <c r="AP79" s="543" cm="1">
        <f t="array" aca="1" ref="AP79" ca="1">IF(OR(AN79="",AN79=0),"",IF(SUMPRODUCT(($C$55:$C$138=AN79)*(S$54:$AG$54&lt;EOMONTH(TODAY(),-1)+1)*(ISNUMBER(S$55:$AG$138)),S$55:$AG$138)=0,"",SUMPRODUCT(($C$55:$C$138=AN79)*(S$54:$AG$54&lt;EOMONTH(TODAY(),-1)+1)*(ISNUMBER(S$55:$AG$138)),S$55:$AG$138)))</f>
        <v>625</v>
      </c>
    </row>
    <row r="80" spans="1:42" ht="29.1" customHeight="1" x14ac:dyDescent="0.3">
      <c r="A80" s="1037"/>
      <c r="B80" s="1037"/>
      <c r="C80" s="1114"/>
      <c r="D80" s="1623"/>
      <c r="E80" s="1304"/>
      <c r="F80" s="1041"/>
      <c r="G80" s="1118"/>
      <c r="H80" s="1118"/>
      <c r="I80" s="1075"/>
      <c r="J80" s="1159"/>
      <c r="K80" s="1122"/>
      <c r="L80" s="1075"/>
      <c r="M80" s="1451"/>
      <c r="N80" s="1054"/>
      <c r="O80" s="1058"/>
      <c r="P80" s="1058"/>
      <c r="Q80" s="87" t="s">
        <v>107</v>
      </c>
      <c r="R80" s="91">
        <f>[48]Estrutura!$G$13</f>
        <v>0.49048387096774188</v>
      </c>
      <c r="S80" s="309"/>
      <c r="T80" s="309"/>
      <c r="U80" s="309"/>
      <c r="V80" s="310">
        <f t="shared" si="13"/>
        <v>0</v>
      </c>
      <c r="W80" s="309"/>
      <c r="X80" s="309"/>
      <c r="Y80" s="309"/>
      <c r="Z80" s="310">
        <f t="shared" si="14"/>
        <v>0</v>
      </c>
      <c r="AA80" s="309"/>
      <c r="AB80" s="309"/>
      <c r="AC80" s="309"/>
      <c r="AD80" s="310">
        <f t="shared" si="15"/>
        <v>0</v>
      </c>
      <c r="AE80" s="309"/>
      <c r="AF80" s="309"/>
      <c r="AG80" s="309"/>
      <c r="AH80" s="310">
        <f t="shared" si="33"/>
        <v>0</v>
      </c>
      <c r="AI80" s="311">
        <f t="shared" si="34"/>
        <v>0</v>
      </c>
      <c r="AJ80" s="360"/>
      <c r="AK80" s="1041"/>
      <c r="AL80" s="1049"/>
      <c r="AM80" s="1047"/>
      <c r="AN80" s="62" t="str">
        <f>C79</f>
        <v>13 - Consumo de materiais da ETE</v>
      </c>
      <c r="AO80" s="62" t="s">
        <v>291</v>
      </c>
      <c r="AP80" s="543" t="str" cm="1">
        <f t="array" aca="1" ref="AP80" ca="1">IF(OR(AN80="",AN80=0),"",IF(SUMPRODUCT(($C$55:$C$153=AN80)*($S$54:AG$54&lt;=TODAY())*(ISNUMBER($S$56:AG$154)),$S$56:AG$154)=0,"",SUMPRODUCT(($C$55:$C$153=AN80)*($S$54:AG$54&lt;=TODAY())*(ISNUMBER($S$56:AG$154)),$S$56:AG$154)))</f>
        <v/>
      </c>
    </row>
    <row r="81" spans="1:42" ht="29.1" customHeight="1" x14ac:dyDescent="0.3">
      <c r="A81" s="1038"/>
      <c r="B81" s="1038"/>
      <c r="C81" s="1095"/>
      <c r="D81" s="1097"/>
      <c r="E81" s="1363"/>
      <c r="F81" s="1099"/>
      <c r="G81" s="1150"/>
      <c r="H81" s="1150"/>
      <c r="I81" s="1152"/>
      <c r="J81" s="1109"/>
      <c r="K81" s="1213" t="str">
        <f t="shared" ref="K81" si="40">IF(J81="", "", 12 - MONTH(J81) + 1)</f>
        <v/>
      </c>
      <c r="L81" s="1076"/>
      <c r="M81" s="1072"/>
      <c r="N81" s="1055"/>
      <c r="O81" s="1042" t="str">
        <f ca="1">IF(OR(H81="", I81=""), "", IF(TODAY()&lt;H81, 0, IF(TODAY()&gt;I81, 1, (TODAY()-H81+1)/(I81-H81+1))))</f>
        <v/>
      </c>
      <c r="P81" s="1042"/>
      <c r="Q81" s="93" t="s">
        <v>106</v>
      </c>
      <c r="R81" s="96" t="str">
        <f ca="1">IF(OR(G81="", H81=""), "", IF(TODAY()&lt;G81, 0, IF(TODAY()&gt;H81, 1, (TODAY()-G81+1)/(H81-G81+1))))</f>
        <v/>
      </c>
      <c r="S81" s="532">
        <f>IFERROR(IF(AND(S$54&gt;=EOMONTH($J81,-1)+1,S$54&lt;=EOMONTH(EOMONTH($J81,-1)+1,$K81-1)),IF(NOT(ISBLANK($N81)),$N81/$K81,$I81/$K81),0),0)</f>
        <v>0</v>
      </c>
      <c r="T81" s="532">
        <f>IFERROR(IF(AND(T$54&gt;=EOMONTH($J81,-1)+1,T$54&lt;=EOMONTH(EOMONTH($J81,-1)+1,$K81-1)),IF(NOT(ISBLANK($N81)),$N81/$K81,$I81/$K81),0),0)</f>
        <v>0</v>
      </c>
      <c r="U81" s="532">
        <f>IFERROR(IF(AND(U$54&gt;=EOMONTH($J81,-1)+1,U$54&lt;=EOMONTH(EOMONTH($J81,-1)+1,$K81-1)),IF(NOT(ISBLANK($N81)),$N81/$K81,$I81/$K81),0),0)</f>
        <v>0</v>
      </c>
      <c r="V81" s="310">
        <f t="shared" si="13"/>
        <v>0</v>
      </c>
      <c r="W81" s="532">
        <f>IFERROR(IF(AND(W$54&gt;=EOMONTH($J81,-1)+1,W$54&lt;=EOMONTH(EOMONTH($J81,-1)+1,$K81-1)),IF(NOT(ISBLANK($N81)),$N81/$K81,$I81/$K81),0),0)</f>
        <v>0</v>
      </c>
      <c r="X81" s="532">
        <f>IFERROR(IF(AND(X$54&gt;=EOMONTH($J81,-1)+1,X$54&lt;=EOMONTH(EOMONTH($J81,-1)+1,$K81-1)),IF(NOT(ISBLANK($N81)),$N81/$K81,$I81/$K81),0),0)</f>
        <v>0</v>
      </c>
      <c r="Y81" s="532">
        <f>IFERROR(IF(AND(Y$54&gt;=EOMONTH($J81,-1)+1,Y$54&lt;=EOMONTH(EOMONTH($J81,-1)+1,$K81-1)),IF(NOT(ISBLANK($N81)),$N81/$K81,$I81/$K81),0),0)</f>
        <v>0</v>
      </c>
      <c r="Z81" s="89">
        <f t="shared" si="14"/>
        <v>0</v>
      </c>
      <c r="AA81" s="532">
        <f>IFERROR(IF(AND(AA$54&gt;=EOMONTH($J81,-1)+1,AA$54&lt;=EOMONTH(EOMONTH($J81,-1)+1,$K81-1)),IF(NOT(ISBLANK($N81)),$N81/$K81,$I81/$K81),0),0)</f>
        <v>0</v>
      </c>
      <c r="AB81" s="532">
        <f>IFERROR(IF(AND(AB$54&gt;=EOMONTH($J81,-1)+1,AB$54&lt;=EOMONTH(EOMONTH($J81,-1)+1,$K81-1)),IF(NOT(ISBLANK($N81)),$N81/$K81,$I81/$K81),0),0)</f>
        <v>0</v>
      </c>
      <c r="AC81" s="532">
        <f>IFERROR(IF(AND(AC$54&gt;=EOMONTH($J81,-1)+1,AC$54&lt;=EOMONTH(EOMONTH($J81,-1)+1,$K81-1)),IF(NOT(ISBLANK($N81)),$N81/$K81,$I81/$K81),0),0)</f>
        <v>0</v>
      </c>
      <c r="AD81" s="89">
        <f t="shared" si="15"/>
        <v>0</v>
      </c>
      <c r="AE81" s="532">
        <f>IFERROR(IF(AND(AE$54&gt;=EOMONTH($J81,-1)+1,AE$54&lt;=EOMONTH(EOMONTH($J81,-1)+1,$K81-1)),IF(NOT(ISBLANK($N81)),$N81/$K81,$I81/$K81),0),0)</f>
        <v>0</v>
      </c>
      <c r="AF81" s="532">
        <f>IFERROR(IF(AND(AF$54&gt;=EOMONTH($J81,-1)+1,AF$54&lt;=EOMONTH(EOMONTH($J81,-1)+1,$K81-1)),IF(NOT(ISBLANK($N81)),$N81/$K81,$I81/$K81),0),0)</f>
        <v>0</v>
      </c>
      <c r="AG81" s="532">
        <f>IFERROR(IF(AND(AG$54&gt;=EOMONTH($J81,-1)+1,AG$54&lt;=EOMONTH(EOMONTH($J81,-1)+1,$K81-1)),IF(NOT(ISBLANK($N81)),$N81/$K81,$I81/$K81),0),0)</f>
        <v>0</v>
      </c>
      <c r="AH81" s="89">
        <f t="shared" si="16"/>
        <v>0</v>
      </c>
      <c r="AI81" s="95">
        <f t="shared" si="18"/>
        <v>0</v>
      </c>
      <c r="AJ81" s="97"/>
      <c r="AK81" s="1038"/>
      <c r="AL81" s="1042"/>
      <c r="AM81" s="1044">
        <f t="shared" ref="AM81" si="41">N81*AL81</f>
        <v>0</v>
      </c>
      <c r="AN81" s="62">
        <f>C81</f>
        <v>0</v>
      </c>
      <c r="AO81" s="62" t="s">
        <v>289</v>
      </c>
      <c r="AP81" s="543" t="str" cm="1">
        <f t="array" aca="1" ref="AP81" ca="1">IF(OR(AN81="",AN81=0),"",IF(SUMPRODUCT(($C$55:$C$138=AN81)*(S$54:$AG$54&lt;EOMONTH(TODAY(),-1)+1)*(ISNUMBER(S$55:$AG$138)),S$55:$AG$138)=0,"",SUMPRODUCT(($C$55:$C$138=AN81)*(S$54:$AG$54&lt;EOMONTH(TODAY(),-1)+1)*(ISNUMBER(S$55:$AG$138)),S$55:$AG$138)))</f>
        <v/>
      </c>
    </row>
    <row r="82" spans="1:42" ht="29.1" customHeight="1" x14ac:dyDescent="0.3">
      <c r="A82" s="1039"/>
      <c r="B82" s="1039"/>
      <c r="C82" s="1096"/>
      <c r="D82" s="1098"/>
      <c r="E82" s="1364"/>
      <c r="F82" s="1100"/>
      <c r="G82" s="1151"/>
      <c r="H82" s="1151"/>
      <c r="I82" s="1151"/>
      <c r="J82" s="1110"/>
      <c r="K82" s="1214"/>
      <c r="L82" s="1077"/>
      <c r="M82" s="1073"/>
      <c r="N82" s="1056"/>
      <c r="O82" s="1043"/>
      <c r="P82" s="1043"/>
      <c r="Q82" s="93" t="s">
        <v>107</v>
      </c>
      <c r="R82" s="96"/>
      <c r="S82" s="312"/>
      <c r="T82" s="312"/>
      <c r="U82" s="312"/>
      <c r="V82" s="310">
        <f t="shared" si="13"/>
        <v>0</v>
      </c>
      <c r="W82" s="312"/>
      <c r="X82" s="312"/>
      <c r="Y82" s="312"/>
      <c r="Z82" s="310">
        <f t="shared" si="14"/>
        <v>0</v>
      </c>
      <c r="AA82" s="312"/>
      <c r="AB82" s="312"/>
      <c r="AC82" s="312"/>
      <c r="AD82" s="310">
        <f t="shared" si="15"/>
        <v>0</v>
      </c>
      <c r="AE82" s="312"/>
      <c r="AF82" s="312"/>
      <c r="AG82" s="312"/>
      <c r="AH82" s="310">
        <f t="shared" si="16"/>
        <v>0</v>
      </c>
      <c r="AI82" s="313">
        <f t="shared" si="18"/>
        <v>0</v>
      </c>
      <c r="AJ82" s="97"/>
      <c r="AK82" s="1039"/>
      <c r="AL82" s="1043"/>
      <c r="AM82" s="1045"/>
      <c r="AN82" s="62">
        <f>C81</f>
        <v>0</v>
      </c>
      <c r="AO82" s="62" t="s">
        <v>291</v>
      </c>
      <c r="AP82" s="543" t="str" cm="1">
        <f t="array" aca="1" ref="AP82" ca="1">IF(OR(AN82="",AN82=0),"",IF(SUMPRODUCT(($C$55:$C$153=AN82)*($S$54:AG$54&lt;=TODAY())*(ISNUMBER($S$56:AG$154)),$S$56:AG$154)=0,"",SUMPRODUCT(($C$55:$C$153=AN82)*($S$54:AG$54&lt;=TODAY())*(ISNUMBER($S$56:AG$154)),$S$56:AG$154)))</f>
        <v/>
      </c>
    </row>
    <row r="83" spans="1:42" ht="29.1" customHeight="1" x14ac:dyDescent="0.3">
      <c r="A83" s="1036"/>
      <c r="B83" s="1036"/>
      <c r="C83" s="1113"/>
      <c r="D83" s="1115"/>
      <c r="E83" s="1303"/>
      <c r="F83" s="1040"/>
      <c r="G83" s="1117"/>
      <c r="H83" s="1117"/>
      <c r="I83" s="1074"/>
      <c r="J83" s="1158"/>
      <c r="K83" s="1121" t="str">
        <f t="shared" ref="K83" si="42">IF(J83="", "", 12 - MONTH(J83) + 1)</f>
        <v/>
      </c>
      <c r="L83" s="1074"/>
      <c r="M83" s="1119"/>
      <c r="N83" s="1053"/>
      <c r="O83" s="1057" t="str">
        <f ca="1">IF(OR(H83="", I83=""), "", IF(TODAY()&lt;H83, 0, IF(TODAY()&gt;I83, 1, (TODAY()-H83+1)/(I83-H83+1))))</f>
        <v/>
      </c>
      <c r="P83" s="1057"/>
      <c r="Q83" s="87" t="s">
        <v>106</v>
      </c>
      <c r="R83" s="91" t="str">
        <f ca="1">IF(OR(G83="", H83=""), "", IF(TODAY()&lt;G83, 0, IF(TODAY()&gt;H83, 1, (TODAY()-G83+1)/(H83-G83+1))))</f>
        <v/>
      </c>
      <c r="S83" s="309">
        <f>IFERROR(IF(AND(S$54&gt;=EOMONTH($J83,-1)+1,S$54&lt;=EOMONTH(EOMONTH($J83,-1)+1,$K83-1)),IF(NOT(ISBLANK($N83)),$N83/$K83,$I83/$K83),0),0)</f>
        <v>0</v>
      </c>
      <c r="T83" s="309">
        <f>IFERROR(IF(AND(T$54&gt;=EOMONTH($J83,-1)+1,T$54&lt;=EOMONTH(EOMONTH($J83,-1)+1,$K83-1)),IF(NOT(ISBLANK($N83)),$N83/$K83,$I83/$K83),0),0)</f>
        <v>0</v>
      </c>
      <c r="U83" s="309">
        <f>IFERROR(IF(AND(U$54&gt;=EOMONTH($J83,-1)+1,U$54&lt;=EOMONTH(EOMONTH($J83,-1)+1,$K83-1)),IF(NOT(ISBLANK($N83)),$N83/$K83,$I83/$K83),0),0)</f>
        <v>0</v>
      </c>
      <c r="V83" s="310">
        <f t="shared" si="13"/>
        <v>0</v>
      </c>
      <c r="W83" s="309">
        <f>IFERROR(IF(AND(W$54&gt;=EOMONTH($J83,-1)+1,W$54&lt;=EOMONTH(EOMONTH($J83,-1)+1,$K83-1)),IF(NOT(ISBLANK($N83)),$N83/$K83,$I83/$K83),0),0)</f>
        <v>0</v>
      </c>
      <c r="X83" s="309">
        <f>IFERROR(IF(AND(X$54&gt;=EOMONTH($J83,-1)+1,X$54&lt;=EOMONTH(EOMONTH($J83,-1)+1,$K83-1)),IF(NOT(ISBLANK($N83)),$N83/$K83,$I83/$K83),0),0)</f>
        <v>0</v>
      </c>
      <c r="Y83" s="309">
        <f>IFERROR(IF(AND(Y$54&gt;=EOMONTH($J83,-1)+1,Y$54&lt;=EOMONTH(EOMONTH($J83,-1)+1,$K83-1)),IF(NOT(ISBLANK($N83)),$N83/$K83,$I83/$K83),0),0)</f>
        <v>0</v>
      </c>
      <c r="Z83" s="89">
        <f t="shared" si="14"/>
        <v>0</v>
      </c>
      <c r="AA83" s="309">
        <f>IFERROR(IF(AND(AA$54&gt;=EOMONTH($J83,-1)+1,AA$54&lt;=EOMONTH(EOMONTH($J83,-1)+1,$K83-1)),IF(NOT(ISBLANK($N83)),$N83/$K83,$I83/$K83),0),0)</f>
        <v>0</v>
      </c>
      <c r="AB83" s="309">
        <f>IFERROR(IF(AND(AB$54&gt;=EOMONTH($J83,-1)+1,AB$54&lt;=EOMONTH(EOMONTH($J83,-1)+1,$K83-1)),IF(NOT(ISBLANK($N83)),$N83/$K83,$I83/$K83),0),0)</f>
        <v>0</v>
      </c>
      <c r="AC83" s="309">
        <f>IFERROR(IF(AND(AC$54&gt;=EOMONTH($J83,-1)+1,AC$54&lt;=EOMONTH(EOMONTH($J83,-1)+1,$K83-1)),IF(NOT(ISBLANK($N83)),$N83/$K83,$I83/$K83),0),0)</f>
        <v>0</v>
      </c>
      <c r="AD83" s="89">
        <f t="shared" si="15"/>
        <v>0</v>
      </c>
      <c r="AE83" s="309">
        <f>IFERROR(IF(AND(AE$54&gt;=EOMONTH($J83,-1)+1,AE$54&lt;=EOMONTH(EOMONTH($J83,-1)+1,$K83-1)),IF(NOT(ISBLANK($N83)),$N83/$K83,$I83/$K83),0),0)</f>
        <v>0</v>
      </c>
      <c r="AF83" s="309">
        <f>IFERROR(IF(AND(AF$54&gt;=EOMONTH($J83,-1)+1,AF$54&lt;=EOMONTH(EOMONTH($J83,-1)+1,$K83-1)),IF(NOT(ISBLANK($N83)),$N83/$K83,$I83/$K83),0),0)</f>
        <v>0</v>
      </c>
      <c r="AG83" s="309">
        <f>IFERROR(IF(AND(AG$54&gt;=EOMONTH($J83,-1)+1,AG$54&lt;=EOMONTH(EOMONTH($J83,-1)+1,$K83-1)),IF(NOT(ISBLANK($N83)),$N83/$K83,$I83/$K83),0),0)</f>
        <v>0</v>
      </c>
      <c r="AH83" s="89">
        <f t="shared" ref="AH83:AH102" si="43">SUM(AE83:AG83)</f>
        <v>0</v>
      </c>
      <c r="AI83" s="90">
        <f t="shared" si="18"/>
        <v>0</v>
      </c>
      <c r="AJ83" s="98"/>
      <c r="AK83" s="1040"/>
      <c r="AL83" s="1048"/>
      <c r="AM83" s="1046">
        <f t="shared" ref="AM83" si="44">N83*AL83</f>
        <v>0</v>
      </c>
      <c r="AN83" s="62">
        <f>C83</f>
        <v>0</v>
      </c>
      <c r="AO83" s="62" t="s">
        <v>289</v>
      </c>
      <c r="AP83" s="543" t="str" cm="1">
        <f t="array" aca="1" ref="AP83" ca="1">IF(OR(AN83="",AN83=0),"",IF(SUMPRODUCT(($C$55:$C$138=AN83)*(S$54:$AG$54&lt;EOMONTH(TODAY(),-1)+1)*(ISNUMBER(S$55:$AG$138)),S$55:$AG$138)=0,"",SUMPRODUCT(($C$55:$C$138=AN83)*(S$54:$AG$54&lt;EOMONTH(TODAY(),-1)+1)*(ISNUMBER(S$55:$AG$138)),S$55:$AG$138)))</f>
        <v/>
      </c>
    </row>
    <row r="84" spans="1:42" ht="29.1" customHeight="1" x14ac:dyDescent="0.3">
      <c r="A84" s="1037"/>
      <c r="B84" s="1037"/>
      <c r="C84" s="1114"/>
      <c r="D84" s="1116"/>
      <c r="E84" s="1304"/>
      <c r="F84" s="1041"/>
      <c r="G84" s="1118"/>
      <c r="H84" s="1118"/>
      <c r="I84" s="1075"/>
      <c r="J84" s="1159"/>
      <c r="K84" s="1122"/>
      <c r="L84" s="1075"/>
      <c r="M84" s="1451"/>
      <c r="N84" s="1054"/>
      <c r="O84" s="1058"/>
      <c r="P84" s="1058"/>
      <c r="Q84" s="87" t="s">
        <v>107</v>
      </c>
      <c r="R84" s="91"/>
      <c r="S84" s="309"/>
      <c r="T84" s="309"/>
      <c r="U84" s="309"/>
      <c r="V84" s="310">
        <f t="shared" si="13"/>
        <v>0</v>
      </c>
      <c r="W84" s="309"/>
      <c r="X84" s="309"/>
      <c r="Y84" s="309"/>
      <c r="Z84" s="310">
        <f t="shared" si="14"/>
        <v>0</v>
      </c>
      <c r="AA84" s="309"/>
      <c r="AB84" s="309"/>
      <c r="AC84" s="309"/>
      <c r="AD84" s="310">
        <f t="shared" si="15"/>
        <v>0</v>
      </c>
      <c r="AE84" s="309"/>
      <c r="AF84" s="309"/>
      <c r="AG84" s="309"/>
      <c r="AH84" s="310">
        <f t="shared" si="43"/>
        <v>0</v>
      </c>
      <c r="AI84" s="311">
        <f t="shared" si="18"/>
        <v>0</v>
      </c>
      <c r="AJ84" s="360"/>
      <c r="AK84" s="1041"/>
      <c r="AL84" s="1049"/>
      <c r="AM84" s="1047"/>
      <c r="AN84" s="62">
        <f>C83</f>
        <v>0</v>
      </c>
      <c r="AO84" s="62" t="s">
        <v>291</v>
      </c>
      <c r="AP84" s="543" t="str" cm="1">
        <f t="array" aca="1" ref="AP84" ca="1">IF(OR(AN84="",AN84=0),"",IF(SUMPRODUCT(($C$55:$C$153=AN84)*($S$54:AG$54&lt;=TODAY())*(ISNUMBER($S$56:AG$154)),$S$56:AG$154)=0,"",SUMPRODUCT(($C$55:$C$153=AN84)*($S$54:AG$54&lt;=TODAY())*(ISNUMBER($S$56:AG$154)),$S$56:AG$154)))</f>
        <v/>
      </c>
    </row>
    <row r="85" spans="1:42" ht="29.1" customHeight="1" x14ac:dyDescent="0.3">
      <c r="A85" s="1038"/>
      <c r="B85" s="1038"/>
      <c r="C85" s="1095"/>
      <c r="D85" s="1097"/>
      <c r="E85" s="1363"/>
      <c r="F85" s="1099"/>
      <c r="G85" s="1150"/>
      <c r="H85" s="1150"/>
      <c r="I85" s="1152"/>
      <c r="J85" s="1109"/>
      <c r="K85" s="1213" t="str">
        <f t="shared" ref="K85" si="45">IF(J85="", "", 12 - MONTH(J85) + 1)</f>
        <v/>
      </c>
      <c r="L85" s="1076"/>
      <c r="M85" s="1072"/>
      <c r="N85" s="1055"/>
      <c r="O85" s="1042" t="str">
        <f ca="1">IF(OR(H85="", I85=""), "", IF(TODAY()&lt;H85, 0, IF(TODAY()&gt;I85, 1, (TODAY()-H85+1)/(I85-H85+1))))</f>
        <v/>
      </c>
      <c r="P85" s="1042"/>
      <c r="Q85" s="93" t="s">
        <v>106</v>
      </c>
      <c r="R85" s="96" t="str">
        <f ca="1">IF(OR(G85="", H85=""), "", IF(TODAY()&lt;G85, 0, IF(TODAY()&gt;H85, 1, (TODAY()-G85+1)/(H85-G85+1))))</f>
        <v/>
      </c>
      <c r="S85" s="532">
        <f>IFERROR(IF(AND(S$54&gt;=EOMONTH($J85,-1)+1,S$54&lt;=EOMONTH(EOMONTH($J85,-1)+1,$K85-1)),IF(NOT(ISBLANK($N85)),$N85/$K85,$I85/$K85),0),0)</f>
        <v>0</v>
      </c>
      <c r="T85" s="532">
        <f>IFERROR(IF(AND(T$54&gt;=EOMONTH($J85,-1)+1,T$54&lt;=EOMONTH(EOMONTH($J85,-1)+1,$K85-1)),IF(NOT(ISBLANK($N85)),$N85/$K85,$I85/$K85),0),0)</f>
        <v>0</v>
      </c>
      <c r="U85" s="532">
        <f>IFERROR(IF(AND(U$54&gt;=EOMONTH($J85,-1)+1,U$54&lt;=EOMONTH(EOMONTH($J85,-1)+1,$K85-1)),IF(NOT(ISBLANK($N85)),$N85/$K85,$I85/$K85),0),0)</f>
        <v>0</v>
      </c>
      <c r="V85" s="310">
        <f t="shared" si="13"/>
        <v>0</v>
      </c>
      <c r="W85" s="532">
        <f>IFERROR(IF(AND(W$54&gt;=EOMONTH($J85,-1)+1,W$54&lt;=EOMONTH(EOMONTH($J85,-1)+1,$K85-1)),IF(NOT(ISBLANK($N85)),$N85/$K85,$I85/$K85),0),0)</f>
        <v>0</v>
      </c>
      <c r="X85" s="532">
        <f>IFERROR(IF(AND(X$54&gt;=EOMONTH($J85,-1)+1,X$54&lt;=EOMONTH(EOMONTH($J85,-1)+1,$K85-1)),IF(NOT(ISBLANK($N85)),$N85/$K85,$I85/$K85),0),0)</f>
        <v>0</v>
      </c>
      <c r="Y85" s="532">
        <f>IFERROR(IF(AND(Y$54&gt;=EOMONTH($J85,-1)+1,Y$54&lt;=EOMONTH(EOMONTH($J85,-1)+1,$K85-1)),IF(NOT(ISBLANK($N85)),$N85/$K85,$I85/$K85),0),0)</f>
        <v>0</v>
      </c>
      <c r="Z85" s="89">
        <f t="shared" si="14"/>
        <v>0</v>
      </c>
      <c r="AA85" s="532">
        <f>IFERROR(IF(AND(AA$54&gt;=EOMONTH($J85,-1)+1,AA$54&lt;=EOMONTH(EOMONTH($J85,-1)+1,$K85-1)),IF(NOT(ISBLANK($N85)),$N85/$K85,$I85/$K85),0),0)</f>
        <v>0</v>
      </c>
      <c r="AB85" s="532">
        <f>IFERROR(IF(AND(AB$54&gt;=EOMONTH($J85,-1)+1,AB$54&lt;=EOMONTH(EOMONTH($J85,-1)+1,$K85-1)),IF(NOT(ISBLANK($N85)),$N85/$K85,$I85/$K85),0),0)</f>
        <v>0</v>
      </c>
      <c r="AC85" s="532">
        <f>IFERROR(IF(AND(AC$54&gt;=EOMONTH($J85,-1)+1,AC$54&lt;=EOMONTH(EOMONTH($J85,-1)+1,$K85-1)),IF(NOT(ISBLANK($N85)),$N85/$K85,$I85/$K85),0),0)</f>
        <v>0</v>
      </c>
      <c r="AD85" s="89">
        <f t="shared" si="15"/>
        <v>0</v>
      </c>
      <c r="AE85" s="532">
        <f>IFERROR(IF(AND(AE$54&gt;=EOMONTH($J85,-1)+1,AE$54&lt;=EOMONTH(EOMONTH($J85,-1)+1,$K85-1)),IF(NOT(ISBLANK($N85)),$N85/$K85,$I85/$K85),0),0)</f>
        <v>0</v>
      </c>
      <c r="AF85" s="532">
        <f>IFERROR(IF(AND(AF$54&gt;=EOMONTH($J85,-1)+1,AF$54&lt;=EOMONTH(EOMONTH($J85,-1)+1,$K85-1)),IF(NOT(ISBLANK($N85)),$N85/$K85,$I85/$K85),0),0)</f>
        <v>0</v>
      </c>
      <c r="AG85" s="532">
        <f>IFERROR(IF(AND(AG$54&gt;=EOMONTH($J85,-1)+1,AG$54&lt;=EOMONTH(EOMONTH($J85,-1)+1,$K85-1)),IF(NOT(ISBLANK($N85)),$N85/$K85,$I85/$K85),0),0)</f>
        <v>0</v>
      </c>
      <c r="AH85" s="89">
        <f t="shared" si="43"/>
        <v>0</v>
      </c>
      <c r="AI85" s="95">
        <f t="shared" si="18"/>
        <v>0</v>
      </c>
      <c r="AJ85" s="97"/>
      <c r="AK85" s="1038"/>
      <c r="AL85" s="1042"/>
      <c r="AM85" s="1044">
        <f t="shared" ref="AM85" si="46">N85*AL85</f>
        <v>0</v>
      </c>
      <c r="AN85" s="62">
        <f>C85</f>
        <v>0</v>
      </c>
      <c r="AO85" s="62" t="s">
        <v>289</v>
      </c>
      <c r="AP85" s="543" t="str" cm="1">
        <f t="array" aca="1" ref="AP85" ca="1">IF(OR(AN85="",AN85=0),"",IF(SUMPRODUCT(($C$55:$C$138=AN85)*(S$54:$AG$54&lt;EOMONTH(TODAY(),-1)+1)*(ISNUMBER(S$55:$AG$138)),S$55:$AG$138)=0,"",SUMPRODUCT(($C$55:$C$138=AN85)*(S$54:$AG$54&lt;EOMONTH(TODAY(),-1)+1)*(ISNUMBER(S$55:$AG$138)),S$55:$AG$138)))</f>
        <v/>
      </c>
    </row>
    <row r="86" spans="1:42" ht="29.1" customHeight="1" x14ac:dyDescent="0.3">
      <c r="A86" s="1039"/>
      <c r="B86" s="1039"/>
      <c r="C86" s="1096"/>
      <c r="D86" s="1098"/>
      <c r="E86" s="1364"/>
      <c r="F86" s="1100"/>
      <c r="G86" s="1151"/>
      <c r="H86" s="1151"/>
      <c r="I86" s="1151"/>
      <c r="J86" s="1110"/>
      <c r="K86" s="1214"/>
      <c r="L86" s="1077"/>
      <c r="M86" s="1073"/>
      <c r="N86" s="1056"/>
      <c r="O86" s="1043"/>
      <c r="P86" s="1043"/>
      <c r="Q86" s="93" t="s">
        <v>107</v>
      </c>
      <c r="R86" s="96"/>
      <c r="S86" s="312"/>
      <c r="T86" s="312"/>
      <c r="U86" s="312"/>
      <c r="V86" s="310">
        <f t="shared" si="13"/>
        <v>0</v>
      </c>
      <c r="W86" s="312"/>
      <c r="X86" s="312"/>
      <c r="Y86" s="312"/>
      <c r="Z86" s="310">
        <f t="shared" si="14"/>
        <v>0</v>
      </c>
      <c r="AA86" s="312"/>
      <c r="AB86" s="312"/>
      <c r="AC86" s="312"/>
      <c r="AD86" s="310">
        <f t="shared" si="15"/>
        <v>0</v>
      </c>
      <c r="AE86" s="312"/>
      <c r="AF86" s="312"/>
      <c r="AG86" s="312"/>
      <c r="AH86" s="310">
        <f t="shared" si="43"/>
        <v>0</v>
      </c>
      <c r="AI86" s="313">
        <f t="shared" si="18"/>
        <v>0</v>
      </c>
      <c r="AJ86" s="97"/>
      <c r="AK86" s="1039"/>
      <c r="AL86" s="1043"/>
      <c r="AM86" s="1045"/>
      <c r="AN86" s="62">
        <f>C85</f>
        <v>0</v>
      </c>
      <c r="AO86" s="62" t="s">
        <v>291</v>
      </c>
      <c r="AP86" s="543" t="str" cm="1">
        <f t="array" aca="1" ref="AP86" ca="1">IF(OR(AN86="",AN86=0),"",IF(SUMPRODUCT(($C$55:$C$153=AN86)*($S$54:AG$54&lt;=TODAY())*(ISNUMBER($S$56:AG$154)),$S$56:AG$154)=0,"",SUMPRODUCT(($C$55:$C$153=AN86)*($S$54:AG$54&lt;=TODAY())*(ISNUMBER($S$56:AG$154)),$S$56:AG$154)))</f>
        <v/>
      </c>
    </row>
    <row r="87" spans="1:42" ht="29.1" customHeight="1" x14ac:dyDescent="0.3">
      <c r="A87" s="1036"/>
      <c r="B87" s="1036"/>
      <c r="C87" s="1113"/>
      <c r="D87" s="1115"/>
      <c r="E87" s="1303"/>
      <c r="F87" s="1040"/>
      <c r="G87" s="1117"/>
      <c r="H87" s="1117"/>
      <c r="I87" s="1074"/>
      <c r="J87" s="1158"/>
      <c r="K87" s="1121" t="str">
        <f t="shared" ref="K87" si="47">IF(J87="", "", 12 - MONTH(J87) + 1)</f>
        <v/>
      </c>
      <c r="L87" s="1074"/>
      <c r="M87" s="1119"/>
      <c r="N87" s="1053"/>
      <c r="O87" s="1057" t="str">
        <f ca="1">IF(OR(H87="", I87=""), "", IF(TODAY()&lt;H87, 0, IF(TODAY()&gt;I87, 1, (TODAY()-H87+1)/(I87-H87+1))))</f>
        <v/>
      </c>
      <c r="P87" s="1057"/>
      <c r="Q87" s="87" t="s">
        <v>106</v>
      </c>
      <c r="R87" s="91" t="str">
        <f ca="1">IF(OR(G87="", H87=""), "", IF(TODAY()&lt;G87, 0, IF(TODAY()&gt;H87, 1, (TODAY()-G87+1)/(H87-G87+1))))</f>
        <v/>
      </c>
      <c r="S87" s="309">
        <f>IFERROR(IF(AND(S$54&gt;=EOMONTH($J87,-1)+1,S$54&lt;=EOMONTH(EOMONTH($J87,-1)+1,$K87-1)),IF(NOT(ISBLANK($N87)),$N87/$K87,$I87/$K87),0),0)</f>
        <v>0</v>
      </c>
      <c r="T87" s="309">
        <f>IFERROR(IF(AND(T$54&gt;=EOMONTH($J87,-1)+1,T$54&lt;=EOMONTH(EOMONTH($J87,-1)+1,$K87-1)),IF(NOT(ISBLANK($N87)),$N87/$K87,$I87/$K87),0),0)</f>
        <v>0</v>
      </c>
      <c r="U87" s="309">
        <f>IFERROR(IF(AND(U$54&gt;=EOMONTH($J87,-1)+1,U$54&lt;=EOMONTH(EOMONTH($J87,-1)+1,$K87-1)),IF(NOT(ISBLANK($N87)),$N87/$K87,$I87/$K87),0),0)</f>
        <v>0</v>
      </c>
      <c r="V87" s="310">
        <f t="shared" si="13"/>
        <v>0</v>
      </c>
      <c r="W87" s="309">
        <f>IFERROR(IF(AND(W$54&gt;=EOMONTH($J87,-1)+1,W$54&lt;=EOMONTH(EOMONTH($J87,-1)+1,$K87-1)),IF(NOT(ISBLANK($N87)),$N87/$K87,$I87/$K87),0),0)</f>
        <v>0</v>
      </c>
      <c r="X87" s="309">
        <f>IFERROR(IF(AND(X$54&gt;=EOMONTH($J87,-1)+1,X$54&lt;=EOMONTH(EOMONTH($J87,-1)+1,$K87-1)),IF(NOT(ISBLANK($N87)),$N87/$K87,$I87/$K87),0),0)</f>
        <v>0</v>
      </c>
      <c r="Y87" s="309">
        <f>IFERROR(IF(AND(Y$54&gt;=EOMONTH($J87,-1)+1,Y$54&lt;=EOMONTH(EOMONTH($J87,-1)+1,$K87-1)),IF(NOT(ISBLANK($N87)),$N87/$K87,$I87/$K87),0),0)</f>
        <v>0</v>
      </c>
      <c r="Z87" s="89">
        <f t="shared" si="14"/>
        <v>0</v>
      </c>
      <c r="AA87" s="309">
        <f>IFERROR(IF(AND(AA$54&gt;=EOMONTH($J87,-1)+1,AA$54&lt;=EOMONTH(EOMONTH($J87,-1)+1,$K87-1)),IF(NOT(ISBLANK($N87)),$N87/$K87,$I87/$K87),0),0)</f>
        <v>0</v>
      </c>
      <c r="AB87" s="309">
        <f>IFERROR(IF(AND(AB$54&gt;=EOMONTH($J87,-1)+1,AB$54&lt;=EOMONTH(EOMONTH($J87,-1)+1,$K87-1)),IF(NOT(ISBLANK($N87)),$N87/$K87,$I87/$K87),0),0)</f>
        <v>0</v>
      </c>
      <c r="AC87" s="309">
        <f>IFERROR(IF(AND(AC$54&gt;=EOMONTH($J87,-1)+1,AC$54&lt;=EOMONTH(EOMONTH($J87,-1)+1,$K87-1)),IF(NOT(ISBLANK($N87)),$N87/$K87,$I87/$K87),0),0)</f>
        <v>0</v>
      </c>
      <c r="AD87" s="89">
        <f t="shared" si="15"/>
        <v>0</v>
      </c>
      <c r="AE87" s="309">
        <f>IFERROR(IF(AND(AE$54&gt;=EOMONTH($J87,-1)+1,AE$54&lt;=EOMONTH(EOMONTH($J87,-1)+1,$K87-1)),IF(NOT(ISBLANK($N87)),$N87/$K87,$I87/$K87),0),0)</f>
        <v>0</v>
      </c>
      <c r="AF87" s="309">
        <f>IFERROR(IF(AND(AF$54&gt;=EOMONTH($J87,-1)+1,AF$54&lt;=EOMONTH(EOMONTH($J87,-1)+1,$K87-1)),IF(NOT(ISBLANK($N87)),$N87/$K87,$I87/$K87),0),0)</f>
        <v>0</v>
      </c>
      <c r="AG87" s="309">
        <f>IFERROR(IF(AND(AG$54&gt;=EOMONTH($J87,-1)+1,AG$54&lt;=EOMONTH(EOMONTH($J87,-1)+1,$K87-1)),IF(NOT(ISBLANK($N87)),$N87/$K87,$I87/$K87),0),0)</f>
        <v>0</v>
      </c>
      <c r="AH87" s="89">
        <f t="shared" si="43"/>
        <v>0</v>
      </c>
      <c r="AI87" s="90">
        <f t="shared" si="18"/>
        <v>0</v>
      </c>
      <c r="AJ87" s="98"/>
      <c r="AK87" s="1040"/>
      <c r="AL87" s="1048"/>
      <c r="AM87" s="1046">
        <f t="shared" ref="AM87" si="48">N87*AL87</f>
        <v>0</v>
      </c>
      <c r="AN87" s="62">
        <f>C87</f>
        <v>0</v>
      </c>
      <c r="AO87" s="62" t="s">
        <v>289</v>
      </c>
      <c r="AP87" s="543" t="str" cm="1">
        <f t="array" aca="1" ref="AP87" ca="1">IF(OR(AN87="",AN87=0),"",IF(SUMPRODUCT(($C$55:$C$138=AN87)*(S$54:$AG$54&lt;EOMONTH(TODAY(),-1)+1)*(ISNUMBER(S$55:$AG$138)),S$55:$AG$138)=0,"",SUMPRODUCT(($C$55:$C$138=AN87)*(S$54:$AG$54&lt;EOMONTH(TODAY(),-1)+1)*(ISNUMBER(S$55:$AG$138)),S$55:$AG$138)))</f>
        <v/>
      </c>
    </row>
    <row r="88" spans="1:42" ht="29.1" customHeight="1" x14ac:dyDescent="0.3">
      <c r="A88" s="1037"/>
      <c r="B88" s="1037"/>
      <c r="C88" s="1114"/>
      <c r="D88" s="1116"/>
      <c r="E88" s="1304"/>
      <c r="F88" s="1041"/>
      <c r="G88" s="1118"/>
      <c r="H88" s="1118"/>
      <c r="I88" s="1075"/>
      <c r="J88" s="1159"/>
      <c r="K88" s="1122"/>
      <c r="L88" s="1075"/>
      <c r="M88" s="1451"/>
      <c r="N88" s="1054"/>
      <c r="O88" s="1058"/>
      <c r="P88" s="1058"/>
      <c r="Q88" s="87" t="s">
        <v>107</v>
      </c>
      <c r="R88" s="91"/>
      <c r="S88" s="309"/>
      <c r="T88" s="309"/>
      <c r="U88" s="309"/>
      <c r="V88" s="310">
        <f t="shared" si="13"/>
        <v>0</v>
      </c>
      <c r="W88" s="309"/>
      <c r="X88" s="309"/>
      <c r="Y88" s="309"/>
      <c r="Z88" s="310">
        <f t="shared" si="14"/>
        <v>0</v>
      </c>
      <c r="AA88" s="309"/>
      <c r="AB88" s="309"/>
      <c r="AC88" s="309"/>
      <c r="AD88" s="310">
        <f t="shared" si="15"/>
        <v>0</v>
      </c>
      <c r="AE88" s="309"/>
      <c r="AF88" s="309"/>
      <c r="AG88" s="309"/>
      <c r="AH88" s="310">
        <f t="shared" si="43"/>
        <v>0</v>
      </c>
      <c r="AI88" s="311">
        <f t="shared" si="18"/>
        <v>0</v>
      </c>
      <c r="AJ88" s="360"/>
      <c r="AK88" s="1041"/>
      <c r="AL88" s="1049"/>
      <c r="AM88" s="1047"/>
      <c r="AN88" s="62">
        <f>C87</f>
        <v>0</v>
      </c>
      <c r="AO88" s="62" t="s">
        <v>291</v>
      </c>
      <c r="AP88" s="543" t="str" cm="1">
        <f t="array" aca="1" ref="AP88" ca="1">IF(OR(AN88="",AN88=0),"",IF(SUMPRODUCT(($C$55:$C$153=AN88)*($S$54:AG$54&lt;=TODAY())*(ISNUMBER($S$56:AG$154)),$S$56:AG$154)=0,"",SUMPRODUCT(($C$55:$C$153=AN88)*($S$54:AG$54&lt;=TODAY())*(ISNUMBER($S$56:AG$154)),$S$56:AG$154)))</f>
        <v/>
      </c>
    </row>
    <row r="89" spans="1:42" ht="29.1" customHeight="1" x14ac:dyDescent="0.3">
      <c r="A89" s="1038"/>
      <c r="B89" s="1038"/>
      <c r="C89" s="1095"/>
      <c r="D89" s="1097"/>
      <c r="E89" s="1363"/>
      <c r="F89" s="1099"/>
      <c r="G89" s="1150"/>
      <c r="H89" s="1150"/>
      <c r="I89" s="1152"/>
      <c r="J89" s="1109"/>
      <c r="K89" s="1213" t="str">
        <f t="shared" ref="K89" si="49">IF(J89="", "", 12 - MONTH(J89) + 1)</f>
        <v/>
      </c>
      <c r="L89" s="1076"/>
      <c r="M89" s="1072"/>
      <c r="N89" s="1055"/>
      <c r="O89" s="1042" t="str">
        <f ca="1">IF(OR(H89="", I89=""), "", IF(TODAY()&lt;H89, 0, IF(TODAY()&gt;I89, 1, (TODAY()-H89+1)/(I89-H89+1))))</f>
        <v/>
      </c>
      <c r="P89" s="1042"/>
      <c r="Q89" s="93" t="s">
        <v>106</v>
      </c>
      <c r="R89" s="96" t="str">
        <f ca="1">IF(OR(G89="", H89=""), "", IF(TODAY()&lt;G89, 0, IF(TODAY()&gt;H89, 1, (TODAY()-G89+1)/(H89-G89+1))))</f>
        <v/>
      </c>
      <c r="S89" s="532">
        <f>IFERROR(IF(AND(S$54&gt;=EOMONTH($J89,-1)+1,S$54&lt;=EOMONTH(EOMONTH($J89,-1)+1,$K89-1)),IF(NOT(ISBLANK($N89)),$N89/$K89,$I89/$K89),0),0)</f>
        <v>0</v>
      </c>
      <c r="T89" s="532">
        <f>IFERROR(IF(AND(T$54&gt;=EOMONTH($J89,-1)+1,T$54&lt;=EOMONTH(EOMONTH($J89,-1)+1,$K89-1)),IF(NOT(ISBLANK($N89)),$N89/$K89,$I89/$K89),0),0)</f>
        <v>0</v>
      </c>
      <c r="U89" s="532">
        <f>IFERROR(IF(AND(U$54&gt;=EOMONTH($J89,-1)+1,U$54&lt;=EOMONTH(EOMONTH($J89,-1)+1,$K89-1)),IF(NOT(ISBLANK($N89)),$N89/$K89,$I89/$K89),0),0)</f>
        <v>0</v>
      </c>
      <c r="V89" s="310">
        <f t="shared" si="13"/>
        <v>0</v>
      </c>
      <c r="W89" s="532">
        <f>IFERROR(IF(AND(W$54&gt;=EOMONTH($J89,-1)+1,W$54&lt;=EOMONTH(EOMONTH($J89,-1)+1,$K89-1)),IF(NOT(ISBLANK($N89)),$N89/$K89,$I89/$K89),0),0)</f>
        <v>0</v>
      </c>
      <c r="X89" s="532">
        <f>IFERROR(IF(AND(X$54&gt;=EOMONTH($J89,-1)+1,X$54&lt;=EOMONTH(EOMONTH($J89,-1)+1,$K89-1)),IF(NOT(ISBLANK($N89)),$N89/$K89,$I89/$K89),0),0)</f>
        <v>0</v>
      </c>
      <c r="Y89" s="532">
        <f>IFERROR(IF(AND(Y$54&gt;=EOMONTH($J89,-1)+1,Y$54&lt;=EOMONTH(EOMONTH($J89,-1)+1,$K89-1)),IF(NOT(ISBLANK($N89)),$N89/$K89,$I89/$K89),0),0)</f>
        <v>0</v>
      </c>
      <c r="Z89" s="89">
        <f t="shared" si="14"/>
        <v>0</v>
      </c>
      <c r="AA89" s="532">
        <f>IFERROR(IF(AND(AA$54&gt;=EOMONTH($J89,-1)+1,AA$54&lt;=EOMONTH(EOMONTH($J89,-1)+1,$K89-1)),IF(NOT(ISBLANK($N89)),$N89/$K89,$I89/$K89),0),0)</f>
        <v>0</v>
      </c>
      <c r="AB89" s="532">
        <f>IFERROR(IF(AND(AB$54&gt;=EOMONTH($J89,-1)+1,AB$54&lt;=EOMONTH(EOMONTH($J89,-1)+1,$K89-1)),IF(NOT(ISBLANK($N89)),$N89/$K89,$I89/$K89),0),0)</f>
        <v>0</v>
      </c>
      <c r="AC89" s="532">
        <f>IFERROR(IF(AND(AC$54&gt;=EOMONTH($J89,-1)+1,AC$54&lt;=EOMONTH(EOMONTH($J89,-1)+1,$K89-1)),IF(NOT(ISBLANK($N89)),$N89/$K89,$I89/$K89),0),0)</f>
        <v>0</v>
      </c>
      <c r="AD89" s="89">
        <f t="shared" si="15"/>
        <v>0</v>
      </c>
      <c r="AE89" s="532">
        <f>IFERROR(IF(AND(AE$54&gt;=EOMONTH($J89,-1)+1,AE$54&lt;=EOMONTH(EOMONTH($J89,-1)+1,$K89-1)),IF(NOT(ISBLANK($N89)),$N89/$K89,$I89/$K89),0),0)</f>
        <v>0</v>
      </c>
      <c r="AF89" s="532">
        <f>IFERROR(IF(AND(AF$54&gt;=EOMONTH($J89,-1)+1,AF$54&lt;=EOMONTH(EOMONTH($J89,-1)+1,$K89-1)),IF(NOT(ISBLANK($N89)),$N89/$K89,$I89/$K89),0),0)</f>
        <v>0</v>
      </c>
      <c r="AG89" s="532">
        <f>IFERROR(IF(AND(AG$54&gt;=EOMONTH($J89,-1)+1,AG$54&lt;=EOMONTH(EOMONTH($J89,-1)+1,$K89-1)),IF(NOT(ISBLANK($N89)),$N89/$K89,$I89/$K89),0),0)</f>
        <v>0</v>
      </c>
      <c r="AH89" s="89">
        <f t="shared" si="43"/>
        <v>0</v>
      </c>
      <c r="AI89" s="95">
        <f t="shared" si="18"/>
        <v>0</v>
      </c>
      <c r="AJ89" s="97"/>
      <c r="AK89" s="1038"/>
      <c r="AL89" s="1042"/>
      <c r="AM89" s="1044">
        <f t="shared" ref="AM89" si="50">N89*AL89</f>
        <v>0</v>
      </c>
      <c r="AN89" s="62">
        <f>C89</f>
        <v>0</v>
      </c>
      <c r="AO89" s="62" t="s">
        <v>289</v>
      </c>
      <c r="AP89" s="543" t="str" cm="1">
        <f t="array" aca="1" ref="AP89" ca="1">IF(OR(AN89="",AN89=0),"",IF(SUMPRODUCT(($C$55:$C$138=AN89)*(S$54:$AG$54&lt;EOMONTH(TODAY(),-1)+1)*(ISNUMBER(S$55:$AG$138)),S$55:$AG$138)=0,"",SUMPRODUCT(($C$55:$C$138=AN89)*(S$54:$AG$54&lt;EOMONTH(TODAY(),-1)+1)*(ISNUMBER(S$55:$AG$138)),S$55:$AG$138)))</f>
        <v/>
      </c>
    </row>
    <row r="90" spans="1:42" ht="29.1" customHeight="1" x14ac:dyDescent="0.3">
      <c r="A90" s="1039"/>
      <c r="B90" s="1039"/>
      <c r="C90" s="1096"/>
      <c r="D90" s="1098"/>
      <c r="E90" s="1364"/>
      <c r="F90" s="1100"/>
      <c r="G90" s="1151"/>
      <c r="H90" s="1151"/>
      <c r="I90" s="1151"/>
      <c r="J90" s="1110"/>
      <c r="K90" s="1214"/>
      <c r="L90" s="1077"/>
      <c r="M90" s="1073"/>
      <c r="N90" s="1056"/>
      <c r="O90" s="1043"/>
      <c r="P90" s="1043"/>
      <c r="Q90" s="93" t="s">
        <v>107</v>
      </c>
      <c r="R90" s="96"/>
      <c r="S90" s="312"/>
      <c r="T90" s="312"/>
      <c r="U90" s="312"/>
      <c r="V90" s="310">
        <f t="shared" si="13"/>
        <v>0</v>
      </c>
      <c r="W90" s="312"/>
      <c r="X90" s="312"/>
      <c r="Y90" s="312"/>
      <c r="Z90" s="310">
        <f t="shared" si="14"/>
        <v>0</v>
      </c>
      <c r="AA90" s="312"/>
      <c r="AB90" s="312"/>
      <c r="AC90" s="312"/>
      <c r="AD90" s="310">
        <f t="shared" si="15"/>
        <v>0</v>
      </c>
      <c r="AE90" s="312"/>
      <c r="AF90" s="312"/>
      <c r="AG90" s="312"/>
      <c r="AH90" s="310">
        <f t="shared" si="43"/>
        <v>0</v>
      </c>
      <c r="AI90" s="313">
        <f t="shared" si="18"/>
        <v>0</v>
      </c>
      <c r="AJ90" s="97"/>
      <c r="AK90" s="1039"/>
      <c r="AL90" s="1043"/>
      <c r="AM90" s="1045"/>
      <c r="AN90" s="62">
        <f>C89</f>
        <v>0</v>
      </c>
      <c r="AO90" s="62" t="s">
        <v>291</v>
      </c>
      <c r="AP90" s="543" t="str" cm="1">
        <f t="array" aca="1" ref="AP90" ca="1">IF(OR(AN90="",AN90=0),"",IF(SUMPRODUCT(($C$55:$C$153=AN90)*($S$54:AG$54&lt;=TODAY())*(ISNUMBER($S$56:AG$154)),$S$56:AG$154)=0,"",SUMPRODUCT(($C$55:$C$153=AN90)*($S$54:AG$54&lt;=TODAY())*(ISNUMBER($S$56:AG$154)),$S$56:AG$154)))</f>
        <v/>
      </c>
    </row>
    <row r="91" spans="1:42" ht="29.1" customHeight="1" x14ac:dyDescent="0.3">
      <c r="A91" s="1036"/>
      <c r="B91" s="1036"/>
      <c r="C91" s="1113"/>
      <c r="D91" s="1115"/>
      <c r="E91" s="1303"/>
      <c r="F91" s="1040"/>
      <c r="G91" s="1117"/>
      <c r="H91" s="1117"/>
      <c r="I91" s="1074"/>
      <c r="J91" s="1158"/>
      <c r="K91" s="1121" t="str">
        <f t="shared" ref="K91" si="51">IF(J91="", "", 12 - MONTH(J91) + 1)</f>
        <v/>
      </c>
      <c r="L91" s="1074"/>
      <c r="M91" s="1119"/>
      <c r="N91" s="1053"/>
      <c r="O91" s="1057" t="str">
        <f ca="1">IF(OR(H91="", I91=""), "", IF(TODAY()&lt;H91, 0, IF(TODAY()&gt;I91, 1, (TODAY()-H91+1)/(I91-H91+1))))</f>
        <v/>
      </c>
      <c r="P91" s="1057"/>
      <c r="Q91" s="87" t="s">
        <v>106</v>
      </c>
      <c r="R91" s="91" t="str">
        <f ca="1">IF(OR(G91="", H91=""), "", IF(TODAY()&lt;G91, 0, IF(TODAY()&gt;H91, 1, (TODAY()-G91+1)/(H91-G91+1))))</f>
        <v/>
      </c>
      <c r="S91" s="309">
        <f>IFERROR(IF(AND(S$54&gt;=EOMONTH($J91,-1)+1,S$54&lt;=EOMONTH(EOMONTH($J91,-1)+1,$K91-1)),IF(NOT(ISBLANK($N91)),$N91/$K91,$I91/$K91),0),0)</f>
        <v>0</v>
      </c>
      <c r="T91" s="309">
        <f>IFERROR(IF(AND(T$54&gt;=EOMONTH($J91,-1)+1,T$54&lt;=EOMONTH(EOMONTH($J91,-1)+1,$K91-1)),IF(NOT(ISBLANK($N91)),$N91/$K91,$I91/$K91),0),0)</f>
        <v>0</v>
      </c>
      <c r="U91" s="309">
        <f>IFERROR(IF(AND(U$54&gt;=EOMONTH($J91,-1)+1,U$54&lt;=EOMONTH(EOMONTH($J91,-1)+1,$K91-1)),IF(NOT(ISBLANK($N91)),$N91/$K91,$I91/$K91),0),0)</f>
        <v>0</v>
      </c>
      <c r="V91" s="310">
        <f t="shared" si="13"/>
        <v>0</v>
      </c>
      <c r="W91" s="309">
        <f>IFERROR(IF(AND(W$54&gt;=EOMONTH($J91,-1)+1,W$54&lt;=EOMONTH(EOMONTH($J91,-1)+1,$K91-1)),IF(NOT(ISBLANK($N91)),$N91/$K91,$I91/$K91),0),0)</f>
        <v>0</v>
      </c>
      <c r="X91" s="309">
        <f>IFERROR(IF(AND(X$54&gt;=EOMONTH($J91,-1)+1,X$54&lt;=EOMONTH(EOMONTH($J91,-1)+1,$K91-1)),IF(NOT(ISBLANK($N91)),$N91/$K91,$I91/$K91),0),0)</f>
        <v>0</v>
      </c>
      <c r="Y91" s="309">
        <f>IFERROR(IF(AND(Y$54&gt;=EOMONTH($J91,-1)+1,Y$54&lt;=EOMONTH(EOMONTH($J91,-1)+1,$K91-1)),IF(NOT(ISBLANK($N91)),$N91/$K91,$I91/$K91),0),0)</f>
        <v>0</v>
      </c>
      <c r="Z91" s="89">
        <f t="shared" si="14"/>
        <v>0</v>
      </c>
      <c r="AA91" s="309">
        <f>IFERROR(IF(AND(AA$54&gt;=EOMONTH($J91,-1)+1,AA$54&lt;=EOMONTH(EOMONTH($J91,-1)+1,$K91-1)),IF(NOT(ISBLANK($N91)),$N91/$K91,$I91/$K91),0),0)</f>
        <v>0</v>
      </c>
      <c r="AB91" s="309">
        <f>IFERROR(IF(AND(AB$54&gt;=EOMONTH($J91,-1)+1,AB$54&lt;=EOMONTH(EOMONTH($J91,-1)+1,$K91-1)),IF(NOT(ISBLANK($N91)),$N91/$K91,$I91/$K91),0),0)</f>
        <v>0</v>
      </c>
      <c r="AC91" s="309">
        <f>IFERROR(IF(AND(AC$54&gt;=EOMONTH($J91,-1)+1,AC$54&lt;=EOMONTH(EOMONTH($J91,-1)+1,$K91-1)),IF(NOT(ISBLANK($N91)),$N91/$K91,$I91/$K91),0),0)</f>
        <v>0</v>
      </c>
      <c r="AD91" s="89">
        <f t="shared" si="15"/>
        <v>0</v>
      </c>
      <c r="AE91" s="309">
        <f>IFERROR(IF(AND(AE$54&gt;=EOMONTH($J91,-1)+1,AE$54&lt;=EOMONTH(EOMONTH($J91,-1)+1,$K91-1)),IF(NOT(ISBLANK($N91)),$N91/$K91,$I91/$K91),0),0)</f>
        <v>0</v>
      </c>
      <c r="AF91" s="309">
        <f>IFERROR(IF(AND(AF$54&gt;=EOMONTH($J91,-1)+1,AF$54&lt;=EOMONTH(EOMONTH($J91,-1)+1,$K91-1)),IF(NOT(ISBLANK($N91)),$N91/$K91,$I91/$K91),0),0)</f>
        <v>0</v>
      </c>
      <c r="AG91" s="309">
        <f>IFERROR(IF(AND(AG$54&gt;=EOMONTH($J91,-1)+1,AG$54&lt;=EOMONTH(EOMONTH($J91,-1)+1,$K91-1)),IF(NOT(ISBLANK($N91)),$N91/$K91,$I91/$K91),0),0)</f>
        <v>0</v>
      </c>
      <c r="AH91" s="89">
        <f t="shared" si="43"/>
        <v>0</v>
      </c>
      <c r="AI91" s="90">
        <f t="shared" si="18"/>
        <v>0</v>
      </c>
      <c r="AJ91" s="98"/>
      <c r="AK91" s="1040"/>
      <c r="AL91" s="1048"/>
      <c r="AM91" s="1046">
        <f t="shared" ref="AM91" si="52">N91*AL91</f>
        <v>0</v>
      </c>
      <c r="AN91" s="62">
        <f>C91</f>
        <v>0</v>
      </c>
      <c r="AO91" s="62" t="s">
        <v>289</v>
      </c>
      <c r="AP91" s="543" t="str" cm="1">
        <f t="array" aca="1" ref="AP91" ca="1">IF(OR(AN91="",AN91=0),"",IF(SUMPRODUCT(($C$55:$C$138=AN91)*(S$54:$AG$54&lt;EOMONTH(TODAY(),-1)+1)*(ISNUMBER(S$55:$AG$138)),S$55:$AG$138)=0,"",SUMPRODUCT(($C$55:$C$138=AN91)*(S$54:$AG$54&lt;EOMONTH(TODAY(),-1)+1)*(ISNUMBER(S$55:$AG$138)),S$55:$AG$138)))</f>
        <v/>
      </c>
    </row>
    <row r="92" spans="1:42" ht="29.1" customHeight="1" x14ac:dyDescent="0.3">
      <c r="A92" s="1037"/>
      <c r="B92" s="1037"/>
      <c r="C92" s="1114"/>
      <c r="D92" s="1116"/>
      <c r="E92" s="1304"/>
      <c r="F92" s="1041"/>
      <c r="G92" s="1118"/>
      <c r="H92" s="1118"/>
      <c r="I92" s="1075"/>
      <c r="J92" s="1159"/>
      <c r="K92" s="1122"/>
      <c r="L92" s="1075"/>
      <c r="M92" s="1451"/>
      <c r="N92" s="1054"/>
      <c r="O92" s="1058"/>
      <c r="P92" s="1058"/>
      <c r="Q92" s="87" t="s">
        <v>107</v>
      </c>
      <c r="R92" s="91"/>
      <c r="S92" s="309"/>
      <c r="T92" s="309"/>
      <c r="U92" s="309"/>
      <c r="V92" s="310">
        <f t="shared" si="13"/>
        <v>0</v>
      </c>
      <c r="W92" s="309"/>
      <c r="X92" s="309"/>
      <c r="Y92" s="309"/>
      <c r="Z92" s="310">
        <f t="shared" si="14"/>
        <v>0</v>
      </c>
      <c r="AA92" s="309"/>
      <c r="AB92" s="309"/>
      <c r="AC92" s="309"/>
      <c r="AD92" s="310">
        <f t="shared" si="15"/>
        <v>0</v>
      </c>
      <c r="AE92" s="309"/>
      <c r="AF92" s="309"/>
      <c r="AG92" s="309"/>
      <c r="AH92" s="310">
        <f t="shared" si="43"/>
        <v>0</v>
      </c>
      <c r="AI92" s="311">
        <f t="shared" si="18"/>
        <v>0</v>
      </c>
      <c r="AJ92" s="360"/>
      <c r="AK92" s="1041"/>
      <c r="AL92" s="1049"/>
      <c r="AM92" s="1047"/>
      <c r="AN92" s="62">
        <f>C91</f>
        <v>0</v>
      </c>
      <c r="AO92" s="62" t="s">
        <v>291</v>
      </c>
      <c r="AP92" s="543" t="str" cm="1">
        <f t="array" aca="1" ref="AP92" ca="1">IF(OR(AN92="",AN92=0),"",IF(SUMPRODUCT(($C$55:$C$153=AN92)*($S$54:AG$54&lt;=TODAY())*(ISNUMBER($S$56:AG$154)),$S$56:AG$154)=0,"",SUMPRODUCT(($C$55:$C$153=AN92)*($S$54:AG$54&lt;=TODAY())*(ISNUMBER($S$56:AG$154)),$S$56:AG$154)))</f>
        <v/>
      </c>
    </row>
    <row r="93" spans="1:42" ht="29.1" customHeight="1" x14ac:dyDescent="0.3">
      <c r="A93" s="1038"/>
      <c r="B93" s="1038"/>
      <c r="C93" s="1095"/>
      <c r="D93" s="1097"/>
      <c r="E93" s="1363"/>
      <c r="F93" s="1099"/>
      <c r="G93" s="1150"/>
      <c r="H93" s="1150"/>
      <c r="I93" s="1152"/>
      <c r="J93" s="1109"/>
      <c r="K93" s="1213" t="str">
        <f t="shared" ref="K93" si="53">IF(J93="", "", 12 - MONTH(J93) + 1)</f>
        <v/>
      </c>
      <c r="L93" s="1076"/>
      <c r="M93" s="1072"/>
      <c r="N93" s="1055"/>
      <c r="O93" s="1042" t="str">
        <f ca="1">IF(OR(H93="", I93=""), "", IF(TODAY()&lt;H93, 0, IF(TODAY()&gt;I93, 1, (TODAY()-H93+1)/(I93-H93+1))))</f>
        <v/>
      </c>
      <c r="P93" s="1042"/>
      <c r="Q93" s="93" t="s">
        <v>106</v>
      </c>
      <c r="R93" s="96" t="str">
        <f ca="1">IF(OR(G93="", H93=""), "", IF(TODAY()&lt;G93, 0, IF(TODAY()&gt;H93, 1, (TODAY()-G93+1)/(H93-G93+1))))</f>
        <v/>
      </c>
      <c r="S93" s="532">
        <f>IFERROR(IF(AND(S$54&gt;=EOMONTH($J93,-1)+1,S$54&lt;=EOMONTH(EOMONTH($J93,-1)+1,$K93-1)),IF(NOT(ISBLANK($N93)),$N93/$K93,$I93/$K93),0),0)</f>
        <v>0</v>
      </c>
      <c r="T93" s="532">
        <f>IFERROR(IF(AND(T$54&gt;=EOMONTH($J93,-1)+1,T$54&lt;=EOMONTH(EOMONTH($J93,-1)+1,$K93-1)),IF(NOT(ISBLANK($N93)),$N93/$K93,$I93/$K93),0),0)</f>
        <v>0</v>
      </c>
      <c r="U93" s="532">
        <f>IFERROR(IF(AND(U$54&gt;=EOMONTH($J93,-1)+1,U$54&lt;=EOMONTH(EOMONTH($J93,-1)+1,$K93-1)),IF(NOT(ISBLANK($N93)),$N93/$K93,$I93/$K93),0),0)</f>
        <v>0</v>
      </c>
      <c r="V93" s="310">
        <f t="shared" si="13"/>
        <v>0</v>
      </c>
      <c r="W93" s="532">
        <f>IFERROR(IF(AND(W$54&gt;=EOMONTH($J93,-1)+1,W$54&lt;=EOMONTH(EOMONTH($J93,-1)+1,$K93-1)),IF(NOT(ISBLANK($N93)),$N93/$K93,$I93/$K93),0),0)</f>
        <v>0</v>
      </c>
      <c r="X93" s="532">
        <f>IFERROR(IF(AND(X$54&gt;=EOMONTH($J93,-1)+1,X$54&lt;=EOMONTH(EOMONTH($J93,-1)+1,$K93-1)),IF(NOT(ISBLANK($N93)),$N93/$K93,$I93/$K93),0),0)</f>
        <v>0</v>
      </c>
      <c r="Y93" s="532">
        <f>IFERROR(IF(AND(Y$54&gt;=EOMONTH($J93,-1)+1,Y$54&lt;=EOMONTH(EOMONTH($J93,-1)+1,$K93-1)),IF(NOT(ISBLANK($N93)),$N93/$K93,$I93/$K93),0),0)</f>
        <v>0</v>
      </c>
      <c r="Z93" s="89">
        <f t="shared" si="14"/>
        <v>0</v>
      </c>
      <c r="AA93" s="532">
        <f>IFERROR(IF(AND(AA$54&gt;=EOMONTH($J93,-1)+1,AA$54&lt;=EOMONTH(EOMONTH($J93,-1)+1,$K93-1)),IF(NOT(ISBLANK($N93)),$N93/$K93,$I93/$K93),0),0)</f>
        <v>0</v>
      </c>
      <c r="AB93" s="532">
        <f>IFERROR(IF(AND(AB$54&gt;=EOMONTH($J93,-1)+1,AB$54&lt;=EOMONTH(EOMONTH($J93,-1)+1,$K93-1)),IF(NOT(ISBLANK($N93)),$N93/$K93,$I93/$K93),0),0)</f>
        <v>0</v>
      </c>
      <c r="AC93" s="532">
        <f>IFERROR(IF(AND(AC$54&gt;=EOMONTH($J93,-1)+1,AC$54&lt;=EOMONTH(EOMONTH($J93,-1)+1,$K93-1)),IF(NOT(ISBLANK($N93)),$N93/$K93,$I93/$K93),0),0)</f>
        <v>0</v>
      </c>
      <c r="AD93" s="89">
        <f t="shared" si="15"/>
        <v>0</v>
      </c>
      <c r="AE93" s="532">
        <f>IFERROR(IF(AND(AE$54&gt;=EOMONTH($J93,-1)+1,AE$54&lt;=EOMONTH(EOMONTH($J93,-1)+1,$K93-1)),IF(NOT(ISBLANK($N93)),$N93/$K93,$I93/$K93),0),0)</f>
        <v>0</v>
      </c>
      <c r="AF93" s="532">
        <f>IFERROR(IF(AND(AF$54&gt;=EOMONTH($J93,-1)+1,AF$54&lt;=EOMONTH(EOMONTH($J93,-1)+1,$K93-1)),IF(NOT(ISBLANK($N93)),$N93/$K93,$I93/$K93),0),0)</f>
        <v>0</v>
      </c>
      <c r="AG93" s="532">
        <f>IFERROR(IF(AND(AG$54&gt;=EOMONTH($J93,-1)+1,AG$54&lt;=EOMONTH(EOMONTH($J93,-1)+1,$K93-1)),IF(NOT(ISBLANK($N93)),$N93/$K93,$I93/$K93),0),0)</f>
        <v>0</v>
      </c>
      <c r="AH93" s="89">
        <f t="shared" si="43"/>
        <v>0</v>
      </c>
      <c r="AI93" s="95">
        <f t="shared" si="18"/>
        <v>0</v>
      </c>
      <c r="AJ93" s="97"/>
      <c r="AK93" s="1038"/>
      <c r="AL93" s="1042"/>
      <c r="AM93" s="1044">
        <f t="shared" ref="AM93" si="54">N93*AL93</f>
        <v>0</v>
      </c>
      <c r="AN93" s="62">
        <f>C93</f>
        <v>0</v>
      </c>
      <c r="AO93" s="62" t="s">
        <v>289</v>
      </c>
      <c r="AP93" s="543" t="str" cm="1">
        <f t="array" aca="1" ref="AP93" ca="1">IF(OR(AN93="",AN93=0),"",IF(SUMPRODUCT(($C$55:$C$138=AN93)*(S$54:$AG$54&lt;EOMONTH(TODAY(),-1)+1)*(ISNUMBER(S$55:$AG$138)),S$55:$AG$138)=0,"",SUMPRODUCT(($C$55:$C$138=AN93)*(S$54:$AG$54&lt;EOMONTH(TODAY(),-1)+1)*(ISNUMBER(S$55:$AG$138)),S$55:$AG$138)))</f>
        <v/>
      </c>
    </row>
    <row r="94" spans="1:42" ht="29.1" customHeight="1" x14ac:dyDescent="0.3">
      <c r="A94" s="1039"/>
      <c r="B94" s="1039"/>
      <c r="C94" s="1096"/>
      <c r="D94" s="1098"/>
      <c r="E94" s="1364"/>
      <c r="F94" s="1100"/>
      <c r="G94" s="1151"/>
      <c r="H94" s="1151"/>
      <c r="I94" s="1151"/>
      <c r="J94" s="1110"/>
      <c r="K94" s="1214"/>
      <c r="L94" s="1077"/>
      <c r="M94" s="1073"/>
      <c r="N94" s="1056"/>
      <c r="O94" s="1043"/>
      <c r="P94" s="1043"/>
      <c r="Q94" s="93" t="s">
        <v>107</v>
      </c>
      <c r="R94" s="96"/>
      <c r="S94" s="312"/>
      <c r="T94" s="312"/>
      <c r="U94" s="312"/>
      <c r="V94" s="310">
        <f t="shared" si="13"/>
        <v>0</v>
      </c>
      <c r="W94" s="312"/>
      <c r="X94" s="312"/>
      <c r="Y94" s="312"/>
      <c r="Z94" s="310">
        <f t="shared" si="14"/>
        <v>0</v>
      </c>
      <c r="AA94" s="312"/>
      <c r="AB94" s="312"/>
      <c r="AC94" s="312"/>
      <c r="AD94" s="310">
        <f t="shared" si="15"/>
        <v>0</v>
      </c>
      <c r="AE94" s="312"/>
      <c r="AF94" s="312"/>
      <c r="AG94" s="312"/>
      <c r="AH94" s="310">
        <f t="shared" si="43"/>
        <v>0</v>
      </c>
      <c r="AI94" s="313">
        <f t="shared" si="18"/>
        <v>0</v>
      </c>
      <c r="AJ94" s="97"/>
      <c r="AK94" s="1039"/>
      <c r="AL94" s="1043"/>
      <c r="AM94" s="1045"/>
      <c r="AN94" s="62">
        <f>C93</f>
        <v>0</v>
      </c>
      <c r="AO94" s="62" t="s">
        <v>291</v>
      </c>
      <c r="AP94" s="543" t="str" cm="1">
        <f t="array" aca="1" ref="AP94" ca="1">IF(OR(AN94="",AN94=0),"",IF(SUMPRODUCT(($C$55:$C$153=AN94)*($S$54:AG$54&lt;=TODAY())*(ISNUMBER($S$56:AG$154)),$S$56:AG$154)=0,"",SUMPRODUCT(($C$55:$C$153=AN94)*($S$54:AG$54&lt;=TODAY())*(ISNUMBER($S$56:AG$154)),$S$56:AG$154)))</f>
        <v/>
      </c>
    </row>
    <row r="95" spans="1:42" ht="29.1" customHeight="1" x14ac:dyDescent="0.3">
      <c r="A95" s="1036"/>
      <c r="B95" s="1036"/>
      <c r="C95" s="1113"/>
      <c r="D95" s="1115"/>
      <c r="E95" s="1303"/>
      <c r="F95" s="1040"/>
      <c r="G95" s="1117"/>
      <c r="H95" s="1117"/>
      <c r="I95" s="1074"/>
      <c r="J95" s="1158"/>
      <c r="K95" s="1121" t="str">
        <f t="shared" ref="K95" si="55">IF(J95="", "", 12 - MONTH(J95) + 1)</f>
        <v/>
      </c>
      <c r="L95" s="1074"/>
      <c r="M95" s="1119"/>
      <c r="N95" s="1053"/>
      <c r="O95" s="1057" t="str">
        <f ca="1">IF(OR(H95="", I95=""), "", IF(TODAY()&lt;H95, 0, IF(TODAY()&gt;I95, 1, (TODAY()-H95+1)/(I95-H95+1))))</f>
        <v/>
      </c>
      <c r="P95" s="1057"/>
      <c r="Q95" s="87" t="s">
        <v>106</v>
      </c>
      <c r="R95" s="91" t="str">
        <f ca="1">IF(OR(G95="", H95=""), "", IF(TODAY()&lt;G95, 0, IF(TODAY()&gt;H95, 1, (TODAY()-G95+1)/(H95-G95+1))))</f>
        <v/>
      </c>
      <c r="S95" s="309">
        <f>IFERROR(IF(AND(S$54&gt;=EOMONTH($J95,-1)+1,S$54&lt;=EOMONTH(EOMONTH($J95,-1)+1,$K95-1)),IF(NOT(ISBLANK($N95)),$N95/$K95,$I95/$K95),0),0)</f>
        <v>0</v>
      </c>
      <c r="T95" s="309">
        <f>IFERROR(IF(AND(T$54&gt;=EOMONTH($J95,-1)+1,T$54&lt;=EOMONTH(EOMONTH($J95,-1)+1,$K95-1)),IF(NOT(ISBLANK($N95)),$N95/$K95,$I95/$K95),0),0)</f>
        <v>0</v>
      </c>
      <c r="U95" s="309">
        <f>IFERROR(IF(AND(U$54&gt;=EOMONTH($J95,-1)+1,U$54&lt;=EOMONTH(EOMONTH($J95,-1)+1,$K95-1)),IF(NOT(ISBLANK($N95)),$N95/$K95,$I95/$K95),0),0)</f>
        <v>0</v>
      </c>
      <c r="V95" s="310">
        <f t="shared" si="13"/>
        <v>0</v>
      </c>
      <c r="W95" s="309">
        <f>IFERROR(IF(AND(W$54&gt;=EOMONTH($J95,-1)+1,W$54&lt;=EOMONTH(EOMONTH($J95,-1)+1,$K95-1)),IF(NOT(ISBLANK($N95)),$N95/$K95,$I95/$K95),0),0)</f>
        <v>0</v>
      </c>
      <c r="X95" s="309">
        <f>IFERROR(IF(AND(X$54&gt;=EOMONTH($J95,-1)+1,X$54&lt;=EOMONTH(EOMONTH($J95,-1)+1,$K95-1)),IF(NOT(ISBLANK($N95)),$N95/$K95,$I95/$K95),0),0)</f>
        <v>0</v>
      </c>
      <c r="Y95" s="309">
        <f>IFERROR(IF(AND(Y$54&gt;=EOMONTH($J95,-1)+1,Y$54&lt;=EOMONTH(EOMONTH($J95,-1)+1,$K95-1)),IF(NOT(ISBLANK($N95)),$N95/$K95,$I95/$K95),0),0)</f>
        <v>0</v>
      </c>
      <c r="Z95" s="89">
        <f t="shared" si="14"/>
        <v>0</v>
      </c>
      <c r="AA95" s="309">
        <f>IFERROR(IF(AND(AA$54&gt;=EOMONTH($J95,-1)+1,AA$54&lt;=EOMONTH(EOMONTH($J95,-1)+1,$K95-1)),IF(NOT(ISBLANK($N95)),$N95/$K95,$I95/$K95),0),0)</f>
        <v>0</v>
      </c>
      <c r="AB95" s="309">
        <f>IFERROR(IF(AND(AB$54&gt;=EOMONTH($J95,-1)+1,AB$54&lt;=EOMONTH(EOMONTH($J95,-1)+1,$K95-1)),IF(NOT(ISBLANK($N95)),$N95/$K95,$I95/$K95),0),0)</f>
        <v>0</v>
      </c>
      <c r="AC95" s="309">
        <f>IFERROR(IF(AND(AC$54&gt;=EOMONTH($J95,-1)+1,AC$54&lt;=EOMONTH(EOMONTH($J95,-1)+1,$K95-1)),IF(NOT(ISBLANK($N95)),$N95/$K95,$I95/$K95),0),0)</f>
        <v>0</v>
      </c>
      <c r="AD95" s="89">
        <f t="shared" si="15"/>
        <v>0</v>
      </c>
      <c r="AE95" s="309">
        <f>IFERROR(IF(AND(AE$54&gt;=EOMONTH($J95,-1)+1,AE$54&lt;=EOMONTH(EOMONTH($J95,-1)+1,$K95-1)),IF(NOT(ISBLANK($N95)),$N95/$K95,$I95/$K95),0),0)</f>
        <v>0</v>
      </c>
      <c r="AF95" s="309">
        <f>IFERROR(IF(AND(AF$54&gt;=EOMONTH($J95,-1)+1,AF$54&lt;=EOMONTH(EOMONTH($J95,-1)+1,$K95-1)),IF(NOT(ISBLANK($N95)),$N95/$K95,$I95/$K95),0),0)</f>
        <v>0</v>
      </c>
      <c r="AG95" s="309">
        <f>IFERROR(IF(AND(AG$54&gt;=EOMONTH($J95,-1)+1,AG$54&lt;=EOMONTH(EOMONTH($J95,-1)+1,$K95-1)),IF(NOT(ISBLANK($N95)),$N95/$K95,$I95/$K95),0),0)</f>
        <v>0</v>
      </c>
      <c r="AH95" s="89">
        <f t="shared" si="43"/>
        <v>0</v>
      </c>
      <c r="AI95" s="90">
        <f t="shared" si="18"/>
        <v>0</v>
      </c>
      <c r="AJ95" s="98"/>
      <c r="AK95" s="1040"/>
      <c r="AL95" s="1048"/>
      <c r="AM95" s="1046">
        <f t="shared" ref="AM95" si="56">N95*AL95</f>
        <v>0</v>
      </c>
      <c r="AN95" s="62">
        <f>C95</f>
        <v>0</v>
      </c>
      <c r="AO95" s="62" t="s">
        <v>289</v>
      </c>
      <c r="AP95" s="543" t="str" cm="1">
        <f t="array" aca="1" ref="AP95" ca="1">IF(OR(AN95="",AN95=0),"",IF(SUMPRODUCT(($C$55:$C$138=AN95)*(S$54:$AG$54&lt;EOMONTH(TODAY(),-1)+1)*(ISNUMBER(S$55:$AG$138)),S$55:$AG$138)=0,"",SUMPRODUCT(($C$55:$C$138=AN95)*(S$54:$AG$54&lt;EOMONTH(TODAY(),-1)+1)*(ISNUMBER(S$55:$AG$138)),S$55:$AG$138)))</f>
        <v/>
      </c>
    </row>
    <row r="96" spans="1:42" ht="29.1" customHeight="1" x14ac:dyDescent="0.3">
      <c r="A96" s="1037"/>
      <c r="B96" s="1037"/>
      <c r="C96" s="1114"/>
      <c r="D96" s="1116"/>
      <c r="E96" s="1304"/>
      <c r="F96" s="1041"/>
      <c r="G96" s="1118"/>
      <c r="H96" s="1118"/>
      <c r="I96" s="1075"/>
      <c r="J96" s="1159"/>
      <c r="K96" s="1122"/>
      <c r="L96" s="1075"/>
      <c r="M96" s="1451"/>
      <c r="N96" s="1054"/>
      <c r="O96" s="1058"/>
      <c r="P96" s="1058"/>
      <c r="Q96" s="87" t="s">
        <v>107</v>
      </c>
      <c r="R96" s="91"/>
      <c r="S96" s="309"/>
      <c r="T96" s="309"/>
      <c r="U96" s="309"/>
      <c r="V96" s="310">
        <f t="shared" si="13"/>
        <v>0</v>
      </c>
      <c r="W96" s="309"/>
      <c r="X96" s="309"/>
      <c r="Y96" s="309"/>
      <c r="Z96" s="310">
        <f t="shared" si="14"/>
        <v>0</v>
      </c>
      <c r="AA96" s="309"/>
      <c r="AB96" s="309"/>
      <c r="AC96" s="309"/>
      <c r="AD96" s="310">
        <f t="shared" si="15"/>
        <v>0</v>
      </c>
      <c r="AE96" s="309"/>
      <c r="AF96" s="309"/>
      <c r="AG96" s="309"/>
      <c r="AH96" s="310">
        <f t="shared" si="43"/>
        <v>0</v>
      </c>
      <c r="AI96" s="311">
        <f t="shared" si="18"/>
        <v>0</v>
      </c>
      <c r="AJ96" s="360"/>
      <c r="AK96" s="1041"/>
      <c r="AL96" s="1049"/>
      <c r="AM96" s="1047"/>
      <c r="AN96" s="62">
        <f>C95</f>
        <v>0</v>
      </c>
      <c r="AO96" s="62" t="s">
        <v>291</v>
      </c>
      <c r="AP96" s="543" t="str" cm="1">
        <f t="array" aca="1" ref="AP96" ca="1">IF(OR(AN96="",AN96=0),"",IF(SUMPRODUCT(($C$55:$C$153=AN96)*($S$54:AG$54&lt;=TODAY())*(ISNUMBER($S$56:AG$154)),$S$56:AG$154)=0,"",SUMPRODUCT(($C$55:$C$153=AN96)*($S$54:AG$54&lt;=TODAY())*(ISNUMBER($S$56:AG$154)),$S$56:AG$154)))</f>
        <v/>
      </c>
    </row>
    <row r="97" spans="1:42" ht="29.1" customHeight="1" x14ac:dyDescent="0.3">
      <c r="A97" s="1038"/>
      <c r="B97" s="1038"/>
      <c r="C97" s="1095"/>
      <c r="D97" s="1097"/>
      <c r="E97" s="1363"/>
      <c r="F97" s="1099"/>
      <c r="G97" s="1150"/>
      <c r="H97" s="1150"/>
      <c r="I97" s="1152"/>
      <c r="J97" s="1109"/>
      <c r="K97" s="1213" t="str">
        <f t="shared" ref="K97" si="57">IF(J97="", "", 12 - MONTH(J97) + 1)</f>
        <v/>
      </c>
      <c r="L97" s="1076"/>
      <c r="M97" s="1072"/>
      <c r="N97" s="1055"/>
      <c r="O97" s="1042" t="str">
        <f ca="1">IF(OR(H97="", I97=""), "", IF(TODAY()&lt;H97, 0, IF(TODAY()&gt;I97, 1, (TODAY()-H97+1)/(I97-H97+1))))</f>
        <v/>
      </c>
      <c r="P97" s="1042"/>
      <c r="Q97" s="93" t="s">
        <v>106</v>
      </c>
      <c r="R97" s="96" t="str">
        <f ca="1">IF(OR(G97="", H97=""), "", IF(TODAY()&lt;G97, 0, IF(TODAY()&gt;H97, 1, (TODAY()-G97+1)/(H97-G97+1))))</f>
        <v/>
      </c>
      <c r="S97" s="532">
        <f>IFERROR(IF(AND(S$54&gt;=EOMONTH($J97,-1)+1,S$54&lt;=EOMONTH(EOMONTH($J97,-1)+1,$K97-1)),IF(NOT(ISBLANK($N97)),$N97/$K97,$I97/$K97),0),0)</f>
        <v>0</v>
      </c>
      <c r="T97" s="532">
        <f>IFERROR(IF(AND(T$54&gt;=EOMONTH($J97,-1)+1,T$54&lt;=EOMONTH(EOMONTH($J97,-1)+1,$K97-1)),IF(NOT(ISBLANK($N97)),$N97/$K97,$I97/$K97),0),0)</f>
        <v>0</v>
      </c>
      <c r="U97" s="532">
        <f>IFERROR(IF(AND(U$54&gt;=EOMONTH($J97,-1)+1,U$54&lt;=EOMONTH(EOMONTH($J97,-1)+1,$K97-1)),IF(NOT(ISBLANK($N97)),$N97/$K97,$I97/$K97),0),0)</f>
        <v>0</v>
      </c>
      <c r="V97" s="310">
        <f t="shared" si="13"/>
        <v>0</v>
      </c>
      <c r="W97" s="532">
        <f>IFERROR(IF(AND(W$54&gt;=EOMONTH($J97,-1)+1,W$54&lt;=EOMONTH(EOMONTH($J97,-1)+1,$K97-1)),IF(NOT(ISBLANK($N97)),$N97/$K97,$I97/$K97),0),0)</f>
        <v>0</v>
      </c>
      <c r="X97" s="532">
        <f>IFERROR(IF(AND(X$54&gt;=EOMONTH($J97,-1)+1,X$54&lt;=EOMONTH(EOMONTH($J97,-1)+1,$K97-1)),IF(NOT(ISBLANK($N97)),$N97/$K97,$I97/$K97),0),0)</f>
        <v>0</v>
      </c>
      <c r="Y97" s="532">
        <f>IFERROR(IF(AND(Y$54&gt;=EOMONTH($J97,-1)+1,Y$54&lt;=EOMONTH(EOMONTH($J97,-1)+1,$K97-1)),IF(NOT(ISBLANK($N97)),$N97/$K97,$I97/$K97),0),0)</f>
        <v>0</v>
      </c>
      <c r="Z97" s="89">
        <f t="shared" si="14"/>
        <v>0</v>
      </c>
      <c r="AA97" s="532">
        <f>IFERROR(IF(AND(AA$54&gt;=EOMONTH($J97,-1)+1,AA$54&lt;=EOMONTH(EOMONTH($J97,-1)+1,$K97-1)),IF(NOT(ISBLANK($N97)),$N97/$K97,$I97/$K97),0),0)</f>
        <v>0</v>
      </c>
      <c r="AB97" s="532">
        <f>IFERROR(IF(AND(AB$54&gt;=EOMONTH($J97,-1)+1,AB$54&lt;=EOMONTH(EOMONTH($J97,-1)+1,$K97-1)),IF(NOT(ISBLANK($N97)),$N97/$K97,$I97/$K97),0),0)</f>
        <v>0</v>
      </c>
      <c r="AC97" s="532">
        <f>IFERROR(IF(AND(AC$54&gt;=EOMONTH($J97,-1)+1,AC$54&lt;=EOMONTH(EOMONTH($J97,-1)+1,$K97-1)),IF(NOT(ISBLANK($N97)),$N97/$K97,$I97/$K97),0),0)</f>
        <v>0</v>
      </c>
      <c r="AD97" s="89">
        <f t="shared" si="15"/>
        <v>0</v>
      </c>
      <c r="AE97" s="532">
        <f>IFERROR(IF(AND(AE$54&gt;=EOMONTH($J97,-1)+1,AE$54&lt;=EOMONTH(EOMONTH($J97,-1)+1,$K97-1)),IF(NOT(ISBLANK($N97)),$N97/$K97,$I97/$K97),0),0)</f>
        <v>0</v>
      </c>
      <c r="AF97" s="532">
        <f>IFERROR(IF(AND(AF$54&gt;=EOMONTH($J97,-1)+1,AF$54&lt;=EOMONTH(EOMONTH($J97,-1)+1,$K97-1)),IF(NOT(ISBLANK($N97)),$N97/$K97,$I97/$K97),0),0)</f>
        <v>0</v>
      </c>
      <c r="AG97" s="532">
        <f>IFERROR(IF(AND(AG$54&gt;=EOMONTH($J97,-1)+1,AG$54&lt;=EOMONTH(EOMONTH($J97,-1)+1,$K97-1)),IF(NOT(ISBLANK($N97)),$N97/$K97,$I97/$K97),0),0)</f>
        <v>0</v>
      </c>
      <c r="AH97" s="89">
        <f t="shared" si="43"/>
        <v>0</v>
      </c>
      <c r="AI97" s="95">
        <f t="shared" si="18"/>
        <v>0</v>
      </c>
      <c r="AJ97" s="97"/>
      <c r="AK97" s="1038"/>
      <c r="AL97" s="1042"/>
      <c r="AM97" s="1044">
        <f t="shared" ref="AM97" si="58">N97*AL97</f>
        <v>0</v>
      </c>
      <c r="AN97" s="62">
        <f>C97</f>
        <v>0</v>
      </c>
      <c r="AO97" s="62" t="s">
        <v>289</v>
      </c>
      <c r="AP97" s="543" t="str" cm="1">
        <f t="array" aca="1" ref="AP97" ca="1">IF(OR(AN97="",AN97=0),"",IF(SUMPRODUCT(($C$55:$C$138=AN97)*(S$54:$AG$54&lt;EOMONTH(TODAY(),-1)+1)*(ISNUMBER(S$55:$AG$138)),S$55:$AG$138)=0,"",SUMPRODUCT(($C$55:$C$138=AN97)*(S$54:$AG$54&lt;EOMONTH(TODAY(),-1)+1)*(ISNUMBER(S$55:$AG$138)),S$55:$AG$138)))</f>
        <v/>
      </c>
    </row>
    <row r="98" spans="1:42" ht="29.1" customHeight="1" x14ac:dyDescent="0.3">
      <c r="A98" s="1039"/>
      <c r="B98" s="1039"/>
      <c r="C98" s="1096"/>
      <c r="D98" s="1098"/>
      <c r="E98" s="1364"/>
      <c r="F98" s="1100"/>
      <c r="G98" s="1151"/>
      <c r="H98" s="1151"/>
      <c r="I98" s="1151"/>
      <c r="J98" s="1110"/>
      <c r="K98" s="1214"/>
      <c r="L98" s="1077"/>
      <c r="M98" s="1073"/>
      <c r="N98" s="1056"/>
      <c r="O98" s="1043"/>
      <c r="P98" s="1043"/>
      <c r="Q98" s="93" t="s">
        <v>107</v>
      </c>
      <c r="R98" s="96"/>
      <c r="S98" s="312"/>
      <c r="T98" s="312"/>
      <c r="U98" s="312"/>
      <c r="V98" s="310">
        <f t="shared" si="13"/>
        <v>0</v>
      </c>
      <c r="W98" s="312"/>
      <c r="X98" s="312"/>
      <c r="Y98" s="312"/>
      <c r="Z98" s="310">
        <f t="shared" si="14"/>
        <v>0</v>
      </c>
      <c r="AA98" s="312"/>
      <c r="AB98" s="312"/>
      <c r="AC98" s="312"/>
      <c r="AD98" s="310">
        <f t="shared" si="15"/>
        <v>0</v>
      </c>
      <c r="AE98" s="312"/>
      <c r="AF98" s="312"/>
      <c r="AG98" s="312"/>
      <c r="AH98" s="310">
        <f t="shared" si="43"/>
        <v>0</v>
      </c>
      <c r="AI98" s="313">
        <f t="shared" si="18"/>
        <v>0</v>
      </c>
      <c r="AJ98" s="97"/>
      <c r="AK98" s="1039"/>
      <c r="AL98" s="1043"/>
      <c r="AM98" s="1045"/>
      <c r="AN98" s="62">
        <f>C97</f>
        <v>0</v>
      </c>
      <c r="AO98" s="62" t="s">
        <v>291</v>
      </c>
      <c r="AP98" s="543" t="str" cm="1">
        <f t="array" aca="1" ref="AP98" ca="1">IF(OR(AN98="",AN98=0),"",IF(SUMPRODUCT(($C$55:$C$153=AN98)*($S$54:AG$54&lt;=TODAY())*(ISNUMBER($S$56:AG$154)),$S$56:AG$154)=0,"",SUMPRODUCT(($C$55:$C$153=AN98)*($S$54:AG$54&lt;=TODAY())*(ISNUMBER($S$56:AG$154)),$S$56:AG$154)))</f>
        <v/>
      </c>
    </row>
    <row r="99" spans="1:42" ht="29.1" customHeight="1" x14ac:dyDescent="0.3">
      <c r="A99" s="1036"/>
      <c r="B99" s="1036"/>
      <c r="C99" s="1113"/>
      <c r="D99" s="1115"/>
      <c r="E99" s="1303"/>
      <c r="F99" s="1040"/>
      <c r="G99" s="1117"/>
      <c r="H99" s="1117"/>
      <c r="I99" s="1074"/>
      <c r="J99" s="1158"/>
      <c r="K99" s="1121" t="str">
        <f t="shared" ref="K99" si="59">IF(J99="", "", 12 - MONTH(J99) + 1)</f>
        <v/>
      </c>
      <c r="L99" s="1074"/>
      <c r="M99" s="1119"/>
      <c r="N99" s="1053"/>
      <c r="O99" s="1057" t="str">
        <f ca="1">IF(OR(H99="", I99=""), "", IF(TODAY()&lt;H99, 0, IF(TODAY()&gt;I99, 1, (TODAY()-H99+1)/(I99-H99+1))))</f>
        <v/>
      </c>
      <c r="P99" s="1057"/>
      <c r="Q99" s="87" t="s">
        <v>106</v>
      </c>
      <c r="R99" s="91" t="str">
        <f ca="1">IF(OR(G99="", H99=""), "", IF(TODAY()&lt;G99, 0, IF(TODAY()&gt;H99, 1, (TODAY()-G99+1)/(H99-G99+1))))</f>
        <v/>
      </c>
      <c r="S99" s="309">
        <f>IFERROR(IF(AND(S$54&gt;=EOMONTH($J99,-1)+1,S$54&lt;=EOMONTH(EOMONTH($J99,-1)+1,$K99-1)),IF(NOT(ISBLANK($N99)),$N99/$K99,$I99/$K99),0),0)</f>
        <v>0</v>
      </c>
      <c r="T99" s="309">
        <f>IFERROR(IF(AND(T$54&gt;=EOMONTH($J99,-1)+1,T$54&lt;=EOMONTH(EOMONTH($J99,-1)+1,$K99-1)),IF(NOT(ISBLANK($N99)),$N99/$K99,$I99/$K99),0),0)</f>
        <v>0</v>
      </c>
      <c r="U99" s="309">
        <f>IFERROR(IF(AND(U$54&gt;=EOMONTH($J99,-1)+1,U$54&lt;=EOMONTH(EOMONTH($J99,-1)+1,$K99-1)),IF(NOT(ISBLANK($N99)),$N99/$K99,$I99/$K99),0),0)</f>
        <v>0</v>
      </c>
      <c r="V99" s="310">
        <f t="shared" si="13"/>
        <v>0</v>
      </c>
      <c r="W99" s="309">
        <f>IFERROR(IF(AND(W$54&gt;=EOMONTH($J99,-1)+1,W$54&lt;=EOMONTH(EOMONTH($J99,-1)+1,$K99-1)),IF(NOT(ISBLANK($N99)),$N99/$K99,$I99/$K99),0),0)</f>
        <v>0</v>
      </c>
      <c r="X99" s="309">
        <f>IFERROR(IF(AND(X$54&gt;=EOMONTH($J99,-1)+1,X$54&lt;=EOMONTH(EOMONTH($J99,-1)+1,$K99-1)),IF(NOT(ISBLANK($N99)),$N99/$K99,$I99/$K99),0),0)</f>
        <v>0</v>
      </c>
      <c r="Y99" s="309">
        <f>IFERROR(IF(AND(Y$54&gt;=EOMONTH($J99,-1)+1,Y$54&lt;=EOMONTH(EOMONTH($J99,-1)+1,$K99-1)),IF(NOT(ISBLANK($N99)),$N99/$K99,$I99/$K99),0),0)</f>
        <v>0</v>
      </c>
      <c r="Z99" s="89">
        <f t="shared" si="14"/>
        <v>0</v>
      </c>
      <c r="AA99" s="309">
        <f>IFERROR(IF(AND(AA$54&gt;=EOMONTH($J99,-1)+1,AA$54&lt;=EOMONTH(EOMONTH($J99,-1)+1,$K99-1)),IF(NOT(ISBLANK($N99)),$N99/$K99,$I99/$K99),0),0)</f>
        <v>0</v>
      </c>
      <c r="AB99" s="309">
        <f>IFERROR(IF(AND(AB$54&gt;=EOMONTH($J99,-1)+1,AB$54&lt;=EOMONTH(EOMONTH($J99,-1)+1,$K99-1)),IF(NOT(ISBLANK($N99)),$N99/$K99,$I99/$K99),0),0)</f>
        <v>0</v>
      </c>
      <c r="AC99" s="309">
        <f>IFERROR(IF(AND(AC$54&gt;=EOMONTH($J99,-1)+1,AC$54&lt;=EOMONTH(EOMONTH($J99,-1)+1,$K99-1)),IF(NOT(ISBLANK($N99)),$N99/$K99,$I99/$K99),0),0)</f>
        <v>0</v>
      </c>
      <c r="AD99" s="89">
        <f t="shared" si="15"/>
        <v>0</v>
      </c>
      <c r="AE99" s="309">
        <f>IFERROR(IF(AND(AE$54&gt;=EOMONTH($J99,-1)+1,AE$54&lt;=EOMONTH(EOMONTH($J99,-1)+1,$K99-1)),IF(NOT(ISBLANK($N99)),$N99/$K99,$I99/$K99),0),0)</f>
        <v>0</v>
      </c>
      <c r="AF99" s="309">
        <f>IFERROR(IF(AND(AF$54&gt;=EOMONTH($J99,-1)+1,AF$54&lt;=EOMONTH(EOMONTH($J99,-1)+1,$K99-1)),IF(NOT(ISBLANK($N99)),$N99/$K99,$I99/$K99),0),0)</f>
        <v>0</v>
      </c>
      <c r="AG99" s="309">
        <f>IFERROR(IF(AND(AG$54&gt;=EOMONTH($J99,-1)+1,AG$54&lt;=EOMONTH(EOMONTH($J99,-1)+1,$K99-1)),IF(NOT(ISBLANK($N99)),$N99/$K99,$I99/$K99),0),0)</f>
        <v>0</v>
      </c>
      <c r="AH99" s="89">
        <f t="shared" si="43"/>
        <v>0</v>
      </c>
      <c r="AI99" s="90">
        <f t="shared" si="18"/>
        <v>0</v>
      </c>
      <c r="AJ99" s="98"/>
      <c r="AK99" s="1040"/>
      <c r="AL99" s="1048"/>
      <c r="AM99" s="1046">
        <f t="shared" ref="AM99" si="60">N99*AL99</f>
        <v>0</v>
      </c>
      <c r="AN99" s="62">
        <f>C99</f>
        <v>0</v>
      </c>
      <c r="AO99" s="62" t="s">
        <v>289</v>
      </c>
      <c r="AP99" s="543" t="str" cm="1">
        <f t="array" aca="1" ref="AP99" ca="1">IF(OR(AN99="",AN99=0),"",IF(SUMPRODUCT(($C$55:$C$138=AN99)*(S$54:$AG$54&lt;EOMONTH(TODAY(),-1)+1)*(ISNUMBER(S$55:$AG$138)),S$55:$AG$138)=0,"",SUMPRODUCT(($C$55:$C$138=AN99)*(S$54:$AG$54&lt;EOMONTH(TODAY(),-1)+1)*(ISNUMBER(S$55:$AG$138)),S$55:$AG$138)))</f>
        <v/>
      </c>
    </row>
    <row r="100" spans="1:42" ht="29.1" customHeight="1" x14ac:dyDescent="0.3">
      <c r="A100" s="1037"/>
      <c r="B100" s="1037"/>
      <c r="C100" s="1114"/>
      <c r="D100" s="1116"/>
      <c r="E100" s="1304"/>
      <c r="F100" s="1041"/>
      <c r="G100" s="1118"/>
      <c r="H100" s="1118"/>
      <c r="I100" s="1075"/>
      <c r="J100" s="1159"/>
      <c r="K100" s="1122"/>
      <c r="L100" s="1075"/>
      <c r="M100" s="1451"/>
      <c r="N100" s="1054"/>
      <c r="O100" s="1058"/>
      <c r="P100" s="1058"/>
      <c r="Q100" s="87" t="s">
        <v>107</v>
      </c>
      <c r="R100" s="91"/>
      <c r="S100" s="309"/>
      <c r="T100" s="309"/>
      <c r="U100" s="309"/>
      <c r="V100" s="310">
        <f t="shared" si="13"/>
        <v>0</v>
      </c>
      <c r="W100" s="309"/>
      <c r="X100" s="309"/>
      <c r="Y100" s="309"/>
      <c r="Z100" s="310">
        <f t="shared" si="14"/>
        <v>0</v>
      </c>
      <c r="AA100" s="309"/>
      <c r="AB100" s="309"/>
      <c r="AC100" s="309"/>
      <c r="AD100" s="310">
        <f t="shared" si="15"/>
        <v>0</v>
      </c>
      <c r="AE100" s="309"/>
      <c r="AF100" s="309"/>
      <c r="AG100" s="309"/>
      <c r="AH100" s="310">
        <f t="shared" si="43"/>
        <v>0</v>
      </c>
      <c r="AI100" s="311">
        <f t="shared" si="18"/>
        <v>0</v>
      </c>
      <c r="AJ100" s="360"/>
      <c r="AK100" s="1041"/>
      <c r="AL100" s="1049"/>
      <c r="AM100" s="1047"/>
      <c r="AN100" s="62">
        <f>C99</f>
        <v>0</v>
      </c>
      <c r="AO100" s="62" t="s">
        <v>291</v>
      </c>
      <c r="AP100" s="543" t="str" cm="1">
        <f t="array" aca="1" ref="AP100" ca="1">IF(OR(AN100="",AN100=0),"",IF(SUMPRODUCT(($C$55:$C$153=AN100)*($S$54:AG$54&lt;=TODAY())*(ISNUMBER($S$56:AG$154)),$S$56:AG$154)=0,"",SUMPRODUCT(($C$55:$C$153=AN100)*($S$54:AG$54&lt;=TODAY())*(ISNUMBER($S$56:AG$154)),$S$56:AG$154)))</f>
        <v/>
      </c>
    </row>
    <row r="101" spans="1:42" ht="29.1" customHeight="1" x14ac:dyDescent="0.3">
      <c r="A101" s="1038"/>
      <c r="B101" s="1038"/>
      <c r="C101" s="1095"/>
      <c r="D101" s="1097"/>
      <c r="E101" s="1363"/>
      <c r="F101" s="1099"/>
      <c r="G101" s="1150"/>
      <c r="H101" s="1150"/>
      <c r="I101" s="1152"/>
      <c r="J101" s="1109"/>
      <c r="K101" s="1213" t="str">
        <f t="shared" ref="K101" si="61">IF(J101="", "", 12 - MONTH(J101) + 1)</f>
        <v/>
      </c>
      <c r="L101" s="1076"/>
      <c r="M101" s="1072"/>
      <c r="N101" s="1055"/>
      <c r="O101" s="1042" t="str">
        <f ca="1">IF(OR(H101="", I101=""), "", IF(TODAY()&lt;H101, 0, IF(TODAY()&gt;I101, 1, (TODAY()-H101+1)/(I101-H101+1))))</f>
        <v/>
      </c>
      <c r="P101" s="1042"/>
      <c r="Q101" s="93" t="s">
        <v>106</v>
      </c>
      <c r="R101" s="96" t="str">
        <f ca="1">IF(OR(G101="", H101=""), "", IF(TODAY()&lt;G101, 0, IF(TODAY()&gt;H101, 1, (TODAY()-G101+1)/(H101-G101+1))))</f>
        <v/>
      </c>
      <c r="S101" s="532">
        <f>IFERROR(IF(AND(S$54&gt;=EOMONTH($J101,-1)+1,S$54&lt;=EOMONTH(EOMONTH($J101,-1)+1,$K101-1)),IF(NOT(ISBLANK($N101)),$N101/$K101,$I101/$K101),0),0)</f>
        <v>0</v>
      </c>
      <c r="T101" s="532">
        <f>IFERROR(IF(AND(T$54&gt;=EOMONTH($J101,-1)+1,T$54&lt;=EOMONTH(EOMONTH($J101,-1)+1,$K101-1)),IF(NOT(ISBLANK($N101)),$N101/$K101,$I101/$K101),0),0)</f>
        <v>0</v>
      </c>
      <c r="U101" s="532">
        <f>IFERROR(IF(AND(U$54&gt;=EOMONTH($J101,-1)+1,U$54&lt;=EOMONTH(EOMONTH($J101,-1)+1,$K101-1)),IF(NOT(ISBLANK($N101)),$N101/$K101,$I101/$K101),0),0)</f>
        <v>0</v>
      </c>
      <c r="V101" s="310">
        <f t="shared" si="13"/>
        <v>0</v>
      </c>
      <c r="W101" s="532">
        <f>IFERROR(IF(AND(W$54&gt;=EOMONTH($J101,-1)+1,W$54&lt;=EOMONTH(EOMONTH($J101,-1)+1,$K101-1)),IF(NOT(ISBLANK($N101)),$N101/$K101,$I101/$K101),0),0)</f>
        <v>0</v>
      </c>
      <c r="X101" s="532">
        <f>IFERROR(IF(AND(X$54&gt;=EOMONTH($J101,-1)+1,X$54&lt;=EOMONTH(EOMONTH($J101,-1)+1,$K101-1)),IF(NOT(ISBLANK($N101)),$N101/$K101,$I101/$K101),0),0)</f>
        <v>0</v>
      </c>
      <c r="Y101" s="532">
        <f>IFERROR(IF(AND(Y$54&gt;=EOMONTH($J101,-1)+1,Y$54&lt;=EOMONTH(EOMONTH($J101,-1)+1,$K101-1)),IF(NOT(ISBLANK($N101)),$N101/$K101,$I101/$K101),0),0)</f>
        <v>0</v>
      </c>
      <c r="Z101" s="89">
        <f t="shared" si="14"/>
        <v>0</v>
      </c>
      <c r="AA101" s="532">
        <f>IFERROR(IF(AND(AA$54&gt;=EOMONTH($J101,-1)+1,AA$54&lt;=EOMONTH(EOMONTH($J101,-1)+1,$K101-1)),IF(NOT(ISBLANK($N101)),$N101/$K101,$I101/$K101),0),0)</f>
        <v>0</v>
      </c>
      <c r="AB101" s="532">
        <f>IFERROR(IF(AND(AB$54&gt;=EOMONTH($J101,-1)+1,AB$54&lt;=EOMONTH(EOMONTH($J101,-1)+1,$K101-1)),IF(NOT(ISBLANK($N101)),$N101/$K101,$I101/$K101),0),0)</f>
        <v>0</v>
      </c>
      <c r="AC101" s="532">
        <f>IFERROR(IF(AND(AC$54&gt;=EOMONTH($J101,-1)+1,AC$54&lt;=EOMONTH(EOMONTH($J101,-1)+1,$K101-1)),IF(NOT(ISBLANK($N101)),$N101/$K101,$I101/$K101),0),0)</f>
        <v>0</v>
      </c>
      <c r="AD101" s="89">
        <f t="shared" si="15"/>
        <v>0</v>
      </c>
      <c r="AE101" s="532">
        <f>IFERROR(IF(AND(AE$54&gt;=EOMONTH($J101,-1)+1,AE$54&lt;=EOMONTH(EOMONTH($J101,-1)+1,$K101-1)),IF(NOT(ISBLANK($N101)),$N101/$K101,$I101/$K101),0),0)</f>
        <v>0</v>
      </c>
      <c r="AF101" s="532">
        <f>IFERROR(IF(AND(AF$54&gt;=EOMONTH($J101,-1)+1,AF$54&lt;=EOMONTH(EOMONTH($J101,-1)+1,$K101-1)),IF(NOT(ISBLANK($N101)),$N101/$K101,$I101/$K101),0),0)</f>
        <v>0</v>
      </c>
      <c r="AG101" s="532">
        <f>IFERROR(IF(AND(AG$54&gt;=EOMONTH($J101,-1)+1,AG$54&lt;=EOMONTH(EOMONTH($J101,-1)+1,$K101-1)),IF(NOT(ISBLANK($N101)),$N101/$K101,$I101/$K101),0),0)</f>
        <v>0</v>
      </c>
      <c r="AH101" s="89">
        <f t="shared" si="43"/>
        <v>0</v>
      </c>
      <c r="AI101" s="95">
        <f t="shared" si="18"/>
        <v>0</v>
      </c>
      <c r="AJ101" s="97"/>
      <c r="AK101" s="1038"/>
      <c r="AL101" s="1042"/>
      <c r="AM101" s="1044">
        <f t="shared" ref="AM101" si="62">N101*AL101</f>
        <v>0</v>
      </c>
      <c r="AN101" s="62">
        <f>C101</f>
        <v>0</v>
      </c>
      <c r="AO101" s="62" t="s">
        <v>289</v>
      </c>
      <c r="AP101" s="543" t="str" cm="1">
        <f t="array" aca="1" ref="AP101" ca="1">IF(OR(AN101="",AN101=0),"",IF(SUMPRODUCT(($C$55:$C$138=AN101)*(S$54:$AG$54&lt;EOMONTH(TODAY(),-1)+1)*(ISNUMBER(S$55:$AG$138)),S$55:$AG$138)=0,"",SUMPRODUCT(($C$55:$C$138=AN101)*(S$54:$AG$54&lt;EOMONTH(TODAY(),-1)+1)*(ISNUMBER(S$55:$AG$138)),S$55:$AG$138)))</f>
        <v/>
      </c>
    </row>
    <row r="102" spans="1:42" ht="29.1" customHeight="1" x14ac:dyDescent="0.3">
      <c r="A102" s="1039"/>
      <c r="B102" s="1039"/>
      <c r="C102" s="1096"/>
      <c r="D102" s="1098"/>
      <c r="E102" s="1364"/>
      <c r="F102" s="1100"/>
      <c r="G102" s="1151"/>
      <c r="H102" s="1151"/>
      <c r="I102" s="1151"/>
      <c r="J102" s="1110"/>
      <c r="K102" s="1214"/>
      <c r="L102" s="1077"/>
      <c r="M102" s="1073"/>
      <c r="N102" s="1056"/>
      <c r="O102" s="1043"/>
      <c r="P102" s="1043"/>
      <c r="Q102" s="93" t="s">
        <v>107</v>
      </c>
      <c r="R102" s="96"/>
      <c r="S102" s="312"/>
      <c r="T102" s="312"/>
      <c r="U102" s="312"/>
      <c r="V102" s="310">
        <f t="shared" si="13"/>
        <v>0</v>
      </c>
      <c r="W102" s="312"/>
      <c r="X102" s="312"/>
      <c r="Y102" s="312"/>
      <c r="Z102" s="310">
        <f t="shared" si="14"/>
        <v>0</v>
      </c>
      <c r="AA102" s="312"/>
      <c r="AB102" s="312"/>
      <c r="AC102" s="312"/>
      <c r="AD102" s="310">
        <f t="shared" si="15"/>
        <v>0</v>
      </c>
      <c r="AE102" s="312"/>
      <c r="AF102" s="312"/>
      <c r="AG102" s="312"/>
      <c r="AH102" s="310">
        <f t="shared" si="43"/>
        <v>0</v>
      </c>
      <c r="AI102" s="313">
        <f t="shared" si="18"/>
        <v>0</v>
      </c>
      <c r="AJ102" s="97"/>
      <c r="AK102" s="1039"/>
      <c r="AL102" s="1043"/>
      <c r="AM102" s="1045"/>
      <c r="AN102" s="62">
        <f>C101</f>
        <v>0</v>
      </c>
      <c r="AO102" s="62" t="s">
        <v>291</v>
      </c>
      <c r="AP102" s="543" t="str" cm="1">
        <f t="array" aca="1" ref="AP102" ca="1">IF(OR(AN102="",AN102=0),"",IF(SUMPRODUCT(($C$55:$C$153=AN102)*($S$54:AG$54&lt;=TODAY())*(ISNUMBER($S$56:AG$154)),$S$56:AG$154)=0,"",SUMPRODUCT(($C$55:$C$153=AN102)*($S$54:AG$54&lt;=TODAY())*(ISNUMBER($S$56:AG$154)),$S$56:AG$154)))</f>
        <v/>
      </c>
    </row>
    <row r="103" spans="1:42" ht="14.85" customHeight="1" x14ac:dyDescent="0.3"/>
    <row r="104" spans="1:42" ht="15.6" customHeight="1" x14ac:dyDescent="0.3">
      <c r="A104" s="100" t="s">
        <v>547</v>
      </c>
      <c r="B104" s="100"/>
      <c r="C104" s="100"/>
      <c r="D104" s="99" t="s">
        <v>548</v>
      </c>
      <c r="E104" s="99" t="s">
        <v>73</v>
      </c>
      <c r="F104" s="99" t="s">
        <v>74</v>
      </c>
      <c r="H104" s="1416" t="s">
        <v>1925</v>
      </c>
      <c r="I104" s="1416"/>
      <c r="J104" s="1416"/>
      <c r="K104" s="1416"/>
      <c r="L104" s="1416"/>
      <c r="M104" s="1414"/>
      <c r="N104" s="1414"/>
      <c r="O104" s="1415"/>
      <c r="P104" s="1415"/>
      <c r="Q104" s="104"/>
      <c r="R104" s="151"/>
      <c r="S104" s="85">
        <v>46023</v>
      </c>
      <c r="T104" s="151">
        <v>46054</v>
      </c>
      <c r="U104" s="151">
        <v>46082</v>
      </c>
      <c r="V104" s="151">
        <v>46113</v>
      </c>
      <c r="W104" s="151">
        <v>46143</v>
      </c>
      <c r="X104" s="151">
        <v>46174</v>
      </c>
      <c r="Y104" s="151">
        <v>46204</v>
      </c>
      <c r="Z104" s="151">
        <v>46235</v>
      </c>
      <c r="AA104" s="151">
        <v>46266</v>
      </c>
      <c r="AB104" s="151">
        <v>46296</v>
      </c>
      <c r="AC104" s="151">
        <v>46327</v>
      </c>
      <c r="AD104" s="151">
        <v>46357</v>
      </c>
      <c r="AE104" s="151" t="s">
        <v>550</v>
      </c>
    </row>
    <row r="105" spans="1:42" ht="15.6" customHeight="1" x14ac:dyDescent="0.3">
      <c r="A105" s="112" t="s">
        <v>78</v>
      </c>
      <c r="B105" s="790" t="s">
        <v>551</v>
      </c>
      <c r="C105" s="540"/>
      <c r="D105" s="791">
        <v>1</v>
      </c>
      <c r="E105" s="460" t="s">
        <v>287</v>
      </c>
      <c r="F105" s="752" t="s">
        <v>488</v>
      </c>
      <c r="H105" s="104" t="s">
        <v>552</v>
      </c>
      <c r="I105" s="104" t="s">
        <v>553</v>
      </c>
      <c r="J105" s="104" t="s">
        <v>554</v>
      </c>
      <c r="K105" s="104" t="s">
        <v>555</v>
      </c>
      <c r="L105" s="104" t="s">
        <v>167</v>
      </c>
      <c r="M105" s="590" t="s">
        <v>556</v>
      </c>
      <c r="N105" s="590"/>
      <c r="O105" s="590"/>
      <c r="P105" s="104" t="s">
        <v>557</v>
      </c>
      <c r="Q105" s="899" t="s">
        <v>558</v>
      </c>
      <c r="R105" s="504" t="s">
        <v>106</v>
      </c>
      <c r="S105" s="152">
        <f>SUMIF($Q$55:$Q$102,$R$105,S55:S102)</f>
        <v>50000</v>
      </c>
      <c r="T105" s="152">
        <f>SUMIF($Q$55:$Q$102,$R$105,T55:T102)</f>
        <v>12351.511772727274</v>
      </c>
      <c r="U105" s="152">
        <f>SUMIF($Q$55:$Q$102,$R$105,U55:U102)</f>
        <v>18186.690772727274</v>
      </c>
      <c r="V105" s="152">
        <f>SUMIF($Q$55:$Q$102,$R$105,W55:W102)</f>
        <v>47975.389661616158</v>
      </c>
      <c r="W105" s="152">
        <f>SUMIF($Q$55:$Q$102,$R$105,X55:X102)</f>
        <v>48600.389661616158</v>
      </c>
      <c r="X105" s="152">
        <f>SUMIF($Q$55:$Q$102,$R$105,Y55:Y102)</f>
        <v>48600.389661616158</v>
      </c>
      <c r="Y105" s="152">
        <f>SUMIF($Q$55:$Q$102,$R$105,AA55:AA102)</f>
        <v>115267.05632828285</v>
      </c>
      <c r="Z105" s="152">
        <f>SUMIF($Q$55:$Q$102,$R$105,AB55:AB102)</f>
        <v>116667.05632828285</v>
      </c>
      <c r="AA105" s="152">
        <f>SUMIF($Q$55:$Q$102,$R$105,AC55:AC102)</f>
        <v>116667.05632828285</v>
      </c>
      <c r="AB105" s="152">
        <f>SUMIF($Q$55:$Q$102,$R$105,AE55:AE102)</f>
        <v>116667.05632828285</v>
      </c>
      <c r="AC105" s="152">
        <f>SUMIF($Q$55:$Q$102,$R$105,AF55:AF102)</f>
        <v>116667.05632828285</v>
      </c>
      <c r="AD105" s="152">
        <f>SUMIF($Q$55:$Q$102,$R$105,AG55:AG102)</f>
        <v>116667.05632828285</v>
      </c>
      <c r="AE105" s="152">
        <f>SUM(S105:AD105)</f>
        <v>924316.7095</v>
      </c>
    </row>
    <row r="106" spans="1:42" ht="14.85" customHeight="1" x14ac:dyDescent="0.3">
      <c r="A106" s="753" t="s">
        <v>78</v>
      </c>
      <c r="B106" s="753" t="s">
        <v>559</v>
      </c>
      <c r="C106" s="751"/>
      <c r="D106" s="754">
        <v>1</v>
      </c>
      <c r="E106" s="755" t="str">
        <f t="shared" ref="E106:E132" si="63">_xlfn.XLOOKUP(B106,$B$343:$B$389,$E$343:$E$389)</f>
        <v>OK</v>
      </c>
      <c r="F106" s="755" t="s">
        <v>287</v>
      </c>
      <c r="H106" s="1024" t="s">
        <v>1926</v>
      </c>
      <c r="I106" s="946" t="s">
        <v>287</v>
      </c>
      <c r="J106" s="106" t="s">
        <v>388</v>
      </c>
      <c r="K106" s="106" t="s">
        <v>388</v>
      </c>
      <c r="L106" s="107">
        <f>(COUNTIF(I106:K106,"OK"))*33.333333/100</f>
        <v>0.33333333000000004</v>
      </c>
      <c r="M106" s="900" t="s">
        <v>649</v>
      </c>
      <c r="N106" s="901"/>
      <c r="O106" s="901"/>
      <c r="P106" s="955" t="s">
        <v>32</v>
      </c>
      <c r="Q106" s="955" t="s">
        <v>1927</v>
      </c>
      <c r="R106" s="505" t="s">
        <v>107</v>
      </c>
      <c r="S106" s="154">
        <f>SUMIF($Q$55:$Q$102,$R$106,S55:S102)</f>
        <v>12952.470000000001</v>
      </c>
      <c r="T106" s="154">
        <f>SUMIF($Q$55:$Q$102,$R$106,T55:T102)</f>
        <v>66080.55</v>
      </c>
      <c r="U106" s="154">
        <f>SUMIF($Q$55:$Q$102,$R$106,U55:U102)</f>
        <v>7167.5747453259228</v>
      </c>
      <c r="V106" s="154">
        <f>SUMIF($Q$55:$Q$102,$R$106,W55:W102)</f>
        <v>56823.789429004551</v>
      </c>
      <c r="W106" s="154">
        <f>SUMIF($Q$55:$Q$102,$R$106,X55:X102)</f>
        <v>-1907.7099999999991</v>
      </c>
      <c r="X106" s="154">
        <f>SUMIF($Q$55:$Q$102,$R$106,Y55:Y102)</f>
        <v>0</v>
      </c>
      <c r="Y106" s="154">
        <f>SUMIF($Q$55:$Q$102,$R$106,AA55:AA102)</f>
        <v>0</v>
      </c>
      <c r="Z106" s="154">
        <f>SUMIF($Q$55:$Q$102,$R$106,AB55:AB102)</f>
        <v>0</v>
      </c>
      <c r="AA106" s="154">
        <f>SUMIF($Q$55:$Q$102,$R$106,AC55:AC102)</f>
        <v>0</v>
      </c>
      <c r="AB106" s="154">
        <f>SUMIF($Q$55:$Q$102,$R$106,AE55:AE102)</f>
        <v>0</v>
      </c>
      <c r="AC106" s="154">
        <f>SUMIF($Q$55:$Q$102,$R$106,AF55:AF102)</f>
        <v>0</v>
      </c>
      <c r="AD106" s="154">
        <f>SUMIF($Q$55:$Q$102,$R$106,AG55:AG102)</f>
        <v>0</v>
      </c>
      <c r="AE106" s="154">
        <f>SUM(S106:AD106)</f>
        <v>141116.67417433049</v>
      </c>
    </row>
    <row r="107" spans="1:42" ht="14.85" customHeight="1" x14ac:dyDescent="0.3">
      <c r="A107" s="112" t="s">
        <v>81</v>
      </c>
      <c r="B107" s="112" t="s">
        <v>563</v>
      </c>
      <c r="C107" s="333"/>
      <c r="D107" s="721">
        <v>1</v>
      </c>
      <c r="E107" s="752" t="str">
        <f t="shared" si="63"/>
        <v>OK</v>
      </c>
      <c r="F107" s="752" t="s">
        <v>287</v>
      </c>
      <c r="H107" s="1023" t="s">
        <v>1928</v>
      </c>
      <c r="I107" s="948" t="s">
        <v>287</v>
      </c>
      <c r="J107" s="109" t="s">
        <v>388</v>
      </c>
      <c r="K107" s="109" t="s">
        <v>388</v>
      </c>
      <c r="L107" s="107">
        <f t="shared" ref="L107:L117" si="64">(COUNTIF(I107:K107,"OK"))*33.333333/100</f>
        <v>0.33333333000000004</v>
      </c>
      <c r="M107" s="902" t="s">
        <v>652</v>
      </c>
      <c r="N107" s="903"/>
      <c r="O107" s="903"/>
      <c r="P107" s="956" t="s">
        <v>32</v>
      </c>
      <c r="Q107" s="956" t="s">
        <v>1929</v>
      </c>
      <c r="R107" s="506" t="s">
        <v>566</v>
      </c>
      <c r="S107" s="160" cm="1">
        <f t="array" ref="S107">SUMPRODUCT(
($G$55:$G$102&lt;&gt;"")*
($G$55:$G$102&lt;=S$104)*
(($H$55:$H$102="")+($H$55:$H$102&gt;=S$104))
)</f>
        <v>2</v>
      </c>
      <c r="T107" s="160" cm="1">
        <f t="array" ref="T107">SUMPRODUCT(
($G$55:$G$102&lt;&gt;"")*
($G$55:$G$102&lt;=T$104)*
(($H$55:$H$102="")+($H$55:$H$102&gt;=T$104))
)</f>
        <v>10</v>
      </c>
      <c r="U107" s="160" cm="1">
        <f t="array" ref="U107">SUMPRODUCT(
($G$55:$G$102&lt;&gt;"")*
($G$55:$G$102&lt;=U$104)*
(($H$55:$H$102="")+($H$55:$H$102&gt;=U$104))
)</f>
        <v>10</v>
      </c>
      <c r="V107" s="160" cm="1">
        <f t="array" ref="V107">SUMPRODUCT(
($G$55:$G$102&lt;&gt;"")*
($G$55:$G$102&lt;=V$104)*
(($H$55:$H$102="")+($H$55:$H$102&gt;=V$104))
)</f>
        <v>11</v>
      </c>
      <c r="W107" s="160" cm="1">
        <f t="array" ref="W107">SUMPRODUCT(
($G$55:$G$102&lt;&gt;"")*
($G$55:$G$102&lt;=W$104)*
(($H$55:$H$102="")+($H$55:$H$102&gt;=W$104))
)</f>
        <v>6</v>
      </c>
      <c r="X107" s="160" cm="1">
        <f t="array" ref="X107">SUMPRODUCT(
($G$55:$G$102&lt;&gt;"")*
($G$55:$G$102&lt;=X$104)*
(($H$55:$H$102="")+($H$55:$H$102&gt;=X$104))
)</f>
        <v>5</v>
      </c>
      <c r="Y107" s="160" cm="1">
        <f t="array" ref="Y107">SUMPRODUCT(
($G$55:$G$102&lt;&gt;"")*
($G$55:$G$102&lt;=Y$104)*
(($H$55:$H$102="")+($H$55:$H$102&gt;=Y$104))
)</f>
        <v>4</v>
      </c>
      <c r="Z107" s="160" cm="1">
        <f t="array" ref="Z107">SUMPRODUCT(
($G$55:$G$102&lt;&gt;"")*
($G$55:$G$102&lt;=Z$104)*
(($H$55:$H$102="")+($H$55:$H$102&gt;=Z$104))
)</f>
        <v>1</v>
      </c>
      <c r="AA107" s="160" cm="1">
        <f t="array" ref="AA107">SUMPRODUCT(
($G$55:$G$102&lt;&gt;"")*
($G$55:$G$102&lt;=AA$104)*
(($H$55:$H$102="")+($H$55:$H$102&gt;=AA$104))
)</f>
        <v>1</v>
      </c>
      <c r="AB107" s="160" cm="1">
        <f t="array" ref="AB107">SUMPRODUCT(
($G$55:$G$102&lt;&gt;"")*
($G$55:$G$102&lt;=AB$104)*
(($H$55:$H$102="")+($H$55:$H$102&gt;=AB$104))
)</f>
        <v>1</v>
      </c>
      <c r="AC107" s="160" cm="1">
        <f t="array" ref="AC107">SUMPRODUCT(
($G$55:$G$102&lt;&gt;"")*
($G$55:$G$102&lt;=AC$104)*
(($H$55:$H$102="")+($H$55:$H$102&gt;=AC$104))
)</f>
        <v>1</v>
      </c>
      <c r="AD107" s="160" cm="1">
        <f t="array" ref="AD107">SUMPRODUCT(
($G$55:$G$102&lt;&gt;"")*
($G$55:$G$102&lt;=AD$104)*
(($H$55:$H$102="")+($H$55:$H$102&gt;=AD$104))
)</f>
        <v>1</v>
      </c>
      <c r="AE107" s="160"/>
    </row>
    <row r="108" spans="1:42" ht="14.85" customHeight="1" x14ac:dyDescent="0.3">
      <c r="A108" s="753" t="s">
        <v>81</v>
      </c>
      <c r="B108" s="787" t="s">
        <v>567</v>
      </c>
      <c r="C108" s="788"/>
      <c r="D108" s="789">
        <v>1</v>
      </c>
      <c r="E108" s="783" t="s">
        <v>287</v>
      </c>
      <c r="F108" s="755" t="s">
        <v>488</v>
      </c>
      <c r="H108" s="1020" t="s">
        <v>1930</v>
      </c>
      <c r="I108" s="946" t="s">
        <v>287</v>
      </c>
      <c r="J108" s="106" t="s">
        <v>388</v>
      </c>
      <c r="K108" s="106" t="s">
        <v>388</v>
      </c>
      <c r="L108" s="107">
        <f t="shared" si="64"/>
        <v>0.33333333000000004</v>
      </c>
      <c r="M108" s="900" t="s">
        <v>654</v>
      </c>
      <c r="N108" s="901"/>
      <c r="O108" s="901"/>
      <c r="P108" s="955" t="s">
        <v>32</v>
      </c>
      <c r="Q108" s="955" t="s">
        <v>1931</v>
      </c>
      <c r="R108" s="505" t="s">
        <v>570</v>
      </c>
      <c r="S108" s="154">
        <f>S105</f>
        <v>50000</v>
      </c>
      <c r="T108" s="154">
        <f>S108+T105</f>
        <v>62351.511772727274</v>
      </c>
      <c r="U108" s="154">
        <f t="shared" ref="U108:AD109" si="65">T108+U105</f>
        <v>80538.202545454551</v>
      </c>
      <c r="V108" s="154">
        <f t="shared" si="65"/>
        <v>128513.5922070707</v>
      </c>
      <c r="W108" s="154">
        <f t="shared" si="65"/>
        <v>177113.98186868685</v>
      </c>
      <c r="X108" s="154">
        <f t="shared" si="65"/>
        <v>225714.371530303</v>
      </c>
      <c r="Y108" s="154">
        <f t="shared" si="65"/>
        <v>340981.42785858584</v>
      </c>
      <c r="Z108" s="154">
        <f t="shared" si="65"/>
        <v>457648.48418686871</v>
      </c>
      <c r="AA108" s="154">
        <f t="shared" si="65"/>
        <v>574315.54051515157</v>
      </c>
      <c r="AB108" s="154">
        <f t="shared" si="65"/>
        <v>690982.59684343438</v>
      </c>
      <c r="AC108" s="154">
        <f t="shared" si="65"/>
        <v>807649.65317171719</v>
      </c>
      <c r="AD108" s="154">
        <f t="shared" si="65"/>
        <v>924316.7095</v>
      </c>
      <c r="AE108" s="154"/>
    </row>
    <row r="109" spans="1:42" x14ac:dyDescent="0.3">
      <c r="A109" s="112" t="s">
        <v>81</v>
      </c>
      <c r="B109" s="790" t="s">
        <v>571</v>
      </c>
      <c r="C109" s="540"/>
      <c r="D109" s="791">
        <v>1</v>
      </c>
      <c r="E109" s="460" t="s">
        <v>287</v>
      </c>
      <c r="F109" s="752" t="s">
        <v>488</v>
      </c>
      <c r="H109" s="1022" t="s">
        <v>1932</v>
      </c>
      <c r="I109" s="948" t="s">
        <v>287</v>
      </c>
      <c r="J109" s="109" t="s">
        <v>388</v>
      </c>
      <c r="K109" s="109" t="s">
        <v>388</v>
      </c>
      <c r="L109" s="107">
        <f t="shared" si="64"/>
        <v>0.33333333000000004</v>
      </c>
      <c r="M109" s="902" t="s">
        <v>1437</v>
      </c>
      <c r="N109" s="903"/>
      <c r="O109" s="903"/>
      <c r="P109" s="956" t="s">
        <v>33</v>
      </c>
      <c r="Q109" s="957" t="s">
        <v>1436</v>
      </c>
      <c r="R109" s="506" t="s">
        <v>574</v>
      </c>
      <c r="S109" s="507">
        <f>S106</f>
        <v>12952.470000000001</v>
      </c>
      <c r="T109" s="507">
        <f>S109+T106</f>
        <v>79033.02</v>
      </c>
      <c r="U109" s="507">
        <f t="shared" si="65"/>
        <v>86200.594745325929</v>
      </c>
      <c r="V109" s="507">
        <f t="shared" si="65"/>
        <v>143024.38417433048</v>
      </c>
      <c r="W109" s="507">
        <f t="shared" si="65"/>
        <v>141116.67417433049</v>
      </c>
      <c r="X109" s="507">
        <f t="shared" si="65"/>
        <v>141116.67417433049</v>
      </c>
      <c r="Y109" s="507">
        <f t="shared" si="65"/>
        <v>141116.67417433049</v>
      </c>
      <c r="Z109" s="507">
        <f t="shared" si="65"/>
        <v>141116.67417433049</v>
      </c>
      <c r="AA109" s="507">
        <f t="shared" si="65"/>
        <v>141116.67417433049</v>
      </c>
      <c r="AB109" s="507">
        <f t="shared" si="65"/>
        <v>141116.67417433049</v>
      </c>
      <c r="AC109" s="507">
        <f t="shared" si="65"/>
        <v>141116.67417433049</v>
      </c>
      <c r="AD109" s="507">
        <f t="shared" si="65"/>
        <v>141116.67417433049</v>
      </c>
      <c r="AE109" s="507"/>
    </row>
    <row r="110" spans="1:42" ht="14.85" customHeight="1" x14ac:dyDescent="0.3">
      <c r="A110" s="753" t="s">
        <v>81</v>
      </c>
      <c r="B110" s="787" t="s">
        <v>575</v>
      </c>
      <c r="C110" s="788"/>
      <c r="D110" s="789">
        <v>1</v>
      </c>
      <c r="E110" s="783" t="str">
        <f t="shared" si="63"/>
        <v>NOK</v>
      </c>
      <c r="F110" s="755" t="s">
        <v>488</v>
      </c>
      <c r="H110" s="1020" t="s">
        <v>1933</v>
      </c>
      <c r="I110" s="946" t="s">
        <v>287</v>
      </c>
      <c r="J110" s="106" t="s">
        <v>388</v>
      </c>
      <c r="K110" s="106" t="s">
        <v>388</v>
      </c>
      <c r="L110" s="107">
        <f t="shared" si="64"/>
        <v>0.33333333000000004</v>
      </c>
      <c r="M110" s="900" t="s">
        <v>1440</v>
      </c>
      <c r="N110" s="901"/>
      <c r="O110" s="901"/>
      <c r="P110" s="955" t="s">
        <v>33</v>
      </c>
      <c r="Q110" s="955" t="s">
        <v>1439</v>
      </c>
      <c r="R110" s="505" t="s">
        <v>578</v>
      </c>
      <c r="S110" s="154">
        <f>IF(AND(ISNUMBER(S106),S106&lt;&gt;0), S109, R110 + (($A$5 - MAX($S$161:$AD$161)) / COUNTIF($S$158:$AD$158,0)))</f>
        <v>12952.470000000001</v>
      </c>
      <c r="T110" s="154">
        <f t="shared" ref="T110:AD110" si="66">IF(AND(ISNUMBER(T106),T106&lt;&gt;0), T109, S110 + (($A$5 - MAX($S$109:$AD$109)) / COUNTIF($S$106:$AD$106,0)))</f>
        <v>79033.02</v>
      </c>
      <c r="U110" s="154">
        <f t="shared" si="66"/>
        <v>86200.594745325929</v>
      </c>
      <c r="V110" s="154">
        <f t="shared" si="66"/>
        <v>143024.38417433048</v>
      </c>
      <c r="W110" s="154">
        <f t="shared" si="66"/>
        <v>141116.67417433049</v>
      </c>
      <c r="X110" s="154">
        <f t="shared" si="66"/>
        <v>669398.90500656888</v>
      </c>
      <c r="Y110" s="154">
        <f t="shared" si="66"/>
        <v>1197681.1358388073</v>
      </c>
      <c r="Z110" s="154">
        <f t="shared" si="66"/>
        <v>1725963.3666710458</v>
      </c>
      <c r="AA110" s="154">
        <f t="shared" si="66"/>
        <v>2254245.597503284</v>
      </c>
      <c r="AB110" s="154">
        <f t="shared" si="66"/>
        <v>2782527.8283355227</v>
      </c>
      <c r="AC110" s="154">
        <f t="shared" si="66"/>
        <v>3310810.0591677614</v>
      </c>
      <c r="AD110" s="154">
        <f t="shared" si="66"/>
        <v>3839092.29</v>
      </c>
      <c r="AE110" s="154"/>
    </row>
    <row r="111" spans="1:42" ht="14.85" customHeight="1" x14ac:dyDescent="0.3">
      <c r="A111" s="112" t="s">
        <v>81</v>
      </c>
      <c r="B111" s="790" t="s">
        <v>579</v>
      </c>
      <c r="C111" s="540"/>
      <c r="D111" s="791">
        <v>1</v>
      </c>
      <c r="E111" s="460" t="str">
        <f t="shared" si="63"/>
        <v>NOK</v>
      </c>
      <c r="F111" s="752" t="s">
        <v>488</v>
      </c>
      <c r="H111" s="1023" t="s">
        <v>1934</v>
      </c>
      <c r="I111" s="948" t="s">
        <v>287</v>
      </c>
      <c r="J111" s="947" t="s">
        <v>388</v>
      </c>
      <c r="K111" s="951" t="s">
        <v>388</v>
      </c>
      <c r="L111" s="107">
        <f t="shared" si="64"/>
        <v>0.33333333000000004</v>
      </c>
      <c r="M111" s="902" t="s">
        <v>1442</v>
      </c>
      <c r="N111" s="903"/>
      <c r="O111" s="903"/>
      <c r="P111" s="956" t="s">
        <v>33</v>
      </c>
      <c r="Q111" s="956" t="s">
        <v>1441</v>
      </c>
    </row>
    <row r="112" spans="1:42" ht="14.85" customHeight="1" x14ac:dyDescent="0.3">
      <c r="A112" s="753" t="s">
        <v>81</v>
      </c>
      <c r="B112" s="787" t="s">
        <v>583</v>
      </c>
      <c r="C112" s="788"/>
      <c r="D112" s="789">
        <v>1</v>
      </c>
      <c r="E112" s="783" t="s">
        <v>287</v>
      </c>
      <c r="F112" s="755" t="s">
        <v>488</v>
      </c>
      <c r="H112" s="1020" t="s">
        <v>1935</v>
      </c>
      <c r="I112" s="946" t="s">
        <v>287</v>
      </c>
      <c r="J112" s="106" t="s">
        <v>388</v>
      </c>
      <c r="K112" s="106" t="s">
        <v>388</v>
      </c>
      <c r="L112" s="107">
        <f t="shared" si="64"/>
        <v>0.33333333000000004</v>
      </c>
      <c r="M112" s="900" t="s">
        <v>1444</v>
      </c>
      <c r="N112" s="901"/>
      <c r="O112" s="901"/>
      <c r="P112" s="955" t="s">
        <v>33</v>
      </c>
      <c r="Q112" s="955" t="s">
        <v>1443</v>
      </c>
    </row>
    <row r="113" spans="1:17" ht="14.85" customHeight="1" x14ac:dyDescent="0.3">
      <c r="A113" s="112" t="s">
        <v>81</v>
      </c>
      <c r="B113" s="792" t="s">
        <v>587</v>
      </c>
      <c r="C113" s="793"/>
      <c r="D113" s="794">
        <v>1</v>
      </c>
      <c r="E113" s="795" t="str">
        <f t="shared" si="63"/>
        <v>OK</v>
      </c>
      <c r="F113" s="1017" t="s">
        <v>287</v>
      </c>
      <c r="G113" s="111"/>
      <c r="H113" s="1023" t="s">
        <v>1936</v>
      </c>
      <c r="I113" s="948" t="s">
        <v>287</v>
      </c>
      <c r="J113" s="109" t="s">
        <v>388</v>
      </c>
      <c r="K113" s="109" t="s">
        <v>388</v>
      </c>
      <c r="L113" s="107">
        <f t="shared" si="64"/>
        <v>0.33333333000000004</v>
      </c>
      <c r="M113" s="902" t="s">
        <v>656</v>
      </c>
      <c r="N113" s="903"/>
      <c r="O113" s="903"/>
      <c r="P113" s="956" t="s">
        <v>32</v>
      </c>
      <c r="Q113" s="956" t="s">
        <v>1937</v>
      </c>
    </row>
    <row r="114" spans="1:17" ht="14.85" customHeight="1" x14ac:dyDescent="0.3">
      <c r="A114" s="753" t="s">
        <v>81</v>
      </c>
      <c r="B114" s="753" t="s">
        <v>590</v>
      </c>
      <c r="C114" s="751"/>
      <c r="D114" s="754">
        <v>1</v>
      </c>
      <c r="E114" s="755" t="str">
        <f t="shared" si="63"/>
        <v>OK</v>
      </c>
      <c r="F114" s="755" t="s">
        <v>287</v>
      </c>
      <c r="G114" s="111"/>
      <c r="H114" s="1020" t="s">
        <v>1938</v>
      </c>
      <c r="I114" s="946" t="s">
        <v>287</v>
      </c>
      <c r="J114" s="106" t="s">
        <v>388</v>
      </c>
      <c r="K114" s="106" t="s">
        <v>388</v>
      </c>
      <c r="L114" s="107">
        <f t="shared" si="64"/>
        <v>0.33333333000000004</v>
      </c>
      <c r="M114" s="900" t="s">
        <v>1446</v>
      </c>
      <c r="N114" s="901"/>
      <c r="O114" s="901"/>
      <c r="P114" s="955" t="s">
        <v>33</v>
      </c>
      <c r="Q114" s="955" t="s">
        <v>1445</v>
      </c>
    </row>
    <row r="115" spans="1:17" x14ac:dyDescent="0.3">
      <c r="A115" s="112" t="s">
        <v>81</v>
      </c>
      <c r="B115" s="112" t="s">
        <v>593</v>
      </c>
      <c r="C115" s="333"/>
      <c r="D115" s="721">
        <v>1</v>
      </c>
      <c r="E115" s="752" t="str">
        <f t="shared" si="63"/>
        <v>OK</v>
      </c>
      <c r="F115" s="752" t="s">
        <v>287</v>
      </c>
      <c r="G115" s="111"/>
      <c r="H115" s="1022" t="s">
        <v>1939</v>
      </c>
      <c r="I115" s="948" t="s">
        <v>287</v>
      </c>
      <c r="J115" s="109" t="s">
        <v>388</v>
      </c>
      <c r="K115" s="109" t="s">
        <v>388</v>
      </c>
      <c r="L115" s="107">
        <f t="shared" si="64"/>
        <v>0.33333333000000004</v>
      </c>
      <c r="M115" s="902" t="s">
        <v>1448</v>
      </c>
      <c r="N115" s="903"/>
      <c r="O115" s="903"/>
      <c r="P115" s="956" t="s">
        <v>33</v>
      </c>
      <c r="Q115" s="957" t="s">
        <v>1447</v>
      </c>
    </row>
    <row r="116" spans="1:17" ht="14.85" customHeight="1" x14ac:dyDescent="0.3">
      <c r="A116" s="753" t="s">
        <v>81</v>
      </c>
      <c r="B116" s="753" t="s">
        <v>596</v>
      </c>
      <c r="C116" s="751"/>
      <c r="D116" s="754">
        <v>1</v>
      </c>
      <c r="E116" s="755" t="s">
        <v>287</v>
      </c>
      <c r="F116" s="755" t="s">
        <v>287</v>
      </c>
      <c r="G116" s="111"/>
      <c r="H116" s="1020" t="s">
        <v>1940</v>
      </c>
      <c r="I116" s="946" t="s">
        <v>287</v>
      </c>
      <c r="J116" s="106" t="s">
        <v>388</v>
      </c>
      <c r="K116" s="106" t="s">
        <v>388</v>
      </c>
      <c r="L116" s="107">
        <f t="shared" si="64"/>
        <v>0.33333333000000004</v>
      </c>
      <c r="M116" s="900" t="s">
        <v>658</v>
      </c>
      <c r="N116" s="901"/>
      <c r="O116" s="901"/>
      <c r="P116" s="955" t="s">
        <v>32</v>
      </c>
      <c r="Q116" s="955" t="s">
        <v>1941</v>
      </c>
    </row>
    <row r="117" spans="1:17" ht="14.85" customHeight="1" x14ac:dyDescent="0.3">
      <c r="A117" s="112" t="s">
        <v>86</v>
      </c>
      <c r="B117" s="790" t="s">
        <v>599</v>
      </c>
      <c r="C117" s="540"/>
      <c r="D117" s="791">
        <v>1</v>
      </c>
      <c r="E117" s="460" t="s">
        <v>287</v>
      </c>
      <c r="F117" s="752" t="s">
        <v>488</v>
      </c>
      <c r="G117" s="111"/>
      <c r="H117" s="1021" t="s">
        <v>1942</v>
      </c>
      <c r="I117" s="948" t="s">
        <v>287</v>
      </c>
      <c r="J117" s="109" t="s">
        <v>388</v>
      </c>
      <c r="K117" s="109" t="s">
        <v>388</v>
      </c>
      <c r="L117" s="107">
        <f t="shared" si="64"/>
        <v>0.33333333000000004</v>
      </c>
      <c r="M117" s="902" t="s">
        <v>660</v>
      </c>
      <c r="N117" s="903"/>
      <c r="O117" s="903"/>
      <c r="P117" s="956" t="s">
        <v>32</v>
      </c>
      <c r="Q117" s="956" t="s">
        <v>1943</v>
      </c>
    </row>
    <row r="118" spans="1:17" ht="14.85" customHeight="1" x14ac:dyDescent="0.3">
      <c r="A118" s="753" t="s">
        <v>78</v>
      </c>
      <c r="B118" s="753" t="s">
        <v>602</v>
      </c>
      <c r="C118" s="751"/>
      <c r="D118" s="754">
        <v>2</v>
      </c>
      <c r="E118" s="755" t="str">
        <f t="shared" si="63"/>
        <v>OK</v>
      </c>
      <c r="F118" s="755" t="str">
        <f t="shared" ref="F118:F132" si="67">_xlfn.XLOOKUP(B118,$B$343:$B$389,$F$343:$F$389)</f>
        <v>OK</v>
      </c>
      <c r="G118" s="111"/>
      <c r="H118" s="1013" t="s">
        <v>1944</v>
      </c>
      <c r="I118" s="946" t="s">
        <v>287</v>
      </c>
      <c r="J118" s="106" t="s">
        <v>388</v>
      </c>
      <c r="K118" s="106" t="s">
        <v>388</v>
      </c>
      <c r="L118" s="107">
        <f>(COUNTIF(I118:K118,"OK"))*33.333333/100</f>
        <v>0.33333333000000004</v>
      </c>
      <c r="M118" s="1550" t="s">
        <v>1040</v>
      </c>
      <c r="N118" s="1558"/>
      <c r="O118" s="1551"/>
      <c r="P118" s="107" t="s">
        <v>1945</v>
      </c>
      <c r="Q118" s="105" t="s">
        <v>1946</v>
      </c>
    </row>
    <row r="119" spans="1:17" ht="14.85" customHeight="1" x14ac:dyDescent="0.3">
      <c r="A119" s="112" t="s">
        <v>81</v>
      </c>
      <c r="B119" s="112" t="s">
        <v>605</v>
      </c>
      <c r="C119" s="333"/>
      <c r="D119" s="721">
        <v>2</v>
      </c>
      <c r="E119" s="752" t="str">
        <f t="shared" si="63"/>
        <v>NA</v>
      </c>
      <c r="F119" s="752" t="str">
        <f t="shared" si="67"/>
        <v>NA</v>
      </c>
      <c r="G119" s="111"/>
      <c r="H119" s="108"/>
      <c r="I119" s="304"/>
      <c r="J119" s="109"/>
      <c r="K119" s="109"/>
      <c r="L119" s="110"/>
      <c r="M119" s="902" t="s">
        <v>111</v>
      </c>
      <c r="N119" s="903"/>
      <c r="O119" s="903"/>
      <c r="P119" s="110"/>
      <c r="Q119" s="110"/>
    </row>
    <row r="120" spans="1:17" x14ac:dyDescent="0.3">
      <c r="A120" s="753" t="s">
        <v>81</v>
      </c>
      <c r="B120" s="753" t="s">
        <v>608</v>
      </c>
      <c r="C120" s="751"/>
      <c r="D120" s="754">
        <v>2</v>
      </c>
      <c r="E120" s="755" t="str">
        <f t="shared" si="63"/>
        <v>OK</v>
      </c>
      <c r="F120" s="755" t="str">
        <f t="shared" si="67"/>
        <v>OK</v>
      </c>
      <c r="G120" s="111"/>
      <c r="H120" s="105"/>
      <c r="I120" s="303"/>
      <c r="J120" s="106"/>
      <c r="K120" s="106"/>
      <c r="L120" s="107"/>
      <c r="M120" s="900" t="s">
        <v>111</v>
      </c>
      <c r="N120" s="901"/>
      <c r="O120" s="901"/>
      <c r="P120" s="107"/>
      <c r="Q120" s="107"/>
    </row>
    <row r="121" spans="1:17" x14ac:dyDescent="0.3">
      <c r="A121" s="112" t="s">
        <v>84</v>
      </c>
      <c r="B121" s="112" t="s">
        <v>611</v>
      </c>
      <c r="C121" s="333"/>
      <c r="D121" s="721">
        <v>2</v>
      </c>
      <c r="E121" s="752" t="str">
        <f t="shared" si="63"/>
        <v>OK</v>
      </c>
      <c r="F121" s="752" t="str">
        <f t="shared" si="67"/>
        <v>OK</v>
      </c>
      <c r="G121" s="111"/>
      <c r="H121" s="108"/>
      <c r="I121" s="304"/>
      <c r="J121" s="109"/>
      <c r="K121" s="109"/>
      <c r="L121" s="110"/>
      <c r="M121" s="902" t="s">
        <v>111</v>
      </c>
      <c r="N121" s="903"/>
      <c r="O121" s="903"/>
      <c r="P121" s="110"/>
      <c r="Q121" s="110"/>
    </row>
    <row r="122" spans="1:17" x14ac:dyDescent="0.3">
      <c r="A122" s="753" t="s">
        <v>84</v>
      </c>
      <c r="B122" s="753" t="s">
        <v>614</v>
      </c>
      <c r="C122" s="751"/>
      <c r="D122" s="754">
        <v>2</v>
      </c>
      <c r="E122" s="755" t="str">
        <f t="shared" si="63"/>
        <v>NOK</v>
      </c>
      <c r="F122" s="755" t="str">
        <f t="shared" si="67"/>
        <v>NOK</v>
      </c>
      <c r="G122" s="111"/>
      <c r="H122" s="105"/>
      <c r="I122" s="303"/>
      <c r="J122" s="106"/>
      <c r="K122" s="106"/>
      <c r="L122" s="107"/>
      <c r="M122" s="900" t="s">
        <v>111</v>
      </c>
      <c r="N122" s="901"/>
      <c r="O122" s="901"/>
      <c r="P122" s="107"/>
      <c r="Q122" s="107"/>
    </row>
    <row r="123" spans="1:17" x14ac:dyDescent="0.3">
      <c r="A123" s="112" t="s">
        <v>84</v>
      </c>
      <c r="B123" s="112" t="s">
        <v>617</v>
      </c>
      <c r="C123" s="333"/>
      <c r="D123" s="721">
        <v>2</v>
      </c>
      <c r="E123" s="752" t="str">
        <f t="shared" si="63"/>
        <v>NOK</v>
      </c>
      <c r="F123" s="752" t="str">
        <f t="shared" si="67"/>
        <v>NOK</v>
      </c>
      <c r="G123" s="111"/>
      <c r="H123" s="108"/>
      <c r="I123" s="304"/>
      <c r="J123" s="109"/>
      <c r="K123" s="109"/>
      <c r="L123" s="110"/>
      <c r="M123" s="902" t="s">
        <v>111</v>
      </c>
      <c r="N123" s="903"/>
      <c r="O123" s="903"/>
      <c r="P123" s="110"/>
      <c r="Q123" s="110"/>
    </row>
    <row r="124" spans="1:17" x14ac:dyDescent="0.3">
      <c r="A124" s="753" t="s">
        <v>84</v>
      </c>
      <c r="B124" s="753" t="s">
        <v>621</v>
      </c>
      <c r="C124" s="751"/>
      <c r="D124" s="754">
        <v>2</v>
      </c>
      <c r="E124" s="755" t="str">
        <f t="shared" si="63"/>
        <v>NOK</v>
      </c>
      <c r="F124" s="755" t="str">
        <f t="shared" si="67"/>
        <v>NOK</v>
      </c>
      <c r="G124" s="111"/>
      <c r="H124" s="105"/>
      <c r="I124" s="303"/>
      <c r="J124" s="106"/>
      <c r="K124" s="106"/>
      <c r="L124" s="107"/>
      <c r="M124" s="900" t="s">
        <v>111</v>
      </c>
      <c r="N124" s="901"/>
      <c r="O124" s="901"/>
      <c r="P124" s="107"/>
      <c r="Q124" s="107"/>
    </row>
    <row r="125" spans="1:17" x14ac:dyDescent="0.3">
      <c r="A125" s="112" t="s">
        <v>84</v>
      </c>
      <c r="B125" s="112" t="s">
        <v>624</v>
      </c>
      <c r="C125" s="333"/>
      <c r="D125" s="721">
        <v>2</v>
      </c>
      <c r="E125" s="752" t="str">
        <f t="shared" si="63"/>
        <v>OK</v>
      </c>
      <c r="F125" s="752" t="str">
        <f t="shared" si="67"/>
        <v>OK</v>
      </c>
      <c r="G125" s="111"/>
      <c r="H125" s="108"/>
      <c r="I125" s="304"/>
      <c r="J125" s="109"/>
      <c r="K125" s="109"/>
      <c r="L125" s="110"/>
      <c r="M125" s="902" t="s">
        <v>111</v>
      </c>
      <c r="N125" s="903"/>
      <c r="O125" s="903"/>
      <c r="P125" s="110"/>
      <c r="Q125" s="110"/>
    </row>
    <row r="126" spans="1:17" x14ac:dyDescent="0.3">
      <c r="A126" s="753" t="s">
        <v>84</v>
      </c>
      <c r="B126" s="753" t="s">
        <v>627</v>
      </c>
      <c r="C126" s="751"/>
      <c r="D126" s="754">
        <v>2</v>
      </c>
      <c r="E126" s="755" t="str">
        <f t="shared" si="63"/>
        <v>OK</v>
      </c>
      <c r="F126" s="755" t="str">
        <f t="shared" si="67"/>
        <v>OK</v>
      </c>
      <c r="G126" s="111"/>
      <c r="H126" s="105"/>
      <c r="I126" s="303"/>
      <c r="J126" s="106"/>
      <c r="K126" s="106"/>
      <c r="L126" s="107"/>
      <c r="M126" s="900" t="s">
        <v>111</v>
      </c>
      <c r="N126" s="901"/>
      <c r="O126" s="901"/>
      <c r="P126" s="107"/>
      <c r="Q126" s="107"/>
    </row>
    <row r="127" spans="1:17" x14ac:dyDescent="0.3">
      <c r="A127" s="112" t="s">
        <v>84</v>
      </c>
      <c r="B127" s="112" t="s">
        <v>630</v>
      </c>
      <c r="C127" s="333"/>
      <c r="D127" s="721">
        <v>2</v>
      </c>
      <c r="E127" s="752" t="str">
        <f t="shared" si="63"/>
        <v>NOK</v>
      </c>
      <c r="F127" s="752" t="str">
        <f t="shared" si="67"/>
        <v>NOK</v>
      </c>
      <c r="G127" s="111"/>
      <c r="H127" s="108"/>
      <c r="I127" s="304"/>
      <c r="J127" s="109"/>
      <c r="K127" s="109"/>
      <c r="L127" s="110"/>
      <c r="M127" s="902" t="s">
        <v>111</v>
      </c>
      <c r="N127" s="903"/>
      <c r="O127" s="903"/>
      <c r="P127" s="110"/>
      <c r="Q127" s="110"/>
    </row>
    <row r="128" spans="1:17" ht="15.6" x14ac:dyDescent="0.3">
      <c r="A128" s="753" t="s">
        <v>84</v>
      </c>
      <c r="B128" s="753" t="s">
        <v>634</v>
      </c>
      <c r="C128" s="751"/>
      <c r="D128" s="754">
        <v>2</v>
      </c>
      <c r="E128" s="755" t="str">
        <f t="shared" si="63"/>
        <v>OK</v>
      </c>
      <c r="F128" s="755" t="str">
        <f t="shared" si="67"/>
        <v>OK</v>
      </c>
      <c r="G128" s="111"/>
      <c r="H128" s="155"/>
      <c r="I128" s="472">
        <f>COUNTIF(I106:I127,"OK")/(COUNTIF(I106:I127,"OK")+COUNTIF(I106:I127,"Não OK"))</f>
        <v>1</v>
      </c>
      <c r="J128" s="472">
        <f>COUNTIF(J106:J127,"OK")/(COUNTIF(J106:J127,"OK")+COUNTIF(J106:J127,"Não OK"))</f>
        <v>0</v>
      </c>
      <c r="K128" s="472">
        <f>COUNTIF(K106:K127,"OK")/(COUNTIF(K106:K127,"OK")+COUNTIF(K106:K127,"Não OK"))</f>
        <v>0</v>
      </c>
      <c r="L128" s="104">
        <f>AVERAGE(L106:L127)</f>
        <v>0.33333332999999998</v>
      </c>
      <c r="M128" s="590"/>
      <c r="N128" s="590"/>
      <c r="O128" s="904"/>
      <c r="P128" s="104"/>
      <c r="Q128" s="104"/>
    </row>
    <row r="129" spans="1:20" x14ac:dyDescent="0.3">
      <c r="A129" s="112" t="s">
        <v>84</v>
      </c>
      <c r="B129" s="112" t="s">
        <v>636</v>
      </c>
      <c r="C129" s="333"/>
      <c r="D129" s="721">
        <v>2</v>
      </c>
      <c r="E129" s="752" t="s">
        <v>287</v>
      </c>
      <c r="F129" s="752" t="str">
        <f t="shared" si="67"/>
        <v>NOK</v>
      </c>
      <c r="H129" s="59"/>
      <c r="I129" s="47"/>
      <c r="J129" s="59"/>
      <c r="K129" s="59"/>
      <c r="L129" s="59"/>
      <c r="M129" s="59"/>
      <c r="N129" s="59"/>
      <c r="O129" s="59"/>
    </row>
    <row r="130" spans="1:20" ht="15.6" x14ac:dyDescent="0.3">
      <c r="A130" s="753" t="s">
        <v>84</v>
      </c>
      <c r="B130" s="753" t="s">
        <v>639</v>
      </c>
      <c r="C130" s="751"/>
      <c r="D130" s="754">
        <v>2</v>
      </c>
      <c r="E130" s="755" t="s">
        <v>287</v>
      </c>
      <c r="F130" s="755" t="str">
        <f t="shared" si="67"/>
        <v>NOK</v>
      </c>
      <c r="H130" s="395" t="s">
        <v>671</v>
      </c>
      <c r="I130" s="395"/>
      <c r="J130" s="395"/>
      <c r="K130" s="395"/>
      <c r="L130" s="99"/>
      <c r="M130" s="99"/>
      <c r="N130" s="99"/>
      <c r="O130" s="396"/>
      <c r="P130" s="396"/>
    </row>
    <row r="131" spans="1:20" x14ac:dyDescent="0.3">
      <c r="A131" s="112" t="s">
        <v>84</v>
      </c>
      <c r="B131" s="112" t="s">
        <v>642</v>
      </c>
      <c r="C131" s="333"/>
      <c r="D131" s="721">
        <v>2</v>
      </c>
      <c r="E131" s="752" t="str">
        <f t="shared" si="63"/>
        <v>NOK</v>
      </c>
      <c r="F131" s="752" t="str">
        <f t="shared" si="67"/>
        <v>NOK</v>
      </c>
      <c r="H131" s="335" t="s">
        <v>72</v>
      </c>
      <c r="I131" s="335" t="s">
        <v>73</v>
      </c>
      <c r="J131" s="335" t="s">
        <v>75</v>
      </c>
      <c r="K131" s="335" t="s">
        <v>74</v>
      </c>
      <c r="L131" s="335" t="s">
        <v>73</v>
      </c>
      <c r="M131" s="335" t="s">
        <v>74</v>
      </c>
      <c r="N131" s="335" t="s">
        <v>75</v>
      </c>
      <c r="O131" s="396"/>
      <c r="P131" s="396"/>
      <c r="S131" s="62" t="s">
        <v>1437</v>
      </c>
      <c r="T131" s="62" t="s">
        <v>1436</v>
      </c>
    </row>
    <row r="132" spans="1:20" x14ac:dyDescent="0.3">
      <c r="A132" s="753" t="s">
        <v>78</v>
      </c>
      <c r="B132" s="753" t="s">
        <v>645</v>
      </c>
      <c r="C132" s="751"/>
      <c r="D132" s="754">
        <v>3</v>
      </c>
      <c r="E132" s="755" t="str">
        <f t="shared" si="63"/>
        <v>NOK</v>
      </c>
      <c r="F132" s="755" t="str">
        <f t="shared" si="67"/>
        <v>NOK</v>
      </c>
      <c r="H132" s="750" t="s">
        <v>78</v>
      </c>
      <c r="I132" s="320">
        <f>COUNTIFS($E$105:$E$132,"OK",$A$105:$A$132,H132)</f>
        <v>3</v>
      </c>
      <c r="J132" s="320">
        <f>COUNTIF($A$105:$A$132,H132)</f>
        <v>4</v>
      </c>
      <c r="K132" s="320">
        <f>COUNTIFS($A$105:$A$132,H132,$F$105:$F$132,"OK")</f>
        <v>2</v>
      </c>
      <c r="L132" s="322">
        <f>IF(I132=0,"0",I132/J132)</f>
        <v>0.75</v>
      </c>
      <c r="M132" s="322">
        <f>IF(K132=0,"0",K132/J132)</f>
        <v>0.5</v>
      </c>
      <c r="N132" s="342">
        <v>1</v>
      </c>
      <c r="O132" s="396"/>
      <c r="P132" s="396"/>
      <c r="S132" s="62" t="s">
        <v>1440</v>
      </c>
      <c r="T132" s="62" t="s">
        <v>1439</v>
      </c>
    </row>
    <row r="133" spans="1:20" ht="21" x14ac:dyDescent="0.3">
      <c r="A133" s="100"/>
      <c r="B133" s="100"/>
      <c r="C133" s="100"/>
      <c r="D133" s="113"/>
      <c r="E133" s="113">
        <f>(COUNTIF(E105:E132,"OK")+COUNTIF(E105:E132,"N/A"))/28</f>
        <v>0.6785714285714286</v>
      </c>
      <c r="F133" s="113">
        <f>(COUNTIF(F105:F132,"OK"))/28</f>
        <v>0.42857142857142855</v>
      </c>
      <c r="H133" s="756" t="s">
        <v>81</v>
      </c>
      <c r="I133" s="768">
        <f>COUNTIFS($E$105:$E$132,"OK",$A$105:$A$132,H133)</f>
        <v>9</v>
      </c>
      <c r="J133" s="768">
        <f>COUNTIF($A$105:$A$132,H133)</f>
        <v>12</v>
      </c>
      <c r="K133" s="768">
        <f>COUNTIFS($A$105:$A$132,H133,$F$105:$F$132,"OK")</f>
        <v>6</v>
      </c>
      <c r="L133" s="769">
        <f>IF(I133=0,"0",I133/J133)</f>
        <v>0.75</v>
      </c>
      <c r="M133" s="769">
        <f>IF(K133=0,"0",K133/J133)</f>
        <v>0.5</v>
      </c>
      <c r="N133" s="770">
        <v>1</v>
      </c>
      <c r="O133" s="396"/>
      <c r="P133" s="396"/>
      <c r="S133" s="62" t="s">
        <v>1442</v>
      </c>
      <c r="T133" s="62" t="s">
        <v>1441</v>
      </c>
    </row>
    <row r="134" spans="1:20" x14ac:dyDescent="0.3">
      <c r="H134" s="352" t="s">
        <v>84</v>
      </c>
      <c r="I134" s="320">
        <f>COUNTIFS($E$105:$E$132,"OK",$A$105:$A$132,H134)</f>
        <v>6</v>
      </c>
      <c r="J134" s="320">
        <f>COUNTIF($A$105:$A$132,H134)</f>
        <v>11</v>
      </c>
      <c r="K134" s="320">
        <f t="shared" ref="K134:K135" si="68">COUNTIFS($A$105:$A$132,H134,$F$105:$F$132,"OK")</f>
        <v>4</v>
      </c>
      <c r="L134" s="322">
        <f>IF(I134=0,"0",I134/J134)</f>
        <v>0.54545454545454541</v>
      </c>
      <c r="M134" s="322">
        <f>IF(K134=0,"0",K134/J134)</f>
        <v>0.36363636363636365</v>
      </c>
      <c r="N134" s="342">
        <v>1</v>
      </c>
      <c r="O134" s="396"/>
      <c r="P134" s="396"/>
      <c r="S134" s="62" t="s">
        <v>1444</v>
      </c>
      <c r="T134" s="62" t="s">
        <v>1443</v>
      </c>
    </row>
    <row r="135" spans="1:20" x14ac:dyDescent="0.3">
      <c r="H135" s="756" t="s">
        <v>86</v>
      </c>
      <c r="I135" s="768">
        <f>COUNTIFS($E$105:$E$132,"OK",$A$105:$A$132,H135)</f>
        <v>1</v>
      </c>
      <c r="J135" s="768">
        <f>COUNTIF($A$105:$A$132,H135)</f>
        <v>1</v>
      </c>
      <c r="K135" s="768">
        <f t="shared" si="68"/>
        <v>0</v>
      </c>
      <c r="L135" s="769">
        <f>IF(I135=0,"0",I135/J135)</f>
        <v>1</v>
      </c>
      <c r="M135" s="769" t="str">
        <f>IF(K135=0,"0",K135/J135)</f>
        <v>0</v>
      </c>
      <c r="N135" s="770">
        <v>1</v>
      </c>
      <c r="O135" s="396"/>
      <c r="P135" s="396"/>
      <c r="S135" s="62" t="s">
        <v>1446</v>
      </c>
      <c r="T135" s="62" t="s">
        <v>1445</v>
      </c>
    </row>
    <row r="136" spans="1:20" x14ac:dyDescent="0.3">
      <c r="H136" s="552"/>
      <c r="I136" s="396"/>
      <c r="J136" s="396"/>
      <c r="K136" s="396"/>
      <c r="L136" s="396"/>
      <c r="M136" s="396"/>
      <c r="N136" s="396"/>
      <c r="O136" s="396"/>
      <c r="P136" s="396"/>
      <c r="S136" s="62" t="s">
        <v>1448</v>
      </c>
      <c r="T136" s="62" t="s">
        <v>1447</v>
      </c>
    </row>
    <row r="137" spans="1:20" x14ac:dyDescent="0.3">
      <c r="H137" s="335" t="s">
        <v>662</v>
      </c>
      <c r="I137" s="335" t="s">
        <v>663</v>
      </c>
      <c r="J137" s="335" t="s">
        <v>664</v>
      </c>
      <c r="K137" s="335" t="s">
        <v>665</v>
      </c>
      <c r="L137" s="335" t="s">
        <v>666</v>
      </c>
      <c r="M137" s="335" t="s">
        <v>667</v>
      </c>
      <c r="N137" s="335" t="s">
        <v>668</v>
      </c>
      <c r="O137" s="335" t="s">
        <v>669</v>
      </c>
      <c r="P137" s="335" t="s">
        <v>670</v>
      </c>
    </row>
    <row r="138" spans="1:20" x14ac:dyDescent="0.3">
      <c r="H138" s="784">
        <v>1</v>
      </c>
      <c r="I138" s="784">
        <f>COUNTIF($D$105:$D$132,H138)</f>
        <v>13</v>
      </c>
      <c r="J138" s="784">
        <f>COUNTIFS($D$105:$D$132,H138,E105:E132,"OK")</f>
        <v>11</v>
      </c>
      <c r="K138" s="785">
        <f>COUNTIFS($D$105:$D$132,H138,E105:E132,"NOK")</f>
        <v>2</v>
      </c>
      <c r="L138" s="786">
        <f>COUNTIFS(E105:E151,"OK",D105:D151,H138)/I138</f>
        <v>0.84615384615384615</v>
      </c>
      <c r="M138" s="784">
        <f>COUNTIFS($F$105:$F$151,"OK",$D$105:$D$151,H138)</f>
        <v>6</v>
      </c>
      <c r="N138" s="784">
        <f>COUNTIFS($F$105:$F$132,"NOK",$D$105:$D$132,H138)</f>
        <v>7</v>
      </c>
      <c r="O138" s="786">
        <f>M138/I138</f>
        <v>0.46153846153846156</v>
      </c>
      <c r="P138" s="321"/>
    </row>
    <row r="139" spans="1:20" x14ac:dyDescent="0.3">
      <c r="H139" s="768">
        <v>2</v>
      </c>
      <c r="I139" s="768">
        <f>COUNTIF($D$105:$D$132,H139)</f>
        <v>14</v>
      </c>
      <c r="J139" s="768">
        <f>COUNTIFS($D$105:$D$132,H139,E105:E132,"OK")</f>
        <v>8</v>
      </c>
      <c r="K139" s="768">
        <f>COUNTIFS($D$105:$D$132,H139,E105:E132,"NOK")</f>
        <v>5</v>
      </c>
      <c r="L139" s="769">
        <f>COUNTIFS(E106:E152,"OK",D106:D152,H139)/I139</f>
        <v>0.5714285714285714</v>
      </c>
      <c r="M139" s="768">
        <f t="shared" ref="M139:M140" si="69">COUNTIFS($F$105:$F$151,"OK",$D$105:$D$151,H139)</f>
        <v>6</v>
      </c>
      <c r="N139" s="768">
        <f>COUNTIFS($F$105:$F$132,"NOK",$D$105:$D$132,H139)</f>
        <v>7</v>
      </c>
      <c r="O139" s="769">
        <f>M139/I139</f>
        <v>0.42857142857142855</v>
      </c>
      <c r="P139" s="771"/>
    </row>
    <row r="140" spans="1:20" x14ac:dyDescent="0.3">
      <c r="H140" s="320">
        <v>3</v>
      </c>
      <c r="I140" s="320">
        <f>COUNTIF($D$105:$D$132,H140)</f>
        <v>1</v>
      </c>
      <c r="J140" s="320">
        <f>COUNTIFS($D$105:$D$132,H140,E105:E132,"OK")</f>
        <v>0</v>
      </c>
      <c r="K140" s="323">
        <f>COUNTIFS($D$105:$D$132,H140,E105:E132,"NOK")</f>
        <v>1</v>
      </c>
      <c r="L140" s="322">
        <f>COUNTIFS(E107:E153,"OK",D107:D153,H140)/I140</f>
        <v>0</v>
      </c>
      <c r="M140" s="320">
        <f t="shared" si="69"/>
        <v>0</v>
      </c>
      <c r="N140" s="320">
        <f>COUNTIFS($F$105:$F$132,"NOK",$D$105:$D$132,H140)</f>
        <v>1</v>
      </c>
      <c r="O140" s="322">
        <f>M140/I140</f>
        <v>0</v>
      </c>
      <c r="P140" s="321"/>
    </row>
    <row r="141" spans="1:20" x14ac:dyDescent="0.3">
      <c r="H141" s="335" t="s">
        <v>133</v>
      </c>
      <c r="I141" s="335">
        <f>SUM(I138:I140)</f>
        <v>28</v>
      </c>
      <c r="J141" s="335"/>
      <c r="K141" s="335"/>
      <c r="L141" s="335"/>
      <c r="M141" s="335"/>
      <c r="N141" s="335"/>
      <c r="O141" s="335"/>
      <c r="P141" s="335"/>
    </row>
    <row r="142" spans="1:20" x14ac:dyDescent="0.3">
      <c r="H142" s="801" t="s">
        <v>1449</v>
      </c>
    </row>
    <row r="146" spans="1:10" x14ac:dyDescent="0.3">
      <c r="J146" s="114"/>
    </row>
    <row r="154" spans="1:10" ht="21" x14ac:dyDescent="0.3">
      <c r="A154" s="548" t="s">
        <v>672</v>
      </c>
      <c r="B154" s="548" t="s">
        <v>673</v>
      </c>
      <c r="C154" s="548" t="s">
        <v>674</v>
      </c>
      <c r="D154" s="548" t="s">
        <v>675</v>
      </c>
      <c r="E154" s="548" t="s">
        <v>676</v>
      </c>
      <c r="F154" s="565"/>
    </row>
    <row r="155" spans="1:10" x14ac:dyDescent="0.3">
      <c r="A155" s="550" t="s">
        <v>709</v>
      </c>
      <c r="B155" s="550" t="s">
        <v>1926</v>
      </c>
      <c r="C155" s="550" t="s">
        <v>649</v>
      </c>
      <c r="D155" s="550" t="s">
        <v>1947</v>
      </c>
      <c r="E155" s="547"/>
    </row>
    <row r="156" spans="1:10" x14ac:dyDescent="0.3">
      <c r="A156" s="551" t="s">
        <v>709</v>
      </c>
      <c r="B156" s="551" t="s">
        <v>1928</v>
      </c>
      <c r="C156" s="551" t="s">
        <v>652</v>
      </c>
      <c r="D156" s="551" t="s">
        <v>1455</v>
      </c>
      <c r="E156" s="549"/>
    </row>
    <row r="157" spans="1:10" x14ac:dyDescent="0.3">
      <c r="A157" s="550" t="s">
        <v>709</v>
      </c>
      <c r="B157" s="550" t="s">
        <v>1948</v>
      </c>
      <c r="C157" s="550" t="s">
        <v>1949</v>
      </c>
      <c r="D157" s="550" t="s">
        <v>1455</v>
      </c>
      <c r="E157" s="547"/>
    </row>
    <row r="158" spans="1:10" x14ac:dyDescent="0.3">
      <c r="A158" s="551" t="s">
        <v>709</v>
      </c>
      <c r="B158" s="551" t="s">
        <v>1950</v>
      </c>
      <c r="C158" s="551" t="s">
        <v>1951</v>
      </c>
      <c r="D158" s="551" t="s">
        <v>733</v>
      </c>
      <c r="E158" s="549"/>
    </row>
    <row r="159" spans="1:10" x14ac:dyDescent="0.3">
      <c r="A159" s="550" t="s">
        <v>709</v>
      </c>
      <c r="B159" s="550" t="s">
        <v>1952</v>
      </c>
      <c r="C159" s="550" t="s">
        <v>1949</v>
      </c>
      <c r="D159" s="550" t="s">
        <v>1455</v>
      </c>
      <c r="E159" s="547"/>
    </row>
    <row r="160" spans="1:10" x14ac:dyDescent="0.3">
      <c r="A160" s="551" t="s">
        <v>709</v>
      </c>
      <c r="B160" s="551" t="s">
        <v>1953</v>
      </c>
      <c r="C160" s="551" t="s">
        <v>1954</v>
      </c>
      <c r="D160" s="551" t="s">
        <v>733</v>
      </c>
      <c r="E160" s="549"/>
    </row>
    <row r="161" spans="1:5" x14ac:dyDescent="0.3">
      <c r="A161" s="550" t="s">
        <v>709</v>
      </c>
      <c r="B161" s="550" t="s">
        <v>1955</v>
      </c>
      <c r="C161" s="550" t="s">
        <v>1956</v>
      </c>
      <c r="D161" s="550" t="s">
        <v>1455</v>
      </c>
      <c r="E161" s="547"/>
    </row>
    <row r="162" spans="1:5" x14ac:dyDescent="0.3">
      <c r="A162" s="551" t="s">
        <v>709</v>
      </c>
      <c r="B162" s="551" t="s">
        <v>1957</v>
      </c>
      <c r="C162" s="551" t="s">
        <v>1949</v>
      </c>
      <c r="D162" s="551" t="s">
        <v>1455</v>
      </c>
      <c r="E162" s="549"/>
    </row>
    <row r="163" spans="1:5" x14ac:dyDescent="0.3">
      <c r="A163" s="550" t="s">
        <v>709</v>
      </c>
      <c r="B163" s="550" t="s">
        <v>1958</v>
      </c>
      <c r="C163" s="550" t="s">
        <v>1959</v>
      </c>
      <c r="D163" s="550" t="s">
        <v>733</v>
      </c>
      <c r="E163" s="547"/>
    </row>
    <row r="164" spans="1:5" x14ac:dyDescent="0.3">
      <c r="A164" s="551" t="s">
        <v>709</v>
      </c>
      <c r="B164" s="551" t="s">
        <v>1934</v>
      </c>
      <c r="C164" s="551" t="s">
        <v>1442</v>
      </c>
      <c r="D164" s="551" t="s">
        <v>1960</v>
      </c>
      <c r="E164" s="549"/>
    </row>
    <row r="165" spans="1:5" x14ac:dyDescent="0.3">
      <c r="A165" s="550" t="s">
        <v>709</v>
      </c>
      <c r="B165" s="550" t="s">
        <v>1933</v>
      </c>
      <c r="C165" s="550" t="s">
        <v>1440</v>
      </c>
      <c r="D165" s="550" t="s">
        <v>733</v>
      </c>
      <c r="E165" s="547"/>
    </row>
    <row r="166" spans="1:5" x14ac:dyDescent="0.3">
      <c r="A166" s="551" t="s">
        <v>709</v>
      </c>
      <c r="B166" s="551" t="s">
        <v>1961</v>
      </c>
      <c r="C166" s="551" t="s">
        <v>1962</v>
      </c>
      <c r="D166" s="551" t="s">
        <v>1455</v>
      </c>
      <c r="E166" s="549"/>
    </row>
    <row r="167" spans="1:5" x14ac:dyDescent="0.3">
      <c r="A167" s="550" t="s">
        <v>709</v>
      </c>
      <c r="B167" s="550" t="s">
        <v>1963</v>
      </c>
      <c r="C167" s="550" t="s">
        <v>1949</v>
      </c>
      <c r="D167" s="550" t="s">
        <v>1455</v>
      </c>
      <c r="E167" s="547"/>
    </row>
    <row r="168" spans="1:5" x14ac:dyDescent="0.3">
      <c r="A168" s="551" t="s">
        <v>709</v>
      </c>
      <c r="B168" s="551" t="s">
        <v>1938</v>
      </c>
      <c r="C168" s="551" t="s">
        <v>1446</v>
      </c>
      <c r="D168" s="551" t="s">
        <v>1960</v>
      </c>
      <c r="E168" s="549"/>
    </row>
    <row r="169" spans="1:5" x14ac:dyDescent="0.3">
      <c r="A169" s="550" t="s">
        <v>709</v>
      </c>
      <c r="B169" s="550" t="s">
        <v>1964</v>
      </c>
      <c r="C169" s="550" t="s">
        <v>1965</v>
      </c>
      <c r="D169" s="550" t="s">
        <v>1455</v>
      </c>
      <c r="E169" s="547"/>
    </row>
    <row r="170" spans="1:5" x14ac:dyDescent="0.3">
      <c r="A170" s="551" t="s">
        <v>709</v>
      </c>
      <c r="B170" s="551" t="s">
        <v>1966</v>
      </c>
      <c r="C170" s="551" t="s">
        <v>1967</v>
      </c>
      <c r="D170" s="551" t="s">
        <v>733</v>
      </c>
      <c r="E170" s="549"/>
    </row>
    <row r="171" spans="1:5" x14ac:dyDescent="0.3">
      <c r="A171" s="550" t="s">
        <v>709</v>
      </c>
      <c r="B171" s="550" t="s">
        <v>1968</v>
      </c>
      <c r="C171" s="550" t="s">
        <v>1949</v>
      </c>
      <c r="D171" s="550" t="s">
        <v>1455</v>
      </c>
      <c r="E171" s="547"/>
    </row>
    <row r="172" spans="1:5" x14ac:dyDescent="0.3">
      <c r="A172" s="551" t="s">
        <v>709</v>
      </c>
      <c r="B172" s="551" t="s">
        <v>1969</v>
      </c>
      <c r="C172" s="551" t="s">
        <v>1970</v>
      </c>
      <c r="D172" s="551" t="s">
        <v>1455</v>
      </c>
      <c r="E172" s="549"/>
    </row>
    <row r="173" spans="1:5" x14ac:dyDescent="0.3">
      <c r="A173" s="550" t="s">
        <v>709</v>
      </c>
      <c r="B173" s="550" t="s">
        <v>1939</v>
      </c>
      <c r="C173" s="550" t="s">
        <v>1448</v>
      </c>
      <c r="D173" s="550" t="s">
        <v>712</v>
      </c>
      <c r="E173" s="547"/>
    </row>
    <row r="174" spans="1:5" x14ac:dyDescent="0.3">
      <c r="A174" s="551" t="s">
        <v>709</v>
      </c>
      <c r="B174" s="551" t="s">
        <v>1971</v>
      </c>
      <c r="C174" s="551" t="s">
        <v>1949</v>
      </c>
      <c r="D174" s="551" t="s">
        <v>1455</v>
      </c>
      <c r="E174" s="549"/>
    </row>
    <row r="175" spans="1:5" x14ac:dyDescent="0.3">
      <c r="A175" s="550" t="s">
        <v>709</v>
      </c>
      <c r="B175" s="550" t="s">
        <v>1972</v>
      </c>
      <c r="C175" s="550" t="s">
        <v>1973</v>
      </c>
      <c r="D175" s="550" t="s">
        <v>1455</v>
      </c>
      <c r="E175" s="547"/>
    </row>
    <row r="176" spans="1:5" x14ac:dyDescent="0.3">
      <c r="A176" s="551" t="s">
        <v>709</v>
      </c>
      <c r="B176" s="551" t="s">
        <v>1974</v>
      </c>
      <c r="C176" s="551" t="s">
        <v>1949</v>
      </c>
      <c r="D176" s="551" t="s">
        <v>1455</v>
      </c>
      <c r="E176" s="549"/>
    </row>
    <row r="177" spans="1:5" x14ac:dyDescent="0.3">
      <c r="A177" s="550" t="s">
        <v>709</v>
      </c>
      <c r="B177" s="550" t="s">
        <v>1975</v>
      </c>
      <c r="C177" s="550" t="s">
        <v>1949</v>
      </c>
      <c r="D177" s="550" t="s">
        <v>1455</v>
      </c>
      <c r="E177" s="547"/>
    </row>
    <row r="178" spans="1:5" x14ac:dyDescent="0.3">
      <c r="A178" s="551" t="s">
        <v>709</v>
      </c>
      <c r="B178" s="551" t="s">
        <v>1976</v>
      </c>
      <c r="C178" s="551" t="s">
        <v>1977</v>
      </c>
      <c r="D178" s="551" t="s">
        <v>1455</v>
      </c>
      <c r="E178" s="549"/>
    </row>
    <row r="179" spans="1:5" x14ac:dyDescent="0.3">
      <c r="A179" s="550" t="s">
        <v>709</v>
      </c>
      <c r="B179" s="550" t="s">
        <v>1978</v>
      </c>
      <c r="C179" s="550" t="s">
        <v>1979</v>
      </c>
      <c r="D179" s="550" t="s">
        <v>733</v>
      </c>
      <c r="E179" s="547"/>
    </row>
    <row r="180" spans="1:5" x14ac:dyDescent="0.3">
      <c r="A180" s="551" t="s">
        <v>709</v>
      </c>
      <c r="B180" s="551" t="s">
        <v>1980</v>
      </c>
      <c r="C180" s="551" t="s">
        <v>1949</v>
      </c>
      <c r="D180" s="551" t="s">
        <v>1455</v>
      </c>
      <c r="E180" s="549"/>
    </row>
    <row r="181" spans="1:5" x14ac:dyDescent="0.3">
      <c r="A181" s="550" t="s">
        <v>709</v>
      </c>
      <c r="B181" s="550" t="s">
        <v>1981</v>
      </c>
      <c r="C181" s="550" t="s">
        <v>1982</v>
      </c>
      <c r="D181" s="550" t="s">
        <v>1455</v>
      </c>
      <c r="E181" s="547"/>
    </row>
    <row r="182" spans="1:5" x14ac:dyDescent="0.3">
      <c r="A182" s="551" t="s">
        <v>709</v>
      </c>
      <c r="B182" s="551" t="s">
        <v>1983</v>
      </c>
      <c r="C182" s="551" t="s">
        <v>1984</v>
      </c>
      <c r="D182" s="551" t="s">
        <v>733</v>
      </c>
      <c r="E182" s="549"/>
    </row>
    <row r="183" spans="1:5" x14ac:dyDescent="0.3">
      <c r="A183" s="550" t="s">
        <v>709</v>
      </c>
      <c r="B183" s="550" t="s">
        <v>1985</v>
      </c>
      <c r="C183" s="550" t="s">
        <v>1986</v>
      </c>
      <c r="D183" s="550" t="s">
        <v>1947</v>
      </c>
      <c r="E183" s="547"/>
    </row>
    <row r="184" spans="1:5" x14ac:dyDescent="0.3">
      <c r="A184" s="551" t="s">
        <v>709</v>
      </c>
      <c r="B184" s="551" t="s">
        <v>1987</v>
      </c>
      <c r="C184" s="551" t="s">
        <v>1988</v>
      </c>
      <c r="D184" s="551" t="s">
        <v>733</v>
      </c>
      <c r="E184" s="549"/>
    </row>
    <row r="185" spans="1:5" x14ac:dyDescent="0.3">
      <c r="A185" s="550" t="s">
        <v>709</v>
      </c>
      <c r="B185" s="550" t="s">
        <v>1989</v>
      </c>
      <c r="C185" s="550" t="s">
        <v>1949</v>
      </c>
      <c r="D185" s="550" t="s">
        <v>1455</v>
      </c>
      <c r="E185" s="547"/>
    </row>
    <row r="186" spans="1:5" x14ac:dyDescent="0.3">
      <c r="A186" s="551" t="s">
        <v>709</v>
      </c>
      <c r="B186" s="551" t="s">
        <v>1990</v>
      </c>
      <c r="C186" s="551" t="s">
        <v>1991</v>
      </c>
      <c r="D186" s="551" t="s">
        <v>733</v>
      </c>
      <c r="E186" s="549"/>
    </row>
    <row r="187" spans="1:5" x14ac:dyDescent="0.3">
      <c r="A187" s="550" t="s">
        <v>709</v>
      </c>
      <c r="B187" s="550" t="s">
        <v>1992</v>
      </c>
      <c r="C187" s="550" t="s">
        <v>1993</v>
      </c>
      <c r="D187" s="550" t="s">
        <v>1947</v>
      </c>
      <c r="E187" s="547"/>
    </row>
    <row r="188" spans="1:5" x14ac:dyDescent="0.3">
      <c r="A188" s="551" t="s">
        <v>709</v>
      </c>
      <c r="B188" s="551" t="s">
        <v>1994</v>
      </c>
      <c r="C188" s="551" t="s">
        <v>1995</v>
      </c>
      <c r="D188" s="551" t="s">
        <v>733</v>
      </c>
      <c r="E188" s="549"/>
    </row>
    <row r="189" spans="1:5" x14ac:dyDescent="0.3">
      <c r="A189" s="550" t="s">
        <v>709</v>
      </c>
      <c r="B189" s="550" t="s">
        <v>1996</v>
      </c>
      <c r="C189" s="550" t="s">
        <v>1949</v>
      </c>
      <c r="D189" s="550" t="s">
        <v>1455</v>
      </c>
      <c r="E189" s="547"/>
    </row>
    <row r="190" spans="1:5" x14ac:dyDescent="0.3">
      <c r="A190" s="551" t="s">
        <v>709</v>
      </c>
      <c r="B190" s="551" t="s">
        <v>1997</v>
      </c>
      <c r="C190" s="551" t="s">
        <v>1998</v>
      </c>
      <c r="D190" s="551" t="s">
        <v>733</v>
      </c>
      <c r="E190" s="549"/>
    </row>
    <row r="191" spans="1:5" x14ac:dyDescent="0.3">
      <c r="A191" s="550" t="s">
        <v>709</v>
      </c>
      <c r="B191" s="550" t="s">
        <v>1999</v>
      </c>
      <c r="C191" s="550" t="s">
        <v>2000</v>
      </c>
      <c r="D191" s="550" t="s">
        <v>733</v>
      </c>
      <c r="E191" s="547"/>
    </row>
    <row r="192" spans="1:5" x14ac:dyDescent="0.3">
      <c r="A192" s="551" t="s">
        <v>709</v>
      </c>
      <c r="B192" s="551" t="s">
        <v>2001</v>
      </c>
      <c r="C192" s="551" t="s">
        <v>2002</v>
      </c>
      <c r="D192" s="551" t="s">
        <v>733</v>
      </c>
      <c r="E192" s="549"/>
    </row>
    <row r="193" spans="1:5" x14ac:dyDescent="0.3">
      <c r="A193" s="550" t="s">
        <v>709</v>
      </c>
      <c r="B193" s="550" t="s">
        <v>2003</v>
      </c>
      <c r="C193" s="550" t="s">
        <v>1949</v>
      </c>
      <c r="D193" s="550" t="s">
        <v>1455</v>
      </c>
      <c r="E193" s="547"/>
    </row>
    <row r="194" spans="1:5" x14ac:dyDescent="0.3">
      <c r="A194" s="551" t="s">
        <v>709</v>
      </c>
      <c r="B194" s="551" t="s">
        <v>2004</v>
      </c>
      <c r="C194" s="551" t="s">
        <v>2005</v>
      </c>
      <c r="D194" s="551" t="s">
        <v>1947</v>
      </c>
      <c r="E194" s="549"/>
    </row>
    <row r="195" spans="1:5" x14ac:dyDescent="0.3">
      <c r="A195" s="550" t="s">
        <v>709</v>
      </c>
      <c r="B195" s="550" t="s">
        <v>2006</v>
      </c>
      <c r="C195" s="550" t="s">
        <v>2007</v>
      </c>
      <c r="D195" s="550" t="s">
        <v>733</v>
      </c>
      <c r="E195" s="547"/>
    </row>
    <row r="196" spans="1:5" x14ac:dyDescent="0.3">
      <c r="A196" s="551" t="s">
        <v>709</v>
      </c>
      <c r="B196" s="551" t="s">
        <v>2008</v>
      </c>
      <c r="C196" s="551" t="s">
        <v>2009</v>
      </c>
      <c r="D196" s="551" t="s">
        <v>733</v>
      </c>
      <c r="E196" s="549"/>
    </row>
    <row r="197" spans="1:5" x14ac:dyDescent="0.3">
      <c r="A197" s="550" t="s">
        <v>709</v>
      </c>
      <c r="B197" s="550" t="s">
        <v>2010</v>
      </c>
      <c r="C197" s="550" t="s">
        <v>2011</v>
      </c>
      <c r="D197" s="550" t="s">
        <v>733</v>
      </c>
      <c r="E197" s="547"/>
    </row>
    <row r="198" spans="1:5" x14ac:dyDescent="0.3">
      <c r="A198" s="551" t="s">
        <v>709</v>
      </c>
      <c r="B198" s="551" t="s">
        <v>2012</v>
      </c>
      <c r="C198" s="551" t="s">
        <v>2013</v>
      </c>
      <c r="D198" s="551" t="s">
        <v>733</v>
      </c>
      <c r="E198" s="549"/>
    </row>
    <row r="199" spans="1:5" x14ac:dyDescent="0.3">
      <c r="A199" s="550" t="s">
        <v>709</v>
      </c>
      <c r="B199" s="550" t="s">
        <v>2014</v>
      </c>
      <c r="C199" s="550" t="s">
        <v>2015</v>
      </c>
      <c r="D199" s="550" t="s">
        <v>712</v>
      </c>
      <c r="E199" s="547"/>
    </row>
    <row r="200" spans="1:5" x14ac:dyDescent="0.3">
      <c r="A200" s="551" t="s">
        <v>709</v>
      </c>
      <c r="B200" s="551" t="s">
        <v>2016</v>
      </c>
      <c r="C200" s="551" t="s">
        <v>2017</v>
      </c>
      <c r="D200" s="551" t="s">
        <v>1455</v>
      </c>
      <c r="E200" s="549"/>
    </row>
    <row r="201" spans="1:5" x14ac:dyDescent="0.3">
      <c r="A201" s="550" t="s">
        <v>709</v>
      </c>
      <c r="B201" s="550" t="s">
        <v>2018</v>
      </c>
      <c r="C201" s="550" t="s">
        <v>1949</v>
      </c>
      <c r="D201" s="550" t="s">
        <v>1455</v>
      </c>
      <c r="E201" s="547"/>
    </row>
    <row r="202" spans="1:5" x14ac:dyDescent="0.3">
      <c r="A202" s="551" t="s">
        <v>709</v>
      </c>
      <c r="B202" s="551" t="s">
        <v>2019</v>
      </c>
      <c r="C202" s="551" t="s">
        <v>2020</v>
      </c>
      <c r="D202" s="551" t="s">
        <v>733</v>
      </c>
      <c r="E202" s="549"/>
    </row>
    <row r="203" spans="1:5" x14ac:dyDescent="0.3">
      <c r="A203" s="550" t="s">
        <v>709</v>
      </c>
      <c r="B203" s="550" t="s">
        <v>2021</v>
      </c>
      <c r="C203" s="550" t="s">
        <v>2022</v>
      </c>
      <c r="D203" s="550" t="s">
        <v>733</v>
      </c>
      <c r="E203" s="547"/>
    </row>
    <row r="204" spans="1:5" x14ac:dyDescent="0.3">
      <c r="A204" s="551" t="s">
        <v>709</v>
      </c>
      <c r="B204" s="551" t="s">
        <v>2023</v>
      </c>
      <c r="C204" s="551" t="s">
        <v>1949</v>
      </c>
      <c r="D204" s="551" t="s">
        <v>1455</v>
      </c>
      <c r="E204" s="549"/>
    </row>
    <row r="205" spans="1:5" x14ac:dyDescent="0.3">
      <c r="A205" s="550" t="s">
        <v>709</v>
      </c>
      <c r="B205" s="550" t="s">
        <v>2024</v>
      </c>
      <c r="C205" s="550" t="s">
        <v>2025</v>
      </c>
      <c r="D205" s="550" t="s">
        <v>1455</v>
      </c>
      <c r="E205" s="547"/>
    </row>
    <row r="206" spans="1:5" x14ac:dyDescent="0.3">
      <c r="A206" s="551" t="s">
        <v>709</v>
      </c>
      <c r="B206" s="551" t="s">
        <v>2026</v>
      </c>
      <c r="C206" s="551" t="s">
        <v>1949</v>
      </c>
      <c r="D206" s="551" t="s">
        <v>1455</v>
      </c>
      <c r="E206" s="549"/>
    </row>
    <row r="207" spans="1:5" x14ac:dyDescent="0.3">
      <c r="A207" s="550" t="s">
        <v>709</v>
      </c>
      <c r="B207" s="550" t="s">
        <v>2027</v>
      </c>
      <c r="C207" s="550" t="s">
        <v>2028</v>
      </c>
      <c r="D207" s="550" t="s">
        <v>1455</v>
      </c>
      <c r="E207" s="547"/>
    </row>
    <row r="208" spans="1:5" x14ac:dyDescent="0.3">
      <c r="A208" s="551" t="s">
        <v>709</v>
      </c>
      <c r="B208" s="551" t="s">
        <v>2029</v>
      </c>
      <c r="C208" s="551" t="s">
        <v>2030</v>
      </c>
      <c r="D208" s="551" t="s">
        <v>712</v>
      </c>
      <c r="E208" s="549"/>
    </row>
    <row r="209" spans="1:5" x14ac:dyDescent="0.3">
      <c r="A209" s="550" t="s">
        <v>709</v>
      </c>
      <c r="B209" s="550" t="s">
        <v>2031</v>
      </c>
      <c r="C209" s="550" t="s">
        <v>2032</v>
      </c>
      <c r="D209" s="550" t="s">
        <v>733</v>
      </c>
      <c r="E209" s="547"/>
    </row>
    <row r="210" spans="1:5" x14ac:dyDescent="0.3">
      <c r="A210" s="551" t="s">
        <v>709</v>
      </c>
      <c r="B210" s="551" t="s">
        <v>2033</v>
      </c>
      <c r="C210" s="551" t="s">
        <v>2034</v>
      </c>
      <c r="D210" s="551" t="s">
        <v>733</v>
      </c>
      <c r="E210" s="549"/>
    </row>
    <row r="211" spans="1:5" x14ac:dyDescent="0.3">
      <c r="A211" s="550" t="s">
        <v>709</v>
      </c>
      <c r="B211" s="550" t="s">
        <v>2035</v>
      </c>
      <c r="C211" s="550" t="s">
        <v>2036</v>
      </c>
      <c r="D211" s="550" t="s">
        <v>733</v>
      </c>
      <c r="E211" s="547"/>
    </row>
    <row r="212" spans="1:5" x14ac:dyDescent="0.3">
      <c r="A212" s="551" t="s">
        <v>709</v>
      </c>
      <c r="B212" s="551" t="s">
        <v>2037</v>
      </c>
      <c r="C212" s="551" t="s">
        <v>1949</v>
      </c>
      <c r="D212" s="551" t="s">
        <v>1455</v>
      </c>
      <c r="E212" s="549"/>
    </row>
    <row r="213" spans="1:5" x14ac:dyDescent="0.3">
      <c r="A213" s="550" t="s">
        <v>709</v>
      </c>
      <c r="B213" s="550" t="s">
        <v>2038</v>
      </c>
      <c r="C213" s="550" t="s">
        <v>1949</v>
      </c>
      <c r="D213" s="550" t="s">
        <v>1455</v>
      </c>
      <c r="E213" s="547"/>
    </row>
    <row r="214" spans="1:5" x14ac:dyDescent="0.3">
      <c r="A214" s="551" t="s">
        <v>709</v>
      </c>
      <c r="B214" s="551" t="s">
        <v>2039</v>
      </c>
      <c r="C214" s="551" t="s">
        <v>2040</v>
      </c>
      <c r="D214" s="551" t="s">
        <v>733</v>
      </c>
      <c r="E214" s="549"/>
    </row>
    <row r="215" spans="1:5" x14ac:dyDescent="0.3">
      <c r="A215" s="550" t="s">
        <v>709</v>
      </c>
      <c r="B215" s="550" t="s">
        <v>2041</v>
      </c>
      <c r="C215" s="550" t="s">
        <v>2042</v>
      </c>
      <c r="D215" s="550" t="s">
        <v>733</v>
      </c>
      <c r="E215" s="547"/>
    </row>
    <row r="216" spans="1:5" x14ac:dyDescent="0.3">
      <c r="A216" s="551" t="s">
        <v>709</v>
      </c>
      <c r="B216" s="551" t="s">
        <v>2043</v>
      </c>
      <c r="C216" s="551" t="s">
        <v>1949</v>
      </c>
      <c r="D216" s="551" t="s">
        <v>1455</v>
      </c>
      <c r="E216" s="549"/>
    </row>
    <row r="217" spans="1:5" x14ac:dyDescent="0.3">
      <c r="A217" s="550" t="s">
        <v>709</v>
      </c>
      <c r="B217" s="550" t="s">
        <v>2044</v>
      </c>
      <c r="C217" s="550" t="s">
        <v>2045</v>
      </c>
      <c r="D217" s="550" t="s">
        <v>733</v>
      </c>
      <c r="E217" s="547"/>
    </row>
    <row r="218" spans="1:5" x14ac:dyDescent="0.3">
      <c r="A218" s="551" t="s">
        <v>709</v>
      </c>
      <c r="B218" s="551" t="s">
        <v>2046</v>
      </c>
      <c r="C218" s="551" t="s">
        <v>2047</v>
      </c>
      <c r="D218" s="551" t="s">
        <v>733</v>
      </c>
      <c r="E218" s="549"/>
    </row>
    <row r="219" spans="1:5" x14ac:dyDescent="0.3">
      <c r="A219" s="550" t="s">
        <v>709</v>
      </c>
      <c r="B219" s="550" t="s">
        <v>2048</v>
      </c>
      <c r="C219" s="550" t="s">
        <v>2049</v>
      </c>
      <c r="D219" s="550" t="s">
        <v>733</v>
      </c>
      <c r="E219" s="547"/>
    </row>
    <row r="220" spans="1:5" x14ac:dyDescent="0.3">
      <c r="A220" s="551" t="s">
        <v>709</v>
      </c>
      <c r="B220" s="551" t="s">
        <v>2050</v>
      </c>
      <c r="C220" s="551" t="s">
        <v>2051</v>
      </c>
      <c r="D220" s="551" t="s">
        <v>1455</v>
      </c>
      <c r="E220" s="549"/>
    </row>
    <row r="221" spans="1:5" x14ac:dyDescent="0.3">
      <c r="A221" s="550" t="s">
        <v>709</v>
      </c>
      <c r="B221" s="550" t="s">
        <v>2052</v>
      </c>
      <c r="C221" s="550" t="s">
        <v>1949</v>
      </c>
      <c r="D221" s="550" t="s">
        <v>1455</v>
      </c>
      <c r="E221" s="547"/>
    </row>
    <row r="222" spans="1:5" x14ac:dyDescent="0.3">
      <c r="A222" s="551" t="s">
        <v>709</v>
      </c>
      <c r="B222" s="551" t="s">
        <v>2053</v>
      </c>
      <c r="C222" s="551" t="s">
        <v>2054</v>
      </c>
      <c r="D222" s="551" t="s">
        <v>712</v>
      </c>
      <c r="E222" s="549"/>
    </row>
    <row r="223" spans="1:5" x14ac:dyDescent="0.3">
      <c r="A223" s="550" t="s">
        <v>709</v>
      </c>
      <c r="B223" s="550" t="s">
        <v>2055</v>
      </c>
      <c r="C223" s="550" t="s">
        <v>1949</v>
      </c>
      <c r="D223" s="550" t="s">
        <v>1455</v>
      </c>
      <c r="E223" s="547"/>
    </row>
    <row r="224" spans="1:5" x14ac:dyDescent="0.3">
      <c r="A224" s="551" t="s">
        <v>709</v>
      </c>
      <c r="B224" s="551" t="s">
        <v>2056</v>
      </c>
      <c r="C224" s="551" t="s">
        <v>1949</v>
      </c>
      <c r="D224" s="551" t="s">
        <v>1455</v>
      </c>
      <c r="E224" s="549"/>
    </row>
    <row r="225" spans="1:5" x14ac:dyDescent="0.3">
      <c r="A225" s="550" t="s">
        <v>709</v>
      </c>
      <c r="B225" s="550" t="s">
        <v>2057</v>
      </c>
      <c r="C225" s="550" t="s">
        <v>1949</v>
      </c>
      <c r="D225" s="550" t="s">
        <v>1455</v>
      </c>
      <c r="E225" s="547"/>
    </row>
    <row r="226" spans="1:5" x14ac:dyDescent="0.3">
      <c r="A226" s="551" t="s">
        <v>709</v>
      </c>
      <c r="B226" s="551" t="s">
        <v>2058</v>
      </c>
      <c r="C226" s="551" t="s">
        <v>2059</v>
      </c>
      <c r="D226" s="551" t="s">
        <v>733</v>
      </c>
      <c r="E226" s="549"/>
    </row>
    <row r="227" spans="1:5" x14ac:dyDescent="0.3">
      <c r="A227" s="550" t="s">
        <v>709</v>
      </c>
      <c r="B227" s="550" t="s">
        <v>2060</v>
      </c>
      <c r="C227" s="550" t="s">
        <v>1949</v>
      </c>
      <c r="D227" s="550" t="s">
        <v>1455</v>
      </c>
      <c r="E227" s="547"/>
    </row>
    <row r="228" spans="1:5" x14ac:dyDescent="0.3">
      <c r="A228" s="551" t="s">
        <v>709</v>
      </c>
      <c r="B228" s="551" t="s">
        <v>2061</v>
      </c>
      <c r="C228" s="551" t="s">
        <v>1949</v>
      </c>
      <c r="D228" s="551" t="s">
        <v>1455</v>
      </c>
      <c r="E228" s="549"/>
    </row>
    <row r="229" spans="1:5" x14ac:dyDescent="0.3">
      <c r="A229" s="550" t="s">
        <v>709</v>
      </c>
      <c r="B229" s="550" t="s">
        <v>2062</v>
      </c>
      <c r="C229" s="550" t="s">
        <v>1949</v>
      </c>
      <c r="D229" s="550" t="s">
        <v>1455</v>
      </c>
      <c r="E229" s="547"/>
    </row>
    <row r="230" spans="1:5" x14ac:dyDescent="0.3">
      <c r="A230" s="551" t="s">
        <v>709</v>
      </c>
      <c r="B230" s="551" t="s">
        <v>2063</v>
      </c>
      <c r="C230" s="551" t="s">
        <v>2064</v>
      </c>
      <c r="D230" s="551" t="s">
        <v>733</v>
      </c>
      <c r="E230" s="549"/>
    </row>
    <row r="231" spans="1:5" x14ac:dyDescent="0.3">
      <c r="A231" s="550" t="s">
        <v>709</v>
      </c>
      <c r="B231" s="550" t="s">
        <v>2065</v>
      </c>
      <c r="C231" s="550" t="s">
        <v>2066</v>
      </c>
      <c r="D231" s="550" t="s">
        <v>733</v>
      </c>
      <c r="E231" s="547"/>
    </row>
    <row r="232" spans="1:5" x14ac:dyDescent="0.3">
      <c r="A232" s="551" t="s">
        <v>709</v>
      </c>
      <c r="B232" s="551" t="s">
        <v>2067</v>
      </c>
      <c r="C232" s="551" t="s">
        <v>2068</v>
      </c>
      <c r="D232" s="551" t="s">
        <v>1455</v>
      </c>
      <c r="E232" s="549"/>
    </row>
    <row r="233" spans="1:5" x14ac:dyDescent="0.3">
      <c r="A233" s="550" t="s">
        <v>709</v>
      </c>
      <c r="B233" s="550" t="s">
        <v>1930</v>
      </c>
      <c r="C233" s="550" t="s">
        <v>654</v>
      </c>
      <c r="D233" s="550" t="s">
        <v>733</v>
      </c>
      <c r="E233" s="547"/>
    </row>
    <row r="234" spans="1:5" x14ac:dyDescent="0.3">
      <c r="A234" s="551" t="s">
        <v>709</v>
      </c>
      <c r="B234" s="551" t="s">
        <v>2069</v>
      </c>
      <c r="C234" s="551" t="s">
        <v>1949</v>
      </c>
      <c r="D234" s="551" t="s">
        <v>1455</v>
      </c>
      <c r="E234" s="549"/>
    </row>
    <row r="235" spans="1:5" x14ac:dyDescent="0.3">
      <c r="A235" s="550" t="s">
        <v>709</v>
      </c>
      <c r="B235" s="550" t="s">
        <v>1932</v>
      </c>
      <c r="C235" s="550" t="s">
        <v>1437</v>
      </c>
      <c r="D235" s="550" t="s">
        <v>1960</v>
      </c>
      <c r="E235" s="547"/>
    </row>
    <row r="236" spans="1:5" x14ac:dyDescent="0.3">
      <c r="A236" s="551" t="s">
        <v>709</v>
      </c>
      <c r="B236" s="551" t="s">
        <v>2070</v>
      </c>
      <c r="C236" s="551" t="s">
        <v>2071</v>
      </c>
      <c r="D236" s="551" t="s">
        <v>733</v>
      </c>
      <c r="E236" s="549"/>
    </row>
    <row r="237" spans="1:5" x14ac:dyDescent="0.3">
      <c r="A237" s="550" t="s">
        <v>709</v>
      </c>
      <c r="B237" s="550" t="s">
        <v>1935</v>
      </c>
      <c r="C237" s="550" t="s">
        <v>1444</v>
      </c>
      <c r="D237" s="550" t="s">
        <v>733</v>
      </c>
      <c r="E237" s="547"/>
    </row>
    <row r="238" spans="1:5" x14ac:dyDescent="0.3">
      <c r="A238" s="551" t="s">
        <v>709</v>
      </c>
      <c r="B238" s="551" t="s">
        <v>2072</v>
      </c>
      <c r="C238" s="551" t="s">
        <v>2073</v>
      </c>
      <c r="D238" s="551" t="s">
        <v>1455</v>
      </c>
      <c r="E238" s="549"/>
    </row>
    <row r="239" spans="1:5" x14ac:dyDescent="0.3">
      <c r="A239" s="550" t="s">
        <v>709</v>
      </c>
      <c r="B239" s="550" t="s">
        <v>1936</v>
      </c>
      <c r="C239" s="550" t="s">
        <v>656</v>
      </c>
      <c r="D239" s="550" t="s">
        <v>1455</v>
      </c>
      <c r="E239" s="547"/>
    </row>
    <row r="240" spans="1:5" x14ac:dyDescent="0.3">
      <c r="A240" s="551" t="s">
        <v>709</v>
      </c>
      <c r="B240" s="551" t="s">
        <v>1940</v>
      </c>
      <c r="C240" s="551" t="s">
        <v>658</v>
      </c>
      <c r="D240" s="551" t="s">
        <v>733</v>
      </c>
      <c r="E240" s="549"/>
    </row>
    <row r="241" spans="1:5" x14ac:dyDescent="0.3">
      <c r="A241" s="550" t="s">
        <v>709</v>
      </c>
      <c r="B241" s="550" t="s">
        <v>1942</v>
      </c>
      <c r="C241" s="550" t="s">
        <v>660</v>
      </c>
      <c r="D241" s="550" t="s">
        <v>733</v>
      </c>
      <c r="E241" s="547"/>
    </row>
    <row r="242" spans="1:5" x14ac:dyDescent="0.3">
      <c r="A242" s="551" t="s">
        <v>709</v>
      </c>
      <c r="B242" s="551" t="s">
        <v>2074</v>
      </c>
      <c r="C242" s="551" t="s">
        <v>2075</v>
      </c>
      <c r="D242" s="551" t="s">
        <v>1455</v>
      </c>
      <c r="E242" s="549"/>
    </row>
    <row r="243" spans="1:5" x14ac:dyDescent="0.3">
      <c r="A243" s="550" t="s">
        <v>709</v>
      </c>
      <c r="B243" s="550" t="s">
        <v>2076</v>
      </c>
      <c r="C243" s="550" t="s">
        <v>2077</v>
      </c>
      <c r="D243" s="550" t="s">
        <v>1455</v>
      </c>
      <c r="E243" s="547"/>
    </row>
    <row r="244" spans="1:5" x14ac:dyDescent="0.3">
      <c r="A244" s="551" t="s">
        <v>709</v>
      </c>
      <c r="B244" s="551" t="s">
        <v>2078</v>
      </c>
      <c r="C244" s="551" t="s">
        <v>1949</v>
      </c>
      <c r="D244" s="551" t="s">
        <v>1455</v>
      </c>
      <c r="E244" s="549"/>
    </row>
    <row r="245" spans="1:5" x14ac:dyDescent="0.3">
      <c r="A245" s="550" t="s">
        <v>709</v>
      </c>
      <c r="B245" s="550" t="s">
        <v>2079</v>
      </c>
      <c r="C245" s="550" t="s">
        <v>2080</v>
      </c>
      <c r="D245" s="550" t="s">
        <v>1960</v>
      </c>
      <c r="E245" s="547"/>
    </row>
    <row r="246" spans="1:5" x14ac:dyDescent="0.3">
      <c r="A246" s="551" t="s">
        <v>709</v>
      </c>
      <c r="B246" s="551" t="s">
        <v>2081</v>
      </c>
      <c r="C246" s="551" t="s">
        <v>1949</v>
      </c>
      <c r="D246" s="551" t="s">
        <v>1455</v>
      </c>
      <c r="E246" s="549"/>
    </row>
    <row r="247" spans="1:5" x14ac:dyDescent="0.3">
      <c r="A247" s="550" t="s">
        <v>709</v>
      </c>
      <c r="B247" s="550" t="s">
        <v>2082</v>
      </c>
      <c r="C247" s="550" t="s">
        <v>2083</v>
      </c>
      <c r="D247" s="550" t="s">
        <v>1947</v>
      </c>
      <c r="E247" s="547"/>
    </row>
    <row r="248" spans="1:5" x14ac:dyDescent="0.3">
      <c r="A248" s="551" t="s">
        <v>709</v>
      </c>
      <c r="B248" s="551" t="s">
        <v>2084</v>
      </c>
      <c r="C248" s="551" t="s">
        <v>2085</v>
      </c>
      <c r="D248" s="551" t="s">
        <v>733</v>
      </c>
      <c r="E248" s="549"/>
    </row>
    <row r="249" spans="1:5" x14ac:dyDescent="0.3">
      <c r="A249" s="550" t="s">
        <v>709</v>
      </c>
      <c r="B249" s="550" t="s">
        <v>2086</v>
      </c>
      <c r="C249" s="550" t="s">
        <v>2087</v>
      </c>
      <c r="D249" s="550" t="s">
        <v>1947</v>
      </c>
      <c r="E249" s="547"/>
    </row>
    <row r="250" spans="1:5" x14ac:dyDescent="0.3">
      <c r="A250" s="551" t="s">
        <v>709</v>
      </c>
      <c r="B250" s="551" t="s">
        <v>2088</v>
      </c>
      <c r="C250" s="551" t="s">
        <v>1949</v>
      </c>
      <c r="D250" s="551" t="s">
        <v>1455</v>
      </c>
      <c r="E250" s="549"/>
    </row>
    <row r="251" spans="1:5" x14ac:dyDescent="0.3">
      <c r="A251" s="550" t="s">
        <v>709</v>
      </c>
      <c r="B251" s="550" t="s">
        <v>2089</v>
      </c>
      <c r="C251" s="550" t="s">
        <v>2090</v>
      </c>
      <c r="D251" s="550" t="s">
        <v>733</v>
      </c>
      <c r="E251" s="547"/>
    </row>
    <row r="252" spans="1:5" x14ac:dyDescent="0.3">
      <c r="A252" s="551" t="s">
        <v>709</v>
      </c>
      <c r="B252" s="551" t="s">
        <v>2091</v>
      </c>
      <c r="C252" s="551" t="s">
        <v>2092</v>
      </c>
      <c r="D252" s="551" t="s">
        <v>733</v>
      </c>
      <c r="E252" s="549"/>
    </row>
    <row r="253" spans="1:5" x14ac:dyDescent="0.3">
      <c r="A253" s="550" t="s">
        <v>709</v>
      </c>
      <c r="B253" s="550" t="s">
        <v>2093</v>
      </c>
      <c r="C253" s="550" t="s">
        <v>2094</v>
      </c>
      <c r="D253" s="550" t="s">
        <v>1455</v>
      </c>
      <c r="E253" s="547"/>
    </row>
    <row r="254" spans="1:5" x14ac:dyDescent="0.3">
      <c r="A254" s="551" t="s">
        <v>709</v>
      </c>
      <c r="B254" s="551" t="s">
        <v>2095</v>
      </c>
      <c r="C254" s="551" t="s">
        <v>2096</v>
      </c>
      <c r="D254" s="551" t="s">
        <v>733</v>
      </c>
      <c r="E254" s="549"/>
    </row>
    <row r="255" spans="1:5" x14ac:dyDescent="0.3">
      <c r="A255" s="550" t="s">
        <v>709</v>
      </c>
      <c r="B255" s="550" t="s">
        <v>2097</v>
      </c>
      <c r="C255" s="550" t="s">
        <v>2098</v>
      </c>
      <c r="D255" s="550" t="s">
        <v>1455</v>
      </c>
      <c r="E255" s="547"/>
    </row>
    <row r="256" spans="1:5" x14ac:dyDescent="0.3">
      <c r="A256" s="551" t="s">
        <v>709</v>
      </c>
      <c r="B256" s="551" t="s">
        <v>2099</v>
      </c>
      <c r="C256" s="551" t="s">
        <v>1949</v>
      </c>
      <c r="D256" s="551" t="s">
        <v>1455</v>
      </c>
      <c r="E256" s="549"/>
    </row>
    <row r="257" spans="1:5" x14ac:dyDescent="0.3">
      <c r="A257" s="550" t="s">
        <v>709</v>
      </c>
      <c r="B257" s="550" t="s">
        <v>2100</v>
      </c>
      <c r="C257" s="550" t="s">
        <v>2101</v>
      </c>
      <c r="D257" s="550" t="s">
        <v>733</v>
      </c>
      <c r="E257" s="547"/>
    </row>
    <row r="258" spans="1:5" x14ac:dyDescent="0.3">
      <c r="A258" s="551" t="s">
        <v>709</v>
      </c>
      <c r="B258" s="551" t="s">
        <v>2102</v>
      </c>
      <c r="C258" s="551" t="s">
        <v>2103</v>
      </c>
      <c r="D258" s="551" t="s">
        <v>1455</v>
      </c>
      <c r="E258" s="549"/>
    </row>
    <row r="259" spans="1:5" x14ac:dyDescent="0.3">
      <c r="A259" s="550" t="s">
        <v>709</v>
      </c>
      <c r="B259" s="550" t="s">
        <v>2104</v>
      </c>
      <c r="C259" s="550" t="s">
        <v>2105</v>
      </c>
      <c r="D259" s="550" t="s">
        <v>733</v>
      </c>
      <c r="E259" s="547"/>
    </row>
    <row r="260" spans="1:5" x14ac:dyDescent="0.3">
      <c r="A260" s="551" t="s">
        <v>709</v>
      </c>
      <c r="B260" s="551" t="s">
        <v>2106</v>
      </c>
      <c r="C260" s="551" t="s">
        <v>2107</v>
      </c>
      <c r="D260" s="551" t="s">
        <v>733</v>
      </c>
      <c r="E260" s="549"/>
    </row>
    <row r="261" spans="1:5" x14ac:dyDescent="0.3">
      <c r="A261" s="550" t="s">
        <v>709</v>
      </c>
      <c r="B261" s="550" t="s">
        <v>2108</v>
      </c>
      <c r="C261" s="550" t="s">
        <v>2109</v>
      </c>
      <c r="D261" s="550" t="s">
        <v>733</v>
      </c>
      <c r="E261" s="547"/>
    </row>
    <row r="262" spans="1:5" x14ac:dyDescent="0.3">
      <c r="A262" s="551" t="s">
        <v>709</v>
      </c>
      <c r="B262" s="551" t="s">
        <v>2110</v>
      </c>
      <c r="C262" s="551" t="s">
        <v>2111</v>
      </c>
      <c r="D262" s="551" t="s">
        <v>733</v>
      </c>
      <c r="E262" s="549"/>
    </row>
    <row r="263" spans="1:5" x14ac:dyDescent="0.3">
      <c r="A263" s="550" t="s">
        <v>709</v>
      </c>
      <c r="B263" s="550" t="s">
        <v>2112</v>
      </c>
      <c r="C263" s="550" t="s">
        <v>2113</v>
      </c>
      <c r="D263" s="550" t="s">
        <v>733</v>
      </c>
      <c r="E263" s="547"/>
    </row>
    <row r="264" spans="1:5" x14ac:dyDescent="0.3">
      <c r="A264" s="551" t="s">
        <v>709</v>
      </c>
      <c r="B264" s="551" t="s">
        <v>2114</v>
      </c>
      <c r="C264" s="551" t="s">
        <v>2115</v>
      </c>
      <c r="D264" s="551" t="s">
        <v>733</v>
      </c>
      <c r="E264" s="549"/>
    </row>
    <row r="265" spans="1:5" x14ac:dyDescent="0.3">
      <c r="A265" s="550" t="s">
        <v>709</v>
      </c>
      <c r="B265" s="550" t="s">
        <v>2116</v>
      </c>
      <c r="C265" s="550" t="s">
        <v>2117</v>
      </c>
      <c r="D265" s="550" t="s">
        <v>733</v>
      </c>
      <c r="E265" s="547"/>
    </row>
    <row r="266" spans="1:5" x14ac:dyDescent="0.3">
      <c r="A266" s="551" t="s">
        <v>709</v>
      </c>
      <c r="B266" s="551" t="s">
        <v>2118</v>
      </c>
      <c r="C266" s="551" t="s">
        <v>1949</v>
      </c>
      <c r="D266" s="551" t="s">
        <v>1455</v>
      </c>
      <c r="E266" s="549"/>
    </row>
    <row r="267" spans="1:5" x14ac:dyDescent="0.3">
      <c r="A267" s="550" t="s">
        <v>709</v>
      </c>
      <c r="B267" s="550" t="s">
        <v>2119</v>
      </c>
      <c r="C267" s="550" t="s">
        <v>1949</v>
      </c>
      <c r="D267" s="550" t="s">
        <v>1455</v>
      </c>
      <c r="E267" s="547"/>
    </row>
    <row r="268" spans="1:5" x14ac:dyDescent="0.3">
      <c r="A268" s="551" t="s">
        <v>709</v>
      </c>
      <c r="B268" s="551" t="s">
        <v>2120</v>
      </c>
      <c r="C268" s="551" t="s">
        <v>2121</v>
      </c>
      <c r="D268" s="551" t="s">
        <v>1960</v>
      </c>
      <c r="E268" s="549"/>
    </row>
    <row r="269" spans="1:5" x14ac:dyDescent="0.3">
      <c r="A269" s="550" t="s">
        <v>709</v>
      </c>
      <c r="B269" s="550" t="s">
        <v>2122</v>
      </c>
      <c r="C269" s="550" t="s">
        <v>1949</v>
      </c>
      <c r="D269" s="550" t="s">
        <v>1455</v>
      </c>
      <c r="E269" s="547"/>
    </row>
    <row r="270" spans="1:5" x14ac:dyDescent="0.3">
      <c r="A270" s="551" t="s">
        <v>709</v>
      </c>
      <c r="B270" s="551" t="s">
        <v>2123</v>
      </c>
      <c r="C270" s="551" t="s">
        <v>1949</v>
      </c>
      <c r="D270" s="551" t="s">
        <v>1455</v>
      </c>
      <c r="E270" s="549"/>
    </row>
    <row r="271" spans="1:5" x14ac:dyDescent="0.3">
      <c r="A271" s="550" t="s">
        <v>709</v>
      </c>
      <c r="B271" s="550" t="s">
        <v>2124</v>
      </c>
      <c r="C271" s="550" t="s">
        <v>2125</v>
      </c>
      <c r="D271" s="550" t="s">
        <v>733</v>
      </c>
      <c r="E271" s="547"/>
    </row>
    <row r="272" spans="1:5" x14ac:dyDescent="0.3">
      <c r="A272" s="551" t="s">
        <v>709</v>
      </c>
      <c r="B272" s="551" t="s">
        <v>2126</v>
      </c>
      <c r="C272" s="551" t="s">
        <v>2127</v>
      </c>
      <c r="D272" s="551" t="s">
        <v>712</v>
      </c>
      <c r="E272" s="549"/>
    </row>
    <row r="273" spans="1:5" x14ac:dyDescent="0.3">
      <c r="A273" s="550" t="s">
        <v>709</v>
      </c>
      <c r="B273" s="550" t="s">
        <v>2128</v>
      </c>
      <c r="C273" s="550" t="s">
        <v>2129</v>
      </c>
      <c r="D273" s="550" t="s">
        <v>733</v>
      </c>
      <c r="E273" s="547"/>
    </row>
    <row r="274" spans="1:5" x14ac:dyDescent="0.3">
      <c r="A274" s="551" t="s">
        <v>709</v>
      </c>
      <c r="B274" s="551" t="s">
        <v>2130</v>
      </c>
      <c r="C274" s="551" t="s">
        <v>2131</v>
      </c>
      <c r="D274" s="551" t="s">
        <v>733</v>
      </c>
      <c r="E274" s="549"/>
    </row>
    <row r="275" spans="1:5" x14ac:dyDescent="0.3">
      <c r="A275" s="550" t="s">
        <v>709</v>
      </c>
      <c r="B275" s="550" t="s">
        <v>2132</v>
      </c>
      <c r="C275" s="550" t="s">
        <v>1949</v>
      </c>
      <c r="D275" s="550" t="s">
        <v>1455</v>
      </c>
      <c r="E275" s="547"/>
    </row>
    <row r="276" spans="1:5" x14ac:dyDescent="0.3">
      <c r="A276" s="551" t="s">
        <v>709</v>
      </c>
      <c r="B276" s="551" t="s">
        <v>2133</v>
      </c>
      <c r="C276" s="551" t="s">
        <v>2134</v>
      </c>
      <c r="D276" s="551" t="s">
        <v>1947</v>
      </c>
      <c r="E276" s="549"/>
    </row>
    <row r="277" spans="1:5" x14ac:dyDescent="0.3">
      <c r="A277" s="550" t="s">
        <v>709</v>
      </c>
      <c r="B277" s="550" t="s">
        <v>2135</v>
      </c>
      <c r="C277" s="550" t="s">
        <v>2136</v>
      </c>
      <c r="D277" s="550" t="s">
        <v>733</v>
      </c>
      <c r="E277" s="547"/>
    </row>
    <row r="278" spans="1:5" x14ac:dyDescent="0.3">
      <c r="A278" s="551" t="s">
        <v>709</v>
      </c>
      <c r="B278" s="551" t="s">
        <v>2137</v>
      </c>
      <c r="C278" s="551" t="s">
        <v>2138</v>
      </c>
      <c r="D278" s="551" t="s">
        <v>1947</v>
      </c>
      <c r="E278" s="549"/>
    </row>
    <row r="279" spans="1:5" x14ac:dyDescent="0.3">
      <c r="A279" s="550" t="s">
        <v>709</v>
      </c>
      <c r="B279" s="550" t="s">
        <v>2139</v>
      </c>
      <c r="C279" s="550" t="s">
        <v>1949</v>
      </c>
      <c r="D279" s="550" t="s">
        <v>1455</v>
      </c>
      <c r="E279" s="547"/>
    </row>
    <row r="280" spans="1:5" x14ac:dyDescent="0.3">
      <c r="A280" s="551" t="s">
        <v>709</v>
      </c>
      <c r="B280" s="551" t="s">
        <v>2140</v>
      </c>
      <c r="C280" s="551" t="s">
        <v>2141</v>
      </c>
      <c r="D280" s="551" t="s">
        <v>733</v>
      </c>
      <c r="E280" s="549"/>
    </row>
    <row r="281" spans="1:5" x14ac:dyDescent="0.3">
      <c r="A281" s="550" t="s">
        <v>709</v>
      </c>
      <c r="B281" s="550" t="s">
        <v>2142</v>
      </c>
      <c r="C281" s="550" t="s">
        <v>2143</v>
      </c>
      <c r="D281" s="550" t="s">
        <v>733</v>
      </c>
      <c r="E281" s="547"/>
    </row>
    <row r="282" spans="1:5" x14ac:dyDescent="0.3">
      <c r="A282" s="551" t="s">
        <v>709</v>
      </c>
      <c r="B282" s="551" t="s">
        <v>2144</v>
      </c>
      <c r="C282" s="551" t="s">
        <v>1949</v>
      </c>
      <c r="D282" s="551" t="s">
        <v>1455</v>
      </c>
      <c r="E282" s="549"/>
    </row>
    <row r="283" spans="1:5" x14ac:dyDescent="0.3">
      <c r="A283" s="550" t="s">
        <v>709</v>
      </c>
      <c r="B283" s="550" t="s">
        <v>2145</v>
      </c>
      <c r="C283" s="550" t="s">
        <v>2146</v>
      </c>
      <c r="D283" s="550" t="s">
        <v>1947</v>
      </c>
      <c r="E283" s="547"/>
    </row>
    <row r="284" spans="1:5" x14ac:dyDescent="0.3">
      <c r="A284" s="551" t="s">
        <v>709</v>
      </c>
      <c r="B284" s="551" t="s">
        <v>2147</v>
      </c>
      <c r="C284" s="551" t="s">
        <v>1949</v>
      </c>
      <c r="D284" s="551" t="s">
        <v>1455</v>
      </c>
      <c r="E284" s="549"/>
    </row>
    <row r="285" spans="1:5" x14ac:dyDescent="0.3">
      <c r="A285" s="550" t="s">
        <v>709</v>
      </c>
      <c r="B285" s="550" t="s">
        <v>2148</v>
      </c>
      <c r="C285" s="550" t="s">
        <v>1949</v>
      </c>
      <c r="D285" s="550" t="s">
        <v>1455</v>
      </c>
      <c r="E285" s="547"/>
    </row>
    <row r="286" spans="1:5" x14ac:dyDescent="0.3">
      <c r="A286" s="551" t="s">
        <v>709</v>
      </c>
      <c r="B286" s="551" t="s">
        <v>2149</v>
      </c>
      <c r="C286" s="551" t="s">
        <v>1949</v>
      </c>
      <c r="D286" s="551" t="s">
        <v>1455</v>
      </c>
      <c r="E286" s="549"/>
    </row>
    <row r="287" spans="1:5" x14ac:dyDescent="0.3">
      <c r="A287" s="550" t="s">
        <v>709</v>
      </c>
      <c r="B287" s="550" t="s">
        <v>2150</v>
      </c>
      <c r="C287" s="550" t="s">
        <v>1949</v>
      </c>
      <c r="D287" s="550" t="s">
        <v>1455</v>
      </c>
      <c r="E287" s="547"/>
    </row>
    <row r="288" spans="1:5" x14ac:dyDescent="0.3">
      <c r="A288" s="551" t="s">
        <v>709</v>
      </c>
      <c r="B288" s="551" t="s">
        <v>2151</v>
      </c>
      <c r="C288" s="551" t="s">
        <v>1949</v>
      </c>
      <c r="D288" s="551" t="s">
        <v>1455</v>
      </c>
      <c r="E288" s="549"/>
    </row>
    <row r="289" spans="1:5" x14ac:dyDescent="0.3">
      <c r="A289" s="550" t="s">
        <v>709</v>
      </c>
      <c r="B289" s="550" t="s">
        <v>2152</v>
      </c>
      <c r="C289" s="550" t="s">
        <v>2153</v>
      </c>
      <c r="D289" s="550" t="s">
        <v>733</v>
      </c>
      <c r="E289" s="547"/>
    </row>
    <row r="290" spans="1:5" x14ac:dyDescent="0.3">
      <c r="A290" s="551" t="s">
        <v>709</v>
      </c>
      <c r="B290" s="551" t="s">
        <v>2154</v>
      </c>
      <c r="C290" s="551" t="s">
        <v>2155</v>
      </c>
      <c r="D290" s="551" t="s">
        <v>1455</v>
      </c>
      <c r="E290" s="549"/>
    </row>
    <row r="291" spans="1:5" x14ac:dyDescent="0.3">
      <c r="A291" s="550" t="s">
        <v>709</v>
      </c>
      <c r="B291" s="550" t="s">
        <v>2156</v>
      </c>
      <c r="C291" s="550" t="s">
        <v>2157</v>
      </c>
      <c r="D291" s="550" t="s">
        <v>733</v>
      </c>
      <c r="E291" s="547"/>
    </row>
    <row r="292" spans="1:5" x14ac:dyDescent="0.3">
      <c r="A292" s="551" t="s">
        <v>709</v>
      </c>
      <c r="B292" s="551" t="s">
        <v>2158</v>
      </c>
      <c r="C292" s="551" t="s">
        <v>2159</v>
      </c>
      <c r="D292" s="551" t="s">
        <v>733</v>
      </c>
      <c r="E292" s="549"/>
    </row>
    <row r="293" spans="1:5" x14ac:dyDescent="0.3">
      <c r="A293" s="550" t="s">
        <v>709</v>
      </c>
      <c r="B293" s="550" t="s">
        <v>2160</v>
      </c>
      <c r="C293" s="550" t="s">
        <v>2161</v>
      </c>
      <c r="D293" s="550" t="s">
        <v>1960</v>
      </c>
      <c r="E293" s="547"/>
    </row>
    <row r="294" spans="1:5" x14ac:dyDescent="0.3">
      <c r="A294" s="551" t="s">
        <v>709</v>
      </c>
      <c r="B294" s="551" t="s">
        <v>2162</v>
      </c>
      <c r="C294" s="551" t="s">
        <v>2163</v>
      </c>
      <c r="D294" s="551" t="s">
        <v>733</v>
      </c>
      <c r="E294" s="549"/>
    </row>
    <row r="295" spans="1:5" x14ac:dyDescent="0.3">
      <c r="A295" s="550" t="s">
        <v>709</v>
      </c>
      <c r="B295" s="550" t="s">
        <v>2164</v>
      </c>
      <c r="C295" s="550" t="s">
        <v>1949</v>
      </c>
      <c r="D295" s="550" t="s">
        <v>1455</v>
      </c>
      <c r="E295" s="547"/>
    </row>
    <row r="296" spans="1:5" x14ac:dyDescent="0.3">
      <c r="A296" s="551" t="s">
        <v>709</v>
      </c>
      <c r="B296" s="551" t="s">
        <v>2165</v>
      </c>
      <c r="C296" s="551" t="s">
        <v>2166</v>
      </c>
      <c r="D296" s="551" t="s">
        <v>733</v>
      </c>
      <c r="E296" s="549"/>
    </row>
    <row r="297" spans="1:5" x14ac:dyDescent="0.3">
      <c r="A297" s="550" t="s">
        <v>709</v>
      </c>
      <c r="B297" s="550" t="s">
        <v>2167</v>
      </c>
      <c r="C297" s="550" t="s">
        <v>1949</v>
      </c>
      <c r="D297" s="550" t="s">
        <v>1455</v>
      </c>
      <c r="E297" s="547"/>
    </row>
    <row r="298" spans="1:5" x14ac:dyDescent="0.3">
      <c r="A298" s="551" t="s">
        <v>709</v>
      </c>
      <c r="B298" s="551" t="s">
        <v>2168</v>
      </c>
      <c r="C298" s="551" t="s">
        <v>1949</v>
      </c>
      <c r="D298" s="551" t="s">
        <v>1455</v>
      </c>
      <c r="E298" s="549"/>
    </row>
    <row r="299" spans="1:5" x14ac:dyDescent="0.3">
      <c r="A299" s="550" t="s">
        <v>709</v>
      </c>
      <c r="B299" s="550" t="s">
        <v>2169</v>
      </c>
      <c r="C299" s="550" t="s">
        <v>2170</v>
      </c>
      <c r="D299" s="550" t="s">
        <v>1947</v>
      </c>
      <c r="E299" s="547"/>
    </row>
    <row r="300" spans="1:5" x14ac:dyDescent="0.3">
      <c r="A300" s="551" t="s">
        <v>709</v>
      </c>
      <c r="B300" s="551" t="s">
        <v>2171</v>
      </c>
      <c r="C300" s="551" t="s">
        <v>1949</v>
      </c>
      <c r="D300" s="551" t="s">
        <v>1455</v>
      </c>
      <c r="E300" s="549"/>
    </row>
    <row r="301" spans="1:5" x14ac:dyDescent="0.3">
      <c r="A301" s="550" t="s">
        <v>709</v>
      </c>
      <c r="B301" s="550" t="s">
        <v>2172</v>
      </c>
      <c r="C301" s="550" t="s">
        <v>1949</v>
      </c>
      <c r="D301" s="550" t="s">
        <v>1455</v>
      </c>
      <c r="E301" s="547"/>
    </row>
    <row r="302" spans="1:5" x14ac:dyDescent="0.3">
      <c r="A302" s="551" t="s">
        <v>709</v>
      </c>
      <c r="B302" s="551" t="s">
        <v>2173</v>
      </c>
      <c r="C302" s="551" t="s">
        <v>2174</v>
      </c>
      <c r="D302" s="551" t="s">
        <v>1947</v>
      </c>
      <c r="E302" s="549"/>
    </row>
    <row r="303" spans="1:5" x14ac:dyDescent="0.3">
      <c r="A303" s="550" t="s">
        <v>709</v>
      </c>
      <c r="B303" s="550" t="s">
        <v>2175</v>
      </c>
      <c r="C303" s="550" t="s">
        <v>2176</v>
      </c>
      <c r="D303" s="550" t="s">
        <v>712</v>
      </c>
      <c r="E303" s="547"/>
    </row>
    <row r="304" spans="1:5" x14ac:dyDescent="0.3">
      <c r="A304" s="551" t="s">
        <v>709</v>
      </c>
      <c r="B304" s="551" t="s">
        <v>2177</v>
      </c>
      <c r="C304" s="551" t="s">
        <v>1949</v>
      </c>
      <c r="D304" s="551" t="s">
        <v>1455</v>
      </c>
      <c r="E304" s="549"/>
    </row>
    <row r="305" spans="1:5" x14ac:dyDescent="0.3">
      <c r="A305" s="550" t="s">
        <v>709</v>
      </c>
      <c r="B305" s="550" t="s">
        <v>2178</v>
      </c>
      <c r="C305" s="550" t="s">
        <v>1949</v>
      </c>
      <c r="D305" s="550" t="s">
        <v>1455</v>
      </c>
      <c r="E305" s="547"/>
    </row>
    <row r="306" spans="1:5" x14ac:dyDescent="0.3">
      <c r="A306" s="551" t="s">
        <v>709</v>
      </c>
      <c r="B306" s="551" t="s">
        <v>2179</v>
      </c>
      <c r="C306" s="551" t="s">
        <v>1949</v>
      </c>
      <c r="D306" s="551" t="s">
        <v>1455</v>
      </c>
      <c r="E306" s="549"/>
    </row>
    <row r="307" spans="1:5" x14ac:dyDescent="0.3">
      <c r="A307" s="550" t="s">
        <v>709</v>
      </c>
      <c r="B307" s="550" t="s">
        <v>2180</v>
      </c>
      <c r="C307" s="550" t="s">
        <v>1949</v>
      </c>
      <c r="D307" s="550" t="s">
        <v>1455</v>
      </c>
      <c r="E307" s="547"/>
    </row>
    <row r="308" spans="1:5" x14ac:dyDescent="0.3">
      <c r="A308" s="551" t="s">
        <v>709</v>
      </c>
      <c r="B308" s="551" t="s">
        <v>2181</v>
      </c>
      <c r="C308" s="551" t="s">
        <v>1949</v>
      </c>
      <c r="D308" s="551" t="s">
        <v>1455</v>
      </c>
      <c r="E308" s="549"/>
    </row>
    <row r="309" spans="1:5" x14ac:dyDescent="0.3">
      <c r="A309" s="550" t="s">
        <v>709</v>
      </c>
      <c r="B309" s="550" t="s">
        <v>2182</v>
      </c>
      <c r="C309" s="550" t="s">
        <v>1949</v>
      </c>
      <c r="D309" s="550" t="s">
        <v>1455</v>
      </c>
      <c r="E309" s="547"/>
    </row>
    <row r="310" spans="1:5" x14ac:dyDescent="0.3">
      <c r="A310" s="551" t="s">
        <v>709</v>
      </c>
      <c r="B310" s="551" t="s">
        <v>2183</v>
      </c>
      <c r="C310" s="551" t="s">
        <v>2184</v>
      </c>
      <c r="D310" s="551" t="s">
        <v>1455</v>
      </c>
      <c r="E310" s="549"/>
    </row>
    <row r="311" spans="1:5" x14ac:dyDescent="0.3">
      <c r="A311" s="550" t="s">
        <v>709</v>
      </c>
      <c r="B311" s="550" t="s">
        <v>2185</v>
      </c>
      <c r="C311" s="550" t="s">
        <v>2186</v>
      </c>
      <c r="D311" s="550" t="s">
        <v>733</v>
      </c>
      <c r="E311" s="547"/>
    </row>
    <row r="312" spans="1:5" x14ac:dyDescent="0.3">
      <c r="A312" s="551" t="s">
        <v>709</v>
      </c>
      <c r="B312" s="551" t="s">
        <v>2187</v>
      </c>
      <c r="C312" s="551" t="s">
        <v>2188</v>
      </c>
      <c r="D312" s="551" t="s">
        <v>1455</v>
      </c>
      <c r="E312" s="549"/>
    </row>
    <row r="313" spans="1:5" x14ac:dyDescent="0.3">
      <c r="A313" s="550" t="s">
        <v>709</v>
      </c>
      <c r="B313" s="550" t="s">
        <v>2189</v>
      </c>
      <c r="C313" s="550" t="s">
        <v>2190</v>
      </c>
      <c r="D313" s="550" t="s">
        <v>1947</v>
      </c>
      <c r="E313" s="547"/>
    </row>
    <row r="314" spans="1:5" x14ac:dyDescent="0.3">
      <c r="A314" s="551" t="s">
        <v>709</v>
      </c>
      <c r="B314" s="551" t="s">
        <v>2191</v>
      </c>
      <c r="C314" s="551" t="s">
        <v>2192</v>
      </c>
      <c r="D314" s="551" t="s">
        <v>1947</v>
      </c>
      <c r="E314" s="549"/>
    </row>
    <row r="315" spans="1:5" x14ac:dyDescent="0.3">
      <c r="A315" s="550" t="s">
        <v>709</v>
      </c>
      <c r="B315" s="550" t="s">
        <v>2193</v>
      </c>
      <c r="C315" s="550" t="s">
        <v>2194</v>
      </c>
      <c r="D315" s="550" t="s">
        <v>733</v>
      </c>
      <c r="E315" s="547"/>
    </row>
    <row r="316" spans="1:5" x14ac:dyDescent="0.3">
      <c r="A316" s="551" t="s">
        <v>709</v>
      </c>
      <c r="B316" s="551" t="s">
        <v>2195</v>
      </c>
      <c r="C316" s="551" t="s">
        <v>1949</v>
      </c>
      <c r="D316" s="551" t="s">
        <v>1455</v>
      </c>
      <c r="E316" s="549"/>
    </row>
    <row r="317" spans="1:5" x14ac:dyDescent="0.3">
      <c r="A317" s="550" t="s">
        <v>709</v>
      </c>
      <c r="B317" s="550" t="s">
        <v>2196</v>
      </c>
      <c r="C317" s="550" t="s">
        <v>1949</v>
      </c>
      <c r="D317" s="550" t="s">
        <v>1455</v>
      </c>
      <c r="E317" s="547"/>
    </row>
    <row r="318" spans="1:5" x14ac:dyDescent="0.3">
      <c r="A318" s="551" t="s">
        <v>709</v>
      </c>
      <c r="B318" s="551" t="s">
        <v>2197</v>
      </c>
      <c r="C318" s="551" t="s">
        <v>2198</v>
      </c>
      <c r="D318" s="551" t="s">
        <v>1947</v>
      </c>
      <c r="E318" s="549"/>
    </row>
    <row r="319" spans="1:5" x14ac:dyDescent="0.3">
      <c r="A319" s="550" t="s">
        <v>709</v>
      </c>
      <c r="B319" s="550" t="s">
        <v>2199</v>
      </c>
      <c r="C319" s="550" t="s">
        <v>2200</v>
      </c>
      <c r="D319" s="550" t="s">
        <v>733</v>
      </c>
      <c r="E319" s="547"/>
    </row>
    <row r="320" spans="1:5" x14ac:dyDescent="0.3">
      <c r="A320" s="551" t="s">
        <v>709</v>
      </c>
      <c r="B320" s="551" t="s">
        <v>2201</v>
      </c>
      <c r="C320" s="551" t="s">
        <v>2202</v>
      </c>
      <c r="D320" s="551" t="s">
        <v>733</v>
      </c>
      <c r="E320" s="549"/>
    </row>
    <row r="321" spans="1:5" x14ac:dyDescent="0.3">
      <c r="A321" s="550" t="s">
        <v>709</v>
      </c>
      <c r="B321" s="550" t="s">
        <v>2203</v>
      </c>
      <c r="C321" s="550" t="s">
        <v>2204</v>
      </c>
      <c r="D321" s="550" t="s">
        <v>1947</v>
      </c>
      <c r="E321" s="547"/>
    </row>
    <row r="322" spans="1:5" ht="21" x14ac:dyDescent="0.3">
      <c r="A322" s="113"/>
      <c r="B322" s="113"/>
      <c r="C322" s="113"/>
      <c r="D322" s="113"/>
      <c r="E322" s="364">
        <f>(COUNTIF(E155:E321,"Sim")/(COUNTA(B155:B321)))</f>
        <v>0</v>
      </c>
    </row>
    <row r="342" spans="1:6" ht="21" x14ac:dyDescent="0.4">
      <c r="A342" s="1656" t="s">
        <v>547</v>
      </c>
      <c r="B342" s="1656"/>
      <c r="C342" s="1656"/>
      <c r="D342" s="370" t="s">
        <v>548</v>
      </c>
      <c r="E342" s="370" t="s">
        <v>73</v>
      </c>
      <c r="F342" s="370" t="s">
        <v>74</v>
      </c>
    </row>
    <row r="343" spans="1:6" x14ac:dyDescent="0.3">
      <c r="A343" s="112" t="s">
        <v>867</v>
      </c>
      <c r="B343" s="651" t="s">
        <v>551</v>
      </c>
      <c r="C343" s="333"/>
      <c r="D343" s="109">
        <v>1</v>
      </c>
      <c r="E343" s="760" t="s">
        <v>488</v>
      </c>
      <c r="F343" s="760" t="s">
        <v>488</v>
      </c>
    </row>
    <row r="344" spans="1:6" x14ac:dyDescent="0.3">
      <c r="A344" s="338" t="s">
        <v>867</v>
      </c>
      <c r="B344" s="652" t="s">
        <v>559</v>
      </c>
      <c r="C344" s="339"/>
      <c r="D344" s="761">
        <v>1</v>
      </c>
      <c r="E344" s="762" t="s">
        <v>287</v>
      </c>
      <c r="F344" s="762" t="s">
        <v>287</v>
      </c>
    </row>
    <row r="345" spans="1:6" x14ac:dyDescent="0.3">
      <c r="A345" s="112" t="s">
        <v>867</v>
      </c>
      <c r="B345" s="651" t="s">
        <v>868</v>
      </c>
      <c r="C345" s="333"/>
      <c r="D345" s="109">
        <v>1</v>
      </c>
      <c r="E345" s="760" t="s">
        <v>287</v>
      </c>
      <c r="F345" s="760" t="s">
        <v>287</v>
      </c>
    </row>
    <row r="346" spans="1:6" x14ac:dyDescent="0.3">
      <c r="A346" s="338" t="s">
        <v>867</v>
      </c>
      <c r="B346" s="652" t="s">
        <v>645</v>
      </c>
      <c r="C346" s="339"/>
      <c r="D346" s="761">
        <v>1</v>
      </c>
      <c r="E346" s="762" t="s">
        <v>488</v>
      </c>
      <c r="F346" s="762" t="s">
        <v>488</v>
      </c>
    </row>
    <row r="347" spans="1:6" x14ac:dyDescent="0.3">
      <c r="A347" s="112" t="s">
        <v>867</v>
      </c>
      <c r="B347" s="651" t="s">
        <v>602</v>
      </c>
      <c r="C347" s="333"/>
      <c r="D347" s="109">
        <v>1</v>
      </c>
      <c r="E347" s="763" t="s">
        <v>287</v>
      </c>
      <c r="F347" s="763" t="s">
        <v>287</v>
      </c>
    </row>
    <row r="348" spans="1:6" x14ac:dyDescent="0.3">
      <c r="A348" s="338" t="s">
        <v>869</v>
      </c>
      <c r="B348" s="652" t="s">
        <v>583</v>
      </c>
      <c r="C348" s="339"/>
      <c r="D348" s="761">
        <v>1</v>
      </c>
      <c r="E348" s="764" t="s">
        <v>488</v>
      </c>
      <c r="F348" s="764" t="s">
        <v>488</v>
      </c>
    </row>
    <row r="349" spans="1:6" x14ac:dyDescent="0.3">
      <c r="A349" s="112" t="s">
        <v>869</v>
      </c>
      <c r="B349" s="651" t="s">
        <v>639</v>
      </c>
      <c r="C349" s="333"/>
      <c r="D349" s="109">
        <v>1</v>
      </c>
      <c r="E349" s="765" t="s">
        <v>488</v>
      </c>
      <c r="F349" s="765" t="s">
        <v>488</v>
      </c>
    </row>
    <row r="350" spans="1:6" x14ac:dyDescent="0.3">
      <c r="A350" s="338" t="s">
        <v>869</v>
      </c>
      <c r="B350" s="652" t="s">
        <v>599</v>
      </c>
      <c r="C350" s="339"/>
      <c r="D350" s="761">
        <v>1</v>
      </c>
      <c r="E350" s="764" t="s">
        <v>488</v>
      </c>
      <c r="F350" s="764" t="s">
        <v>488</v>
      </c>
    </row>
    <row r="351" spans="1:6" x14ac:dyDescent="0.3">
      <c r="A351" s="112" t="s">
        <v>869</v>
      </c>
      <c r="B351" s="651" t="s">
        <v>870</v>
      </c>
      <c r="C351" s="333"/>
      <c r="D351" s="109">
        <v>1</v>
      </c>
      <c r="E351" s="765" t="s">
        <v>488</v>
      </c>
      <c r="F351" s="765" t="s">
        <v>488</v>
      </c>
    </row>
    <row r="352" spans="1:6" x14ac:dyDescent="0.3">
      <c r="A352" s="338" t="s">
        <v>869</v>
      </c>
      <c r="B352" s="652" t="s">
        <v>642</v>
      </c>
      <c r="C352" s="339"/>
      <c r="D352" s="761">
        <v>1</v>
      </c>
      <c r="E352" s="764" t="s">
        <v>488</v>
      </c>
      <c r="F352" s="764" t="s">
        <v>488</v>
      </c>
    </row>
    <row r="353" spans="1:6" x14ac:dyDescent="0.3">
      <c r="A353" s="112" t="s">
        <v>871</v>
      </c>
      <c r="B353" s="651" t="s">
        <v>627</v>
      </c>
      <c r="C353" s="333"/>
      <c r="D353" s="109">
        <v>1</v>
      </c>
      <c r="E353" s="765" t="s">
        <v>287</v>
      </c>
      <c r="F353" s="765" t="s">
        <v>287</v>
      </c>
    </row>
    <row r="354" spans="1:6" x14ac:dyDescent="0.3">
      <c r="A354" s="338" t="s">
        <v>871</v>
      </c>
      <c r="B354" s="652" t="s">
        <v>872</v>
      </c>
      <c r="C354" s="339"/>
      <c r="D354" s="761">
        <v>1</v>
      </c>
      <c r="E354" s="764" t="s">
        <v>287</v>
      </c>
      <c r="F354" s="764" t="s">
        <v>287</v>
      </c>
    </row>
    <row r="355" spans="1:6" x14ac:dyDescent="0.3">
      <c r="A355" s="112" t="s">
        <v>871</v>
      </c>
      <c r="B355" s="651" t="s">
        <v>634</v>
      </c>
      <c r="C355" s="333"/>
      <c r="D355" s="109">
        <v>1</v>
      </c>
      <c r="E355" s="765" t="s">
        <v>287</v>
      </c>
      <c r="F355" s="765" t="s">
        <v>287</v>
      </c>
    </row>
    <row r="356" spans="1:6" x14ac:dyDescent="0.3">
      <c r="A356" s="338" t="s">
        <v>871</v>
      </c>
      <c r="B356" s="652" t="s">
        <v>873</v>
      </c>
      <c r="C356" s="339"/>
      <c r="D356" s="761">
        <v>1</v>
      </c>
      <c r="E356" s="764" t="s">
        <v>488</v>
      </c>
      <c r="F356" s="764" t="s">
        <v>488</v>
      </c>
    </row>
    <row r="357" spans="1:6" x14ac:dyDescent="0.3">
      <c r="A357" s="112" t="s">
        <v>871</v>
      </c>
      <c r="B357" s="651" t="s">
        <v>874</v>
      </c>
      <c r="C357" s="333"/>
      <c r="D357" s="109">
        <v>1</v>
      </c>
      <c r="E357" s="765" t="s">
        <v>488</v>
      </c>
      <c r="F357" s="765" t="s">
        <v>488</v>
      </c>
    </row>
    <row r="358" spans="1:6" x14ac:dyDescent="0.3">
      <c r="A358" s="338" t="s">
        <v>871</v>
      </c>
      <c r="B358" s="652" t="s">
        <v>875</v>
      </c>
      <c r="C358" s="339"/>
      <c r="D358" s="761">
        <v>1</v>
      </c>
      <c r="E358" s="764" t="s">
        <v>488</v>
      </c>
      <c r="F358" s="764" t="s">
        <v>488</v>
      </c>
    </row>
    <row r="359" spans="1:6" x14ac:dyDescent="0.3">
      <c r="A359" s="112" t="s">
        <v>871</v>
      </c>
      <c r="B359" s="651" t="s">
        <v>876</v>
      </c>
      <c r="C359" s="333"/>
      <c r="D359" s="109">
        <v>1</v>
      </c>
      <c r="E359" s="765" t="s">
        <v>488</v>
      </c>
      <c r="F359" s="765" t="s">
        <v>488</v>
      </c>
    </row>
    <row r="360" spans="1:6" x14ac:dyDescent="0.3">
      <c r="A360" s="338" t="s">
        <v>877</v>
      </c>
      <c r="B360" s="652" t="s">
        <v>563</v>
      </c>
      <c r="C360" s="339"/>
      <c r="D360" s="761">
        <v>1</v>
      </c>
      <c r="E360" s="764" t="s">
        <v>287</v>
      </c>
      <c r="F360" s="764" t="s">
        <v>287</v>
      </c>
    </row>
    <row r="361" spans="1:6" x14ac:dyDescent="0.3">
      <c r="A361" s="704" t="s">
        <v>877</v>
      </c>
      <c r="B361" s="705" t="s">
        <v>596</v>
      </c>
      <c r="C361" s="706"/>
      <c r="D361" s="766">
        <v>1</v>
      </c>
      <c r="E361" s="767" t="s">
        <v>287</v>
      </c>
      <c r="F361" s="767" t="s">
        <v>287</v>
      </c>
    </row>
    <row r="362" spans="1:6" x14ac:dyDescent="0.3">
      <c r="A362" s="338" t="s">
        <v>877</v>
      </c>
      <c r="B362" s="652" t="s">
        <v>587</v>
      </c>
      <c r="C362" s="339"/>
      <c r="D362" s="761">
        <v>1</v>
      </c>
      <c r="E362" s="764" t="s">
        <v>287</v>
      </c>
      <c r="F362" s="764" t="s">
        <v>287</v>
      </c>
    </row>
    <row r="363" spans="1:6" x14ac:dyDescent="0.3">
      <c r="A363" s="112" t="s">
        <v>877</v>
      </c>
      <c r="B363" s="651" t="s">
        <v>878</v>
      </c>
      <c r="C363" s="333"/>
      <c r="D363" s="109">
        <v>1</v>
      </c>
      <c r="E363" s="765" t="s">
        <v>488</v>
      </c>
      <c r="F363" s="765" t="s">
        <v>488</v>
      </c>
    </row>
    <row r="364" spans="1:6" x14ac:dyDescent="0.3">
      <c r="A364" s="338" t="s">
        <v>877</v>
      </c>
      <c r="B364" s="652" t="s">
        <v>590</v>
      </c>
      <c r="C364" s="339"/>
      <c r="D364" s="761">
        <v>1</v>
      </c>
      <c r="E364" s="764" t="s">
        <v>287</v>
      </c>
      <c r="F364" s="764" t="s">
        <v>287</v>
      </c>
    </row>
    <row r="365" spans="1:6" x14ac:dyDescent="0.3">
      <c r="A365" s="112" t="s">
        <v>877</v>
      </c>
      <c r="B365" s="651" t="s">
        <v>593</v>
      </c>
      <c r="C365" s="333"/>
      <c r="D365" s="109">
        <v>1</v>
      </c>
      <c r="E365" s="765" t="s">
        <v>287</v>
      </c>
      <c r="F365" s="765" t="s">
        <v>287</v>
      </c>
    </row>
    <row r="366" spans="1:6" x14ac:dyDescent="0.3">
      <c r="A366" s="338" t="s">
        <v>877</v>
      </c>
      <c r="B366" s="652" t="s">
        <v>879</v>
      </c>
      <c r="C366" s="339"/>
      <c r="D366" s="761">
        <v>1</v>
      </c>
      <c r="E366" s="764" t="s">
        <v>287</v>
      </c>
      <c r="F366" s="764" t="s">
        <v>287</v>
      </c>
    </row>
    <row r="367" spans="1:6" x14ac:dyDescent="0.3">
      <c r="A367" s="112" t="s">
        <v>877</v>
      </c>
      <c r="B367" s="651" t="s">
        <v>880</v>
      </c>
      <c r="C367" s="333"/>
      <c r="D367" s="109">
        <v>1</v>
      </c>
      <c r="E367" s="765" t="s">
        <v>903</v>
      </c>
      <c r="F367" s="765" t="s">
        <v>903</v>
      </c>
    </row>
    <row r="368" spans="1:6" x14ac:dyDescent="0.3">
      <c r="A368" s="338" t="s">
        <v>877</v>
      </c>
      <c r="B368" s="652" t="s">
        <v>881</v>
      </c>
      <c r="C368" s="339"/>
      <c r="D368" s="761">
        <v>1</v>
      </c>
      <c r="E368" s="764" t="s">
        <v>488</v>
      </c>
      <c r="F368" s="764" t="s">
        <v>488</v>
      </c>
    </row>
    <row r="369" spans="1:6" x14ac:dyDescent="0.3">
      <c r="A369" s="112" t="s">
        <v>877</v>
      </c>
      <c r="B369" s="651" t="s">
        <v>882</v>
      </c>
      <c r="C369" s="333"/>
      <c r="D369" s="109">
        <v>1</v>
      </c>
      <c r="E369" s="765" t="s">
        <v>488</v>
      </c>
      <c r="F369" s="765" t="s">
        <v>488</v>
      </c>
    </row>
    <row r="370" spans="1:6" x14ac:dyDescent="0.3">
      <c r="A370" s="338" t="s">
        <v>877</v>
      </c>
      <c r="B370" s="652" t="s">
        <v>575</v>
      </c>
      <c r="C370" s="339"/>
      <c r="D370" s="761">
        <v>1</v>
      </c>
      <c r="E370" s="764" t="s">
        <v>488</v>
      </c>
      <c r="F370" s="764" t="s">
        <v>488</v>
      </c>
    </row>
    <row r="371" spans="1:6" x14ac:dyDescent="0.3">
      <c r="A371" s="112" t="s">
        <v>877</v>
      </c>
      <c r="B371" s="651" t="s">
        <v>883</v>
      </c>
      <c r="C371" s="333"/>
      <c r="D371" s="109">
        <v>1</v>
      </c>
      <c r="E371" s="765" t="s">
        <v>488</v>
      </c>
      <c r="F371" s="765" t="s">
        <v>488</v>
      </c>
    </row>
    <row r="372" spans="1:6" x14ac:dyDescent="0.3">
      <c r="A372" s="338" t="s">
        <v>877</v>
      </c>
      <c r="B372" s="652" t="s">
        <v>579</v>
      </c>
      <c r="C372" s="339"/>
      <c r="D372" s="761">
        <v>1</v>
      </c>
      <c r="E372" s="764" t="s">
        <v>488</v>
      </c>
      <c r="F372" s="764" t="s">
        <v>488</v>
      </c>
    </row>
    <row r="373" spans="1:6" x14ac:dyDescent="0.3">
      <c r="A373" s="112" t="s">
        <v>871</v>
      </c>
      <c r="B373" s="651" t="s">
        <v>617</v>
      </c>
      <c r="C373" s="333"/>
      <c r="D373" s="109">
        <v>2</v>
      </c>
      <c r="E373" s="765" t="s">
        <v>488</v>
      </c>
      <c r="F373" s="765" t="s">
        <v>488</v>
      </c>
    </row>
    <row r="374" spans="1:6" x14ac:dyDescent="0.3">
      <c r="A374" s="338" t="s">
        <v>871</v>
      </c>
      <c r="B374" s="652" t="s">
        <v>611</v>
      </c>
      <c r="C374" s="339"/>
      <c r="D374" s="761">
        <v>2</v>
      </c>
      <c r="E374" s="764" t="s">
        <v>287</v>
      </c>
      <c r="F374" s="764" t="s">
        <v>287</v>
      </c>
    </row>
    <row r="375" spans="1:6" x14ac:dyDescent="0.3">
      <c r="A375" s="112" t="s">
        <v>871</v>
      </c>
      <c r="B375" s="651" t="s">
        <v>884</v>
      </c>
      <c r="C375" s="333"/>
      <c r="D375" s="109">
        <v>2</v>
      </c>
      <c r="E375" s="765" t="s">
        <v>287</v>
      </c>
      <c r="F375" s="765" t="s">
        <v>287</v>
      </c>
    </row>
    <row r="376" spans="1:6" x14ac:dyDescent="0.3">
      <c r="A376" s="338" t="s">
        <v>871</v>
      </c>
      <c r="B376" s="652" t="s">
        <v>636</v>
      </c>
      <c r="C376" s="339"/>
      <c r="D376" s="761">
        <v>2</v>
      </c>
      <c r="E376" s="764" t="s">
        <v>488</v>
      </c>
      <c r="F376" s="764" t="s">
        <v>488</v>
      </c>
    </row>
    <row r="377" spans="1:6" x14ac:dyDescent="0.3">
      <c r="A377" s="112" t="s">
        <v>871</v>
      </c>
      <c r="B377" s="651" t="s">
        <v>630</v>
      </c>
      <c r="C377" s="333"/>
      <c r="D377" s="109">
        <v>2</v>
      </c>
      <c r="E377" s="807" t="s">
        <v>488</v>
      </c>
      <c r="F377" s="807" t="s">
        <v>488</v>
      </c>
    </row>
    <row r="378" spans="1:6" x14ac:dyDescent="0.3">
      <c r="A378" s="338" t="s">
        <v>877</v>
      </c>
      <c r="B378" s="652" t="s">
        <v>567</v>
      </c>
      <c r="C378" s="339"/>
      <c r="D378" s="761">
        <v>2</v>
      </c>
      <c r="E378" s="764" t="s">
        <v>488</v>
      </c>
      <c r="F378" s="764" t="s">
        <v>488</v>
      </c>
    </row>
    <row r="379" spans="1:6" x14ac:dyDescent="0.3">
      <c r="A379" s="112" t="s">
        <v>877</v>
      </c>
      <c r="B379" s="651" t="s">
        <v>608</v>
      </c>
      <c r="C379" s="333"/>
      <c r="D379" s="109">
        <v>2</v>
      </c>
      <c r="E379" s="765" t="s">
        <v>287</v>
      </c>
      <c r="F379" s="765" t="s">
        <v>287</v>
      </c>
    </row>
    <row r="380" spans="1:6" x14ac:dyDescent="0.3">
      <c r="A380" s="338" t="s">
        <v>877</v>
      </c>
      <c r="B380" s="652" t="s">
        <v>614</v>
      </c>
      <c r="C380" s="339"/>
      <c r="D380" s="761">
        <v>2</v>
      </c>
      <c r="E380" s="764" t="s">
        <v>488</v>
      </c>
      <c r="F380" s="764" t="s">
        <v>488</v>
      </c>
    </row>
    <row r="381" spans="1:6" x14ac:dyDescent="0.3">
      <c r="A381" s="112" t="s">
        <v>877</v>
      </c>
      <c r="B381" s="651" t="s">
        <v>885</v>
      </c>
      <c r="C381" s="333"/>
      <c r="D381" s="109">
        <v>2</v>
      </c>
      <c r="E381" s="765" t="s">
        <v>562</v>
      </c>
      <c r="F381" s="765" t="s">
        <v>562</v>
      </c>
    </row>
    <row r="382" spans="1:6" x14ac:dyDescent="0.3">
      <c r="A382" s="338" t="s">
        <v>877</v>
      </c>
      <c r="B382" s="652" t="s">
        <v>886</v>
      </c>
      <c r="C382" s="339"/>
      <c r="D382" s="761">
        <v>2</v>
      </c>
      <c r="E382" s="764" t="s">
        <v>562</v>
      </c>
      <c r="F382" s="764" t="s">
        <v>562</v>
      </c>
    </row>
    <row r="383" spans="1:6" x14ac:dyDescent="0.3">
      <c r="A383" s="112" t="s">
        <v>877</v>
      </c>
      <c r="B383" s="651" t="s">
        <v>887</v>
      </c>
      <c r="C383" s="333"/>
      <c r="D383" s="109">
        <v>2</v>
      </c>
      <c r="E383" s="765" t="s">
        <v>488</v>
      </c>
      <c r="F383" s="765" t="s">
        <v>488</v>
      </c>
    </row>
    <row r="384" spans="1:6" x14ac:dyDescent="0.3">
      <c r="A384" s="338" t="s">
        <v>877</v>
      </c>
      <c r="B384" s="652" t="s">
        <v>571</v>
      </c>
      <c r="C384" s="339"/>
      <c r="D384" s="761">
        <v>2</v>
      </c>
      <c r="E384" s="764" t="s">
        <v>488</v>
      </c>
      <c r="F384" s="764" t="s">
        <v>488</v>
      </c>
    </row>
    <row r="385" spans="1:6" x14ac:dyDescent="0.3">
      <c r="A385" s="112" t="s">
        <v>871</v>
      </c>
      <c r="B385" s="651" t="s">
        <v>621</v>
      </c>
      <c r="C385" s="333"/>
      <c r="D385" s="109">
        <v>3</v>
      </c>
      <c r="E385" s="765" t="s">
        <v>488</v>
      </c>
      <c r="F385" s="765" t="s">
        <v>488</v>
      </c>
    </row>
    <row r="386" spans="1:6" x14ac:dyDescent="0.3">
      <c r="A386" s="338" t="s">
        <v>871</v>
      </c>
      <c r="B386" s="652" t="s">
        <v>888</v>
      </c>
      <c r="C386" s="339"/>
      <c r="D386" s="761">
        <v>3</v>
      </c>
      <c r="E386" s="764" t="s">
        <v>287</v>
      </c>
      <c r="F386" s="764" t="s">
        <v>287</v>
      </c>
    </row>
    <row r="387" spans="1:6" x14ac:dyDescent="0.3">
      <c r="A387" s="112" t="s">
        <v>877</v>
      </c>
      <c r="B387" s="651" t="s">
        <v>605</v>
      </c>
      <c r="C387" s="333"/>
      <c r="D387" s="109">
        <v>3</v>
      </c>
      <c r="E387" s="765" t="s">
        <v>903</v>
      </c>
      <c r="F387" s="765" t="s">
        <v>903</v>
      </c>
    </row>
    <row r="388" spans="1:6" x14ac:dyDescent="0.3">
      <c r="A388" s="338" t="s">
        <v>877</v>
      </c>
      <c r="B388" s="652" t="s">
        <v>889</v>
      </c>
      <c r="C388" s="339"/>
      <c r="D388" s="761">
        <v>3</v>
      </c>
      <c r="E388" s="764" t="s">
        <v>903</v>
      </c>
      <c r="F388" s="764" t="s">
        <v>903</v>
      </c>
    </row>
    <row r="389" spans="1:6" x14ac:dyDescent="0.3">
      <c r="A389" s="112" t="s">
        <v>877</v>
      </c>
      <c r="B389" s="651" t="s">
        <v>624</v>
      </c>
      <c r="C389" s="333"/>
      <c r="D389" s="109">
        <v>3</v>
      </c>
      <c r="E389" s="765" t="s">
        <v>287</v>
      </c>
      <c r="F389" s="765" t="s">
        <v>287</v>
      </c>
    </row>
    <row r="390" spans="1:6" ht="21" x14ac:dyDescent="0.3">
      <c r="A390" s="1492"/>
      <c r="B390" s="1492"/>
      <c r="C390" s="1492"/>
      <c r="D390" s="113"/>
      <c r="E390" s="113">
        <f>(COUNTIF(E343:E389,"OK")+COUNTIF(E343:E389,"N/A"))/47</f>
        <v>0.40425531914893614</v>
      </c>
      <c r="F390" s="113">
        <f>(COUNTIF(F343:F389,"OK")+COUNTIF(F343:F389,"N/A"))/47</f>
        <v>0.40425531914893614</v>
      </c>
    </row>
  </sheetData>
  <sheetProtection formatCells="0" formatColumns="0" formatRows="0" insertHyperlinks="0"/>
  <autoFilter ref="A54:AF102" xr:uid="{8D60C14C-6D4C-47F3-AEE6-8386BDC53B83}"/>
  <mergeCells count="509">
    <mergeCell ref="A342:C342"/>
    <mergeCell ref="O104:P104"/>
    <mergeCell ref="M104:N104"/>
    <mergeCell ref="A390:C390"/>
    <mergeCell ref="K10:K11"/>
    <mergeCell ref="K93:K94"/>
    <mergeCell ref="K95:K96"/>
    <mergeCell ref="K97:K98"/>
    <mergeCell ref="K99:K100"/>
    <mergeCell ref="J101:J102"/>
    <mergeCell ref="N77:N78"/>
    <mergeCell ref="N75:N76"/>
    <mergeCell ref="M10:M11"/>
    <mergeCell ref="J69:J70"/>
    <mergeCell ref="J71:J72"/>
    <mergeCell ref="J73:J74"/>
    <mergeCell ref="J75:J76"/>
    <mergeCell ref="K69:K70"/>
    <mergeCell ref="K71:K72"/>
    <mergeCell ref="H104:L104"/>
    <mergeCell ref="M73:M74"/>
    <mergeCell ref="N65:N66"/>
    <mergeCell ref="N67:N68"/>
    <mergeCell ref="M69:M70"/>
    <mergeCell ref="AM79:AM80"/>
    <mergeCell ref="AK81:AK82"/>
    <mergeCell ref="AM81:AM82"/>
    <mergeCell ref="AL75:AL76"/>
    <mergeCell ref="U10:Y10"/>
    <mergeCell ref="U11:Y11"/>
    <mergeCell ref="U12:Y12"/>
    <mergeCell ref="U13:Y13"/>
    <mergeCell ref="K7:M7"/>
    <mergeCell ref="AM73:AM74"/>
    <mergeCell ref="AL73:AL74"/>
    <mergeCell ref="AM75:AM76"/>
    <mergeCell ref="AK77:AK78"/>
    <mergeCell ref="AM77:AM78"/>
    <mergeCell ref="AK79:AK80"/>
    <mergeCell ref="AJ45:AK45"/>
    <mergeCell ref="AK53:AM53"/>
    <mergeCell ref="AK55:AK56"/>
    <mergeCell ref="AL55:AL56"/>
    <mergeCell ref="AM55:AM56"/>
    <mergeCell ref="AK57:AK58"/>
    <mergeCell ref="AL57:AL58"/>
    <mergeCell ref="AM57:AM58"/>
    <mergeCell ref="AK59:AK60"/>
    <mergeCell ref="AM101:AM102"/>
    <mergeCell ref="AL97:AL98"/>
    <mergeCell ref="AL99:AL100"/>
    <mergeCell ref="AL101:AL102"/>
    <mergeCell ref="K73:K74"/>
    <mergeCell ref="M91:M92"/>
    <mergeCell ref="L95:L96"/>
    <mergeCell ref="J95:J96"/>
    <mergeCell ref="N91:N92"/>
    <mergeCell ref="N73:N74"/>
    <mergeCell ref="AM91:AM92"/>
    <mergeCell ref="AK93:AK94"/>
    <mergeCell ref="AM93:AM94"/>
    <mergeCell ref="AK95:AK96"/>
    <mergeCell ref="AM95:AM96"/>
    <mergeCell ref="AL95:AL96"/>
    <mergeCell ref="AL93:AL94"/>
    <mergeCell ref="AK91:AK92"/>
    <mergeCell ref="AL91:AL92"/>
    <mergeCell ref="AK89:AK90"/>
    <mergeCell ref="AM89:AM90"/>
    <mergeCell ref="AL85:AL86"/>
    <mergeCell ref="AL87:AL88"/>
    <mergeCell ref="AL89:AL90"/>
    <mergeCell ref="AM83:AM84"/>
    <mergeCell ref="AL83:AL84"/>
    <mergeCell ref="AK83:AK84"/>
    <mergeCell ref="AK85:AK86"/>
    <mergeCell ref="AM85:AM86"/>
    <mergeCell ref="AK97:AK98"/>
    <mergeCell ref="AM97:AM98"/>
    <mergeCell ref="AK99:AK100"/>
    <mergeCell ref="AM99:AM100"/>
    <mergeCell ref="AM87:AM88"/>
    <mergeCell ref="AL59:AL60"/>
    <mergeCell ref="AM61:AM62"/>
    <mergeCell ref="AK63:AK64"/>
    <mergeCell ref="AM63:AM64"/>
    <mergeCell ref="AK65:AK66"/>
    <mergeCell ref="AM65:AM66"/>
    <mergeCell ref="AK67:AK68"/>
    <mergeCell ref="AL77:AL78"/>
    <mergeCell ref="AM67:AM68"/>
    <mergeCell ref="AK69:AK70"/>
    <mergeCell ref="AM69:AM70"/>
    <mergeCell ref="AL61:AL62"/>
    <mergeCell ref="AM71:AM72"/>
    <mergeCell ref="AM59:AM60"/>
    <mergeCell ref="AL63:AL64"/>
    <mergeCell ref="AL65:AL66"/>
    <mergeCell ref="AL67:AL68"/>
    <mergeCell ref="AL69:AL70"/>
    <mergeCell ref="AL71:AL72"/>
    <mergeCell ref="AK61:AK62"/>
    <mergeCell ref="AK71:AK72"/>
    <mergeCell ref="AK73:AK74"/>
    <mergeCell ref="M95:M96"/>
    <mergeCell ref="N95:N96"/>
    <mergeCell ref="M87:M88"/>
    <mergeCell ref="N87:N88"/>
    <mergeCell ref="P93:P94"/>
    <mergeCell ref="P95:P96"/>
    <mergeCell ref="P89:P90"/>
    <mergeCell ref="P91:P92"/>
    <mergeCell ref="P85:P86"/>
    <mergeCell ref="P87:P88"/>
    <mergeCell ref="O85:O86"/>
    <mergeCell ref="O87:O88"/>
    <mergeCell ref="O89:O90"/>
    <mergeCell ref="O91:O92"/>
    <mergeCell ref="O93:O94"/>
    <mergeCell ref="O95:O96"/>
    <mergeCell ref="N93:N94"/>
    <mergeCell ref="M93:M94"/>
    <mergeCell ref="M89:M90"/>
    <mergeCell ref="P97:P98"/>
    <mergeCell ref="P99:P100"/>
    <mergeCell ref="P101:P102"/>
    <mergeCell ref="AK87:AK88"/>
    <mergeCell ref="AL79:AL80"/>
    <mergeCell ref="AL81:AL82"/>
    <mergeCell ref="AK75:AK76"/>
    <mergeCell ref="AK101:AK102"/>
    <mergeCell ref="O101:O102"/>
    <mergeCell ref="O97:O98"/>
    <mergeCell ref="O99:O100"/>
    <mergeCell ref="P81:P82"/>
    <mergeCell ref="P83:P84"/>
    <mergeCell ref="O77:O78"/>
    <mergeCell ref="O79:O80"/>
    <mergeCell ref="P75:P76"/>
    <mergeCell ref="O75:O76"/>
    <mergeCell ref="O81:O82"/>
    <mergeCell ref="O83:O84"/>
    <mergeCell ref="P77:P78"/>
    <mergeCell ref="P79:P80"/>
    <mergeCell ref="A1:V1"/>
    <mergeCell ref="J4:K4"/>
    <mergeCell ref="J5:K5"/>
    <mergeCell ref="L4:M4"/>
    <mergeCell ref="L5:M5"/>
    <mergeCell ref="L8:L9"/>
    <mergeCell ref="M8:M9"/>
    <mergeCell ref="O4:AF4"/>
    <mergeCell ref="W1:AF1"/>
    <mergeCell ref="A2:AF2"/>
    <mergeCell ref="U5:Y5"/>
    <mergeCell ref="U6:Y6"/>
    <mergeCell ref="K8:K9"/>
    <mergeCell ref="A4:B4"/>
    <mergeCell ref="E4:F4"/>
    <mergeCell ref="G4:I4"/>
    <mergeCell ref="A5:B5"/>
    <mergeCell ref="E5:F5"/>
    <mergeCell ref="G5:I5"/>
    <mergeCell ref="H7:J7"/>
    <mergeCell ref="A7:F7"/>
    <mergeCell ref="U7:Y7"/>
    <mergeCell ref="U8:Y8"/>
    <mergeCell ref="U9:Y9"/>
    <mergeCell ref="U15:Y15"/>
    <mergeCell ref="U14:Y14"/>
    <mergeCell ref="L10:L11"/>
    <mergeCell ref="J63:J64"/>
    <mergeCell ref="A61:A62"/>
    <mergeCell ref="C61:C62"/>
    <mergeCell ref="E61:E62"/>
    <mergeCell ref="F61:F62"/>
    <mergeCell ref="G61:G62"/>
    <mergeCell ref="H61:H62"/>
    <mergeCell ref="I61:I62"/>
    <mergeCell ref="C59:C60"/>
    <mergeCell ref="E59:E60"/>
    <mergeCell ref="F59:F60"/>
    <mergeCell ref="G59:G60"/>
    <mergeCell ref="D57:D58"/>
    <mergeCell ref="P55:P56"/>
    <mergeCell ref="O57:O58"/>
    <mergeCell ref="P57:P58"/>
    <mergeCell ref="M63:M64"/>
    <mergeCell ref="N63:N64"/>
    <mergeCell ref="U20:Y20"/>
    <mergeCell ref="U21:Y21"/>
    <mergeCell ref="U22:Y22"/>
    <mergeCell ref="N57:N58"/>
    <mergeCell ref="L55:L56"/>
    <mergeCell ref="J55:J56"/>
    <mergeCell ref="K55:K56"/>
    <mergeCell ref="M57:M58"/>
    <mergeCell ref="U16:Y16"/>
    <mergeCell ref="U17:Y17"/>
    <mergeCell ref="U18:Y18"/>
    <mergeCell ref="U19:Y19"/>
    <mergeCell ref="M55:M56"/>
    <mergeCell ref="N55:N56"/>
    <mergeCell ref="O26:P26"/>
    <mergeCell ref="O55:O56"/>
    <mergeCell ref="L57:L58"/>
    <mergeCell ref="J57:J58"/>
    <mergeCell ref="K57:K58"/>
    <mergeCell ref="U23:Y23"/>
    <mergeCell ref="U24:Y24"/>
    <mergeCell ref="U25:Y25"/>
    <mergeCell ref="M101:M102"/>
    <mergeCell ref="L101:L102"/>
    <mergeCell ref="L97:L98"/>
    <mergeCell ref="L99:L100"/>
    <mergeCell ref="M97:M98"/>
    <mergeCell ref="N97:N98"/>
    <mergeCell ref="K101:K102"/>
    <mergeCell ref="H97:H98"/>
    <mergeCell ref="J97:J98"/>
    <mergeCell ref="J99:J100"/>
    <mergeCell ref="H99:H100"/>
    <mergeCell ref="I99:I100"/>
    <mergeCell ref="M99:M100"/>
    <mergeCell ref="N99:N100"/>
    <mergeCell ref="N101:N102"/>
    <mergeCell ref="I101:I102"/>
    <mergeCell ref="C97:C98"/>
    <mergeCell ref="E97:E98"/>
    <mergeCell ref="D99:D100"/>
    <mergeCell ref="D101:D102"/>
    <mergeCell ref="D97:D98"/>
    <mergeCell ref="I97:I98"/>
    <mergeCell ref="A99:A100"/>
    <mergeCell ref="C99:C100"/>
    <mergeCell ref="E99:E100"/>
    <mergeCell ref="F99:F100"/>
    <mergeCell ref="G99:G100"/>
    <mergeCell ref="B97:B98"/>
    <mergeCell ref="B99:B100"/>
    <mergeCell ref="B101:B102"/>
    <mergeCell ref="E77:E78"/>
    <mergeCell ref="G65:G66"/>
    <mergeCell ref="H65:H66"/>
    <mergeCell ref="F71:F72"/>
    <mergeCell ref="G71:G72"/>
    <mergeCell ref="A101:A102"/>
    <mergeCell ref="C101:C102"/>
    <mergeCell ref="E101:E102"/>
    <mergeCell ref="F101:F102"/>
    <mergeCell ref="G101:G102"/>
    <mergeCell ref="H101:H102"/>
    <mergeCell ref="E87:E88"/>
    <mergeCell ref="F87:F88"/>
    <mergeCell ref="G87:G88"/>
    <mergeCell ref="H87:H88"/>
    <mergeCell ref="F77:F78"/>
    <mergeCell ref="G77:G78"/>
    <mergeCell ref="H77:H78"/>
    <mergeCell ref="A75:A76"/>
    <mergeCell ref="D69:D70"/>
    <mergeCell ref="A69:A70"/>
    <mergeCell ref="F97:F98"/>
    <mergeCell ref="G97:G98"/>
    <mergeCell ref="A97:A98"/>
    <mergeCell ref="A59:A60"/>
    <mergeCell ref="A79:A80"/>
    <mergeCell ref="C79:C80"/>
    <mergeCell ref="A77:A78"/>
    <mergeCell ref="C95:C96"/>
    <mergeCell ref="A87:A88"/>
    <mergeCell ref="C87:C88"/>
    <mergeCell ref="H89:H90"/>
    <mergeCell ref="A93:A94"/>
    <mergeCell ref="C93:C94"/>
    <mergeCell ref="E93:E94"/>
    <mergeCell ref="F93:F94"/>
    <mergeCell ref="G93:G94"/>
    <mergeCell ref="H93:H94"/>
    <mergeCell ref="A65:A66"/>
    <mergeCell ref="C65:C66"/>
    <mergeCell ref="E65:E66"/>
    <mergeCell ref="F65:F66"/>
    <mergeCell ref="C69:C70"/>
    <mergeCell ref="E69:E70"/>
    <mergeCell ref="F69:F70"/>
    <mergeCell ref="G69:G70"/>
    <mergeCell ref="B59:B60"/>
    <mergeCell ref="C77:C78"/>
    <mergeCell ref="D95:D96"/>
    <mergeCell ref="I83:I84"/>
    <mergeCell ref="I79:I80"/>
    <mergeCell ref="A89:A90"/>
    <mergeCell ref="C89:C90"/>
    <mergeCell ref="E89:E90"/>
    <mergeCell ref="A83:A84"/>
    <mergeCell ref="A81:A82"/>
    <mergeCell ref="C81:C82"/>
    <mergeCell ref="E81:E82"/>
    <mergeCell ref="F81:F82"/>
    <mergeCell ref="G81:G82"/>
    <mergeCell ref="H81:H82"/>
    <mergeCell ref="I81:I82"/>
    <mergeCell ref="E95:E96"/>
    <mergeCell ref="F95:F96"/>
    <mergeCell ref="G95:G96"/>
    <mergeCell ref="H95:H96"/>
    <mergeCell ref="F89:F90"/>
    <mergeCell ref="G89:G90"/>
    <mergeCell ref="D89:D90"/>
    <mergeCell ref="I95:I96"/>
    <mergeCell ref="A95:A96"/>
    <mergeCell ref="I87:I88"/>
    <mergeCell ref="D87:D88"/>
    <mergeCell ref="L93:L94"/>
    <mergeCell ref="L91:L92"/>
    <mergeCell ref="J91:J92"/>
    <mergeCell ref="J93:J94"/>
    <mergeCell ref="D91:D92"/>
    <mergeCell ref="D93:D94"/>
    <mergeCell ref="A91:A92"/>
    <mergeCell ref="C91:C92"/>
    <mergeCell ref="E91:E92"/>
    <mergeCell ref="F91:F92"/>
    <mergeCell ref="G91:G92"/>
    <mergeCell ref="H91:H92"/>
    <mergeCell ref="I93:I94"/>
    <mergeCell ref="K91:K92"/>
    <mergeCell ref="I91:I92"/>
    <mergeCell ref="K87:K88"/>
    <mergeCell ref="K89:K90"/>
    <mergeCell ref="I89:I90"/>
    <mergeCell ref="A85:A86"/>
    <mergeCell ref="C85:C86"/>
    <mergeCell ref="E85:E86"/>
    <mergeCell ref="F85:F86"/>
    <mergeCell ref="G85:G86"/>
    <mergeCell ref="H85:H86"/>
    <mergeCell ref="I85:I86"/>
    <mergeCell ref="M85:M86"/>
    <mergeCell ref="N85:N86"/>
    <mergeCell ref="D85:D86"/>
    <mergeCell ref="L85:L86"/>
    <mergeCell ref="J85:J86"/>
    <mergeCell ref="A55:A56"/>
    <mergeCell ref="C55:C56"/>
    <mergeCell ref="E55:E56"/>
    <mergeCell ref="F55:F56"/>
    <mergeCell ref="G55:G56"/>
    <mergeCell ref="H55:H56"/>
    <mergeCell ref="I55:I56"/>
    <mergeCell ref="D55:D56"/>
    <mergeCell ref="A57:A58"/>
    <mergeCell ref="C57:C58"/>
    <mergeCell ref="E57:E58"/>
    <mergeCell ref="F57:F58"/>
    <mergeCell ref="G57:G58"/>
    <mergeCell ref="H57:H58"/>
    <mergeCell ref="I57:I58"/>
    <mergeCell ref="B55:B56"/>
    <mergeCell ref="B57:B58"/>
    <mergeCell ref="C75:C76"/>
    <mergeCell ref="E75:E76"/>
    <mergeCell ref="N83:N84"/>
    <mergeCell ref="D83:D84"/>
    <mergeCell ref="L83:L84"/>
    <mergeCell ref="J83:J84"/>
    <mergeCell ref="G83:G84"/>
    <mergeCell ref="H83:H84"/>
    <mergeCell ref="M81:M82"/>
    <mergeCell ref="N81:N82"/>
    <mergeCell ref="D81:D82"/>
    <mergeCell ref="L81:L82"/>
    <mergeCell ref="J81:J82"/>
    <mergeCell ref="K81:K82"/>
    <mergeCell ref="I77:I78"/>
    <mergeCell ref="M77:M78"/>
    <mergeCell ref="D77:D78"/>
    <mergeCell ref="M79:M80"/>
    <mergeCell ref="E79:E80"/>
    <mergeCell ref="F79:F80"/>
    <mergeCell ref="G79:G80"/>
    <mergeCell ref="H79:H80"/>
    <mergeCell ref="D79:D80"/>
    <mergeCell ref="L79:L80"/>
    <mergeCell ref="I75:I76"/>
    <mergeCell ref="D73:D74"/>
    <mergeCell ref="M75:M76"/>
    <mergeCell ref="D75:D76"/>
    <mergeCell ref="A63:A64"/>
    <mergeCell ref="C63:C64"/>
    <mergeCell ref="E63:E64"/>
    <mergeCell ref="F63:F64"/>
    <mergeCell ref="G63:G64"/>
    <mergeCell ref="C67:C68"/>
    <mergeCell ref="E67:E68"/>
    <mergeCell ref="F67:F68"/>
    <mergeCell ref="M65:M66"/>
    <mergeCell ref="A71:A72"/>
    <mergeCell ref="C71:C72"/>
    <mergeCell ref="E71:E72"/>
    <mergeCell ref="A73:A74"/>
    <mergeCell ref="C73:C74"/>
    <mergeCell ref="E73:E74"/>
    <mergeCell ref="F73:F74"/>
    <mergeCell ref="G73:G74"/>
    <mergeCell ref="A67:A68"/>
    <mergeCell ref="H69:H70"/>
    <mergeCell ref="I69:I70"/>
    <mergeCell ref="L75:L76"/>
    <mergeCell ref="L77:L78"/>
    <mergeCell ref="J77:J78"/>
    <mergeCell ref="K77:K78"/>
    <mergeCell ref="K75:K76"/>
    <mergeCell ref="I59:I60"/>
    <mergeCell ref="D59:D60"/>
    <mergeCell ref="I65:I66"/>
    <mergeCell ref="L65:L66"/>
    <mergeCell ref="D65:D66"/>
    <mergeCell ref="G67:G68"/>
    <mergeCell ref="L69:L70"/>
    <mergeCell ref="L71:L72"/>
    <mergeCell ref="L73:L74"/>
    <mergeCell ref="D71:D72"/>
    <mergeCell ref="D63:D64"/>
    <mergeCell ref="D61:D62"/>
    <mergeCell ref="I73:I74"/>
    <mergeCell ref="D67:D68"/>
    <mergeCell ref="J67:J68"/>
    <mergeCell ref="K67:K68"/>
    <mergeCell ref="F75:F76"/>
    <mergeCell ref="G75:G76"/>
    <mergeCell ref="H75:H76"/>
    <mergeCell ref="H67:H68"/>
    <mergeCell ref="I67:I68"/>
    <mergeCell ref="M67:M68"/>
    <mergeCell ref="L67:L68"/>
    <mergeCell ref="H73:H74"/>
    <mergeCell ref="M61:M62"/>
    <mergeCell ref="P69:P70"/>
    <mergeCell ref="O69:O70"/>
    <mergeCell ref="H71:H72"/>
    <mergeCell ref="I71:I72"/>
    <mergeCell ref="M71:M72"/>
    <mergeCell ref="N71:N72"/>
    <mergeCell ref="O67:O68"/>
    <mergeCell ref="P67:P68"/>
    <mergeCell ref="N69:N70"/>
    <mergeCell ref="O71:O72"/>
    <mergeCell ref="P71:P72"/>
    <mergeCell ref="P73:P74"/>
    <mergeCell ref="O73:O74"/>
    <mergeCell ref="P59:P60"/>
    <mergeCell ref="P65:P66"/>
    <mergeCell ref="O65:O66"/>
    <mergeCell ref="O61:O62"/>
    <mergeCell ref="H59:H60"/>
    <mergeCell ref="K59:K60"/>
    <mergeCell ref="N61:N62"/>
    <mergeCell ref="L61:L62"/>
    <mergeCell ref="H63:H64"/>
    <mergeCell ref="I63:I64"/>
    <mergeCell ref="M59:M60"/>
    <mergeCell ref="N59:N60"/>
    <mergeCell ref="O59:O60"/>
    <mergeCell ref="J59:J60"/>
    <mergeCell ref="J61:J62"/>
    <mergeCell ref="L59:L60"/>
    <mergeCell ref="L63:L64"/>
    <mergeCell ref="P61:P62"/>
    <mergeCell ref="O63:O64"/>
    <mergeCell ref="P63:P64"/>
    <mergeCell ref="K61:K62"/>
    <mergeCell ref="K63:K64"/>
    <mergeCell ref="K65:K66"/>
    <mergeCell ref="J65:J66"/>
    <mergeCell ref="B61:B62"/>
    <mergeCell ref="B63:B64"/>
    <mergeCell ref="B65:B66"/>
    <mergeCell ref="B67:B68"/>
    <mergeCell ref="B69:B70"/>
    <mergeCell ref="B71:B72"/>
    <mergeCell ref="B73:B74"/>
    <mergeCell ref="B75:B76"/>
    <mergeCell ref="B77:B78"/>
    <mergeCell ref="M118:O118"/>
    <mergeCell ref="B79:B80"/>
    <mergeCell ref="B81:B82"/>
    <mergeCell ref="B83:B84"/>
    <mergeCell ref="B85:B86"/>
    <mergeCell ref="B87:B88"/>
    <mergeCell ref="B89:B90"/>
    <mergeCell ref="B91:B92"/>
    <mergeCell ref="B93:B94"/>
    <mergeCell ref="B95:B96"/>
    <mergeCell ref="K85:K86"/>
    <mergeCell ref="J79:J80"/>
    <mergeCell ref="K79:K80"/>
    <mergeCell ref="N79:N80"/>
    <mergeCell ref="K83:K84"/>
    <mergeCell ref="C83:C84"/>
    <mergeCell ref="E83:E84"/>
    <mergeCell ref="F83:F84"/>
    <mergeCell ref="M83:M84"/>
    <mergeCell ref="N89:N90"/>
    <mergeCell ref="L87:L88"/>
    <mergeCell ref="L89:L90"/>
    <mergeCell ref="J87:J88"/>
    <mergeCell ref="J89:J90"/>
  </mergeCells>
  <conditionalFormatting sqref="F9:F12">
    <cfRule type="dataBar" priority="51">
      <dataBar showValue="0">
        <cfvo type="num" val="0"/>
        <cfvo type="num" val="1"/>
        <color rgb="FF00B050"/>
      </dataBar>
      <extLst>
        <ext xmlns:x14="http://schemas.microsoft.com/office/spreadsheetml/2009/9/main" uri="{B025F937-C7B1-47D3-B67F-A62EFF666E3E}">
          <x14:id>{C67559CB-FBD4-4339-B43D-862CAECCB1A9}</x14:id>
        </ext>
      </extLst>
    </cfRule>
  </conditionalFormatting>
  <conditionalFormatting sqref="S6:S25">
    <cfRule type="containsText" dxfId="54" priority="10" operator="containsText" text="Concluído">
      <formula>NOT(ISERROR(SEARCH("Concluído",S6)))</formula>
    </cfRule>
    <cfRule type="containsText" dxfId="53" priority="11" operator="containsText" text="Conforme Planejado">
      <formula>NOT(ISERROR(SEARCH("Conforme Planejado",S6)))</formula>
    </cfRule>
    <cfRule type="containsText" dxfId="52" priority="12" operator="containsText" text="FALTA PLANEJAMENTO">
      <formula>NOT(ISERROR(SEARCH("FALTA PLANEJAMENTO",S6)))</formula>
    </cfRule>
    <cfRule type="containsText" dxfId="51" priority="13" operator="containsText" text="Atraso">
      <formula>NOT(ISERROR(SEARCH("Atraso",S6)))</formula>
    </cfRule>
  </conditionalFormatting>
  <conditionalFormatting sqref="T6:T25">
    <cfRule type="cellIs" dxfId="50" priority="3" operator="lessThan">
      <formula>0</formula>
    </cfRule>
  </conditionalFormatting>
  <conditionalFormatting sqref="AA6:AA25">
    <cfRule type="cellIs" dxfId="49" priority="50" operator="lessThanOrEqual">
      <formula>0.81</formula>
    </cfRule>
  </conditionalFormatting>
  <conditionalFormatting sqref="AD6:AD25">
    <cfRule type="containsText" dxfId="48" priority="4" operator="containsText" text="ADIANTADO">
      <formula>NOT(ISERROR(SEARCH("ADIANTADO",AD6)))</formula>
    </cfRule>
    <cfRule type="containsText" dxfId="47" priority="5" operator="containsText" text="FALTA DE ACOMPANHAMENTO">
      <formula>NOT(ISERROR(SEARCH("FALTA DE ACOMPANHAMENTO",AD6)))</formula>
    </cfRule>
    <cfRule type="containsText" dxfId="46" priority="6" operator="containsText" text="Concluído">
      <formula>NOT(ISERROR(SEARCH("Concluído",AD6)))</formula>
    </cfRule>
    <cfRule type="containsText" dxfId="45" priority="7" operator="containsText" text="Conforme Planejado">
      <formula>NOT(ISERROR(SEARCH("Conforme Planejado",AD6)))</formula>
    </cfRule>
    <cfRule type="containsText" dxfId="44" priority="8" operator="containsText" text="PROJETO NÃO INICIADO">
      <formula>NOT(ISERROR(SEARCH("PROJETO NÃO INICIADO",AD6)))</formula>
    </cfRule>
    <cfRule type="containsText" dxfId="43" priority="9" operator="containsText" text="Atraso">
      <formula>NOT(ISERROR(SEARCH("Atraso",AD6)))</formula>
    </cfRule>
  </conditionalFormatting>
  <conditionalFormatting sqref="AP55:AP102">
    <cfRule type="cellIs" dxfId="42" priority="1" operator="lessThan">
      <formula>0</formula>
    </cfRule>
  </conditionalFormatting>
  <dataValidations count="5">
    <dataValidation type="list" allowBlank="1" showInputMessage="1" showErrorMessage="1" sqref="AK55:AK102" xr:uid="{FC0C3899-C391-4258-B6CA-5CB5D28779D4}">
      <formula1>$AJ$47:$AJ$51</formula1>
    </dataValidation>
    <dataValidation type="list" allowBlank="1" showInputMessage="1" showErrorMessage="1" sqref="E155:E321" xr:uid="{4A9F3C04-A8DC-4C88-BFF8-763994895D9B}">
      <formula1>"Sim,Não"</formula1>
    </dataValidation>
    <dataValidation type="list" allowBlank="1" showInputMessage="1" showErrorMessage="1" sqref="D104:D107 D112:D118 D126 D128 D130:D132" xr:uid="{4FFABEE3-D71A-4D6C-BF66-8F2E0221E45D}">
      <formula1>"1,2,3"</formula1>
    </dataValidation>
    <dataValidation type="list" allowBlank="1" showInputMessage="1" showErrorMessage="1" sqref="E105:F132" xr:uid="{7044FFF6-F7EE-41E5-B317-FAF721181905}">
      <formula1>"NOK,OK"</formula1>
    </dataValidation>
    <dataValidation type="list" allowBlank="1" showInputMessage="1" showErrorMessage="1" sqref="B55:B102" xr:uid="{8B285C98-A620-476C-954E-703D38333D80}">
      <formula1>"VA,GGF,MA,Outros"</formula1>
    </dataValidation>
  </dataValidations>
  <hyperlinks>
    <hyperlink ref="D55" r:id="rId1" xr:uid="{8CE464D1-99FB-42B7-905D-488864A93120}"/>
    <hyperlink ref="D57" r:id="rId2" xr:uid="{F43679A7-9257-468A-8F63-9A7272A50AAC}"/>
    <hyperlink ref="D59" r:id="rId3" xr:uid="{49144724-16A2-4890-8D05-B192D03A3212}"/>
    <hyperlink ref="D61" r:id="rId4" display="\\DASRVFILE\Departamentos\ENGENHARIA\1.1 Projetos de redução custo\04 - GÁS\A3 Projeto 04 - GÁS.xlsx" xr:uid="{7975EF94-1FFF-456F-9851-FBC7F749597B}"/>
    <hyperlink ref="D77:D78" r:id="rId5" display="\\DASRVFILE\Departamentos\ENGENHARIA\1.1 Projetos de redução custo\12 - VENDA DE DESCARTÁVEIS\A3 Projeto 12 - VENDA DE DESCARTÁVEIS.xlsx" xr:uid="{FDBB5297-0FD9-4CCC-8FF9-22400C1C1E26}"/>
    <hyperlink ref="D79" r:id="rId6" xr:uid="{5253897D-ACA8-4B8E-847C-D2FC144666AB}"/>
    <hyperlink ref="D63" r:id="rId7" xr:uid="{0673FD9E-A341-4ADB-8732-336EB6E1132D}"/>
    <hyperlink ref="D65" r:id="rId8" xr:uid="{31CCC6F1-07EC-43D2-8318-6E1624281A65}"/>
    <hyperlink ref="D67" r:id="rId9" display="\\DASRVFILE\Departamentos\ENGENHARIA\1.1 Projetos de redução custo\07 - CONSUMO DE EPI e SERVIÇOS\A3 Projeto 07 - CONSUMO DE EPI e SERVIÇOS.xlsx" xr:uid="{4EC58DCE-2FEC-4C2F-AD89-ADE55CCAC3B6}"/>
    <hyperlink ref="D69" r:id="rId10" display="\\DASRVFILE\Departamentos\ENGENHARIA\1.1 Projetos de redução custo\08 - ÁGUA\A3 Projeto 08 - ÁGUA.xlsx" xr:uid="{1D3C61FF-2F18-40C1-94A9-380A8C8135E7}"/>
    <hyperlink ref="D71" r:id="rId11" display="\\DASRVFILE\Departamentos\ENGENHARIA\1.1 Projetos de redução custo\09 - ENERGIA ELÉTRICA\A3 Projeto 09 - ENERGIA ELÉTRICA.xlsx" xr:uid="{B367B6F8-0CDE-4AFA-9247-666E4687E267}"/>
    <hyperlink ref="D73" r:id="rId12" display="\\DASRVFILE\Departamentos\ENGENHARIA\1.1 Projetos de redução custo\10 - CONSUMO PERNA DE MOÇA\A3 Projeto 10 - CONSUMO PERNA DE MOÇA.xlsx" xr:uid="{74A411C3-D07B-44C6-A001-2704C5750456}"/>
    <hyperlink ref="D75" r:id="rId13" xr:uid="{671E728D-9778-49B4-85FD-DEEB0A87279A}"/>
    <hyperlink ref="D61:D62" r:id="rId14" display="R:\Departamentos\ENGENHARIA\1.1 Projetos de redução custo\04 - GÁS\A3 Projeto 04 - Projeto de eficiência do Gás.xlsx" xr:uid="{6E0A6BCE-60B6-401D-8D19-28D64E409390}"/>
    <hyperlink ref="D67:D68" r:id="rId15" display="R:\Departamentos\ENGENHARIA\1.1 Projetos de redução custo\07 - CONSUMO DE EPI e SERVIÇOS\A3 Projeto 07 - CONSUMO DE EPI e SERVIÇOS_Feveiro2026.xlsx" xr:uid="{02EF8B46-0533-4A70-8993-8C4F7424FBC6}"/>
    <hyperlink ref="D69:D70" r:id="rId16" display="R:\Departamentos\ENGENHARIA\1.1 Projetos de redução custo\08 - ÁGUA\08. ÁGUA - MELHORAR A EFICIÊNCIA DO CONSUMO DE ÀGUA.xlsx" xr:uid="{A2874FC2-F448-40A9-95B3-CC96E4A5B051}"/>
    <hyperlink ref="D71:D72" r:id="rId17" display="R:\Departamentos\ENGENHARIA\1.1 Projetos de redução custo\09 - ENERGIA ELÉTRICA\A3 Projeto 09 - MELHORAR A EFICIÊNCIA DO CONSUMO DA ENERGIA ELÉTRICA.xlsx" xr:uid="{719CF7B1-C6D8-4DF5-9BCB-8E01873E12D6}"/>
    <hyperlink ref="D73:D74" r:id="rId18" display="R:\Departamentos\ENGENHARIA\1.1 Projetos de redução custo\10 - CONSUMO PERNA DE MOÇA\A3 - 10. CONSUMO PERNA DE MOÇA.xlsx" xr:uid="{65B60FFC-1698-4586-AF35-B54A57F5BD3C}"/>
    <hyperlink ref="D55:D56" r:id="rId19" display="\\DASRVFILE\Departamentos\ENGENHARIA\1.1 Projetos de redução custo\01 - VENDA DE ATIVOS\A3 Projeto 01 - VENDA DE ATIVOS.xlsx" xr:uid="{34772C95-BD96-451F-ADD0-653DBA948451}"/>
    <hyperlink ref="D59:D60" r:id="rId20" display="\\DASRVFILE\Departamentos\ENGENHARIA\1.1 Projetos de redução custo\03 - PRODUTOS QUÍMICOS KTL\A3 Projeto 03 - PRODUTOS QUÍMICOS KTL.xlsx" xr:uid="{9906F50A-E973-47B6-AF90-718FBB592C72}"/>
    <hyperlink ref="H142" r:id="rId21" xr:uid="{25623813-7829-4656-9E9D-0B45737BECD4}"/>
    <hyperlink ref="D79:D80" r:id="rId22" display="\\DASRVFILE\Departamentos\ENGENHARIA\1.1 Projetos de redução custo\13 - CONSUMO DE MATERIAIS DA ETE\A3 Projeto 13 - CONSUMO DE MATERIAIS DA ETE.xlsx" xr:uid="{3A3EF8C7-BC3E-4DC7-AB1B-159B365133F4}"/>
    <hyperlink ref="H108" r:id="rId23" xr:uid="{27E7CAE0-20F0-4CBF-96EE-45445ED5A891}"/>
    <hyperlink ref="H110" r:id="rId24" xr:uid="{2DF6C2E8-11BA-4B0A-9A6F-0FF4E5E5499E}"/>
    <hyperlink ref="H112" r:id="rId25" xr:uid="{6B22BA8C-9E00-4474-A6E9-4AD3270465DF}"/>
    <hyperlink ref="H116" r:id="rId26" xr:uid="{F4E39AAD-D2CB-41B3-9F2D-7B9559B661B6}"/>
    <hyperlink ref="H117" r:id="rId27" xr:uid="{F5BFB5C7-8306-4B18-BF85-71E161888A8D}"/>
    <hyperlink ref="H109" r:id="rId28" xr:uid="{713A8ED3-6A82-48CF-A195-D11F8176C045}"/>
    <hyperlink ref="H114" r:id="rId29" xr:uid="{0F2470C5-ACC0-496F-915A-D2B17A8805BB}"/>
    <hyperlink ref="H113" r:id="rId30" xr:uid="{7BEFB757-1E30-4C7B-A656-92265B815D34}"/>
    <hyperlink ref="H107" r:id="rId31" xr:uid="{5B160AE9-57B7-4BC7-9957-2F9235696349}"/>
    <hyperlink ref="H106" r:id="rId32" xr:uid="{2D0DD1BB-C962-4BD7-8EE6-FCEB86306F9A}"/>
    <hyperlink ref="H115" r:id="rId33" xr:uid="{0C75F612-86FE-4F47-BABF-5C72AF2FAE9C}"/>
    <hyperlink ref="H111" r:id="rId34" xr:uid="{90B1C761-67D9-48E3-9A62-AC92C90CB007}"/>
  </hyperlinks>
  <pageMargins left="0.75" right="0.75" top="1" bottom="1" header="0.5" footer="0.5"/>
  <pageSetup paperSize="9" orientation="portrait" r:id="rId35"/>
  <drawing r:id="rId36"/>
  <legacyDrawing r:id="rId37"/>
  <mc:AlternateContent xmlns:mc="http://schemas.openxmlformats.org/markup-compatibility/2006">
    <mc:Choice Requires="x14">
      <controls>
        <mc:AlternateContent xmlns:mc="http://schemas.openxmlformats.org/markup-compatibility/2006">
          <mc:Choice Requires="x14">
            <control shapeId="6188" r:id="rId38" name="Check Box 44">
              <controlPr defaultSize="0" autoFill="0" autoLine="0" autoPict="0">
                <anchor moveWithCells="1">
                  <from>
                    <xdr:col>11</xdr:col>
                    <xdr:colOff>30480</xdr:colOff>
                    <xdr:row>54</xdr:row>
                    <xdr:rowOff>259080</xdr:rowOff>
                  </from>
                  <to>
                    <xdr:col>12</xdr:col>
                    <xdr:colOff>510540</xdr:colOff>
                    <xdr:row>55</xdr:row>
                    <xdr:rowOff>106680</xdr:rowOff>
                  </to>
                </anchor>
              </controlPr>
            </control>
          </mc:Choice>
        </mc:AlternateContent>
        <mc:AlternateContent xmlns:mc="http://schemas.openxmlformats.org/markup-compatibility/2006">
          <mc:Choice Requires="x14">
            <control shapeId="6189" r:id="rId39" name="Check Box 45">
              <controlPr defaultSize="0" autoFill="0" autoLine="0" autoPict="0">
                <anchor moveWithCells="1">
                  <from>
                    <xdr:col>11</xdr:col>
                    <xdr:colOff>0</xdr:colOff>
                    <xdr:row>56</xdr:row>
                    <xdr:rowOff>266700</xdr:rowOff>
                  </from>
                  <to>
                    <xdr:col>12</xdr:col>
                    <xdr:colOff>472440</xdr:colOff>
                    <xdr:row>57</xdr:row>
                    <xdr:rowOff>114300</xdr:rowOff>
                  </to>
                </anchor>
              </controlPr>
            </control>
          </mc:Choice>
        </mc:AlternateContent>
        <mc:AlternateContent xmlns:mc="http://schemas.openxmlformats.org/markup-compatibility/2006">
          <mc:Choice Requires="x14">
            <control shapeId="6190" r:id="rId40" name="Check Box 46">
              <controlPr defaultSize="0" autoFill="0" autoLine="0" autoPict="0">
                <anchor moveWithCells="1">
                  <from>
                    <xdr:col>11</xdr:col>
                    <xdr:colOff>0</xdr:colOff>
                    <xdr:row>57</xdr:row>
                    <xdr:rowOff>144780</xdr:rowOff>
                  </from>
                  <to>
                    <xdr:col>12</xdr:col>
                    <xdr:colOff>472440</xdr:colOff>
                    <xdr:row>57</xdr:row>
                    <xdr:rowOff>342900</xdr:rowOff>
                  </to>
                </anchor>
              </controlPr>
            </control>
          </mc:Choice>
        </mc:AlternateContent>
        <mc:AlternateContent xmlns:mc="http://schemas.openxmlformats.org/markup-compatibility/2006">
          <mc:Choice Requires="x14">
            <control shapeId="6191" r:id="rId41" name="Check Box 47">
              <controlPr defaultSize="0" autoFill="0" autoLine="0" autoPict="0">
                <anchor moveWithCells="1">
                  <from>
                    <xdr:col>11</xdr:col>
                    <xdr:colOff>0</xdr:colOff>
                    <xdr:row>56</xdr:row>
                    <xdr:rowOff>30480</xdr:rowOff>
                  </from>
                  <to>
                    <xdr:col>12</xdr:col>
                    <xdr:colOff>472440</xdr:colOff>
                    <xdr:row>56</xdr:row>
                    <xdr:rowOff>259080</xdr:rowOff>
                  </to>
                </anchor>
              </controlPr>
            </control>
          </mc:Choice>
        </mc:AlternateContent>
        <mc:AlternateContent xmlns:mc="http://schemas.openxmlformats.org/markup-compatibility/2006">
          <mc:Choice Requires="x14">
            <control shapeId="6192" r:id="rId42" name="Check Box 48">
              <controlPr defaultSize="0" autoFill="0" autoLine="0" autoPict="0">
                <anchor moveWithCells="1">
                  <from>
                    <xdr:col>11</xdr:col>
                    <xdr:colOff>0</xdr:colOff>
                    <xdr:row>58</xdr:row>
                    <xdr:rowOff>266700</xdr:rowOff>
                  </from>
                  <to>
                    <xdr:col>12</xdr:col>
                    <xdr:colOff>472440</xdr:colOff>
                    <xdr:row>59</xdr:row>
                    <xdr:rowOff>114300</xdr:rowOff>
                  </to>
                </anchor>
              </controlPr>
            </control>
          </mc:Choice>
        </mc:AlternateContent>
        <mc:AlternateContent xmlns:mc="http://schemas.openxmlformats.org/markup-compatibility/2006">
          <mc:Choice Requires="x14">
            <control shapeId="6193" r:id="rId43" name="Check Box 49">
              <controlPr defaultSize="0" autoFill="0" autoLine="0" autoPict="0">
                <anchor moveWithCells="1">
                  <from>
                    <xdr:col>11</xdr:col>
                    <xdr:colOff>0</xdr:colOff>
                    <xdr:row>59</xdr:row>
                    <xdr:rowOff>144780</xdr:rowOff>
                  </from>
                  <to>
                    <xdr:col>12</xdr:col>
                    <xdr:colOff>472440</xdr:colOff>
                    <xdr:row>59</xdr:row>
                    <xdr:rowOff>342900</xdr:rowOff>
                  </to>
                </anchor>
              </controlPr>
            </control>
          </mc:Choice>
        </mc:AlternateContent>
        <mc:AlternateContent xmlns:mc="http://schemas.openxmlformats.org/markup-compatibility/2006">
          <mc:Choice Requires="x14">
            <control shapeId="6194" r:id="rId44" name="Check Box 50">
              <controlPr defaultSize="0" autoFill="0" autoLine="0" autoPict="0">
                <anchor moveWithCells="1">
                  <from>
                    <xdr:col>11</xdr:col>
                    <xdr:colOff>0</xdr:colOff>
                    <xdr:row>58</xdr:row>
                    <xdr:rowOff>30480</xdr:rowOff>
                  </from>
                  <to>
                    <xdr:col>12</xdr:col>
                    <xdr:colOff>472440</xdr:colOff>
                    <xdr:row>58</xdr:row>
                    <xdr:rowOff>259080</xdr:rowOff>
                  </to>
                </anchor>
              </controlPr>
            </control>
          </mc:Choice>
        </mc:AlternateContent>
        <mc:AlternateContent xmlns:mc="http://schemas.openxmlformats.org/markup-compatibility/2006">
          <mc:Choice Requires="x14">
            <control shapeId="6195" r:id="rId45" name="Check Box 51">
              <controlPr defaultSize="0" autoFill="0" autoLine="0" autoPict="0">
                <anchor moveWithCells="1">
                  <from>
                    <xdr:col>11</xdr:col>
                    <xdr:colOff>0</xdr:colOff>
                    <xdr:row>60</xdr:row>
                    <xdr:rowOff>266700</xdr:rowOff>
                  </from>
                  <to>
                    <xdr:col>12</xdr:col>
                    <xdr:colOff>472440</xdr:colOff>
                    <xdr:row>61</xdr:row>
                    <xdr:rowOff>114300</xdr:rowOff>
                  </to>
                </anchor>
              </controlPr>
            </control>
          </mc:Choice>
        </mc:AlternateContent>
        <mc:AlternateContent xmlns:mc="http://schemas.openxmlformats.org/markup-compatibility/2006">
          <mc:Choice Requires="x14">
            <control shapeId="6196" r:id="rId46" name="Check Box 52">
              <controlPr defaultSize="0" autoFill="0" autoLine="0" autoPict="0">
                <anchor moveWithCells="1">
                  <from>
                    <xdr:col>11</xdr:col>
                    <xdr:colOff>0</xdr:colOff>
                    <xdr:row>61</xdr:row>
                    <xdr:rowOff>144780</xdr:rowOff>
                  </from>
                  <to>
                    <xdr:col>12</xdr:col>
                    <xdr:colOff>472440</xdr:colOff>
                    <xdr:row>61</xdr:row>
                    <xdr:rowOff>342900</xdr:rowOff>
                  </to>
                </anchor>
              </controlPr>
            </control>
          </mc:Choice>
        </mc:AlternateContent>
        <mc:AlternateContent xmlns:mc="http://schemas.openxmlformats.org/markup-compatibility/2006">
          <mc:Choice Requires="x14">
            <control shapeId="6197" r:id="rId47" name="Check Box 53">
              <controlPr defaultSize="0" autoFill="0" autoLine="0" autoPict="0">
                <anchor moveWithCells="1">
                  <from>
                    <xdr:col>11</xdr:col>
                    <xdr:colOff>0</xdr:colOff>
                    <xdr:row>60</xdr:row>
                    <xdr:rowOff>30480</xdr:rowOff>
                  </from>
                  <to>
                    <xdr:col>12</xdr:col>
                    <xdr:colOff>472440</xdr:colOff>
                    <xdr:row>60</xdr:row>
                    <xdr:rowOff>259080</xdr:rowOff>
                  </to>
                </anchor>
              </controlPr>
            </control>
          </mc:Choice>
        </mc:AlternateContent>
        <mc:AlternateContent xmlns:mc="http://schemas.openxmlformats.org/markup-compatibility/2006">
          <mc:Choice Requires="x14">
            <control shapeId="6202" r:id="rId48" name="Check Box 58">
              <controlPr defaultSize="0" autoFill="0" autoLine="0" autoPict="0">
                <anchor moveWithCells="1">
                  <from>
                    <xdr:col>11</xdr:col>
                    <xdr:colOff>0</xdr:colOff>
                    <xdr:row>62</xdr:row>
                    <xdr:rowOff>266700</xdr:rowOff>
                  </from>
                  <to>
                    <xdr:col>12</xdr:col>
                    <xdr:colOff>472440</xdr:colOff>
                    <xdr:row>63</xdr:row>
                    <xdr:rowOff>114300</xdr:rowOff>
                  </to>
                </anchor>
              </controlPr>
            </control>
          </mc:Choice>
        </mc:AlternateContent>
        <mc:AlternateContent xmlns:mc="http://schemas.openxmlformats.org/markup-compatibility/2006">
          <mc:Choice Requires="x14">
            <control shapeId="6203" r:id="rId49" name="Check Box 59">
              <controlPr defaultSize="0" autoFill="0" autoLine="0" autoPict="0">
                <anchor moveWithCells="1">
                  <from>
                    <xdr:col>11</xdr:col>
                    <xdr:colOff>0</xdr:colOff>
                    <xdr:row>63</xdr:row>
                    <xdr:rowOff>144780</xdr:rowOff>
                  </from>
                  <to>
                    <xdr:col>12</xdr:col>
                    <xdr:colOff>472440</xdr:colOff>
                    <xdr:row>63</xdr:row>
                    <xdr:rowOff>342900</xdr:rowOff>
                  </to>
                </anchor>
              </controlPr>
            </control>
          </mc:Choice>
        </mc:AlternateContent>
        <mc:AlternateContent xmlns:mc="http://schemas.openxmlformats.org/markup-compatibility/2006">
          <mc:Choice Requires="x14">
            <control shapeId="6204" r:id="rId50" name="Check Box 60">
              <controlPr defaultSize="0" autoFill="0" autoLine="0" autoPict="0">
                <anchor moveWithCells="1">
                  <from>
                    <xdr:col>11</xdr:col>
                    <xdr:colOff>0</xdr:colOff>
                    <xdr:row>62</xdr:row>
                    <xdr:rowOff>30480</xdr:rowOff>
                  </from>
                  <to>
                    <xdr:col>12</xdr:col>
                    <xdr:colOff>472440</xdr:colOff>
                    <xdr:row>62</xdr:row>
                    <xdr:rowOff>259080</xdr:rowOff>
                  </to>
                </anchor>
              </controlPr>
            </control>
          </mc:Choice>
        </mc:AlternateContent>
        <mc:AlternateContent xmlns:mc="http://schemas.openxmlformats.org/markup-compatibility/2006">
          <mc:Choice Requires="x14">
            <control shapeId="6205" r:id="rId51" name="Check Box 61">
              <controlPr defaultSize="0" autoFill="0" autoLine="0" autoPict="0">
                <anchor moveWithCells="1">
                  <from>
                    <xdr:col>11</xdr:col>
                    <xdr:colOff>0</xdr:colOff>
                    <xdr:row>64</xdr:row>
                    <xdr:rowOff>266700</xdr:rowOff>
                  </from>
                  <to>
                    <xdr:col>12</xdr:col>
                    <xdr:colOff>472440</xdr:colOff>
                    <xdr:row>65</xdr:row>
                    <xdr:rowOff>114300</xdr:rowOff>
                  </to>
                </anchor>
              </controlPr>
            </control>
          </mc:Choice>
        </mc:AlternateContent>
        <mc:AlternateContent xmlns:mc="http://schemas.openxmlformats.org/markup-compatibility/2006">
          <mc:Choice Requires="x14">
            <control shapeId="6206" r:id="rId52" name="Check Box 62">
              <controlPr defaultSize="0" autoFill="0" autoLine="0" autoPict="0">
                <anchor moveWithCells="1">
                  <from>
                    <xdr:col>11</xdr:col>
                    <xdr:colOff>0</xdr:colOff>
                    <xdr:row>65</xdr:row>
                    <xdr:rowOff>144780</xdr:rowOff>
                  </from>
                  <to>
                    <xdr:col>12</xdr:col>
                    <xdr:colOff>472440</xdr:colOff>
                    <xdr:row>65</xdr:row>
                    <xdr:rowOff>342900</xdr:rowOff>
                  </to>
                </anchor>
              </controlPr>
            </control>
          </mc:Choice>
        </mc:AlternateContent>
        <mc:AlternateContent xmlns:mc="http://schemas.openxmlformats.org/markup-compatibility/2006">
          <mc:Choice Requires="x14">
            <control shapeId="6207" r:id="rId53" name="Check Box 63">
              <controlPr defaultSize="0" autoFill="0" autoLine="0" autoPict="0">
                <anchor moveWithCells="1">
                  <from>
                    <xdr:col>11</xdr:col>
                    <xdr:colOff>0</xdr:colOff>
                    <xdr:row>64</xdr:row>
                    <xdr:rowOff>30480</xdr:rowOff>
                  </from>
                  <to>
                    <xdr:col>12</xdr:col>
                    <xdr:colOff>472440</xdr:colOff>
                    <xdr:row>64</xdr:row>
                    <xdr:rowOff>259080</xdr:rowOff>
                  </to>
                </anchor>
              </controlPr>
            </control>
          </mc:Choice>
        </mc:AlternateContent>
        <mc:AlternateContent xmlns:mc="http://schemas.openxmlformats.org/markup-compatibility/2006">
          <mc:Choice Requires="x14">
            <control shapeId="6208" r:id="rId54" name="Check Box 64">
              <controlPr defaultSize="0" autoFill="0" autoLine="0" autoPict="0">
                <anchor moveWithCells="1">
                  <from>
                    <xdr:col>11</xdr:col>
                    <xdr:colOff>0</xdr:colOff>
                    <xdr:row>66</xdr:row>
                    <xdr:rowOff>266700</xdr:rowOff>
                  </from>
                  <to>
                    <xdr:col>12</xdr:col>
                    <xdr:colOff>472440</xdr:colOff>
                    <xdr:row>67</xdr:row>
                    <xdr:rowOff>114300</xdr:rowOff>
                  </to>
                </anchor>
              </controlPr>
            </control>
          </mc:Choice>
        </mc:AlternateContent>
        <mc:AlternateContent xmlns:mc="http://schemas.openxmlformats.org/markup-compatibility/2006">
          <mc:Choice Requires="x14">
            <control shapeId="6209" r:id="rId55" name="Check Box 65">
              <controlPr defaultSize="0" autoFill="0" autoLine="0" autoPict="0">
                <anchor moveWithCells="1">
                  <from>
                    <xdr:col>11</xdr:col>
                    <xdr:colOff>0</xdr:colOff>
                    <xdr:row>67</xdr:row>
                    <xdr:rowOff>144780</xdr:rowOff>
                  </from>
                  <to>
                    <xdr:col>12</xdr:col>
                    <xdr:colOff>472440</xdr:colOff>
                    <xdr:row>67</xdr:row>
                    <xdr:rowOff>342900</xdr:rowOff>
                  </to>
                </anchor>
              </controlPr>
            </control>
          </mc:Choice>
        </mc:AlternateContent>
        <mc:AlternateContent xmlns:mc="http://schemas.openxmlformats.org/markup-compatibility/2006">
          <mc:Choice Requires="x14">
            <control shapeId="6210" r:id="rId56" name="Check Box 66">
              <controlPr defaultSize="0" autoFill="0" autoLine="0" autoPict="0">
                <anchor moveWithCells="1">
                  <from>
                    <xdr:col>11</xdr:col>
                    <xdr:colOff>0</xdr:colOff>
                    <xdr:row>66</xdr:row>
                    <xdr:rowOff>30480</xdr:rowOff>
                  </from>
                  <to>
                    <xdr:col>12</xdr:col>
                    <xdr:colOff>472440</xdr:colOff>
                    <xdr:row>66</xdr:row>
                    <xdr:rowOff>259080</xdr:rowOff>
                  </to>
                </anchor>
              </controlPr>
            </control>
          </mc:Choice>
        </mc:AlternateContent>
        <mc:AlternateContent xmlns:mc="http://schemas.openxmlformats.org/markup-compatibility/2006">
          <mc:Choice Requires="x14">
            <control shapeId="6211" r:id="rId57" name="Check Box 67">
              <controlPr defaultSize="0" autoFill="0" autoLine="0" autoPict="0">
                <anchor moveWithCells="1">
                  <from>
                    <xdr:col>11</xdr:col>
                    <xdr:colOff>0</xdr:colOff>
                    <xdr:row>68</xdr:row>
                    <xdr:rowOff>266700</xdr:rowOff>
                  </from>
                  <to>
                    <xdr:col>12</xdr:col>
                    <xdr:colOff>472440</xdr:colOff>
                    <xdr:row>68</xdr:row>
                    <xdr:rowOff>487680</xdr:rowOff>
                  </to>
                </anchor>
              </controlPr>
            </control>
          </mc:Choice>
        </mc:AlternateContent>
        <mc:AlternateContent xmlns:mc="http://schemas.openxmlformats.org/markup-compatibility/2006">
          <mc:Choice Requires="x14">
            <control shapeId="6212" r:id="rId58" name="Check Box 68">
              <controlPr defaultSize="0" autoFill="0" autoLine="0" autoPict="0">
                <anchor moveWithCells="1">
                  <from>
                    <xdr:col>11</xdr:col>
                    <xdr:colOff>0</xdr:colOff>
                    <xdr:row>69</xdr:row>
                    <xdr:rowOff>144780</xdr:rowOff>
                  </from>
                  <to>
                    <xdr:col>12</xdr:col>
                    <xdr:colOff>472440</xdr:colOff>
                    <xdr:row>69</xdr:row>
                    <xdr:rowOff>342900</xdr:rowOff>
                  </to>
                </anchor>
              </controlPr>
            </control>
          </mc:Choice>
        </mc:AlternateContent>
        <mc:AlternateContent xmlns:mc="http://schemas.openxmlformats.org/markup-compatibility/2006">
          <mc:Choice Requires="x14">
            <control shapeId="6213" r:id="rId59" name="Check Box 69">
              <controlPr defaultSize="0" autoFill="0" autoLine="0" autoPict="0">
                <anchor moveWithCells="1">
                  <from>
                    <xdr:col>11</xdr:col>
                    <xdr:colOff>0</xdr:colOff>
                    <xdr:row>68</xdr:row>
                    <xdr:rowOff>30480</xdr:rowOff>
                  </from>
                  <to>
                    <xdr:col>12</xdr:col>
                    <xdr:colOff>472440</xdr:colOff>
                    <xdr:row>68</xdr:row>
                    <xdr:rowOff>259080</xdr:rowOff>
                  </to>
                </anchor>
              </controlPr>
            </control>
          </mc:Choice>
        </mc:AlternateContent>
        <mc:AlternateContent xmlns:mc="http://schemas.openxmlformats.org/markup-compatibility/2006">
          <mc:Choice Requires="x14">
            <control shapeId="6214" r:id="rId60" name="Check Box 70">
              <controlPr defaultSize="0" autoFill="0" autoLine="0" autoPict="0">
                <anchor moveWithCells="1">
                  <from>
                    <xdr:col>11</xdr:col>
                    <xdr:colOff>0</xdr:colOff>
                    <xdr:row>70</xdr:row>
                    <xdr:rowOff>266700</xdr:rowOff>
                  </from>
                  <to>
                    <xdr:col>12</xdr:col>
                    <xdr:colOff>472440</xdr:colOff>
                    <xdr:row>71</xdr:row>
                    <xdr:rowOff>114300</xdr:rowOff>
                  </to>
                </anchor>
              </controlPr>
            </control>
          </mc:Choice>
        </mc:AlternateContent>
        <mc:AlternateContent xmlns:mc="http://schemas.openxmlformats.org/markup-compatibility/2006">
          <mc:Choice Requires="x14">
            <control shapeId="6215" r:id="rId61" name="Check Box 71">
              <controlPr defaultSize="0" autoFill="0" autoLine="0" autoPict="0">
                <anchor moveWithCells="1">
                  <from>
                    <xdr:col>11</xdr:col>
                    <xdr:colOff>0</xdr:colOff>
                    <xdr:row>71</xdr:row>
                    <xdr:rowOff>144780</xdr:rowOff>
                  </from>
                  <to>
                    <xdr:col>12</xdr:col>
                    <xdr:colOff>472440</xdr:colOff>
                    <xdr:row>71</xdr:row>
                    <xdr:rowOff>342900</xdr:rowOff>
                  </to>
                </anchor>
              </controlPr>
            </control>
          </mc:Choice>
        </mc:AlternateContent>
        <mc:AlternateContent xmlns:mc="http://schemas.openxmlformats.org/markup-compatibility/2006">
          <mc:Choice Requires="x14">
            <control shapeId="6216" r:id="rId62" name="Check Box 72">
              <controlPr defaultSize="0" autoFill="0" autoLine="0" autoPict="0">
                <anchor moveWithCells="1">
                  <from>
                    <xdr:col>11</xdr:col>
                    <xdr:colOff>0</xdr:colOff>
                    <xdr:row>70</xdr:row>
                    <xdr:rowOff>30480</xdr:rowOff>
                  </from>
                  <to>
                    <xdr:col>12</xdr:col>
                    <xdr:colOff>472440</xdr:colOff>
                    <xdr:row>70</xdr:row>
                    <xdr:rowOff>259080</xdr:rowOff>
                  </to>
                </anchor>
              </controlPr>
            </control>
          </mc:Choice>
        </mc:AlternateContent>
        <mc:AlternateContent xmlns:mc="http://schemas.openxmlformats.org/markup-compatibility/2006">
          <mc:Choice Requires="x14">
            <control shapeId="6217" r:id="rId63" name="Check Box 73">
              <controlPr defaultSize="0" autoFill="0" autoLine="0" autoPict="0">
                <anchor moveWithCells="1">
                  <from>
                    <xdr:col>11</xdr:col>
                    <xdr:colOff>0</xdr:colOff>
                    <xdr:row>72</xdr:row>
                    <xdr:rowOff>266700</xdr:rowOff>
                  </from>
                  <to>
                    <xdr:col>12</xdr:col>
                    <xdr:colOff>472440</xdr:colOff>
                    <xdr:row>73</xdr:row>
                    <xdr:rowOff>114300</xdr:rowOff>
                  </to>
                </anchor>
              </controlPr>
            </control>
          </mc:Choice>
        </mc:AlternateContent>
        <mc:AlternateContent xmlns:mc="http://schemas.openxmlformats.org/markup-compatibility/2006">
          <mc:Choice Requires="x14">
            <control shapeId="6218" r:id="rId64" name="Check Box 74">
              <controlPr defaultSize="0" autoFill="0" autoLine="0" autoPict="0">
                <anchor moveWithCells="1">
                  <from>
                    <xdr:col>11</xdr:col>
                    <xdr:colOff>0</xdr:colOff>
                    <xdr:row>73</xdr:row>
                    <xdr:rowOff>144780</xdr:rowOff>
                  </from>
                  <to>
                    <xdr:col>12</xdr:col>
                    <xdr:colOff>472440</xdr:colOff>
                    <xdr:row>73</xdr:row>
                    <xdr:rowOff>342900</xdr:rowOff>
                  </to>
                </anchor>
              </controlPr>
            </control>
          </mc:Choice>
        </mc:AlternateContent>
        <mc:AlternateContent xmlns:mc="http://schemas.openxmlformats.org/markup-compatibility/2006">
          <mc:Choice Requires="x14">
            <control shapeId="6219" r:id="rId65" name="Check Box 75">
              <controlPr defaultSize="0" autoFill="0" autoLine="0" autoPict="0">
                <anchor moveWithCells="1">
                  <from>
                    <xdr:col>11</xdr:col>
                    <xdr:colOff>0</xdr:colOff>
                    <xdr:row>72</xdr:row>
                    <xdr:rowOff>30480</xdr:rowOff>
                  </from>
                  <to>
                    <xdr:col>12</xdr:col>
                    <xdr:colOff>472440</xdr:colOff>
                    <xdr:row>72</xdr:row>
                    <xdr:rowOff>259080</xdr:rowOff>
                  </to>
                </anchor>
              </controlPr>
            </control>
          </mc:Choice>
        </mc:AlternateContent>
        <mc:AlternateContent xmlns:mc="http://schemas.openxmlformats.org/markup-compatibility/2006">
          <mc:Choice Requires="x14">
            <control shapeId="6224" r:id="rId66" name="Check Box 80">
              <controlPr defaultSize="0" autoFill="0" autoLine="0" autoPict="0">
                <anchor moveWithCells="1">
                  <from>
                    <xdr:col>11</xdr:col>
                    <xdr:colOff>0</xdr:colOff>
                    <xdr:row>76</xdr:row>
                    <xdr:rowOff>266700</xdr:rowOff>
                  </from>
                  <to>
                    <xdr:col>12</xdr:col>
                    <xdr:colOff>472440</xdr:colOff>
                    <xdr:row>77</xdr:row>
                    <xdr:rowOff>106680</xdr:rowOff>
                  </to>
                </anchor>
              </controlPr>
            </control>
          </mc:Choice>
        </mc:AlternateContent>
        <mc:AlternateContent xmlns:mc="http://schemas.openxmlformats.org/markup-compatibility/2006">
          <mc:Choice Requires="x14">
            <control shapeId="6226" r:id="rId67" name="Check Box 82">
              <controlPr defaultSize="0" autoFill="0" autoLine="0" autoPict="0">
                <anchor moveWithCells="1">
                  <from>
                    <xdr:col>11</xdr:col>
                    <xdr:colOff>0</xdr:colOff>
                    <xdr:row>78</xdr:row>
                    <xdr:rowOff>266700</xdr:rowOff>
                  </from>
                  <to>
                    <xdr:col>12</xdr:col>
                    <xdr:colOff>472440</xdr:colOff>
                    <xdr:row>79</xdr:row>
                    <xdr:rowOff>114300</xdr:rowOff>
                  </to>
                </anchor>
              </controlPr>
            </control>
          </mc:Choice>
        </mc:AlternateContent>
        <mc:AlternateContent xmlns:mc="http://schemas.openxmlformats.org/markup-compatibility/2006">
          <mc:Choice Requires="x14">
            <control shapeId="6227" r:id="rId68" name="Check Box 83">
              <controlPr defaultSize="0" autoFill="0" autoLine="0" autoPict="0">
                <anchor moveWithCells="1">
                  <from>
                    <xdr:col>11</xdr:col>
                    <xdr:colOff>0</xdr:colOff>
                    <xdr:row>79</xdr:row>
                    <xdr:rowOff>144780</xdr:rowOff>
                  </from>
                  <to>
                    <xdr:col>12</xdr:col>
                    <xdr:colOff>472440</xdr:colOff>
                    <xdr:row>79</xdr:row>
                    <xdr:rowOff>342900</xdr:rowOff>
                  </to>
                </anchor>
              </controlPr>
            </control>
          </mc:Choice>
        </mc:AlternateContent>
        <mc:AlternateContent xmlns:mc="http://schemas.openxmlformats.org/markup-compatibility/2006">
          <mc:Choice Requires="x14">
            <control shapeId="6228" r:id="rId69" name="Check Box 84">
              <controlPr defaultSize="0" autoFill="0" autoLine="0" autoPict="0">
                <anchor moveWithCells="1">
                  <from>
                    <xdr:col>11</xdr:col>
                    <xdr:colOff>0</xdr:colOff>
                    <xdr:row>78</xdr:row>
                    <xdr:rowOff>30480</xdr:rowOff>
                  </from>
                  <to>
                    <xdr:col>12</xdr:col>
                    <xdr:colOff>472440</xdr:colOff>
                    <xdr:row>78</xdr:row>
                    <xdr:rowOff>259080</xdr:rowOff>
                  </to>
                </anchor>
              </controlPr>
            </control>
          </mc:Choice>
        </mc:AlternateContent>
        <mc:AlternateContent xmlns:mc="http://schemas.openxmlformats.org/markup-compatibility/2006">
          <mc:Choice Requires="x14">
            <control shapeId="6229" r:id="rId70" name="Check Box 85">
              <controlPr defaultSize="0" autoFill="0" autoLine="0" autoPict="0">
                <anchor moveWithCells="1">
                  <from>
                    <xdr:col>11</xdr:col>
                    <xdr:colOff>0</xdr:colOff>
                    <xdr:row>80</xdr:row>
                    <xdr:rowOff>266700</xdr:rowOff>
                  </from>
                  <to>
                    <xdr:col>12</xdr:col>
                    <xdr:colOff>472440</xdr:colOff>
                    <xdr:row>81</xdr:row>
                    <xdr:rowOff>114300</xdr:rowOff>
                  </to>
                </anchor>
              </controlPr>
            </control>
          </mc:Choice>
        </mc:AlternateContent>
        <mc:AlternateContent xmlns:mc="http://schemas.openxmlformats.org/markup-compatibility/2006">
          <mc:Choice Requires="x14">
            <control shapeId="6230" r:id="rId71" name="Check Box 86">
              <controlPr defaultSize="0" autoFill="0" autoLine="0" autoPict="0">
                <anchor moveWithCells="1">
                  <from>
                    <xdr:col>11</xdr:col>
                    <xdr:colOff>0</xdr:colOff>
                    <xdr:row>81</xdr:row>
                    <xdr:rowOff>144780</xdr:rowOff>
                  </from>
                  <to>
                    <xdr:col>12</xdr:col>
                    <xdr:colOff>472440</xdr:colOff>
                    <xdr:row>81</xdr:row>
                    <xdr:rowOff>342900</xdr:rowOff>
                  </to>
                </anchor>
              </controlPr>
            </control>
          </mc:Choice>
        </mc:AlternateContent>
        <mc:AlternateContent xmlns:mc="http://schemas.openxmlformats.org/markup-compatibility/2006">
          <mc:Choice Requires="x14">
            <control shapeId="6231" r:id="rId72" name="Check Box 87">
              <controlPr defaultSize="0" autoFill="0" autoLine="0" autoPict="0">
                <anchor moveWithCells="1">
                  <from>
                    <xdr:col>11</xdr:col>
                    <xdr:colOff>0</xdr:colOff>
                    <xdr:row>80</xdr:row>
                    <xdr:rowOff>30480</xdr:rowOff>
                  </from>
                  <to>
                    <xdr:col>12</xdr:col>
                    <xdr:colOff>472440</xdr:colOff>
                    <xdr:row>80</xdr:row>
                    <xdr:rowOff>266700</xdr:rowOff>
                  </to>
                </anchor>
              </controlPr>
            </control>
          </mc:Choice>
        </mc:AlternateContent>
        <mc:AlternateContent xmlns:mc="http://schemas.openxmlformats.org/markup-compatibility/2006">
          <mc:Choice Requires="x14">
            <control shapeId="6232" r:id="rId73" name="Check Box 88">
              <controlPr defaultSize="0" autoFill="0" autoLine="0" autoPict="0">
                <anchor moveWithCells="1">
                  <from>
                    <xdr:col>11</xdr:col>
                    <xdr:colOff>0</xdr:colOff>
                    <xdr:row>82</xdr:row>
                    <xdr:rowOff>266700</xdr:rowOff>
                  </from>
                  <to>
                    <xdr:col>12</xdr:col>
                    <xdr:colOff>472440</xdr:colOff>
                    <xdr:row>83</xdr:row>
                    <xdr:rowOff>114300</xdr:rowOff>
                  </to>
                </anchor>
              </controlPr>
            </control>
          </mc:Choice>
        </mc:AlternateContent>
        <mc:AlternateContent xmlns:mc="http://schemas.openxmlformats.org/markup-compatibility/2006">
          <mc:Choice Requires="x14">
            <control shapeId="6233" r:id="rId74" name="Check Box 89">
              <controlPr defaultSize="0" autoFill="0" autoLine="0" autoPict="0">
                <anchor moveWithCells="1">
                  <from>
                    <xdr:col>11</xdr:col>
                    <xdr:colOff>0</xdr:colOff>
                    <xdr:row>83</xdr:row>
                    <xdr:rowOff>144780</xdr:rowOff>
                  </from>
                  <to>
                    <xdr:col>12</xdr:col>
                    <xdr:colOff>472440</xdr:colOff>
                    <xdr:row>83</xdr:row>
                    <xdr:rowOff>342900</xdr:rowOff>
                  </to>
                </anchor>
              </controlPr>
            </control>
          </mc:Choice>
        </mc:AlternateContent>
        <mc:AlternateContent xmlns:mc="http://schemas.openxmlformats.org/markup-compatibility/2006">
          <mc:Choice Requires="x14">
            <control shapeId="6234" r:id="rId75" name="Check Box 90">
              <controlPr defaultSize="0" autoFill="0" autoLine="0" autoPict="0">
                <anchor moveWithCells="1">
                  <from>
                    <xdr:col>11</xdr:col>
                    <xdr:colOff>0</xdr:colOff>
                    <xdr:row>82</xdr:row>
                    <xdr:rowOff>30480</xdr:rowOff>
                  </from>
                  <to>
                    <xdr:col>12</xdr:col>
                    <xdr:colOff>472440</xdr:colOff>
                    <xdr:row>82</xdr:row>
                    <xdr:rowOff>266700</xdr:rowOff>
                  </to>
                </anchor>
              </controlPr>
            </control>
          </mc:Choice>
        </mc:AlternateContent>
        <mc:AlternateContent xmlns:mc="http://schemas.openxmlformats.org/markup-compatibility/2006">
          <mc:Choice Requires="x14">
            <control shapeId="6235" r:id="rId76" name="Check Box 91">
              <controlPr defaultSize="0" autoFill="0" autoLine="0" autoPict="0">
                <anchor moveWithCells="1">
                  <from>
                    <xdr:col>11</xdr:col>
                    <xdr:colOff>0</xdr:colOff>
                    <xdr:row>84</xdr:row>
                    <xdr:rowOff>266700</xdr:rowOff>
                  </from>
                  <to>
                    <xdr:col>12</xdr:col>
                    <xdr:colOff>472440</xdr:colOff>
                    <xdr:row>85</xdr:row>
                    <xdr:rowOff>114300</xdr:rowOff>
                  </to>
                </anchor>
              </controlPr>
            </control>
          </mc:Choice>
        </mc:AlternateContent>
        <mc:AlternateContent xmlns:mc="http://schemas.openxmlformats.org/markup-compatibility/2006">
          <mc:Choice Requires="x14">
            <control shapeId="6236" r:id="rId77" name="Check Box 92">
              <controlPr defaultSize="0" autoFill="0" autoLine="0" autoPict="0">
                <anchor moveWithCells="1">
                  <from>
                    <xdr:col>11</xdr:col>
                    <xdr:colOff>0</xdr:colOff>
                    <xdr:row>85</xdr:row>
                    <xdr:rowOff>144780</xdr:rowOff>
                  </from>
                  <to>
                    <xdr:col>12</xdr:col>
                    <xdr:colOff>472440</xdr:colOff>
                    <xdr:row>85</xdr:row>
                    <xdr:rowOff>342900</xdr:rowOff>
                  </to>
                </anchor>
              </controlPr>
            </control>
          </mc:Choice>
        </mc:AlternateContent>
        <mc:AlternateContent xmlns:mc="http://schemas.openxmlformats.org/markup-compatibility/2006">
          <mc:Choice Requires="x14">
            <control shapeId="6237" r:id="rId78" name="Check Box 93">
              <controlPr defaultSize="0" autoFill="0" autoLine="0" autoPict="0">
                <anchor moveWithCells="1">
                  <from>
                    <xdr:col>11</xdr:col>
                    <xdr:colOff>0</xdr:colOff>
                    <xdr:row>84</xdr:row>
                    <xdr:rowOff>30480</xdr:rowOff>
                  </from>
                  <to>
                    <xdr:col>12</xdr:col>
                    <xdr:colOff>472440</xdr:colOff>
                    <xdr:row>84</xdr:row>
                    <xdr:rowOff>266700</xdr:rowOff>
                  </to>
                </anchor>
              </controlPr>
            </control>
          </mc:Choice>
        </mc:AlternateContent>
        <mc:AlternateContent xmlns:mc="http://schemas.openxmlformats.org/markup-compatibility/2006">
          <mc:Choice Requires="x14">
            <control shapeId="6238" r:id="rId79" name="Check Box 94">
              <controlPr defaultSize="0" autoFill="0" autoLine="0" autoPict="0">
                <anchor moveWithCells="1">
                  <from>
                    <xdr:col>11</xdr:col>
                    <xdr:colOff>0</xdr:colOff>
                    <xdr:row>86</xdr:row>
                    <xdr:rowOff>266700</xdr:rowOff>
                  </from>
                  <to>
                    <xdr:col>12</xdr:col>
                    <xdr:colOff>472440</xdr:colOff>
                    <xdr:row>87</xdr:row>
                    <xdr:rowOff>114300</xdr:rowOff>
                  </to>
                </anchor>
              </controlPr>
            </control>
          </mc:Choice>
        </mc:AlternateContent>
        <mc:AlternateContent xmlns:mc="http://schemas.openxmlformats.org/markup-compatibility/2006">
          <mc:Choice Requires="x14">
            <control shapeId="6239" r:id="rId80" name="Check Box 95">
              <controlPr defaultSize="0" autoFill="0" autoLine="0" autoPict="0">
                <anchor moveWithCells="1">
                  <from>
                    <xdr:col>11</xdr:col>
                    <xdr:colOff>0</xdr:colOff>
                    <xdr:row>87</xdr:row>
                    <xdr:rowOff>144780</xdr:rowOff>
                  </from>
                  <to>
                    <xdr:col>12</xdr:col>
                    <xdr:colOff>472440</xdr:colOff>
                    <xdr:row>87</xdr:row>
                    <xdr:rowOff>342900</xdr:rowOff>
                  </to>
                </anchor>
              </controlPr>
            </control>
          </mc:Choice>
        </mc:AlternateContent>
        <mc:AlternateContent xmlns:mc="http://schemas.openxmlformats.org/markup-compatibility/2006">
          <mc:Choice Requires="x14">
            <control shapeId="6240" r:id="rId81" name="Check Box 96">
              <controlPr defaultSize="0" autoFill="0" autoLine="0" autoPict="0">
                <anchor moveWithCells="1">
                  <from>
                    <xdr:col>11</xdr:col>
                    <xdr:colOff>0</xdr:colOff>
                    <xdr:row>86</xdr:row>
                    <xdr:rowOff>30480</xdr:rowOff>
                  </from>
                  <to>
                    <xdr:col>12</xdr:col>
                    <xdr:colOff>472440</xdr:colOff>
                    <xdr:row>86</xdr:row>
                    <xdr:rowOff>266700</xdr:rowOff>
                  </to>
                </anchor>
              </controlPr>
            </control>
          </mc:Choice>
        </mc:AlternateContent>
        <mc:AlternateContent xmlns:mc="http://schemas.openxmlformats.org/markup-compatibility/2006">
          <mc:Choice Requires="x14">
            <control shapeId="6241" r:id="rId82" name="Check Box 97">
              <controlPr defaultSize="0" autoFill="0" autoLine="0" autoPict="0">
                <anchor moveWithCells="1">
                  <from>
                    <xdr:col>11</xdr:col>
                    <xdr:colOff>0</xdr:colOff>
                    <xdr:row>88</xdr:row>
                    <xdr:rowOff>266700</xdr:rowOff>
                  </from>
                  <to>
                    <xdr:col>12</xdr:col>
                    <xdr:colOff>472440</xdr:colOff>
                    <xdr:row>89</xdr:row>
                    <xdr:rowOff>114300</xdr:rowOff>
                  </to>
                </anchor>
              </controlPr>
            </control>
          </mc:Choice>
        </mc:AlternateContent>
        <mc:AlternateContent xmlns:mc="http://schemas.openxmlformats.org/markup-compatibility/2006">
          <mc:Choice Requires="x14">
            <control shapeId="6242" r:id="rId83" name="Check Box 98">
              <controlPr defaultSize="0" autoFill="0" autoLine="0" autoPict="0">
                <anchor moveWithCells="1">
                  <from>
                    <xdr:col>11</xdr:col>
                    <xdr:colOff>0</xdr:colOff>
                    <xdr:row>89</xdr:row>
                    <xdr:rowOff>144780</xdr:rowOff>
                  </from>
                  <to>
                    <xdr:col>12</xdr:col>
                    <xdr:colOff>472440</xdr:colOff>
                    <xdr:row>89</xdr:row>
                    <xdr:rowOff>342900</xdr:rowOff>
                  </to>
                </anchor>
              </controlPr>
            </control>
          </mc:Choice>
        </mc:AlternateContent>
        <mc:AlternateContent xmlns:mc="http://schemas.openxmlformats.org/markup-compatibility/2006">
          <mc:Choice Requires="x14">
            <control shapeId="6243" r:id="rId84" name="Check Box 99">
              <controlPr defaultSize="0" autoFill="0" autoLine="0" autoPict="0">
                <anchor moveWithCells="1">
                  <from>
                    <xdr:col>11</xdr:col>
                    <xdr:colOff>0</xdr:colOff>
                    <xdr:row>88</xdr:row>
                    <xdr:rowOff>30480</xdr:rowOff>
                  </from>
                  <to>
                    <xdr:col>12</xdr:col>
                    <xdr:colOff>472440</xdr:colOff>
                    <xdr:row>88</xdr:row>
                    <xdr:rowOff>266700</xdr:rowOff>
                  </to>
                </anchor>
              </controlPr>
            </control>
          </mc:Choice>
        </mc:AlternateContent>
        <mc:AlternateContent xmlns:mc="http://schemas.openxmlformats.org/markup-compatibility/2006">
          <mc:Choice Requires="x14">
            <control shapeId="6244" r:id="rId85" name="Check Box 100">
              <controlPr defaultSize="0" autoFill="0" autoLine="0" autoPict="0">
                <anchor moveWithCells="1">
                  <from>
                    <xdr:col>11</xdr:col>
                    <xdr:colOff>0</xdr:colOff>
                    <xdr:row>90</xdr:row>
                    <xdr:rowOff>266700</xdr:rowOff>
                  </from>
                  <to>
                    <xdr:col>12</xdr:col>
                    <xdr:colOff>472440</xdr:colOff>
                    <xdr:row>91</xdr:row>
                    <xdr:rowOff>114300</xdr:rowOff>
                  </to>
                </anchor>
              </controlPr>
            </control>
          </mc:Choice>
        </mc:AlternateContent>
        <mc:AlternateContent xmlns:mc="http://schemas.openxmlformats.org/markup-compatibility/2006">
          <mc:Choice Requires="x14">
            <control shapeId="6245" r:id="rId86" name="Check Box 101">
              <controlPr defaultSize="0" autoFill="0" autoLine="0" autoPict="0">
                <anchor moveWithCells="1">
                  <from>
                    <xdr:col>11</xdr:col>
                    <xdr:colOff>0</xdr:colOff>
                    <xdr:row>91</xdr:row>
                    <xdr:rowOff>144780</xdr:rowOff>
                  </from>
                  <to>
                    <xdr:col>12</xdr:col>
                    <xdr:colOff>472440</xdr:colOff>
                    <xdr:row>91</xdr:row>
                    <xdr:rowOff>342900</xdr:rowOff>
                  </to>
                </anchor>
              </controlPr>
            </control>
          </mc:Choice>
        </mc:AlternateContent>
        <mc:AlternateContent xmlns:mc="http://schemas.openxmlformats.org/markup-compatibility/2006">
          <mc:Choice Requires="x14">
            <control shapeId="6246" r:id="rId87" name="Check Box 102">
              <controlPr defaultSize="0" autoFill="0" autoLine="0" autoPict="0">
                <anchor moveWithCells="1">
                  <from>
                    <xdr:col>11</xdr:col>
                    <xdr:colOff>0</xdr:colOff>
                    <xdr:row>90</xdr:row>
                    <xdr:rowOff>30480</xdr:rowOff>
                  </from>
                  <to>
                    <xdr:col>12</xdr:col>
                    <xdr:colOff>472440</xdr:colOff>
                    <xdr:row>90</xdr:row>
                    <xdr:rowOff>266700</xdr:rowOff>
                  </to>
                </anchor>
              </controlPr>
            </control>
          </mc:Choice>
        </mc:AlternateContent>
        <mc:AlternateContent xmlns:mc="http://schemas.openxmlformats.org/markup-compatibility/2006">
          <mc:Choice Requires="x14">
            <control shapeId="6247" r:id="rId88" name="Check Box 103">
              <controlPr defaultSize="0" autoFill="0" autoLine="0" autoPict="0">
                <anchor moveWithCells="1">
                  <from>
                    <xdr:col>11</xdr:col>
                    <xdr:colOff>0</xdr:colOff>
                    <xdr:row>92</xdr:row>
                    <xdr:rowOff>266700</xdr:rowOff>
                  </from>
                  <to>
                    <xdr:col>12</xdr:col>
                    <xdr:colOff>472440</xdr:colOff>
                    <xdr:row>93</xdr:row>
                    <xdr:rowOff>114300</xdr:rowOff>
                  </to>
                </anchor>
              </controlPr>
            </control>
          </mc:Choice>
        </mc:AlternateContent>
        <mc:AlternateContent xmlns:mc="http://schemas.openxmlformats.org/markup-compatibility/2006">
          <mc:Choice Requires="x14">
            <control shapeId="6248" r:id="rId89" name="Check Box 104">
              <controlPr defaultSize="0" autoFill="0" autoLine="0" autoPict="0">
                <anchor moveWithCells="1">
                  <from>
                    <xdr:col>11</xdr:col>
                    <xdr:colOff>0</xdr:colOff>
                    <xdr:row>93</xdr:row>
                    <xdr:rowOff>144780</xdr:rowOff>
                  </from>
                  <to>
                    <xdr:col>12</xdr:col>
                    <xdr:colOff>472440</xdr:colOff>
                    <xdr:row>93</xdr:row>
                    <xdr:rowOff>342900</xdr:rowOff>
                  </to>
                </anchor>
              </controlPr>
            </control>
          </mc:Choice>
        </mc:AlternateContent>
        <mc:AlternateContent xmlns:mc="http://schemas.openxmlformats.org/markup-compatibility/2006">
          <mc:Choice Requires="x14">
            <control shapeId="6249" r:id="rId90" name="Check Box 105">
              <controlPr defaultSize="0" autoFill="0" autoLine="0" autoPict="0">
                <anchor moveWithCells="1">
                  <from>
                    <xdr:col>11</xdr:col>
                    <xdr:colOff>0</xdr:colOff>
                    <xdr:row>92</xdr:row>
                    <xdr:rowOff>30480</xdr:rowOff>
                  </from>
                  <to>
                    <xdr:col>12</xdr:col>
                    <xdr:colOff>472440</xdr:colOff>
                    <xdr:row>92</xdr:row>
                    <xdr:rowOff>266700</xdr:rowOff>
                  </to>
                </anchor>
              </controlPr>
            </control>
          </mc:Choice>
        </mc:AlternateContent>
        <mc:AlternateContent xmlns:mc="http://schemas.openxmlformats.org/markup-compatibility/2006">
          <mc:Choice Requires="x14">
            <control shapeId="6250" r:id="rId91" name="Check Box 106">
              <controlPr defaultSize="0" autoFill="0" autoLine="0" autoPict="0">
                <anchor moveWithCells="1">
                  <from>
                    <xdr:col>11</xdr:col>
                    <xdr:colOff>0</xdr:colOff>
                    <xdr:row>94</xdr:row>
                    <xdr:rowOff>266700</xdr:rowOff>
                  </from>
                  <to>
                    <xdr:col>12</xdr:col>
                    <xdr:colOff>472440</xdr:colOff>
                    <xdr:row>95</xdr:row>
                    <xdr:rowOff>114300</xdr:rowOff>
                  </to>
                </anchor>
              </controlPr>
            </control>
          </mc:Choice>
        </mc:AlternateContent>
        <mc:AlternateContent xmlns:mc="http://schemas.openxmlformats.org/markup-compatibility/2006">
          <mc:Choice Requires="x14">
            <control shapeId="6251" r:id="rId92" name="Check Box 107">
              <controlPr defaultSize="0" autoFill="0" autoLine="0" autoPict="0">
                <anchor moveWithCells="1">
                  <from>
                    <xdr:col>11</xdr:col>
                    <xdr:colOff>0</xdr:colOff>
                    <xdr:row>95</xdr:row>
                    <xdr:rowOff>144780</xdr:rowOff>
                  </from>
                  <to>
                    <xdr:col>12</xdr:col>
                    <xdr:colOff>472440</xdr:colOff>
                    <xdr:row>95</xdr:row>
                    <xdr:rowOff>342900</xdr:rowOff>
                  </to>
                </anchor>
              </controlPr>
            </control>
          </mc:Choice>
        </mc:AlternateContent>
        <mc:AlternateContent xmlns:mc="http://schemas.openxmlformats.org/markup-compatibility/2006">
          <mc:Choice Requires="x14">
            <control shapeId="6252" r:id="rId93" name="Check Box 108">
              <controlPr defaultSize="0" autoFill="0" autoLine="0" autoPict="0">
                <anchor moveWithCells="1">
                  <from>
                    <xdr:col>11</xdr:col>
                    <xdr:colOff>0</xdr:colOff>
                    <xdr:row>94</xdr:row>
                    <xdr:rowOff>30480</xdr:rowOff>
                  </from>
                  <to>
                    <xdr:col>12</xdr:col>
                    <xdr:colOff>472440</xdr:colOff>
                    <xdr:row>94</xdr:row>
                    <xdr:rowOff>266700</xdr:rowOff>
                  </to>
                </anchor>
              </controlPr>
            </control>
          </mc:Choice>
        </mc:AlternateContent>
        <mc:AlternateContent xmlns:mc="http://schemas.openxmlformats.org/markup-compatibility/2006">
          <mc:Choice Requires="x14">
            <control shapeId="6253" r:id="rId94" name="Check Box 109">
              <controlPr defaultSize="0" autoFill="0" autoLine="0" autoPict="0">
                <anchor moveWithCells="1">
                  <from>
                    <xdr:col>11</xdr:col>
                    <xdr:colOff>0</xdr:colOff>
                    <xdr:row>96</xdr:row>
                    <xdr:rowOff>266700</xdr:rowOff>
                  </from>
                  <to>
                    <xdr:col>12</xdr:col>
                    <xdr:colOff>472440</xdr:colOff>
                    <xdr:row>97</xdr:row>
                    <xdr:rowOff>114300</xdr:rowOff>
                  </to>
                </anchor>
              </controlPr>
            </control>
          </mc:Choice>
        </mc:AlternateContent>
        <mc:AlternateContent xmlns:mc="http://schemas.openxmlformats.org/markup-compatibility/2006">
          <mc:Choice Requires="x14">
            <control shapeId="6254" r:id="rId95" name="Check Box 110">
              <controlPr defaultSize="0" autoFill="0" autoLine="0" autoPict="0">
                <anchor moveWithCells="1">
                  <from>
                    <xdr:col>11</xdr:col>
                    <xdr:colOff>0</xdr:colOff>
                    <xdr:row>97</xdr:row>
                    <xdr:rowOff>144780</xdr:rowOff>
                  </from>
                  <to>
                    <xdr:col>12</xdr:col>
                    <xdr:colOff>472440</xdr:colOff>
                    <xdr:row>97</xdr:row>
                    <xdr:rowOff>342900</xdr:rowOff>
                  </to>
                </anchor>
              </controlPr>
            </control>
          </mc:Choice>
        </mc:AlternateContent>
        <mc:AlternateContent xmlns:mc="http://schemas.openxmlformats.org/markup-compatibility/2006">
          <mc:Choice Requires="x14">
            <control shapeId="6255" r:id="rId96" name="Check Box 111">
              <controlPr defaultSize="0" autoFill="0" autoLine="0" autoPict="0">
                <anchor moveWithCells="1">
                  <from>
                    <xdr:col>11</xdr:col>
                    <xdr:colOff>0</xdr:colOff>
                    <xdr:row>96</xdr:row>
                    <xdr:rowOff>30480</xdr:rowOff>
                  </from>
                  <to>
                    <xdr:col>12</xdr:col>
                    <xdr:colOff>472440</xdr:colOff>
                    <xdr:row>96</xdr:row>
                    <xdr:rowOff>266700</xdr:rowOff>
                  </to>
                </anchor>
              </controlPr>
            </control>
          </mc:Choice>
        </mc:AlternateContent>
        <mc:AlternateContent xmlns:mc="http://schemas.openxmlformats.org/markup-compatibility/2006">
          <mc:Choice Requires="x14">
            <control shapeId="6256" r:id="rId97" name="Check Box 112">
              <controlPr defaultSize="0" autoFill="0" autoLine="0" autoPict="0">
                <anchor moveWithCells="1">
                  <from>
                    <xdr:col>11</xdr:col>
                    <xdr:colOff>0</xdr:colOff>
                    <xdr:row>98</xdr:row>
                    <xdr:rowOff>266700</xdr:rowOff>
                  </from>
                  <to>
                    <xdr:col>12</xdr:col>
                    <xdr:colOff>472440</xdr:colOff>
                    <xdr:row>99</xdr:row>
                    <xdr:rowOff>114300</xdr:rowOff>
                  </to>
                </anchor>
              </controlPr>
            </control>
          </mc:Choice>
        </mc:AlternateContent>
        <mc:AlternateContent xmlns:mc="http://schemas.openxmlformats.org/markup-compatibility/2006">
          <mc:Choice Requires="x14">
            <control shapeId="6257" r:id="rId98" name="Check Box 113">
              <controlPr defaultSize="0" autoFill="0" autoLine="0" autoPict="0">
                <anchor moveWithCells="1">
                  <from>
                    <xdr:col>11</xdr:col>
                    <xdr:colOff>0</xdr:colOff>
                    <xdr:row>99</xdr:row>
                    <xdr:rowOff>144780</xdr:rowOff>
                  </from>
                  <to>
                    <xdr:col>12</xdr:col>
                    <xdr:colOff>472440</xdr:colOff>
                    <xdr:row>99</xdr:row>
                    <xdr:rowOff>342900</xdr:rowOff>
                  </to>
                </anchor>
              </controlPr>
            </control>
          </mc:Choice>
        </mc:AlternateContent>
        <mc:AlternateContent xmlns:mc="http://schemas.openxmlformats.org/markup-compatibility/2006">
          <mc:Choice Requires="x14">
            <control shapeId="6258" r:id="rId99" name="Check Box 114">
              <controlPr defaultSize="0" autoFill="0" autoLine="0" autoPict="0">
                <anchor moveWithCells="1">
                  <from>
                    <xdr:col>11</xdr:col>
                    <xdr:colOff>0</xdr:colOff>
                    <xdr:row>98</xdr:row>
                    <xdr:rowOff>30480</xdr:rowOff>
                  </from>
                  <to>
                    <xdr:col>12</xdr:col>
                    <xdr:colOff>472440</xdr:colOff>
                    <xdr:row>98</xdr:row>
                    <xdr:rowOff>266700</xdr:rowOff>
                  </to>
                </anchor>
              </controlPr>
            </control>
          </mc:Choice>
        </mc:AlternateContent>
        <mc:AlternateContent xmlns:mc="http://schemas.openxmlformats.org/markup-compatibility/2006">
          <mc:Choice Requires="x14">
            <control shapeId="6259" r:id="rId100" name="Check Box 115">
              <controlPr defaultSize="0" autoFill="0" autoLine="0" autoPict="0">
                <anchor moveWithCells="1">
                  <from>
                    <xdr:col>11</xdr:col>
                    <xdr:colOff>0</xdr:colOff>
                    <xdr:row>100</xdr:row>
                    <xdr:rowOff>266700</xdr:rowOff>
                  </from>
                  <to>
                    <xdr:col>12</xdr:col>
                    <xdr:colOff>472440</xdr:colOff>
                    <xdr:row>101</xdr:row>
                    <xdr:rowOff>114300</xdr:rowOff>
                  </to>
                </anchor>
              </controlPr>
            </control>
          </mc:Choice>
        </mc:AlternateContent>
        <mc:AlternateContent xmlns:mc="http://schemas.openxmlformats.org/markup-compatibility/2006">
          <mc:Choice Requires="x14">
            <control shapeId="6260" r:id="rId101" name="Check Box 116">
              <controlPr defaultSize="0" autoFill="0" autoLine="0" autoPict="0">
                <anchor moveWithCells="1">
                  <from>
                    <xdr:col>11</xdr:col>
                    <xdr:colOff>0</xdr:colOff>
                    <xdr:row>101</xdr:row>
                    <xdr:rowOff>144780</xdr:rowOff>
                  </from>
                  <to>
                    <xdr:col>12</xdr:col>
                    <xdr:colOff>472440</xdr:colOff>
                    <xdr:row>101</xdr:row>
                    <xdr:rowOff>342900</xdr:rowOff>
                  </to>
                </anchor>
              </controlPr>
            </control>
          </mc:Choice>
        </mc:AlternateContent>
        <mc:AlternateContent xmlns:mc="http://schemas.openxmlformats.org/markup-compatibility/2006">
          <mc:Choice Requires="x14">
            <control shapeId="6261" r:id="rId102" name="Check Box 117">
              <controlPr defaultSize="0" autoFill="0" autoLine="0" autoPict="0">
                <anchor moveWithCells="1">
                  <from>
                    <xdr:col>11</xdr:col>
                    <xdr:colOff>0</xdr:colOff>
                    <xdr:row>100</xdr:row>
                    <xdr:rowOff>30480</xdr:rowOff>
                  </from>
                  <to>
                    <xdr:col>12</xdr:col>
                    <xdr:colOff>472440</xdr:colOff>
                    <xdr:row>100</xdr:row>
                    <xdr:rowOff>266700</xdr:rowOff>
                  </to>
                </anchor>
              </controlPr>
            </control>
          </mc:Choice>
        </mc:AlternateContent>
      </controls>
    </mc:Choice>
  </mc:AlternateContent>
  <tableParts count="1">
    <tablePart r:id="rId103"/>
  </tableParts>
  <extLst>
    <ext xmlns:x14="http://schemas.microsoft.com/office/spreadsheetml/2009/9/main" uri="{78C0D931-6437-407d-A8EE-F0AAD7539E65}">
      <x14:conditionalFormattings>
        <x14:conditionalFormatting xmlns:xm="http://schemas.microsoft.com/office/excel/2006/main">
          <x14:cfRule type="dataBar" id="{C67559CB-FBD4-4339-B43D-862CAECCB1A9}">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49" id="{989A5610-0FF3-4584-8837-8D44948572A0}">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6" id="{252508B4-8B50-49B4-A70F-C5219F148727}">
            <x14:iconSet iconSet="3Stars">
              <x14:cfvo type="percent">
                <xm:f>0</xm:f>
              </x14:cfvo>
              <x14:cfvo type="percent">
                <xm:f>33</xm:f>
              </x14:cfvo>
              <x14:cfvo type="percent">
                <xm:f>67</xm:f>
              </x14:cfvo>
            </x14:iconSet>
          </x14:cfRule>
          <xm:sqref>P6 P8 P10 P12 P14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745FEB1-C5CA-44F1-AC1A-EC462FB1C2E8}">
          <x14:formula1>
            <xm:f>Parâmetros!$A$28:$A$29</xm:f>
          </x14:formula1>
          <xm:sqref>M55:M74 M77:M102</xm:sqref>
        </x14:dataValidation>
        <x14:dataValidation type="list" allowBlank="1" showInputMessage="1" showErrorMessage="1" xr:uid="{8A4D929D-5895-49CF-9F04-97C949CBF599}">
          <x14:formula1>
            <xm:f>Parâmetros!$A$31:$A$33</xm:f>
          </x14:formula1>
          <xm:sqref>AJ55 O61:O65 O55:O59 AJ57 AJ59 AJ63 AJ67 AJ71 AJ75 AJ79 AJ83 AJ87 AJ91 AJ95 AJ99 AJ61 AJ65 AJ69 AJ73 AJ77 AJ81 AJ85 AJ89 AJ93 AJ97 AJ101 O67:O102</xm:sqref>
        </x14:dataValidation>
        <x14:dataValidation type="list" allowBlank="1" showInputMessage="1" showErrorMessage="1" xr:uid="{40E92AE9-11AE-4A43-8BD9-A896EE701D22}">
          <x14:formula1>
            <xm:f>Parâmetros!$A$24:$A$27</xm:f>
          </x14:formula1>
          <xm:sqref>A55:A102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1545-8593-4605-A1AD-B24552488CB1}">
  <dimension ref="A1:AQ154"/>
  <sheetViews>
    <sheetView topLeftCell="C124" zoomScale="72" zoomScaleNormal="72" workbookViewId="0">
      <selection activeCell="O129" sqref="O129:O132"/>
    </sheetView>
  </sheetViews>
  <sheetFormatPr defaultColWidth="8.5546875" defaultRowHeight="14.4" x14ac:dyDescent="0.3"/>
  <cols>
    <col min="1" max="1" width="20" style="62" customWidth="1"/>
    <col min="2" max="2" width="17.5546875" style="62" customWidth="1"/>
    <col min="3" max="3" width="37.5546875" style="62" customWidth="1"/>
    <col min="4" max="4" width="35.5546875" style="62" customWidth="1"/>
    <col min="5" max="5" width="46.77734375" style="62" customWidth="1"/>
    <col min="6" max="7" width="17.5546875" style="62" customWidth="1"/>
    <col min="8" max="8" width="24.5546875" style="62" bestFit="1" customWidth="1"/>
    <col min="9" max="9" width="26.5546875" style="62" customWidth="1"/>
    <col min="10" max="10" width="25.5546875" style="62" customWidth="1"/>
    <col min="11" max="11" width="25.44140625" style="62" customWidth="1"/>
    <col min="12" max="12" width="26.44140625" style="62" bestFit="1" customWidth="1"/>
    <col min="13" max="13" width="22.44140625" style="62" bestFit="1" customWidth="1"/>
    <col min="14" max="14" width="22.77734375" style="62" customWidth="1"/>
    <col min="15" max="16" width="19.5546875" style="62" bestFit="1" customWidth="1"/>
    <col min="17" max="17" width="17.44140625" style="62" bestFit="1" customWidth="1"/>
    <col min="18" max="18" width="18.5546875" style="62" customWidth="1"/>
    <col min="19" max="19" width="21.5546875" style="62" bestFit="1" customWidth="1"/>
    <col min="20" max="20" width="23.5546875" style="62" bestFit="1" customWidth="1"/>
    <col min="21" max="21" width="22.44140625" style="62" bestFit="1" customWidth="1"/>
    <col min="22" max="22" width="18.5546875" style="62" bestFit="1" customWidth="1"/>
    <col min="23" max="23" width="21.5546875" style="62" bestFit="1" customWidth="1"/>
    <col min="24" max="24" width="18.44140625" style="62" bestFit="1" customWidth="1"/>
    <col min="25" max="26" width="18.5546875" style="62" bestFit="1" customWidth="1"/>
    <col min="27" max="28" width="18.44140625" style="62" bestFit="1" customWidth="1"/>
    <col min="29" max="29" width="17.44140625" style="62" bestFit="1" customWidth="1"/>
    <col min="30" max="30" width="18.44140625" style="62" bestFit="1" customWidth="1"/>
    <col min="31" max="32" width="17.44140625" style="62" bestFit="1" customWidth="1"/>
    <col min="33" max="33" width="20.44140625" style="62" bestFit="1" customWidth="1"/>
    <col min="34" max="34" width="20.5546875" style="62" bestFit="1" customWidth="1"/>
    <col min="35" max="35" width="17.5546875" style="62" bestFit="1" customWidth="1"/>
    <col min="36" max="36" width="22.5546875" style="62" bestFit="1" customWidth="1"/>
    <col min="37" max="37" width="22.5546875" style="62" customWidth="1"/>
    <col min="38" max="38" width="10.5546875" style="62" bestFit="1" customWidth="1"/>
    <col min="39" max="39" width="20.44140625" style="62" bestFit="1" customWidth="1"/>
    <col min="40" max="40" width="93" style="62" bestFit="1" customWidth="1"/>
    <col min="41" max="41" width="8.5546875" style="62"/>
    <col min="42" max="42" width="20.44140625" style="62" bestFit="1" customWidth="1"/>
    <col min="43" max="43" width="21.77734375" style="62" bestFit="1" customWidth="1"/>
    <col min="44" max="16384" width="8.5546875" style="62"/>
  </cols>
  <sheetData>
    <row r="1" spans="1:41" ht="50.1" customHeight="1" x14ac:dyDescent="0.3">
      <c r="A1" s="1181" t="s">
        <v>2355</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1"/>
      <c r="AE1" s="1181"/>
      <c r="AF1" s="1181"/>
      <c r="AG1" s="1181"/>
      <c r="AH1" s="1181"/>
      <c r="AI1" s="1181"/>
      <c r="AJ1" s="1181"/>
      <c r="AK1" s="1181"/>
      <c r="AL1" s="1181"/>
      <c r="AM1" s="1181"/>
    </row>
    <row r="2" spans="1:41"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3"/>
      <c r="AE2" s="1183"/>
      <c r="AF2" s="1183"/>
      <c r="AG2" s="1183"/>
      <c r="AH2" s="1183"/>
      <c r="AI2" s="1183"/>
      <c r="AJ2" s="1183"/>
      <c r="AK2" s="1183"/>
      <c r="AL2" s="1183"/>
      <c r="AM2" s="1183"/>
    </row>
    <row r="3" spans="1:41"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row>
    <row r="4" spans="1:41" ht="22.35" customHeight="1" x14ac:dyDescent="0.3">
      <c r="A4" s="1185" t="s">
        <v>2206</v>
      </c>
      <c r="B4" s="1185"/>
      <c r="C4" s="1186" t="s">
        <v>2356</v>
      </c>
      <c r="D4" s="1186"/>
      <c r="E4" s="1194" t="s">
        <v>49</v>
      </c>
      <c r="F4" s="1195"/>
      <c r="G4" s="1187" t="s">
        <v>50</v>
      </c>
      <c r="H4" s="1187"/>
      <c r="I4" s="1188" t="s">
        <v>51</v>
      </c>
      <c r="J4" s="1188"/>
      <c r="K4" s="1188"/>
      <c r="L4" s="1189" t="s">
        <v>53</v>
      </c>
      <c r="M4" s="1190"/>
      <c r="N4" s="1191"/>
      <c r="O4" s="1189" t="s">
        <v>54</v>
      </c>
      <c r="P4" s="1191"/>
      <c r="Q4" s="47"/>
      <c r="R4" s="1192" t="s">
        <v>112</v>
      </c>
      <c r="S4" s="1193"/>
      <c r="T4" s="1193"/>
      <c r="U4" s="1193"/>
      <c r="V4" s="1193"/>
      <c r="W4" s="1193"/>
      <c r="X4" s="1193"/>
      <c r="Y4" s="1193"/>
      <c r="Z4" s="1193"/>
      <c r="AA4" s="1193"/>
      <c r="AB4" s="1193"/>
      <c r="AC4" s="1193"/>
      <c r="AD4" s="1193"/>
      <c r="AE4" s="1193"/>
      <c r="AF4" s="1193"/>
      <c r="AG4" s="1193"/>
      <c r="AH4" s="1193"/>
      <c r="AI4" s="1193"/>
      <c r="AJ4" s="47"/>
      <c r="AK4" s="47"/>
      <c r="AL4" s="47"/>
      <c r="AM4" s="47"/>
    </row>
    <row r="5" spans="1:41" ht="45" customHeight="1" x14ac:dyDescent="0.3">
      <c r="A5" s="1196">
        <f>Parâmetros!E12</f>
        <v>7000000</v>
      </c>
      <c r="B5" s="1196"/>
      <c r="C5" s="1197">
        <f>SUM(I31:I146)</f>
        <v>18356957.300900005</v>
      </c>
      <c r="D5" s="1197"/>
      <c r="E5" s="1200">
        <f>SUMIF(R31:R146,"Previsto",AJ31:AJ146)</f>
        <v>7317693.8803000031</v>
      </c>
      <c r="F5" s="1201"/>
      <c r="G5" s="1198">
        <f>SUM(N31:N146)</f>
        <v>4565049.3</v>
      </c>
      <c r="H5" s="1198"/>
      <c r="I5" s="1078">
        <f>SUMIF(R31:R146,"Real",AJ31:AJ146)</f>
        <v>597103.47075764008</v>
      </c>
      <c r="J5" s="1078"/>
      <c r="K5" s="1078"/>
      <c r="L5" s="1050">
        <f>I5/A5</f>
        <v>8.5300495822520014E-2</v>
      </c>
      <c r="M5" s="1051"/>
      <c r="N5" s="1052"/>
      <c r="O5" s="1060">
        <f>SUM(H9:H11)</f>
        <v>51</v>
      </c>
      <c r="P5" s="1061"/>
      <c r="Q5" s="47"/>
      <c r="R5" s="382" t="s">
        <v>115</v>
      </c>
      <c r="S5" s="382" t="s">
        <v>72</v>
      </c>
      <c r="T5" s="382" t="s">
        <v>891</v>
      </c>
      <c r="U5" s="386" t="s">
        <v>117</v>
      </c>
      <c r="V5" s="542" t="s">
        <v>2357</v>
      </c>
      <c r="W5" s="542" t="s">
        <v>119</v>
      </c>
      <c r="X5" s="1202" t="s">
        <v>120</v>
      </c>
      <c r="Y5" s="1202"/>
      <c r="Z5" s="1202"/>
      <c r="AA5" s="1202"/>
      <c r="AB5" s="1202"/>
      <c r="AC5" s="382" t="s">
        <v>121</v>
      </c>
      <c r="AD5" s="382" t="s">
        <v>122</v>
      </c>
      <c r="AE5" s="382" t="s">
        <v>123</v>
      </c>
      <c r="AF5" s="382" t="s">
        <v>124</v>
      </c>
      <c r="AG5" s="382" t="s">
        <v>125</v>
      </c>
      <c r="AH5" s="386" t="s">
        <v>126</v>
      </c>
      <c r="AI5" s="386" t="s">
        <v>118</v>
      </c>
      <c r="AJ5" s="47"/>
      <c r="AK5" s="47"/>
      <c r="AL5" s="47"/>
      <c r="AM5" s="47"/>
      <c r="AN5" s="47"/>
      <c r="AO5" s="47"/>
    </row>
    <row r="6" spans="1:41" ht="20.85" customHeight="1" x14ac:dyDescent="0.3">
      <c r="A6" s="20"/>
      <c r="B6" s="20"/>
      <c r="C6" s="20"/>
      <c r="D6" s="20"/>
      <c r="E6" s="20"/>
      <c r="F6" s="20"/>
      <c r="G6" s="20"/>
      <c r="H6" s="20"/>
      <c r="I6" s="20"/>
      <c r="J6" s="20"/>
      <c r="K6" s="20"/>
      <c r="L6" s="20"/>
      <c r="M6" s="20"/>
      <c r="N6" s="20"/>
      <c r="O6" s="47"/>
      <c r="P6" s="47"/>
      <c r="Q6" s="47"/>
      <c r="R6" s="372" cm="1">
        <f t="array" ref="R6:R25">_xlfn.SEQUENCE(20)</f>
        <v>1</v>
      </c>
      <c r="S6" s="407" t="str">
        <f t="shared" ref="S6:S25" si="0">_xlfn.XLOOKUP(X6,$D$31:$D$146,$A$31:$A$146)</f>
        <v>Redução de Custo</v>
      </c>
      <c r="T6" s="373">
        <f>MAX(I31:I146)</f>
        <v>4008000</v>
      </c>
      <c r="U6" s="465">
        <f t="shared" ref="U6:U25" si="1">_xlfn.XLOOKUP(X6,$D$31:$D$146,$N$31:$N$146)</f>
        <v>0</v>
      </c>
      <c r="V6" s="373" cm="1">
        <f t="array" aca="1" ref="V6" ca="1">SUMPRODUCT(($D$31:$D$146=X6)*(T$30:$AH$30&lt;EOMONTH(TODAY(),-1)+1)*(ISNUMBER(T$31:$AH$146)),T$31:$AH$146)</f>
        <v>0</v>
      </c>
      <c r="W6" s="543" cm="1">
        <f t="array" aca="1" ref="W6" ca="1">SUMPRODUCT(($D$31:$D$146=X6)*(T$30:$AH$30&lt;=TODAY())*(ISNUMBER(S$32:$AG$147)),S$32:$AG$147)</f>
        <v>0.7142857142857143</v>
      </c>
      <c r="X6" s="1069" t="str">
        <f t="shared" ref="X6:X25" si="2">IFERROR(HYPERLINK(INDEX($E$31:$E$146,MATCH(T6,$I$31:$I$146,0)),INDEX($D$31:$D$146,MATCH(T6,$I$31:$I$146,0))
   ),
   ""
)</f>
        <v>Venda de Equipamentos</v>
      </c>
      <c r="Y6" s="1070"/>
      <c r="Z6" s="1070"/>
      <c r="AA6" s="1070"/>
      <c r="AB6" s="1071"/>
      <c r="AC6" s="374">
        <f>Pareto!D216</f>
        <v>0.22590029636770073</v>
      </c>
      <c r="AD6" s="375">
        <f>Pareto!E216</f>
        <v>0.22590029636770073</v>
      </c>
      <c r="AE6" s="376" cm="1">
        <f t="array" ref="AE6">IFERROR(INDEX($S$31:$S$146,MATCH(1,($AO$31:$AO$146=X6)*($R$31:$R$146="Previsto"), 0) ), "")</f>
        <v>0.5</v>
      </c>
      <c r="AF6" s="376" cm="1">
        <f t="array" ref="AF6">IFERROR( INDEX($S$31:$S$146,MATCH(1,($AO$31:$AO$146=X6)*($R$31:$R$146="Real"),0)),"")</f>
        <v>0.7142857142857143</v>
      </c>
      <c r="AG6" s="400" t="str">
        <f>IF(OR(AE6="",AF6=""),"",IF(AF6=100%,"CONCLUÍDO",IF(AF6=0,IF(AE6=0,"PROJETO NÃO INICIADO","FALTA DE ACOMPANHAMENTO"),IF(AF6&gt;AE6,"ADIANTADO",IF(AF6=AE6,"CONFORME PLANEJADO","ATRASO")))))</f>
        <v>ADIANTADO</v>
      </c>
      <c r="AH6" s="376">
        <f t="shared" ref="AH6:AH25" si="3">_xlfn.XLOOKUP(X6,$D$31:$D$146,$P$31:$P$146)</f>
        <v>0</v>
      </c>
      <c r="AI6" s="530">
        <f t="shared" ref="AI6:AI25" si="4">_xlfn.XLOOKUP(X6,$D$31:$D$146,$J$31:$J$146)</f>
        <v>46357</v>
      </c>
      <c r="AJ6" s="47"/>
      <c r="AK6" s="47"/>
      <c r="AL6" s="47"/>
      <c r="AM6" s="47"/>
    </row>
    <row r="7" spans="1:41" ht="20.85" customHeight="1" x14ac:dyDescent="0.3">
      <c r="A7" s="857" t="s">
        <v>129</v>
      </c>
      <c r="B7" s="857"/>
      <c r="C7" s="857"/>
      <c r="D7" s="857"/>
      <c r="E7" s="857"/>
      <c r="F7" s="857"/>
      <c r="G7" s="1059" t="s">
        <v>59</v>
      </c>
      <c r="H7" s="1059"/>
      <c r="I7" s="1059"/>
      <c r="J7" s="20"/>
      <c r="K7" s="1059" t="s">
        <v>2358</v>
      </c>
      <c r="L7" s="1059"/>
      <c r="M7" s="1059"/>
      <c r="N7" s="20"/>
      <c r="O7" s="47"/>
      <c r="P7" s="47"/>
      <c r="Q7" s="47"/>
      <c r="R7" s="377">
        <v>2</v>
      </c>
      <c r="S7" s="406" t="str">
        <f t="shared" si="0"/>
        <v>Redução de custo</v>
      </c>
      <c r="T7" s="378">
        <f t="shared" ref="T7:T25" si="5">IFERROR(LARGE($I$31:$I$146,R7)," ")</f>
        <v>3256202</v>
      </c>
      <c r="U7" s="466">
        <f t="shared" si="1"/>
        <v>1444478.73</v>
      </c>
      <c r="V7" s="378" cm="1">
        <f t="array" aca="1" ref="V7" ca="1">SUMPRODUCT(($D$31:$D$146=X7)*(T$30:$AH$30&lt;EOMONTH(TODAY(),-1)+1)*(ISNUMBER(T$31:$AH$146)),T$31:$AH$146)</f>
        <v>0</v>
      </c>
      <c r="W7" s="544" cm="1">
        <f t="array" aca="1" ref="W7" ca="1">SUMPRODUCT(($D$31:$D$146=X7)*(T$30:$AH$30&lt;=TODAY())*(ISNUMBER(S$32:$AG$147)),S$32:$AG$147)</f>
        <v>1</v>
      </c>
      <c r="X7" s="1066" t="str">
        <f t="shared" si="2"/>
        <v>Projeto DANA - Mudança de CH para BQ</v>
      </c>
      <c r="Y7" s="1067"/>
      <c r="Z7" s="1067"/>
      <c r="AA7" s="1067"/>
      <c r="AB7" s="1068"/>
      <c r="AC7" s="379">
        <f>Pareto!D217</f>
        <v>0.18352719481863769</v>
      </c>
      <c r="AD7" s="380">
        <f>Pareto!E217</f>
        <v>0.40942749118633842</v>
      </c>
      <c r="AE7" s="381" cm="1">
        <f t="array" ref="AE7">IFERROR(INDEX($S$31:$S$146,MATCH(1,($AO$31:$AO$146=X7)*($R$31:$R$146="Previsto"), 0) ), "")</f>
        <v>1</v>
      </c>
      <c r="AF7" s="381" cm="1">
        <f t="array" ref="AF7">IFERROR( INDEX($S$31:$S$146,MATCH(1,($AO$31:$AO$146=X7)*($R$31:$R$146="Real"),0)),"")</f>
        <v>1</v>
      </c>
      <c r="AG7" s="401" t="str">
        <f t="shared" ref="AG7:AG25" si="6">IF(OR(AE7="",AF7=""),"",IF(AF7=100%,"CONCLUÍDO",IF(AF7=0,IF(AE7=0,"PROJETO NÃO INICIADO","FALTA DE ACOMPANHAMENTO"),IF(AF7&gt;AE7,"ADIANTADO",IF(AF7=AE7,"CONFORME PLANEJADO","ATRASO")))))</f>
        <v>CONCLUÍDO</v>
      </c>
      <c r="AH7" s="381">
        <f t="shared" si="3"/>
        <v>0</v>
      </c>
      <c r="AI7" s="531">
        <f t="shared" si="4"/>
        <v>46174</v>
      </c>
      <c r="AJ7" s="47"/>
      <c r="AK7" s="47"/>
      <c r="AL7" s="47"/>
      <c r="AM7" s="47"/>
    </row>
    <row r="8" spans="1:41" ht="20.85" customHeight="1" x14ac:dyDescent="0.3">
      <c r="A8" s="15" t="s">
        <v>62</v>
      </c>
      <c r="B8" s="15" t="s">
        <v>63</v>
      </c>
      <c r="C8" s="15" t="s">
        <v>64</v>
      </c>
      <c r="D8" s="15" t="s">
        <v>66</v>
      </c>
      <c r="E8" s="15" t="s">
        <v>66</v>
      </c>
      <c r="F8" s="15" t="s">
        <v>131</v>
      </c>
      <c r="G8" s="15" t="s">
        <v>67</v>
      </c>
      <c r="H8" s="15" t="s">
        <v>63</v>
      </c>
      <c r="I8" s="15" t="s">
        <v>68</v>
      </c>
      <c r="J8" s="20"/>
      <c r="K8" s="410" t="s">
        <v>2359</v>
      </c>
      <c r="L8" s="411">
        <f t="shared" ref="L8:L13" si="7">COUNTIF($Q$31:$Q$146,K8)</f>
        <v>0</v>
      </c>
      <c r="M8" s="412">
        <f t="shared" ref="M8:M13" si="8">SUMIF($Q$31:$Q$146,K8,$I$31:$I$146)</f>
        <v>0</v>
      </c>
      <c r="N8" s="20"/>
      <c r="O8" s="47"/>
      <c r="P8" s="47"/>
      <c r="Q8" s="47"/>
      <c r="R8" s="372">
        <v>3</v>
      </c>
      <c r="S8" s="407" t="str">
        <f t="shared" si="0"/>
        <v>Redução de custo</v>
      </c>
      <c r="T8" s="373">
        <f t="shared" si="5"/>
        <v>2674685</v>
      </c>
      <c r="U8" s="465">
        <f t="shared" si="1"/>
        <v>2651202.3199999998</v>
      </c>
      <c r="V8" s="373" cm="1">
        <f t="array" aca="1" ref="V8" ca="1">SUMPRODUCT(($D$31:$D$146=X8)*(T$30:$AH$30&lt;EOMONTH(TODAY(),-1)+1)*(ISNUMBER(T$31:$AH$146)),T$31:$AH$146)</f>
        <v>1104667.6333333333</v>
      </c>
      <c r="W8" s="543" cm="1">
        <f t="array" aca="1" ref="W8" ca="1">SUMPRODUCT(($D$31:$D$146=X8)*(T$30:$AH$30&lt;=TODAY())*(ISNUMBER(S$32:$AG$147)),S$32:$AG$147)</f>
        <v>980091.9800000001</v>
      </c>
      <c r="X8" s="1069" t="str">
        <f t="shared" si="2"/>
        <v>Negociação de preços materiais carcaça Dana</v>
      </c>
      <c r="Y8" s="1070"/>
      <c r="Z8" s="1070"/>
      <c r="AA8" s="1070"/>
      <c r="AB8" s="1071"/>
      <c r="AC8" s="374">
        <f>Pareto!D218</f>
        <v>0.15075153048658774</v>
      </c>
      <c r="AD8" s="375">
        <f>Pareto!E218</f>
        <v>0.5601790216729261</v>
      </c>
      <c r="AE8" s="376" cm="1">
        <f t="array" ref="AE8">IFERROR(INDEX($S$31:$S$146,MATCH(1,($AO$31:$AO$146=X8)*($R$31:$R$146="Previsto"), 0) ), "")</f>
        <v>1</v>
      </c>
      <c r="AF8" s="376" cm="1">
        <f t="array" ref="AF8">IFERROR( INDEX($S$31:$S$146,MATCH(1,($AO$31:$AO$146=X8)*($R$31:$R$146="Real"),0)),"")</f>
        <v>1</v>
      </c>
      <c r="AG8" s="400" t="str">
        <f t="shared" si="6"/>
        <v>CONCLUÍDO</v>
      </c>
      <c r="AH8" s="376">
        <f t="shared" si="3"/>
        <v>0</v>
      </c>
      <c r="AI8" s="530">
        <f t="shared" si="4"/>
        <v>45992</v>
      </c>
      <c r="AJ8" s="47"/>
      <c r="AK8" s="47"/>
      <c r="AL8" s="47"/>
      <c r="AM8" s="47"/>
    </row>
    <row r="9" spans="1:41" ht="20.85" customHeight="1" x14ac:dyDescent="0.3">
      <c r="A9" s="16" t="s">
        <v>76</v>
      </c>
      <c r="B9" s="17">
        <f>COUNTIF($A$31:$A$146,A9)</f>
        <v>0</v>
      </c>
      <c r="C9" s="18">
        <f>SUMIF($A$31:$A$146,A9,$I$31:$I$146)</f>
        <v>0</v>
      </c>
      <c r="D9" s="18">
        <f>SUMIF($A$31:$A$146,A9,$N$31:$N$146)</f>
        <v>0</v>
      </c>
      <c r="E9" s="60">
        <f>IF($C$14=0,"",D9/$C$14)</f>
        <v>0</v>
      </c>
      <c r="F9" s="19">
        <f>E9</f>
        <v>0</v>
      </c>
      <c r="G9" s="21" t="s">
        <v>77</v>
      </c>
      <c r="H9" s="24">
        <f>COUNTIF($O$31:$O$146,G9)</f>
        <v>20</v>
      </c>
      <c r="I9" s="193">
        <f>SUMIF($O$31:$O$146,G9,$I$31:$I$146)</f>
        <v>7924635.9600000018</v>
      </c>
      <c r="J9" s="20"/>
      <c r="K9" s="413" t="s">
        <v>24</v>
      </c>
      <c r="L9" s="414">
        <f t="shared" si="7"/>
        <v>4</v>
      </c>
      <c r="M9" s="415">
        <f t="shared" si="8"/>
        <v>227764</v>
      </c>
      <c r="N9" s="20"/>
      <c r="O9" s="47"/>
      <c r="P9" s="47"/>
      <c r="Q9" s="47"/>
      <c r="R9" s="377">
        <v>4</v>
      </c>
      <c r="S9" s="406" t="str">
        <f t="shared" si="0"/>
        <v>Redução de Custo</v>
      </c>
      <c r="T9" s="378">
        <f t="shared" si="5"/>
        <v>1138260</v>
      </c>
      <c r="U9" s="466">
        <f t="shared" si="1"/>
        <v>0</v>
      </c>
      <c r="V9" s="378" cm="1">
        <f t="array" aca="1" ref="V9" ca="1">SUMPRODUCT(($D$31:$D$146=X9)*(T$30:$AH$30&lt;EOMONTH(TODAY(),-1)+1)*(ISNUMBER(T$31:$AH$146)),T$31:$AH$146)</f>
        <v>0</v>
      </c>
      <c r="W9" s="544" cm="1">
        <f t="array" aca="1" ref="W9" ca="1">SUMPRODUCT(($D$31:$D$146=X9)*(T$30:$AH$30&lt;=TODAY())*(ISNUMBER(S$32:$AG$147)),S$32:$AG$147)</f>
        <v>0.53500000000000003</v>
      </c>
      <c r="X9" s="1066" t="str">
        <f t="shared" si="2"/>
        <v>Ex Tarifário Transfer Norda</v>
      </c>
      <c r="Y9" s="1067"/>
      <c r="Z9" s="1067"/>
      <c r="AA9" s="1067"/>
      <c r="AB9" s="1068"/>
      <c r="AC9" s="379">
        <f>Pareto!D219</f>
        <v>6.4155007820234297E-2</v>
      </c>
      <c r="AD9" s="380">
        <f>Pareto!E219</f>
        <v>0.62433402949316041</v>
      </c>
      <c r="AE9" s="381" cm="1">
        <f t="array" ref="AE9">IFERROR(INDEX($S$31:$S$146,MATCH(1,($AO$31:$AO$146=X9)*($R$31:$R$146="Previsto"), 0) ), "")</f>
        <v>0.45185185185185184</v>
      </c>
      <c r="AF9" s="381" cm="1">
        <f t="array" ref="AF9">IFERROR( INDEX($S$31:$S$146,MATCH(1,($AO$31:$AO$146=X9)*($R$31:$R$146="Real"),0)),"")</f>
        <v>0.53500000000000003</v>
      </c>
      <c r="AG9" s="401" t="str">
        <f t="shared" si="6"/>
        <v>ADIANTADO</v>
      </c>
      <c r="AH9" s="381">
        <f t="shared" si="3"/>
        <v>0</v>
      </c>
      <c r="AI9" s="531">
        <f t="shared" si="4"/>
        <v>46311</v>
      </c>
      <c r="AJ9" s="47"/>
      <c r="AK9" s="47"/>
      <c r="AL9" s="47"/>
      <c r="AM9" s="47"/>
    </row>
    <row r="10" spans="1:41" ht="20.85" customHeight="1" x14ac:dyDescent="0.3">
      <c r="A10" s="16" t="s">
        <v>79</v>
      </c>
      <c r="B10" s="17">
        <f>COUNTIF($A$31:$A$146,A10)</f>
        <v>50</v>
      </c>
      <c r="C10" s="18">
        <f>SUMIF($A$31:$A$146,A10,$I$31:$I$146)</f>
        <v>18356957.300900005</v>
      </c>
      <c r="D10" s="18">
        <f>SUMIF($A$31:$A$146,A10,$N$31:$N$146)</f>
        <v>4565049.3</v>
      </c>
      <c r="E10" s="60">
        <f t="shared" ref="E10:E13" si="9">IF($C$14=0,"",D10/$C$14)</f>
        <v>0.24868224211515624</v>
      </c>
      <c r="F10" s="19">
        <f t="shared" ref="F10:F12" si="10">E10</f>
        <v>0.24868224211515624</v>
      </c>
      <c r="G10" s="22" t="s">
        <v>80</v>
      </c>
      <c r="H10" s="25">
        <f>COUNTIF($O$31:$O$146,G10)</f>
        <v>29</v>
      </c>
      <c r="I10" s="194">
        <f>SUMIF($O$31:$O$146,G10,$I$31:$I$146)</f>
        <v>9719197.7409000006</v>
      </c>
      <c r="J10" s="20"/>
      <c r="K10" s="416" t="s">
        <v>25</v>
      </c>
      <c r="L10" s="417">
        <f t="shared" si="7"/>
        <v>6</v>
      </c>
      <c r="M10" s="418">
        <f t="shared" si="8"/>
        <v>949879.02</v>
      </c>
      <c r="N10" s="20"/>
      <c r="O10" s="47"/>
      <c r="P10" s="47"/>
      <c r="Q10" s="47"/>
      <c r="R10" s="372">
        <v>5</v>
      </c>
      <c r="S10" s="407" t="str">
        <f t="shared" si="0"/>
        <v>Redução de Custo</v>
      </c>
      <c r="T10" s="373">
        <f t="shared" si="5"/>
        <v>624848</v>
      </c>
      <c r="U10" s="465">
        <f t="shared" si="1"/>
        <v>0</v>
      </c>
      <c r="V10" s="373" cm="1">
        <f t="array" aca="1" ref="V10" ca="1">SUMPRODUCT(($D$31:$D$146=X10)*(T$30:$AH$30&lt;EOMONTH(TODAY(),-1)+1)*(ISNUMBER(T$31:$AH$146)),T$31:$AH$146)</f>
        <v>0</v>
      </c>
      <c r="W10" s="543" cm="1">
        <f t="array" aca="1" ref="W10" ca="1">SUMPRODUCT(($D$31:$D$146=X10)*(T$30:$AH$30&lt;=TODAY())*(ISNUMBER(S$32:$AG$147)),S$32:$AG$147)</f>
        <v>0.65217391304347827</v>
      </c>
      <c r="X10" s="1069" t="str">
        <f t="shared" si="2"/>
        <v>Nacionalização RIBE - 
Item 75640 (Pino Rebite M6 x 16)</v>
      </c>
      <c r="Y10" s="1070"/>
      <c r="Z10" s="1070"/>
      <c r="AA10" s="1070"/>
      <c r="AB10" s="1071"/>
      <c r="AC10" s="374">
        <f>Pareto!D220</f>
        <v>3.5217901293604061E-2</v>
      </c>
      <c r="AD10" s="375">
        <f>Pareto!E220</f>
        <v>0.65955193078676444</v>
      </c>
      <c r="AE10" s="376" cm="1">
        <f t="array" ref="AE10">IFERROR(INDEX($S$31:$S$146,MATCH(1,($AO$31:$AO$146=X10)*($R$31:$R$146="Previsto"), 0) ), "")</f>
        <v>0.65217391304347827</v>
      </c>
      <c r="AF10" s="376" cm="1">
        <f t="array" ref="AF10">IFERROR( INDEX($S$31:$S$146,MATCH(1,($AO$31:$AO$146=X10)*($R$31:$R$146="Real"),0)),"")</f>
        <v>0.65217391304347827</v>
      </c>
      <c r="AG10" s="400" t="str">
        <f t="shared" si="6"/>
        <v>CONFORME PLANEJADO</v>
      </c>
      <c r="AH10" s="376">
        <f t="shared" si="3"/>
        <v>0</v>
      </c>
      <c r="AI10" s="530">
        <f t="shared" si="4"/>
        <v>46371</v>
      </c>
      <c r="AJ10" s="47"/>
      <c r="AK10" s="47"/>
      <c r="AL10" s="47"/>
      <c r="AM10" s="47"/>
    </row>
    <row r="11" spans="1:41" ht="20.85" customHeight="1" x14ac:dyDescent="0.3">
      <c r="A11" s="16" t="s">
        <v>82</v>
      </c>
      <c r="B11" s="17">
        <f>COUNTIF($A$31:$A$146,A11)</f>
        <v>0</v>
      </c>
      <c r="C11" s="18">
        <f>SUMIF($A$31:$A$146,A11,$I$31:$I$146)</f>
        <v>0</v>
      </c>
      <c r="D11" s="18">
        <f>SUMIF($A$31:$A$146,A11,$N$31:$N$146)</f>
        <v>0</v>
      </c>
      <c r="E11" s="60">
        <f t="shared" si="9"/>
        <v>0</v>
      </c>
      <c r="F11" s="19">
        <f t="shared" si="10"/>
        <v>0</v>
      </c>
      <c r="G11" s="23" t="s">
        <v>83</v>
      </c>
      <c r="H11" s="26">
        <f>COUNTIF($O$31:$O$146,G11)</f>
        <v>2</v>
      </c>
      <c r="I11" s="195">
        <f>SUMIF($O$31:$O$146,G11,$I$31:$I$146)</f>
        <v>713123.6</v>
      </c>
      <c r="J11" s="20"/>
      <c r="K11" s="419" t="s">
        <v>22</v>
      </c>
      <c r="L11" s="420">
        <f t="shared" si="7"/>
        <v>6</v>
      </c>
      <c r="M11" s="421">
        <f t="shared" si="8"/>
        <v>3339122.98</v>
      </c>
      <c r="N11" s="20"/>
      <c r="O11" s="47"/>
      <c r="P11" s="47"/>
      <c r="Q11" s="47"/>
      <c r="R11" s="377">
        <v>6</v>
      </c>
      <c r="S11" s="406" t="str">
        <f t="shared" si="0"/>
        <v>Redução de Custo</v>
      </c>
      <c r="T11" s="378">
        <f t="shared" si="5"/>
        <v>606000</v>
      </c>
      <c r="U11" s="466">
        <f t="shared" si="1"/>
        <v>0</v>
      </c>
      <c r="V11" s="378" cm="1">
        <f t="array" aca="1" ref="V11" ca="1">SUMPRODUCT(($D$31:$D$146=X11)*(T$30:$AH$30&lt;EOMONTH(TODAY(),-1)+1)*(ISNUMBER(T$31:$AH$146)),T$31:$AH$146)</f>
        <v>0</v>
      </c>
      <c r="W11" s="544" cm="1">
        <f t="array" aca="1" ref="W11" ca="1">SUMPRODUCT(($D$31:$D$146=X11)*(T$30:$AH$30&lt;=TODAY())*(ISNUMBER(S$32:$AG$147)),S$32:$AG$147)</f>
        <v>0.9</v>
      </c>
      <c r="X11" s="1066" t="str">
        <f t="shared" si="2"/>
        <v>Negociação Produtos Pré tratamento</v>
      </c>
      <c r="Y11" s="1067"/>
      <c r="Z11" s="1067"/>
      <c r="AA11" s="1067"/>
      <c r="AB11" s="1068"/>
      <c r="AC11" s="379">
        <f>Pareto!D221</f>
        <v>3.415558373224218E-2</v>
      </c>
      <c r="AD11" s="380">
        <f>Pareto!E221</f>
        <v>0.69370751451900659</v>
      </c>
      <c r="AE11" s="381" cm="1">
        <f t="array" ref="AE11">IFERROR(INDEX($S$31:$S$146,MATCH(1,($AO$31:$AO$146=X11)*($R$31:$R$146="Previsto"), 0) ), "")</f>
        <v>0.92500000000000004</v>
      </c>
      <c r="AF11" s="381" cm="1">
        <f t="array" ref="AF11">IFERROR( INDEX($S$31:$S$146,MATCH(1,($AO$31:$AO$146=X11)*($R$31:$R$146="Real"),0)),"")</f>
        <v>0.9</v>
      </c>
      <c r="AG11" s="401" t="str">
        <f t="shared" si="6"/>
        <v>ATRASO</v>
      </c>
      <c r="AH11" s="381">
        <f t="shared" si="3"/>
        <v>0</v>
      </c>
      <c r="AI11" s="531">
        <f t="shared" si="4"/>
        <v>46204</v>
      </c>
      <c r="AJ11" s="47"/>
      <c r="AK11" s="47"/>
      <c r="AL11" s="47"/>
      <c r="AM11" s="47"/>
    </row>
    <row r="12" spans="1:41" ht="20.85" customHeight="1" x14ac:dyDescent="0.3">
      <c r="A12" s="16" t="s">
        <v>85</v>
      </c>
      <c r="B12" s="17">
        <f>COUNTIF($A$31:$A$146,A12)</f>
        <v>0</v>
      </c>
      <c r="C12" s="18">
        <f>SUMIF($A$31:$A$146,A12,$I$31:$I$146)</f>
        <v>0</v>
      </c>
      <c r="D12" s="18">
        <f>SUMIF($A$31:$A$146,A12,$N$31:$N$146)</f>
        <v>0</v>
      </c>
      <c r="E12" s="60">
        <f t="shared" si="9"/>
        <v>0</v>
      </c>
      <c r="F12" s="19">
        <f t="shared" si="10"/>
        <v>0</v>
      </c>
      <c r="G12" s="20"/>
      <c r="H12" s="20"/>
      <c r="I12" s="20"/>
      <c r="J12" s="20"/>
      <c r="K12" s="422" t="s">
        <v>23</v>
      </c>
      <c r="L12" s="423">
        <f t="shared" si="7"/>
        <v>1</v>
      </c>
      <c r="M12" s="424">
        <f t="shared" si="8"/>
        <v>100602</v>
      </c>
      <c r="N12" s="20"/>
      <c r="O12" s="47"/>
      <c r="P12" s="47"/>
      <c r="Q12" s="47"/>
      <c r="R12" s="372">
        <v>7</v>
      </c>
      <c r="S12" s="407" t="str">
        <f t="shared" si="0"/>
        <v>Redução de custo</v>
      </c>
      <c r="T12" s="373">
        <f t="shared" si="5"/>
        <v>600868</v>
      </c>
      <c r="U12" s="465">
        <f t="shared" si="1"/>
        <v>0</v>
      </c>
      <c r="V12" s="373" cm="1">
        <f t="array" aca="1" ref="V12" ca="1">SUMPRODUCT(($D$31:$D$146=X12)*(T$30:$AH$30&lt;EOMONTH(TODAY(),-1)+1)*(ISNUMBER(T$31:$AH$146)),T$31:$AH$146)</f>
        <v>0</v>
      </c>
      <c r="W12" s="543" cm="1">
        <f t="array" aca="1" ref="W12" ca="1">SUMPRODUCT(($D$31:$D$146=X12)*(T$30:$AH$30&lt;=TODAY())*(ISNUMBER(S$32:$AG$147)),S$32:$AG$147)</f>
        <v>1</v>
      </c>
      <c r="X12" s="1069" t="str">
        <f t="shared" si="2"/>
        <v>Mão de Obra Terceirizada</v>
      </c>
      <c r="Y12" s="1070"/>
      <c r="Z12" s="1070"/>
      <c r="AA12" s="1070"/>
      <c r="AB12" s="1071"/>
      <c r="AC12" s="374">
        <f>Pareto!D222</f>
        <v>3.3866332155156588E-2</v>
      </c>
      <c r="AD12" s="375">
        <f>Pareto!E222</f>
        <v>0.72757384667416314</v>
      </c>
      <c r="AE12" s="376" cm="1">
        <f t="array" ref="AE12">IFERROR(INDEX($S$31:$S$146,MATCH(1,($AO$31:$AO$146=X12)*($R$31:$R$146="Previsto"), 0) ), "")</f>
        <v>1</v>
      </c>
      <c r="AF12" s="376" cm="1">
        <f t="array" ref="AF12">IFERROR( INDEX($S$31:$S$146,MATCH(1,($AO$31:$AO$146=X12)*($R$31:$R$146="Real"),0)),"")</f>
        <v>1</v>
      </c>
      <c r="AG12" s="400" t="str">
        <f t="shared" si="6"/>
        <v>CONCLUÍDO</v>
      </c>
      <c r="AH12" s="376">
        <f t="shared" si="3"/>
        <v>0</v>
      </c>
      <c r="AI12" s="530">
        <f t="shared" si="4"/>
        <v>46174</v>
      </c>
      <c r="AJ12" s="47"/>
      <c r="AK12" s="47"/>
      <c r="AL12" s="47"/>
      <c r="AM12" s="47"/>
    </row>
    <row r="13" spans="1:41" ht="20.85" customHeight="1" x14ac:dyDescent="0.3">
      <c r="A13" s="514" t="s">
        <v>87</v>
      </c>
      <c r="B13" s="17">
        <f>COUNTIF($A$31:$A$146,A13)</f>
        <v>1</v>
      </c>
      <c r="C13" s="18">
        <f>SUMIF($A$31:$A$146,A13,$I$31:$I$146)</f>
        <v>0</v>
      </c>
      <c r="D13" s="18">
        <f>SUMIF($A$31:$A$146,A13,$N$31:$N$146)</f>
        <v>0</v>
      </c>
      <c r="E13" s="60">
        <f t="shared" si="9"/>
        <v>0</v>
      </c>
      <c r="F13" s="20"/>
      <c r="G13" s="20"/>
      <c r="H13" s="20"/>
      <c r="I13" s="20"/>
      <c r="J13" s="20"/>
      <c r="K13" s="425" t="s">
        <v>2360</v>
      </c>
      <c r="L13" s="426">
        <f t="shared" si="7"/>
        <v>20</v>
      </c>
      <c r="M13" s="427">
        <f t="shared" si="8"/>
        <v>6849850.8209000006</v>
      </c>
      <c r="N13" s="20"/>
      <c r="O13" s="47"/>
      <c r="P13" s="47"/>
      <c r="Q13" s="47"/>
      <c r="R13" s="377">
        <v>8</v>
      </c>
      <c r="S13" s="406" t="str">
        <f t="shared" si="0"/>
        <v>Redução de custo</v>
      </c>
      <c r="T13" s="378">
        <f t="shared" si="5"/>
        <v>500000</v>
      </c>
      <c r="U13" s="466">
        <f t="shared" si="1"/>
        <v>0</v>
      </c>
      <c r="V13" s="378" cm="1">
        <f t="array" aca="1" ref="V13" ca="1">SUMPRODUCT(($D$31:$D$146=X13)*(T$30:$AH$30&lt;EOMONTH(TODAY(),-1)+1)*(ISNUMBER(T$31:$AH$146)),T$31:$AH$146)</f>
        <v>0</v>
      </c>
      <c r="W13" s="544" cm="1">
        <f t="array" aca="1" ref="W13" ca="1">SUMPRODUCT(($D$31:$D$146=X13)*(T$30:$AH$30&lt;=TODAY())*(ISNUMBER(S$32:$AG$147)),S$32:$AG$147)</f>
        <v>0.76470588235294112</v>
      </c>
      <c r="X13" s="1066" t="str">
        <f t="shared" si="2"/>
        <v>Viabilizar Material Alternativo de Menor Custo para Utilização na Carcaça da Scania</v>
      </c>
      <c r="Y13" s="1067"/>
      <c r="Z13" s="1067"/>
      <c r="AA13" s="1067"/>
      <c r="AB13" s="1068"/>
      <c r="AC13" s="379">
        <f>Pareto!D223</f>
        <v>2.8181174696569455E-2</v>
      </c>
      <c r="AD13" s="380">
        <f>Pareto!E223</f>
        <v>0.75575502137073258</v>
      </c>
      <c r="AE13" s="381" cm="1">
        <f t="array" ref="AE13">IFERROR(INDEX($S$31:$S$146,MATCH(1,($AO$31:$AO$146=X13)*($R$31:$R$146="Previsto"), 0) ), "")</f>
        <v>0.76470588235294112</v>
      </c>
      <c r="AF13" s="381" cm="1">
        <f t="array" ref="AF13">IFERROR( INDEX($S$31:$S$146,MATCH(1,($AO$31:$AO$146=X13)*($R$31:$R$146="Real"),0)),"")</f>
        <v>0.76470588235294112</v>
      </c>
      <c r="AG13" s="401" t="str">
        <f t="shared" si="6"/>
        <v>CONFORME PLANEJADO</v>
      </c>
      <c r="AH13" s="381">
        <f t="shared" si="3"/>
        <v>0</v>
      </c>
      <c r="AI13" s="531">
        <f t="shared" si="4"/>
        <v>46327</v>
      </c>
      <c r="AJ13" s="47"/>
      <c r="AK13" s="47"/>
      <c r="AL13" s="47"/>
      <c r="AM13" s="47"/>
    </row>
    <row r="14" spans="1:41" ht="20.85" customHeight="1" x14ac:dyDescent="0.3">
      <c r="A14" s="173"/>
      <c r="B14" s="174">
        <f>SUM(B10:B13)</f>
        <v>51</v>
      </c>
      <c r="C14" s="30">
        <f>SUM(C10:C13)</f>
        <v>18356957.300900005</v>
      </c>
      <c r="D14" s="30">
        <f>SUM(D10:D13)</f>
        <v>4565049.3</v>
      </c>
      <c r="E14" s="171">
        <f>SUM(E10:E13)</f>
        <v>0.24868224211515624</v>
      </c>
      <c r="F14" s="20"/>
      <c r="G14" s="20"/>
      <c r="H14" s="20"/>
      <c r="I14" s="20" t="s">
        <v>2361</v>
      </c>
      <c r="J14" s="20"/>
      <c r="K14" s="20"/>
      <c r="L14" s="20"/>
      <c r="M14" s="20"/>
      <c r="N14" s="20"/>
      <c r="O14" s="47"/>
      <c r="P14" s="47"/>
      <c r="Q14" s="47"/>
      <c r="R14" s="372">
        <v>9</v>
      </c>
      <c r="S14" s="407" t="str">
        <f t="shared" si="0"/>
        <v>Redução de custo</v>
      </c>
      <c r="T14" s="373">
        <f t="shared" si="5"/>
        <v>403768</v>
      </c>
      <c r="U14" s="465">
        <f t="shared" si="1"/>
        <v>0</v>
      </c>
      <c r="V14" s="373" cm="1">
        <f t="array" aca="1" ref="V14" ca="1">SUMPRODUCT(($D$31:$D$146=X14)*(T$30:$AH$30&lt;EOMONTH(TODAY(),-1)+1)*(ISNUMBER(T$31:$AH$146)),T$31:$AH$146)</f>
        <v>0</v>
      </c>
      <c r="W14" s="543" cm="1">
        <f t="array" aca="1" ref="W14" ca="1">SUMPRODUCT(($D$31:$D$146=X14)*(T$30:$AH$30&lt;=TODAY())*(ISNUMBER(S$32:$AG$147)),S$32:$AG$147)</f>
        <v>1</v>
      </c>
      <c r="X14" s="1069" t="str">
        <f t="shared" si="2"/>
        <v>Troca de fonte do arame de solda de Belgo para Gerdau</v>
      </c>
      <c r="Y14" s="1070"/>
      <c r="Z14" s="1070"/>
      <c r="AA14" s="1070"/>
      <c r="AB14" s="1071"/>
      <c r="AC14" s="374">
        <f>Pareto!D224</f>
        <v>2.2757313089768909E-2</v>
      </c>
      <c r="AD14" s="375">
        <f>Pareto!E224</f>
        <v>0.7785123344605015</v>
      </c>
      <c r="AE14" s="376" cm="1">
        <f t="array" ref="AE14">IFERROR(INDEX($S$31:$S$146,MATCH(1,($AO$31:$AO$146=X14)*($R$31:$R$146="Previsto"), 0) ), "")</f>
        <v>1</v>
      </c>
      <c r="AF14" s="376" cm="1">
        <f t="array" ref="AF14">IFERROR( INDEX($S$31:$S$146,MATCH(1,($AO$31:$AO$146=X14)*($R$31:$R$146="Real"),0)),"")</f>
        <v>1</v>
      </c>
      <c r="AG14" s="400" t="str">
        <f t="shared" si="6"/>
        <v>CONCLUÍDO</v>
      </c>
      <c r="AH14" s="376">
        <f t="shared" si="3"/>
        <v>0</v>
      </c>
      <c r="AI14" s="530">
        <f t="shared" si="4"/>
        <v>46174</v>
      </c>
      <c r="AJ14" s="47"/>
      <c r="AK14" s="47"/>
      <c r="AL14" s="47"/>
      <c r="AM14" s="47"/>
    </row>
    <row r="15" spans="1:41" ht="20.85" customHeight="1" x14ac:dyDescent="0.3">
      <c r="A15" s="348"/>
      <c r="B15" s="349"/>
      <c r="C15" s="350"/>
      <c r="D15" s="351"/>
      <c r="E15" s="20"/>
      <c r="F15" s="29"/>
      <c r="G15" s="20"/>
      <c r="H15" s="20"/>
      <c r="I15" s="20"/>
      <c r="J15" s="20"/>
      <c r="K15" s="20"/>
      <c r="L15" s="20"/>
      <c r="M15" s="20"/>
      <c r="N15" s="20"/>
      <c r="O15" s="29"/>
      <c r="P15" s="47"/>
      <c r="Q15" s="47"/>
      <c r="R15" s="377">
        <v>10</v>
      </c>
      <c r="S15" s="406" t="str">
        <f t="shared" si="0"/>
        <v>Redução de custo</v>
      </c>
      <c r="T15" s="378">
        <f t="shared" si="5"/>
        <v>372095</v>
      </c>
      <c r="U15" s="466">
        <f t="shared" si="1"/>
        <v>0</v>
      </c>
      <c r="V15" s="378" cm="1">
        <f t="array" aca="1" ref="V15" ca="1">SUMPRODUCT(($D$31:$D$146=X15)*(T$30:$AH$30&lt;EOMONTH(TODAY(),-1)+1)*(ISNUMBER(T$31:$AH$146)),T$31:$AH$146)</f>
        <v>0</v>
      </c>
      <c r="W15" s="544" cm="1">
        <f t="array" aca="1" ref="W15" ca="1">SUMPRODUCT(($D$31:$D$146=X15)*(T$30:$AH$30&lt;=TODAY())*(ISNUMBER(S$32:$AG$147)),S$32:$AG$147)</f>
        <v>0.88</v>
      </c>
      <c r="X15" s="1066" t="str">
        <f t="shared" si="2"/>
        <v>Redução de custo Porca 73189 da curva A</v>
      </c>
      <c r="Y15" s="1067"/>
      <c r="Z15" s="1067"/>
      <c r="AA15" s="1067"/>
      <c r="AB15" s="1068"/>
      <c r="AC15" s="379">
        <f>Pareto!D225</f>
        <v>2.0972148397440021E-2</v>
      </c>
      <c r="AD15" s="380">
        <f>Pareto!E225</f>
        <v>0.79948448285794149</v>
      </c>
      <c r="AE15" s="381" cm="1">
        <f t="array" ref="AE15">IFERROR(INDEX($S$31:$S$146,MATCH(1,($AO$31:$AO$146=X15)*($R$31:$R$146="Previsto"), 0) ), "")</f>
        <v>0.88</v>
      </c>
      <c r="AF15" s="381" cm="1">
        <f t="array" ref="AF15">IFERROR( INDEX($S$31:$S$146,MATCH(1,($AO$31:$AO$146=X15)*($R$31:$R$146="Real"),0)),"")</f>
        <v>0.88</v>
      </c>
      <c r="AG15" s="401" t="str">
        <f>IF(OR(AE15="",AF15=""),"",IF(AF15=100%,"CONCLUÍDO",IF(AF15=0,IF(AE15=0,"PROJETO NÃO INICIADO","FALTA DE ACOMPANHAMENTO"),IF(AF15&gt;AE15,"ADIANTADO",IF(AF15=AE15,"CONFORME PLANEJADO","ATRASO")))))</f>
        <v>CONFORME PLANEJADO</v>
      </c>
      <c r="AH15" s="381">
        <f t="shared" si="3"/>
        <v>0</v>
      </c>
      <c r="AI15" s="531">
        <f t="shared" si="4"/>
        <v>46222</v>
      </c>
      <c r="AJ15" s="47"/>
      <c r="AK15" s="47"/>
      <c r="AL15" s="47"/>
      <c r="AM15" s="47"/>
    </row>
    <row r="16" spans="1:41" ht="20.85" customHeight="1" x14ac:dyDescent="0.3">
      <c r="A16" s="348"/>
      <c r="B16" s="349"/>
      <c r="C16" s="350"/>
      <c r="D16" s="351"/>
      <c r="E16" s="20"/>
      <c r="F16" s="29"/>
      <c r="G16" s="20"/>
      <c r="H16" s="20"/>
      <c r="I16" s="20"/>
      <c r="J16" s="20"/>
      <c r="K16" s="20"/>
      <c r="L16" s="20"/>
      <c r="M16" s="20"/>
      <c r="N16" s="20"/>
      <c r="O16" s="47"/>
      <c r="P16" s="47"/>
      <c r="Q16" s="47"/>
      <c r="R16" s="372">
        <v>11</v>
      </c>
      <c r="S16" s="407" t="str">
        <f t="shared" si="0"/>
        <v>Redução de Custo</v>
      </c>
      <c r="T16" s="373">
        <f t="shared" si="5"/>
        <v>364573</v>
      </c>
      <c r="U16" s="465">
        <f t="shared" si="1"/>
        <v>0</v>
      </c>
      <c r="V16" s="373" cm="1">
        <f t="array" aca="1" ref="V16" ca="1">SUMPRODUCT(($D$31:$D$146=X16)*(T$30:$AH$30&lt;EOMONTH(TODAY(),-1)+1)*(ISNUMBER(T$31:$AH$146)),T$31:$AH$146)</f>
        <v>0</v>
      </c>
      <c r="W16" s="543" cm="1">
        <f t="array" aca="1" ref="W16" ca="1">SUMPRODUCT(($D$31:$D$146=X16)*(T$30:$AH$30&lt;=TODAY())*(ISNUMBER(S$32:$AG$147)),S$32:$AG$147)</f>
        <v>0.46666666666666662</v>
      </c>
      <c r="X16" s="1069" t="str">
        <f t="shared" si="2"/>
        <v>Projeto DANA - Fornecimento MTL</v>
      </c>
      <c r="Y16" s="1070"/>
      <c r="Z16" s="1070"/>
      <c r="AA16" s="1070"/>
      <c r="AB16" s="1071"/>
      <c r="AC16" s="374">
        <f>Pareto!D226</f>
        <v>2.0548190805304831E-2</v>
      </c>
      <c r="AD16" s="375">
        <f>Pareto!E226</f>
        <v>0.82003267366324628</v>
      </c>
      <c r="AE16" s="376" cm="1">
        <f t="array" ref="AE16">IFERROR(INDEX($S$31:$S$146,MATCH(1,($AO$31:$AO$146=X16)*($R$31:$R$146="Previsto"), 0) ), "")</f>
        <v>0.45238095238095238</v>
      </c>
      <c r="AF16" s="376" cm="1">
        <f t="array" ref="AF16">IFERROR( INDEX($S$31:$S$146,MATCH(1,($AO$31:$AO$146=X16)*($R$31:$R$146="Real"),0)),"")</f>
        <v>0.46666666666666662</v>
      </c>
      <c r="AG16" s="400" t="str">
        <f t="shared" si="6"/>
        <v>ADIANTADO</v>
      </c>
      <c r="AH16" s="376">
        <f t="shared" si="3"/>
        <v>0</v>
      </c>
      <c r="AI16" s="530">
        <f t="shared" si="4"/>
        <v>46204</v>
      </c>
      <c r="AJ16" s="47"/>
      <c r="AK16" s="47"/>
      <c r="AL16" s="47"/>
      <c r="AM16" s="47"/>
    </row>
    <row r="17" spans="1:43" ht="20.85" customHeight="1" x14ac:dyDescent="0.3">
      <c r="A17" s="348"/>
      <c r="B17" s="349"/>
      <c r="C17" s="350"/>
      <c r="D17" s="351"/>
      <c r="E17" s="20"/>
      <c r="F17" s="29"/>
      <c r="G17" s="20"/>
      <c r="H17" s="20"/>
      <c r="I17" s="20"/>
      <c r="J17" s="20"/>
      <c r="K17" s="20"/>
      <c r="L17" s="20"/>
      <c r="M17" s="20"/>
      <c r="N17" s="20"/>
      <c r="O17" s="47" t="s">
        <v>90</v>
      </c>
      <c r="P17" s="967">
        <f>SUMIF($C$31:$C$146,O17,$N$31:$N$146)</f>
        <v>4182614.05</v>
      </c>
      <c r="Q17" s="47"/>
      <c r="R17" s="377">
        <v>12</v>
      </c>
      <c r="S17" s="406" t="str">
        <f t="shared" si="0"/>
        <v>Redução de custo</v>
      </c>
      <c r="T17" s="378">
        <f t="shared" si="5"/>
        <v>353954</v>
      </c>
      <c r="U17" s="466">
        <f t="shared" si="1"/>
        <v>0</v>
      </c>
      <c r="V17" s="378" cm="1">
        <f t="array" aca="1" ref="V17" ca="1">SUMPRODUCT(($D$31:$D$146=X17)*(T$30:$AH$30&lt;EOMONTH(TODAY(),-1)+1)*(ISNUMBER(T$31:$AH$146)),T$31:$AH$146)</f>
        <v>0</v>
      </c>
      <c r="W17" s="544" cm="1">
        <f t="array" aca="1" ref="W17" ca="1">SUMPRODUCT(($D$31:$D$146=X17)*(T$30:$AH$30&lt;=TODAY())*(ISNUMBER(S$32:$AG$147)),S$32:$AG$147)</f>
        <v>0.42499999999999999</v>
      </c>
      <c r="X17" s="1066" t="str">
        <f t="shared" si="2"/>
        <v>Recuperação de valores - Água</v>
      </c>
      <c r="Y17" s="1067"/>
      <c r="Z17" s="1067"/>
      <c r="AA17" s="1067"/>
      <c r="AB17" s="1068"/>
      <c r="AC17" s="379">
        <f>Pareto!D227</f>
        <v>1.9949679017099087E-2</v>
      </c>
      <c r="AD17" s="380">
        <f>Pareto!E227</f>
        <v>0.83998235268034538</v>
      </c>
      <c r="AE17" s="381" cm="1">
        <f t="array" ref="AE17">IFERROR(INDEX($S$31:$S$146,MATCH(1,($AO$31:$AO$146=X17)*($R$31:$R$146="Previsto"), 0) ), "")</f>
        <v>0.33779755283648499</v>
      </c>
      <c r="AF17" s="381" cm="1">
        <f t="array" ref="AF17">IFERROR( INDEX($S$31:$S$146,MATCH(1,($AO$31:$AO$146=X17)*($R$31:$R$146="Real"),0)),"")</f>
        <v>0.42499999999999999</v>
      </c>
      <c r="AG17" s="401" t="str">
        <f t="shared" si="6"/>
        <v>ADIANTADO</v>
      </c>
      <c r="AH17" s="381">
        <f t="shared" si="3"/>
        <v>0</v>
      </c>
      <c r="AI17" s="531">
        <f t="shared" si="4"/>
        <v>46357</v>
      </c>
      <c r="AJ17" s="47"/>
      <c r="AK17" s="47"/>
      <c r="AL17" s="47"/>
      <c r="AM17" s="47"/>
    </row>
    <row r="18" spans="1:43" ht="20.85" customHeight="1" x14ac:dyDescent="0.3">
      <c r="A18" s="348"/>
      <c r="B18" s="349"/>
      <c r="C18" s="350"/>
      <c r="D18" s="351"/>
      <c r="E18" s="20"/>
      <c r="F18" s="29"/>
      <c r="G18" s="20"/>
      <c r="H18" s="20"/>
      <c r="I18" s="20"/>
      <c r="J18" s="20"/>
      <c r="K18" s="20"/>
      <c r="L18" s="20"/>
      <c r="M18" s="20"/>
      <c r="N18" s="20"/>
      <c r="O18" s="47" t="s">
        <v>91</v>
      </c>
      <c r="P18" s="967">
        <f t="shared" ref="P18:P20" si="11">SUMIF($C$31:$C$146,O18,$N$31:$N$146)</f>
        <v>188115.25</v>
      </c>
      <c r="Q18" s="47"/>
      <c r="R18" s="372">
        <v>13</v>
      </c>
      <c r="S18" s="407" t="str">
        <f t="shared" si="0"/>
        <v>Redução de custo</v>
      </c>
      <c r="T18" s="373">
        <f t="shared" si="5"/>
        <v>348550.6</v>
      </c>
      <c r="U18" s="465">
        <f t="shared" si="1"/>
        <v>0</v>
      </c>
      <c r="V18" s="373" cm="1">
        <f t="array" aca="1" ref="V18" ca="1">SUMPRODUCT(($D$31:$D$146=X18)*(T$30:$AH$30&lt;EOMONTH(TODAY(),-1)+1)*(ISNUMBER(T$31:$AH$146)),T$31:$AH$146)</f>
        <v>0</v>
      </c>
      <c r="W18" s="543" cm="1">
        <f t="array" aca="1" ref="W18" ca="1">SUMPRODUCT(($D$31:$D$146=X18)*(T$30:$AH$30&lt;=TODAY())*(ISNUMBER(S$32:$AG$147)),S$32:$AG$147)</f>
        <v>0.875</v>
      </c>
      <c r="X18" s="1069" t="str">
        <f t="shared" si="2"/>
        <v>Troca da fonte de arame de solda para China</v>
      </c>
      <c r="Y18" s="1070"/>
      <c r="Z18" s="1070"/>
      <c r="AA18" s="1070"/>
      <c r="AB18" s="1071"/>
      <c r="AC18" s="374">
        <f>Pareto!D228</f>
        <v>1.9645130698388202E-2</v>
      </c>
      <c r="AD18" s="375">
        <f>Pareto!E228</f>
        <v>0.85962748337873363</v>
      </c>
      <c r="AE18" s="376" cm="1">
        <f t="array" ref="AE18">IFERROR(INDEX($S$31:$S$146,MATCH(1,($AO$31:$AO$146=X18)*($R$31:$R$146="Previsto"), 0) ), "")</f>
        <v>0.875</v>
      </c>
      <c r="AF18" s="376" cm="1">
        <f t="array" ref="AF18">IFERROR( INDEX($S$31:$S$146,MATCH(1,($AO$31:$AO$146=X18)*($R$31:$R$146="Real"),0)),"")</f>
        <v>0.875</v>
      </c>
      <c r="AG18" s="400" t="str">
        <f t="shared" si="6"/>
        <v>CONFORME PLANEJADO</v>
      </c>
      <c r="AH18" s="376">
        <f t="shared" si="3"/>
        <v>0</v>
      </c>
      <c r="AI18" s="530">
        <f t="shared" si="4"/>
        <v>46568</v>
      </c>
      <c r="AJ18" s="47"/>
      <c r="AK18" s="47"/>
      <c r="AL18" s="47"/>
      <c r="AM18" s="47"/>
    </row>
    <row r="19" spans="1:43" ht="20.85" customHeight="1" x14ac:dyDescent="0.3">
      <c r="A19" s="348"/>
      <c r="B19" s="349"/>
      <c r="C19" s="350"/>
      <c r="D19" s="351"/>
      <c r="E19" s="20"/>
      <c r="F19" s="29"/>
      <c r="G19" s="20"/>
      <c r="H19" s="20"/>
      <c r="I19" s="20"/>
      <c r="J19" s="20"/>
      <c r="K19" s="20"/>
      <c r="L19" s="20"/>
      <c r="M19" s="20"/>
      <c r="N19" s="20"/>
      <c r="O19" s="47" t="s">
        <v>93</v>
      </c>
      <c r="P19" s="967">
        <f t="shared" si="11"/>
        <v>194320</v>
      </c>
      <c r="Q19" s="47"/>
      <c r="R19" s="377">
        <v>14</v>
      </c>
      <c r="S19" s="406" t="str">
        <f t="shared" si="0"/>
        <v>Redução de custo</v>
      </c>
      <c r="T19" s="378">
        <f t="shared" si="5"/>
        <v>317391</v>
      </c>
      <c r="U19" s="466">
        <f t="shared" si="1"/>
        <v>0</v>
      </c>
      <c r="V19" s="378" cm="1">
        <f t="array" aca="1" ref="V19" ca="1">SUMPRODUCT(($D$31:$D$146=X19)*(T$30:$AH$30&lt;EOMONTH(TODAY(),-1)+1)*(ISNUMBER(T$31:$AH$146)),T$31:$AH$146)</f>
        <v>79347.75</v>
      </c>
      <c r="W19" s="544" cm="1">
        <f t="array" aca="1" ref="W19" ca="1">SUMPRODUCT(($D$31:$D$146=X19)*(T$30:$AH$30&lt;=TODAY())*(ISNUMBER(S$32:$AG$147)),S$32:$AG$147)</f>
        <v>1</v>
      </c>
      <c r="X19" s="1066" t="str">
        <f t="shared" si="2"/>
        <v>Viabilizar itens Usiminas via Gonvarri-Full Service</v>
      </c>
      <c r="Y19" s="1067"/>
      <c r="Z19" s="1067"/>
      <c r="AA19" s="1067"/>
      <c r="AB19" s="1068"/>
      <c r="AC19" s="379">
        <f>Pareto!D229</f>
        <v>1.7888902436237749E-2</v>
      </c>
      <c r="AD19" s="380">
        <f>Pareto!E229</f>
        <v>0.87751638581497138</v>
      </c>
      <c r="AE19" s="381" cm="1">
        <f t="array" ref="AE19">IFERROR(INDEX($S$31:$S$146,MATCH(1,($AO$31:$AO$146=X19)*($R$31:$R$146="Previsto"), 0) ), "")</f>
        <v>1</v>
      </c>
      <c r="AF19" s="381" cm="1">
        <f t="array" ref="AF19">IFERROR( INDEX($S$31:$S$146,MATCH(1,($AO$31:$AO$146=X19)*($R$31:$R$146="Real"),0)),"")</f>
        <v>1</v>
      </c>
      <c r="AG19" s="401" t="str">
        <f t="shared" si="6"/>
        <v>CONCLUÍDO</v>
      </c>
      <c r="AH19" s="381">
        <f t="shared" si="3"/>
        <v>0</v>
      </c>
      <c r="AI19" s="531">
        <f t="shared" si="4"/>
        <v>46082</v>
      </c>
      <c r="AJ19" s="47"/>
      <c r="AK19" s="47"/>
      <c r="AL19" s="47"/>
      <c r="AM19" s="47"/>
    </row>
    <row r="20" spans="1:43" ht="20.85" customHeight="1" x14ac:dyDescent="0.3">
      <c r="A20" s="348"/>
      <c r="B20" s="349"/>
      <c r="C20" s="350"/>
      <c r="D20" s="351"/>
      <c r="E20" s="20"/>
      <c r="F20" s="29"/>
      <c r="G20" s="20"/>
      <c r="H20" s="20"/>
      <c r="I20" s="20"/>
      <c r="J20" s="20"/>
      <c r="K20" s="20"/>
      <c r="L20" s="20"/>
      <c r="M20" s="20"/>
      <c r="N20" s="20"/>
      <c r="O20" s="47" t="s">
        <v>94</v>
      </c>
      <c r="P20" s="967">
        <f t="shared" si="11"/>
        <v>0</v>
      </c>
      <c r="Q20" s="47"/>
      <c r="R20" s="372">
        <v>15</v>
      </c>
      <c r="S20" s="407" t="str">
        <f t="shared" si="0"/>
        <v>Redução de custo</v>
      </c>
      <c r="T20" s="373">
        <f t="shared" si="5"/>
        <v>219761</v>
      </c>
      <c r="U20" s="465">
        <f t="shared" si="1"/>
        <v>0</v>
      </c>
      <c r="V20" s="373" cm="1">
        <f t="array" aca="1" ref="V20" ca="1">SUMPRODUCT(($D$31:$D$146=X20)*(T$30:$AH$30&lt;EOMONTH(TODAY(),-1)+1)*(ISNUMBER(T$31:$AH$146)),T$31:$AH$146)</f>
        <v>54940.25</v>
      </c>
      <c r="W20" s="543" cm="1">
        <f t="array" aca="1" ref="W20" ca="1">SUMPRODUCT(($D$31:$D$146=X20)*(T$30:$AH$30&lt;=TODAY())*(ISNUMBER(S$32:$AG$147)),S$32:$AG$147)</f>
        <v>1</v>
      </c>
      <c r="X20" s="1069" t="str">
        <f t="shared" si="2"/>
        <v>Resourcing Maletas Man (Mercante para Cartec)</v>
      </c>
      <c r="Y20" s="1070"/>
      <c r="Z20" s="1070"/>
      <c r="AA20" s="1070"/>
      <c r="AB20" s="1071"/>
      <c r="AC20" s="374">
        <f>Pareto!D230</f>
        <v>1.2386246264985599E-2</v>
      </c>
      <c r="AD20" s="375">
        <f>Pareto!E230</f>
        <v>0.88990263207995701</v>
      </c>
      <c r="AE20" s="376" cm="1">
        <f t="array" ref="AE20">IFERROR(INDEX($S$31:$S$146,MATCH(1,($AO$31:$AO$146=X20)*($R$31:$R$146="Previsto"), 0) ), "")</f>
        <v>1</v>
      </c>
      <c r="AF20" s="376" cm="1">
        <f t="array" ref="AF20">IFERROR( INDEX($S$31:$S$146,MATCH(1,($AO$31:$AO$146=X20)*($R$31:$R$146="Real"),0)),"")</f>
        <v>1</v>
      </c>
      <c r="AG20" s="400" t="str">
        <f t="shared" si="6"/>
        <v>CONCLUÍDO</v>
      </c>
      <c r="AH20" s="376">
        <f t="shared" si="3"/>
        <v>0</v>
      </c>
      <c r="AI20" s="530">
        <f t="shared" si="4"/>
        <v>46097</v>
      </c>
      <c r="AJ20" s="47"/>
      <c r="AK20" s="47"/>
      <c r="AL20" s="47"/>
      <c r="AM20" s="47"/>
    </row>
    <row r="21" spans="1:43" ht="20.85" customHeight="1" x14ac:dyDescent="0.3">
      <c r="A21" s="348"/>
      <c r="B21" s="349"/>
      <c r="C21" s="350"/>
      <c r="D21" s="351"/>
      <c r="E21" s="20"/>
      <c r="F21" s="29"/>
      <c r="G21" s="20"/>
      <c r="H21" s="20"/>
      <c r="I21" s="20"/>
      <c r="J21" s="20"/>
      <c r="K21" s="20"/>
      <c r="L21" s="20"/>
      <c r="M21" s="20"/>
      <c r="N21" s="20"/>
      <c r="O21" s="47"/>
      <c r="P21" s="47"/>
      <c r="Q21" s="47"/>
      <c r="R21" s="377">
        <v>16</v>
      </c>
      <c r="S21" s="406" t="str">
        <f t="shared" si="0"/>
        <v>Redução de Custo</v>
      </c>
      <c r="T21" s="378">
        <f t="shared" si="5"/>
        <v>214329</v>
      </c>
      <c r="U21" s="466">
        <f t="shared" si="1"/>
        <v>0</v>
      </c>
      <c r="V21" s="378" cm="1">
        <f t="array" aca="1" ref="V21" ca="1">SUMPRODUCT(($D$31:$D$146=X21)*(T$30:$AH$30&lt;EOMONTH(TODAY(),-1)+1)*(ISNUMBER(T$31:$AH$146)),T$31:$AH$146)</f>
        <v>35721.5</v>
      </c>
      <c r="W21" s="544" cm="1">
        <f t="array" aca="1" ref="W21" ca="1">SUMPRODUCT(($D$31:$D$146=X21)*(T$30:$AH$30&lt;=TODAY())*(ISNUMBER(S$32:$AG$147)),S$32:$AG$147)</f>
        <v>1</v>
      </c>
      <c r="X21" s="1066" t="str">
        <f t="shared" si="2"/>
        <v>Redução Itens Mercedes</v>
      </c>
      <c r="Y21" s="1067"/>
      <c r="Z21" s="1067"/>
      <c r="AA21" s="1067"/>
      <c r="AB21" s="1068"/>
      <c r="AC21" s="379">
        <f>Pareto!D231</f>
        <v>1.2080085983082068E-2</v>
      </c>
      <c r="AD21" s="380">
        <f>Pareto!E231</f>
        <v>0.90198271806303909</v>
      </c>
      <c r="AE21" s="381" cm="1">
        <f t="array" ref="AE21">IFERROR(INDEX($S$31:$S$146,MATCH(1,($AO$31:$AO$146=X21)*($R$31:$R$146="Previsto"), 0) ), "")</f>
        <v>1</v>
      </c>
      <c r="AF21" s="381" cm="1">
        <f t="array" ref="AF21">IFERROR( INDEX($S$31:$S$146,MATCH(1,($AO$31:$AO$146=X21)*($R$31:$R$146="Real"),0)),"")</f>
        <v>1</v>
      </c>
      <c r="AG21" s="401" t="str">
        <f t="shared" si="6"/>
        <v>CONCLUÍDO</v>
      </c>
      <c r="AH21" s="381">
        <f t="shared" si="3"/>
        <v>0</v>
      </c>
      <c r="AI21" s="531">
        <f t="shared" si="4"/>
        <v>46113</v>
      </c>
      <c r="AJ21" s="47"/>
      <c r="AK21" s="47"/>
      <c r="AL21" s="1203" t="s">
        <v>227</v>
      </c>
      <c r="AM21" s="1203"/>
    </row>
    <row r="22" spans="1:43" ht="20.85" customHeight="1" x14ac:dyDescent="0.3">
      <c r="A22" s="348"/>
      <c r="B22" s="349"/>
      <c r="C22" s="350"/>
      <c r="D22" s="351"/>
      <c r="E22" s="20"/>
      <c r="F22" s="29"/>
      <c r="G22" s="20"/>
      <c r="H22" s="20"/>
      <c r="I22" s="20"/>
      <c r="J22" s="20"/>
      <c r="K22" s="20"/>
      <c r="L22" s="20"/>
      <c r="M22" s="20"/>
      <c r="N22" s="20"/>
      <c r="O22" s="47"/>
      <c r="P22" s="47"/>
      <c r="Q22" s="47"/>
      <c r="R22" s="372">
        <v>17</v>
      </c>
      <c r="S22" s="407" t="str">
        <f t="shared" si="0"/>
        <v>Redução de custo</v>
      </c>
      <c r="T22" s="373">
        <f t="shared" si="5"/>
        <v>171002</v>
      </c>
      <c r="U22" s="465">
        <f t="shared" si="1"/>
        <v>0</v>
      </c>
      <c r="V22" s="373" cm="1">
        <f t="array" aca="1" ref="V22" ca="1">SUMPRODUCT(($D$31:$D$146=X22)*(T$30:$AH$30&lt;EOMONTH(TODAY(),-1)+1)*(ISNUMBER(T$31:$AH$146)),T$31:$AH$146)</f>
        <v>28500.333333333332</v>
      </c>
      <c r="W22" s="543" cm="1">
        <f t="array" aca="1" ref="W22" ca="1">SUMPRODUCT(($D$31:$D$146=X22)*(T$30:$AH$30&lt;=TODAY())*(ISNUMBER(S$32:$AG$147)),S$32:$AG$147)</f>
        <v>0.8529411764705882</v>
      </c>
      <c r="X22" s="1069" t="str">
        <f t="shared" si="2"/>
        <v>Troca de fonte fita zebrada e etiqueta litografada</v>
      </c>
      <c r="Y22" s="1070"/>
      <c r="Z22" s="1070"/>
      <c r="AA22" s="1070"/>
      <c r="AB22" s="1071"/>
      <c r="AC22" s="374">
        <f>Pareto!D232</f>
        <v>9.6380744709255398E-3</v>
      </c>
      <c r="AD22" s="375">
        <f>Pareto!E232</f>
        <v>0.91162079253396466</v>
      </c>
      <c r="AE22" s="376" cm="1">
        <f t="array" ref="AE22">IFERROR(INDEX($S$31:$S$146,MATCH(1,($AO$31:$AO$146=X22)*($R$31:$R$146="Previsto"), 0) ), "")</f>
        <v>0.94117647058823528</v>
      </c>
      <c r="AF22" s="376" cm="1">
        <f t="array" ref="AF22">IFERROR( INDEX($S$31:$S$146,MATCH(1,($AO$31:$AO$146=X22)*($R$31:$R$146="Real"),0)),"")</f>
        <v>0.8529411764705882</v>
      </c>
      <c r="AG22" s="400" t="str">
        <f t="shared" si="6"/>
        <v>ATRASO</v>
      </c>
      <c r="AH22" s="376">
        <f t="shared" si="3"/>
        <v>0</v>
      </c>
      <c r="AI22" s="530">
        <f t="shared" si="4"/>
        <v>46113</v>
      </c>
      <c r="AJ22" s="47"/>
      <c r="AK22" s="47"/>
      <c r="AL22" s="476" t="s">
        <v>232</v>
      </c>
      <c r="AM22" s="476" t="s">
        <v>233</v>
      </c>
    </row>
    <row r="23" spans="1:43" ht="20.85" customHeight="1" x14ac:dyDescent="0.3">
      <c r="A23" s="348"/>
      <c r="B23" s="349"/>
      <c r="C23" s="350"/>
      <c r="D23" s="351"/>
      <c r="E23" s="20"/>
      <c r="F23" s="29"/>
      <c r="G23" s="20"/>
      <c r="H23" s="20"/>
      <c r="I23" s="20"/>
      <c r="J23" s="20"/>
      <c r="K23" s="20"/>
      <c r="L23" s="20"/>
      <c r="M23" s="20"/>
      <c r="N23" s="20"/>
      <c r="O23" s="47"/>
      <c r="P23" s="47"/>
      <c r="Q23" s="47"/>
      <c r="R23" s="377">
        <v>18</v>
      </c>
      <c r="S23" s="406" t="str">
        <f t="shared" si="0"/>
        <v>Redução de custo</v>
      </c>
      <c r="T23" s="378">
        <f t="shared" si="5"/>
        <v>158990</v>
      </c>
      <c r="U23" s="466">
        <f t="shared" si="1"/>
        <v>0</v>
      </c>
      <c r="V23" s="378" cm="1">
        <f t="array" aca="1" ref="V23" ca="1">SUMPRODUCT(($D$31:$D$146=X23)*(T$30:$AH$30&lt;EOMONTH(TODAY(),-1)+1)*(ISNUMBER(T$31:$AH$146)),T$31:$AH$146)</f>
        <v>52996.666666666664</v>
      </c>
      <c r="W23" s="544" cm="1">
        <f t="array" aca="1" ref="W23" ca="1">SUMPRODUCT(($D$31:$D$146=X23)*(T$30:$AH$30&lt;=TODAY())*(ISNUMBER(S$32:$AG$147)),S$32:$AG$147)</f>
        <v>1</v>
      </c>
      <c r="X23" s="1066" t="str">
        <f t="shared" si="2"/>
        <v>Redução de custo Abrasivos Curva A Ferraz</v>
      </c>
      <c r="Y23" s="1067"/>
      <c r="Z23" s="1067"/>
      <c r="AA23" s="1067"/>
      <c r="AB23" s="1068"/>
      <c r="AC23" s="379">
        <f>Pareto!D233</f>
        <v>8.9610499300151556E-3</v>
      </c>
      <c r="AD23" s="380">
        <f>Pareto!E233</f>
        <v>0.92058184246397978</v>
      </c>
      <c r="AE23" s="381" cm="1">
        <f t="array" ref="AE23">IFERROR(INDEX($S$31:$S$146,MATCH(1,($AO$31:$AO$146=X23)*($R$31:$R$146="Previsto"), 0) ), "")</f>
        <v>1</v>
      </c>
      <c r="AF23" s="381" cm="1">
        <f t="array" ref="AF23">IFERROR( INDEX($S$31:$S$146,MATCH(1,($AO$31:$AO$146=X23)*($R$31:$R$146="Real"),0)),"")</f>
        <v>1</v>
      </c>
      <c r="AG23" s="401" t="str">
        <f t="shared" si="6"/>
        <v>CONCLUÍDO</v>
      </c>
      <c r="AH23" s="381">
        <f t="shared" si="3"/>
        <v>0</v>
      </c>
      <c r="AI23" s="531">
        <f t="shared" si="4"/>
        <v>46071</v>
      </c>
      <c r="AJ23" s="47"/>
      <c r="AK23" s="47"/>
      <c r="AL23" s="239" t="s">
        <v>26</v>
      </c>
      <c r="AM23" s="477">
        <f>SUMIF($AK$55:$AK$106,AL23,$AM$55:$AM$106)</f>
        <v>0</v>
      </c>
    </row>
    <row r="24" spans="1:43" ht="20.85" customHeight="1" x14ac:dyDescent="0.3">
      <c r="A24" s="348"/>
      <c r="B24" s="349"/>
      <c r="C24" s="350"/>
      <c r="D24" s="351"/>
      <c r="E24" s="20"/>
      <c r="F24" s="29"/>
      <c r="G24" s="20"/>
      <c r="H24" s="20"/>
      <c r="I24" s="20"/>
      <c r="J24" s="20"/>
      <c r="K24" s="20"/>
      <c r="L24" s="20"/>
      <c r="M24" s="20"/>
      <c r="N24" s="20"/>
      <c r="O24" s="47"/>
      <c r="P24" s="47"/>
      <c r="Q24" s="47"/>
      <c r="R24" s="372">
        <v>19</v>
      </c>
      <c r="S24" s="407" t="str">
        <f t="shared" si="0"/>
        <v>Redução de custo</v>
      </c>
      <c r="T24" s="373">
        <f t="shared" si="5"/>
        <v>155799</v>
      </c>
      <c r="U24" s="465">
        <f t="shared" si="1"/>
        <v>154937</v>
      </c>
      <c r="V24" s="373" cm="1">
        <f t="array" aca="1" ref="V24" ca="1">SUMPRODUCT(($D$31:$D$146=X24)*(T$30:$AH$30&lt;EOMONTH(TODAY(),-1)+1)*(ISNUMBER(T$31:$AH$146)),T$31:$AH$146)</f>
        <v>51645.666666666664</v>
      </c>
      <c r="W24" s="543" cm="1">
        <f t="array" aca="1" ref="W24" ca="1">SUMPRODUCT(($D$31:$D$146=X24)*(T$30:$AH$30&lt;=TODAY())*(ISNUMBER(S$32:$AG$147)),S$32:$AG$147)</f>
        <v>1</v>
      </c>
      <c r="X24" s="1069" t="str">
        <f t="shared" si="2"/>
        <v>Resourcing Hasmman para Metalac</v>
      </c>
      <c r="Y24" s="1070"/>
      <c r="Z24" s="1070"/>
      <c r="AA24" s="1070"/>
      <c r="AB24" s="1071"/>
      <c r="AC24" s="374">
        <f>Pareto!D234</f>
        <v>8.7811976731016483E-3</v>
      </c>
      <c r="AD24" s="375">
        <f>Pareto!E234</f>
        <v>0.92936304013708138</v>
      </c>
      <c r="AE24" s="376" cm="1">
        <f t="array" ref="AE24">IFERROR(INDEX($S$31:$S$146,MATCH(1,($AO$31:$AO$146=X24)*($R$31:$R$146="Previsto"), 0) ), "")</f>
        <v>1</v>
      </c>
      <c r="AF24" s="376" cm="1">
        <f t="array" ref="AF24">IFERROR( INDEX($S$31:$S$146,MATCH(1,($AO$31:$AO$146=X24)*($R$31:$R$146="Real"),0)),"")</f>
        <v>1</v>
      </c>
      <c r="AG24" s="400" t="str">
        <f t="shared" si="6"/>
        <v>CONCLUÍDO</v>
      </c>
      <c r="AH24" s="376">
        <f t="shared" si="3"/>
        <v>0</v>
      </c>
      <c r="AI24" s="530">
        <f t="shared" si="4"/>
        <v>46072</v>
      </c>
      <c r="AJ24" s="47"/>
      <c r="AK24" s="47"/>
      <c r="AL24" s="265" t="s">
        <v>27</v>
      </c>
      <c r="AM24" s="478">
        <f>SUMIF($AK$55:$AK$106,AL24,$AM$55:$AM$106)</f>
        <v>0</v>
      </c>
    </row>
    <row r="25" spans="1:43" ht="20.85" customHeight="1" x14ac:dyDescent="0.3">
      <c r="A25" s="348"/>
      <c r="B25" s="349"/>
      <c r="C25" s="350"/>
      <c r="D25" s="351"/>
      <c r="E25" s="20"/>
      <c r="F25" s="29"/>
      <c r="G25" s="20"/>
      <c r="H25" s="20"/>
      <c r="I25" s="20"/>
      <c r="J25" s="20"/>
      <c r="K25" s="20"/>
      <c r="L25" s="20"/>
      <c r="M25" s="20"/>
      <c r="N25" s="20"/>
      <c r="O25" s="47"/>
      <c r="P25" s="47"/>
      <c r="Q25" s="47"/>
      <c r="R25" s="377">
        <v>20</v>
      </c>
      <c r="S25" s="406" t="str">
        <f t="shared" si="0"/>
        <v>Redução de Custo</v>
      </c>
      <c r="T25" s="378">
        <f t="shared" si="5"/>
        <v>150000</v>
      </c>
      <c r="U25" s="466">
        <f t="shared" si="1"/>
        <v>0</v>
      </c>
      <c r="V25" s="378" cm="1">
        <f t="array" aca="1" ref="V25" ca="1">SUMPRODUCT(($D$31:$D$146=X25)*(T$30:$AH$30&lt;EOMONTH(TODAY(),-1)+1)*(ISNUMBER(T$31:$AH$146)),T$31:$AH$146)</f>
        <v>0</v>
      </c>
      <c r="W25" s="544" cm="1">
        <f t="array" aca="1" ref="W25" ca="1">SUMPRODUCT(($D$31:$D$146=X25)*(T$30:$AH$30&lt;=TODAY())*(ISNUMBER(S$32:$AG$147)),S$32:$AG$147)</f>
        <v>0.61538461538461542</v>
      </c>
      <c r="X25" s="1066" t="str">
        <f t="shared" si="2"/>
        <v>Negociação Mercante (Laser)</v>
      </c>
      <c r="Y25" s="1067"/>
      <c r="Z25" s="1067"/>
      <c r="AA25" s="1067"/>
      <c r="AB25" s="1068"/>
      <c r="AC25" s="379">
        <f>Pareto!D235</f>
        <v>8.4543524089708364E-3</v>
      </c>
      <c r="AD25" s="380">
        <f>Pareto!E235</f>
        <v>0.93781739254605223</v>
      </c>
      <c r="AE25" s="381" cm="1">
        <f t="array" ref="AE25">IFERROR(INDEX($S$31:$S$146,MATCH(1,($AO$31:$AO$146=X25)*($R$31:$R$146="Previsto"), 0) ), "")</f>
        <v>0.61538461538461542</v>
      </c>
      <c r="AF25" s="381" cm="1">
        <f t="array" ref="AF25">IFERROR( INDEX($S$31:$S$146,MATCH(1,($AO$31:$AO$146=X25)*($R$31:$R$146="Real"),0)),"")</f>
        <v>0.61538461538461542</v>
      </c>
      <c r="AG25" s="401" t="str">
        <f t="shared" si="6"/>
        <v>CONFORME PLANEJADO</v>
      </c>
      <c r="AH25" s="381">
        <f t="shared" si="3"/>
        <v>0</v>
      </c>
      <c r="AI25" s="531">
        <f t="shared" si="4"/>
        <v>46293</v>
      </c>
      <c r="AJ25" s="47"/>
      <c r="AK25" s="47"/>
      <c r="AL25" s="239" t="s">
        <v>249</v>
      </c>
      <c r="AM25" s="477">
        <f>SUMIF($AK$55:$AK$106,AL25,$AM$55:$AM$106)</f>
        <v>0</v>
      </c>
    </row>
    <row r="26" spans="1:43" ht="20.85" customHeight="1" x14ac:dyDescent="0.3">
      <c r="A26" s="348"/>
      <c r="B26" s="349"/>
      <c r="C26" s="350"/>
      <c r="D26" s="351"/>
      <c r="E26" s="20"/>
      <c r="F26" s="29"/>
      <c r="G26" s="20"/>
      <c r="H26" s="20"/>
      <c r="I26" s="20"/>
      <c r="J26" s="20"/>
      <c r="K26" s="20"/>
      <c r="L26" s="20"/>
      <c r="M26" s="20"/>
      <c r="N26" s="20"/>
      <c r="O26" s="47"/>
      <c r="P26" s="47"/>
      <c r="Q26" s="47"/>
      <c r="R26" s="1079" t="s">
        <v>133</v>
      </c>
      <c r="S26" s="1080"/>
      <c r="T26" s="435">
        <f>SUM(T6:T25)</f>
        <v>16639075.6</v>
      </c>
      <c r="U26" s="435">
        <f>SUM(U6:U25)</f>
        <v>4250618.05</v>
      </c>
      <c r="V26" s="239"/>
      <c r="W26" s="239"/>
      <c r="X26" s="239"/>
      <c r="Y26" s="239"/>
      <c r="Z26" s="239"/>
      <c r="AA26" s="47"/>
      <c r="AB26" s="47"/>
      <c r="AC26" s="47"/>
      <c r="AD26" s="47"/>
      <c r="AE26" s="47"/>
      <c r="AF26" s="47"/>
      <c r="AG26" s="47"/>
      <c r="AH26" s="47"/>
      <c r="AI26" s="47"/>
      <c r="AJ26" s="47"/>
      <c r="AK26" s="47"/>
      <c r="AL26" s="265" t="s">
        <v>250</v>
      </c>
      <c r="AM26" s="478">
        <f>SUMIF($AK$55:$AK$106,AL26,$AM$55:$AM$106)</f>
        <v>0</v>
      </c>
    </row>
    <row r="27" spans="1:43" ht="20.85" customHeight="1" x14ac:dyDescent="0.3">
      <c r="A27" s="348"/>
      <c r="B27" s="349"/>
      <c r="C27" s="350"/>
      <c r="D27" s="351"/>
      <c r="E27" s="20"/>
      <c r="F27" s="29"/>
      <c r="G27" s="20"/>
      <c r="H27" s="20"/>
      <c r="I27" s="20"/>
      <c r="J27" s="20"/>
      <c r="K27" s="20"/>
      <c r="L27" s="20"/>
      <c r="M27" s="20"/>
      <c r="N27" s="20"/>
      <c r="O27" s="47"/>
      <c r="P27" s="47"/>
      <c r="Q27" s="47"/>
      <c r="R27" s="47"/>
      <c r="S27" s="47"/>
      <c r="T27" s="47"/>
      <c r="U27" s="47"/>
      <c r="V27" s="239"/>
      <c r="W27" s="239"/>
      <c r="X27" s="239"/>
      <c r="Y27" s="239"/>
      <c r="Z27" s="239"/>
      <c r="AA27" s="47"/>
      <c r="AB27" s="47"/>
      <c r="AC27" s="47"/>
      <c r="AD27" s="47"/>
      <c r="AE27" s="47"/>
      <c r="AF27" s="47"/>
      <c r="AG27" s="47"/>
      <c r="AH27" s="47"/>
      <c r="AI27" s="47"/>
      <c r="AJ27" s="47"/>
      <c r="AK27" s="47"/>
      <c r="AL27" s="239" t="s">
        <v>251</v>
      </c>
      <c r="AM27" s="477">
        <f>SUMIF($AK$55:$AK$106,AL27,$AM$55:$AM$106)</f>
        <v>0</v>
      </c>
    </row>
    <row r="28" spans="1:43" ht="20.85" customHeight="1" x14ac:dyDescent="0.3">
      <c r="A28" s="348"/>
      <c r="B28" s="349"/>
      <c r="C28" s="350"/>
      <c r="D28" s="351"/>
      <c r="E28" s="20"/>
      <c r="F28" s="29"/>
      <c r="G28" s="20"/>
      <c r="H28" s="20"/>
      <c r="I28" s="20"/>
      <c r="J28" s="20"/>
      <c r="K28" s="20"/>
      <c r="L28" s="20"/>
      <c r="M28" s="20"/>
      <c r="N28" s="20"/>
      <c r="O28" s="47"/>
      <c r="P28" s="47"/>
      <c r="Q28" s="47"/>
      <c r="R28" s="47"/>
      <c r="S28" s="47"/>
      <c r="T28" s="47"/>
      <c r="U28" s="47"/>
      <c r="V28" s="47"/>
      <c r="W28" s="47"/>
      <c r="X28" s="47"/>
      <c r="Y28" s="47"/>
      <c r="Z28" s="47"/>
      <c r="AA28" s="47"/>
      <c r="AB28" s="47"/>
      <c r="AC28" s="47"/>
      <c r="AD28" s="47"/>
      <c r="AE28" s="47"/>
      <c r="AF28" s="47"/>
      <c r="AG28" s="47"/>
      <c r="AH28" s="47"/>
      <c r="AI28" s="47"/>
      <c r="AJ28" s="47"/>
      <c r="AK28" s="47"/>
      <c r="AM28" s="47"/>
    </row>
    <row r="29" spans="1:43" ht="15.6" x14ac:dyDescent="0.3">
      <c r="A29" s="208" t="s">
        <v>2362</v>
      </c>
      <c r="B29" s="208"/>
      <c r="C29" s="208"/>
      <c r="D29" s="208"/>
      <c r="E29" s="208"/>
      <c r="F29" s="208"/>
      <c r="G29" s="208"/>
      <c r="H29" s="208"/>
      <c r="I29" s="208"/>
      <c r="J29" s="208"/>
      <c r="K29" s="208"/>
      <c r="L29" s="208"/>
      <c r="M29" s="208"/>
      <c r="N29" s="208"/>
      <c r="O29" s="82"/>
      <c r="P29" s="82"/>
      <c r="Q29" s="208"/>
      <c r="R29" s="82"/>
      <c r="S29" s="82"/>
      <c r="T29" s="204" t="s">
        <v>253</v>
      </c>
      <c r="U29" s="204"/>
      <c r="V29" s="204"/>
      <c r="W29" s="204"/>
      <c r="X29" s="204" t="s">
        <v>254</v>
      </c>
      <c r="Y29" s="204"/>
      <c r="Z29" s="204"/>
      <c r="AA29" s="204"/>
      <c r="AB29" s="204" t="s">
        <v>255</v>
      </c>
      <c r="AC29" s="204"/>
      <c r="AD29" s="204"/>
      <c r="AE29" s="204"/>
      <c r="AF29" s="204" t="s">
        <v>256</v>
      </c>
      <c r="AG29" s="204"/>
      <c r="AH29" s="204"/>
      <c r="AI29" s="204"/>
      <c r="AJ29" s="83"/>
      <c r="AK29" s="82"/>
      <c r="AL29" s="1204"/>
      <c r="AM29" s="1204"/>
      <c r="AN29" s="1204"/>
    </row>
    <row r="30" spans="1:43" ht="36" x14ac:dyDescent="0.3">
      <c r="A30" s="84" t="s">
        <v>914</v>
      </c>
      <c r="B30" s="84" t="s">
        <v>259</v>
      </c>
      <c r="C30" s="84" t="s">
        <v>258</v>
      </c>
      <c r="D30" s="84" t="s">
        <v>261</v>
      </c>
      <c r="E30" s="84" t="s">
        <v>260</v>
      </c>
      <c r="F30" s="84" t="s">
        <v>262</v>
      </c>
      <c r="G30" s="84" t="s">
        <v>263</v>
      </c>
      <c r="H30" s="84" t="s">
        <v>264</v>
      </c>
      <c r="I30" s="84" t="s">
        <v>915</v>
      </c>
      <c r="J30" s="84" t="s">
        <v>266</v>
      </c>
      <c r="K30" s="264" t="s">
        <v>267</v>
      </c>
      <c r="L30" s="84" t="s">
        <v>268</v>
      </c>
      <c r="M30" s="7" t="s">
        <v>916</v>
      </c>
      <c r="N30" s="7" t="s">
        <v>270</v>
      </c>
      <c r="O30" s="84" t="s">
        <v>67</v>
      </c>
      <c r="P30" s="84" t="s">
        <v>126</v>
      </c>
      <c r="Q30" s="84" t="s">
        <v>2223</v>
      </c>
      <c r="R30" s="84"/>
      <c r="S30" s="84" t="s">
        <v>272</v>
      </c>
      <c r="T30" s="85">
        <v>46023</v>
      </c>
      <c r="U30" s="85">
        <v>46054</v>
      </c>
      <c r="V30" s="85">
        <v>46082</v>
      </c>
      <c r="W30" s="86" t="s">
        <v>273</v>
      </c>
      <c r="X30" s="85">
        <v>46113</v>
      </c>
      <c r="Y30" s="85">
        <v>46143</v>
      </c>
      <c r="Z30" s="85">
        <v>46174</v>
      </c>
      <c r="AA30" s="86" t="s">
        <v>274</v>
      </c>
      <c r="AB30" s="85">
        <v>46204</v>
      </c>
      <c r="AC30" s="85">
        <v>46235</v>
      </c>
      <c r="AD30" s="85">
        <v>46266</v>
      </c>
      <c r="AE30" s="86" t="s">
        <v>275</v>
      </c>
      <c r="AF30" s="85">
        <v>46296</v>
      </c>
      <c r="AG30" s="85">
        <v>46327</v>
      </c>
      <c r="AH30" s="85">
        <v>46357</v>
      </c>
      <c r="AI30" s="86" t="s">
        <v>276</v>
      </c>
      <c r="AJ30" s="84" t="s">
        <v>277</v>
      </c>
      <c r="AK30" s="84" t="s">
        <v>278</v>
      </c>
      <c r="AL30" s="84" t="s">
        <v>227</v>
      </c>
      <c r="AM30" s="84" t="s">
        <v>279</v>
      </c>
      <c r="AN30" s="84" t="s">
        <v>280</v>
      </c>
      <c r="AO30" s="264" t="s">
        <v>281</v>
      </c>
      <c r="AQ30" s="542" t="s">
        <v>282</v>
      </c>
    </row>
    <row r="31" spans="1:43" ht="29.1" customHeight="1" x14ac:dyDescent="0.3">
      <c r="A31" s="1036" t="s">
        <v>79</v>
      </c>
      <c r="B31" s="1113" t="s">
        <v>2363</v>
      </c>
      <c r="C31" s="1036" t="s">
        <v>91</v>
      </c>
      <c r="D31" s="1115" t="s">
        <v>2364</v>
      </c>
      <c r="E31" s="1199" t="s">
        <v>2365</v>
      </c>
      <c r="F31" s="1040" t="s">
        <v>2366</v>
      </c>
      <c r="G31" s="1117">
        <f>_xlfn.XLOOKUP(B31,[1]Detalhamento!$A:$A,[1]Detalhamento!$I:$I)</f>
        <v>45775</v>
      </c>
      <c r="H31" s="1117">
        <f>_xlfn.XLOOKUP(B31,[1]Detalhamento!$A:$A,[1]Detalhamento!$J:$J)</f>
        <v>46255</v>
      </c>
      <c r="I31" s="1074">
        <f>IFERROR(_xlfn.XLOOKUP(B31,[1]Detalhamento!$A:$A,[1]Detalhamento!$E:$E)," - ")</f>
        <v>606000</v>
      </c>
      <c r="J31" s="1158">
        <f>_xlfn.XLOOKUP(B31,[1]Detalhamento!$A:$A,[1]Detalhamento!$O:$O)</f>
        <v>46204</v>
      </c>
      <c r="K31" s="1121">
        <v>12</v>
      </c>
      <c r="L31" s="1074"/>
      <c r="M31" s="1119"/>
      <c r="N31" s="1053"/>
      <c r="O31" s="1057" t="s">
        <v>80</v>
      </c>
      <c r="P31" s="1057"/>
      <c r="Q31" s="1062" t="s">
        <v>25</v>
      </c>
      <c r="R31" s="91" t="s">
        <v>106</v>
      </c>
      <c r="S31" s="91">
        <f>_xlfn.XLOOKUP(B31,[1]Detalhamento!$A:$A,[1]Detalhamento!$M:$M)</f>
        <v>0.92500000000000004</v>
      </c>
      <c r="T31" s="309">
        <f>IFERROR(IF(AND(T$30&gt;=EOMONTH($J31,-1)+1,T$30&lt;=EOMONTH(EOMONTH($J31,-1)+1,$K31-1)),IF(NOT(ISBLANK($N31)),$N31/$K31,$I31/$K31),0),0)</f>
        <v>0</v>
      </c>
      <c r="U31" s="309">
        <f>IFERROR(IF(AND(U$30&gt;=EOMONTH($J31,-1)+1,U$30&lt;=EOMONTH(EOMONTH($J31,-1)+1,$K31-1)),IF(NOT(ISBLANK($N31)),$N31/$K31,$I31/$K31),0),0)</f>
        <v>0</v>
      </c>
      <c r="V31" s="309">
        <f>IFERROR(IF(AND(V$30&gt;=EOMONTH($J31,-1)+1,V$30&lt;=EOMONTH(EOMONTH($J31,-1)+1,$K31-1)),IF(NOT(ISBLANK($N31)),$N31/$K31,$I31/$K31),0),0)</f>
        <v>0</v>
      </c>
      <c r="W31" s="469">
        <f>SUM(T31:V31)</f>
        <v>0</v>
      </c>
      <c r="X31" s="309">
        <f>IFERROR(IF(AND(X$30&gt;=EOMONTH($J31,-1)+1,X$30&lt;=EOMONTH(EOMONTH($J31,-1)+1,$K31-1)),IF(NOT(ISBLANK($N31)),$N31/$K31,$I31/$K31),0),0)</f>
        <v>0</v>
      </c>
      <c r="Y31" s="309">
        <f>IFERROR(IF(AND(Y$30&gt;=EOMONTH($J31,-1)+1,Y$30&lt;=EOMONTH(EOMONTH($J31,-1)+1,$K31-1)),IF(NOT(ISBLANK($N31)),$N31/$K31,$I31/$K31),0),0)</f>
        <v>0</v>
      </c>
      <c r="Z31" s="309">
        <f>IFERROR(IF(AND(Z$30&gt;=EOMONTH($J31,-1)+1,Z$30&lt;=EOMONTH(EOMONTH($J31,-1)+1,$K31-1)),IF(NOT(ISBLANK($N31)),$N31/$K31,$I31/$K31),0),0)</f>
        <v>0</v>
      </c>
      <c r="AA31" s="469">
        <f t="shared" ref="AA31:AA32" si="12">SUM(X31:Z31)</f>
        <v>0</v>
      </c>
      <c r="AB31" s="309">
        <f>IFERROR(IF(AND(AB$30&gt;=EOMONTH($J31,-1)+1,AB$30&lt;=EOMONTH(EOMONTH($J31,-1)+1,$K31-1)),IF(NOT(ISBLANK($N31)),$N31/$K31,$I31/$K31),0),0)</f>
        <v>50500</v>
      </c>
      <c r="AC31" s="309">
        <f>IFERROR(IF(AND(AC$30&gt;=EOMONTH($J31,-1)+1,AC$30&lt;=EOMONTH(EOMONTH($J31,-1)+1,$K31-1)),IF(NOT(ISBLANK($N31)),$N31/$K31,$I31/$K31),0),0)</f>
        <v>50500</v>
      </c>
      <c r="AD31" s="309">
        <f>IFERROR(IF(AND(AD$30&gt;=EOMONTH($J31,-1)+1,AD$30&lt;=EOMONTH(EOMONTH($J31,-1)+1,$K31-1)),IF(NOT(ISBLANK($N31)),$N31/$K31,$I31/$K31),0),0)</f>
        <v>50500</v>
      </c>
      <c r="AE31" s="469">
        <f t="shared" ref="AE31:AE32" si="13">SUM(AB31:AD31)</f>
        <v>151500</v>
      </c>
      <c r="AF31" s="309">
        <f>IFERROR(IF(AND(AF$30&gt;=EOMONTH($J31,-1)+1,AF$30&lt;=EOMONTH(EOMONTH($J31,-1)+1,$K31-1)),IF(NOT(ISBLANK($N31)),$N31/$K31,$I31/$K31),0),0)</f>
        <v>50500</v>
      </c>
      <c r="AG31" s="309">
        <f>IFERROR(IF(AND(AG$30&gt;=EOMONTH($J31,-1)+1,AG$30&lt;=EOMONTH(EOMONTH($J31,-1)+1,$K31-1)),IF(NOT(ISBLANK($N31)),$N31/$K31,$I31/$K31),0),0)</f>
        <v>50500</v>
      </c>
      <c r="AH31" s="309">
        <f>IFERROR(IF(AND(AH$30&gt;=EOMONTH($J31,-1)+1,AH$30&lt;=EOMONTH(EOMONTH($J31,-1)+1,$K31-1)),IF(NOT(ISBLANK($N31)),$N31/$K31,$I31/$K31),0),0)</f>
        <v>50500</v>
      </c>
      <c r="AI31" s="469">
        <f t="shared" ref="AI31:AI62" si="14">SUM(AF31:AH31)</f>
        <v>151500</v>
      </c>
      <c r="AJ31" s="116">
        <f>SUM(T31:V31,X31:Z31,AB31:AD31,AF31:AH31)</f>
        <v>303000</v>
      </c>
      <c r="AK31" s="1040"/>
      <c r="AL31" s="1040"/>
      <c r="AM31" s="1048"/>
      <c r="AN31" s="1046">
        <f>I31*AM31</f>
        <v>0</v>
      </c>
      <c r="AO31" s="595" t="str">
        <f>D31</f>
        <v>Negociação Produtos Pré tratamento</v>
      </c>
      <c r="AP31" s="62" t="s">
        <v>289</v>
      </c>
      <c r="AQ31" s="543" t="str" cm="1">
        <f t="array" aca="1" ref="AQ31" ca="1">IF(OR(AO31="",AO31=0),"",IF(SUMPRODUCT(($D$31:$D$146=AO31)*($R$31:$R$146="Previsto")*($T$30:$AH$30&lt;EOMONTH(TODAY(),-1)+1)*($T$31:$AH$146))=0,"",SUMPRODUCT(($D$31:$D$146=AO31)*($R$31:$R$146="Previsto")*($T$30:$AH$30&lt;EOMONTH(TODAY(),-1)+1)*($T$31:$AH$146))))</f>
        <v/>
      </c>
    </row>
    <row r="32" spans="1:43" ht="29.1" customHeight="1" x14ac:dyDescent="0.3">
      <c r="A32" s="1037"/>
      <c r="B32" s="1114"/>
      <c r="C32" s="1037"/>
      <c r="D32" s="1116"/>
      <c r="E32" s="1082"/>
      <c r="F32" s="1041"/>
      <c r="G32" s="1118"/>
      <c r="H32" s="1118"/>
      <c r="I32" s="1075"/>
      <c r="J32" s="1159"/>
      <c r="K32" s="1122"/>
      <c r="L32" s="1075"/>
      <c r="M32" s="1120"/>
      <c r="N32" s="1054"/>
      <c r="O32" s="1058"/>
      <c r="P32" s="1058"/>
      <c r="Q32" s="1063"/>
      <c r="R32" s="91" t="s">
        <v>107</v>
      </c>
      <c r="S32" s="481">
        <f>_xlfn.XLOOKUP(B31,[1]Detalhamento!$A:$A,[1]Detalhamento!$N:$N)</f>
        <v>0.9</v>
      </c>
      <c r="T32" s="309"/>
      <c r="U32" s="309"/>
      <c r="V32" s="309"/>
      <c r="W32" s="469">
        <f t="shared" ref="W32:W33" si="15">SUM(T32:V32)</f>
        <v>0</v>
      </c>
      <c r="X32" s="309"/>
      <c r="Y32" s="309"/>
      <c r="Z32" s="309"/>
      <c r="AA32" s="469">
        <f t="shared" si="12"/>
        <v>0</v>
      </c>
      <c r="AB32" s="309"/>
      <c r="AC32" s="309"/>
      <c r="AD32" s="309"/>
      <c r="AE32" s="469">
        <f t="shared" si="13"/>
        <v>0</v>
      </c>
      <c r="AF32" s="309"/>
      <c r="AG32" s="309"/>
      <c r="AH32" s="309"/>
      <c r="AI32" s="469">
        <f t="shared" si="14"/>
        <v>0</v>
      </c>
      <c r="AJ32" s="483">
        <f t="shared" ref="AJ32:AJ95" si="16">SUM(T32:V32,X32:Z32,AB32:AD32,AF32:AH32)</f>
        <v>0</v>
      </c>
      <c r="AK32" s="1041"/>
      <c r="AL32" s="1041"/>
      <c r="AM32" s="1049"/>
      <c r="AN32" s="1047"/>
      <c r="AO32" s="596" t="str">
        <f>D31</f>
        <v>Negociação Produtos Pré tratamento</v>
      </c>
      <c r="AP32" s="62" t="s">
        <v>291</v>
      </c>
      <c r="AQ32" s="543" t="str" cm="1">
        <f t="array" aca="1" ref="AQ32" ca="1">IF(OR(AO32="",AO32=0),"",IF(SUMPRODUCT(($D$31:$D$146=AO32)*(ISNUMBER(SEARCH("Real",$R$32:$R$147)))*($T$30:$AH$30&lt;EOMONTH(TODAY(),-1)+1)*($T$32:$AH$147))=0,"",SUMPRODUCT(($D$31:$D$146=AO32)*(ISNUMBER(SEARCH("Real",$R$32:$R$147)))*($T$30:$AH$30&lt;EOMONTH(TODAY(),-1)+1)*($T$32:$AH$147))))</f>
        <v/>
      </c>
    </row>
    <row r="33" spans="1:43" ht="29.1" customHeight="1" x14ac:dyDescent="0.3">
      <c r="A33" s="1093" t="s">
        <v>310</v>
      </c>
      <c r="B33" s="1095" t="s">
        <v>2367</v>
      </c>
      <c r="C33" s="1038" t="s">
        <v>93</v>
      </c>
      <c r="D33" s="1097" t="s">
        <v>2368</v>
      </c>
      <c r="E33" s="1083" t="s">
        <v>2369</v>
      </c>
      <c r="F33" s="1099" t="s">
        <v>2370</v>
      </c>
      <c r="G33" s="1101">
        <f>_xlfn.XLOOKUP(B33,[1]Detalhamento!$A:$A,[1]Detalhamento!$I:$I)</f>
        <v>45882</v>
      </c>
      <c r="H33" s="1101">
        <f>_xlfn.XLOOKUP(B33,[1]Detalhamento!$A:$A,[1]Detalhamento!$J:$J)</f>
        <v>46220</v>
      </c>
      <c r="I33" s="1103">
        <f>IFERROR(_xlfn.XLOOKUP(B33,[1]Detalhamento!$A:$A,[1]Detalhamento!$E:$E)," - ")</f>
        <v>372095</v>
      </c>
      <c r="J33" s="1109">
        <f>_xlfn.XLOOKUP(B33,[1]Detalhamento!$A:$A,[1]Detalhamento!$O:$O)</f>
        <v>46222</v>
      </c>
      <c r="K33" s="1111">
        <v>12</v>
      </c>
      <c r="L33" s="1076"/>
      <c r="M33" s="1072"/>
      <c r="N33" s="1055"/>
      <c r="O33" s="1042" t="s">
        <v>80</v>
      </c>
      <c r="P33" s="1042"/>
      <c r="Q33" s="1064" t="s">
        <v>2360</v>
      </c>
      <c r="R33" s="96" t="s">
        <v>106</v>
      </c>
      <c r="S33" s="96">
        <f>_xlfn.XLOOKUP(B33,[1]Detalhamento!$A:$A,[1]Detalhamento!$M:$M)</f>
        <v>0.88</v>
      </c>
      <c r="T33" s="532">
        <f>IFERROR(IF(AND(T$30&gt;=EOMONTH($J33,-1)+1,T$30&lt;=EOMONTH(EOMONTH($J33,-1)+1,$K33-1)),IF(NOT(ISBLANK($N33)),$N33/$K33,$I33/$K33),0),0)</f>
        <v>0</v>
      </c>
      <c r="U33" s="532">
        <f>IFERROR(IF(AND(U$30&gt;=EOMONTH($J33,-1)+1,U$30&lt;=EOMONTH(EOMONTH($J33,-1)+1,$K33-1)),IF(NOT(ISBLANK($N33)),$N33/$K33,$I33/$K33),0),0)</f>
        <v>0</v>
      </c>
      <c r="V33" s="532">
        <f>IFERROR(IF(AND(V$30&gt;=EOMONTH($J33,-1)+1,V$30&lt;=EOMONTH(EOMONTH($J33,-1)+1,$K33-1)),IF(NOT(ISBLANK($N33)),$N33/$K33,$I33/$K33),0),0)</f>
        <v>0</v>
      </c>
      <c r="W33" s="469">
        <f t="shared" si="15"/>
        <v>0</v>
      </c>
      <c r="X33" s="532">
        <f>IFERROR(IF(AND(X$30&gt;=EOMONTH($J33,-1)+1,X$30&lt;=EOMONTH(EOMONTH($J33,-1)+1,$K33-1)),IF(NOT(ISBLANK($N33)),$N33/$K33,$I33/$K33),0),0)</f>
        <v>0</v>
      </c>
      <c r="Y33" s="532">
        <f>IFERROR(IF(AND(Y$30&gt;=EOMONTH($J33,-1)+1,Y$30&lt;=EOMONTH(EOMONTH($J33,-1)+1,$K33-1)),IF(NOT(ISBLANK($N33)),$N33/$K33,$I33/$K33),0),0)</f>
        <v>0</v>
      </c>
      <c r="Z33" s="532">
        <f>IFERROR(IF(AND(Z$30&gt;=EOMONTH($J33,-1)+1,Z$30&lt;=EOMONTH(EOMONTH($J33,-1)+1,$K33-1)),IF(NOT(ISBLANK($N33)),$N33/$K33,$I33/$K33),0),0)</f>
        <v>0</v>
      </c>
      <c r="AA33" s="469">
        <f t="shared" ref="AA33:AA36" si="17">SUM(X33:Z33)</f>
        <v>0</v>
      </c>
      <c r="AB33" s="532">
        <f>IFERROR(IF(AND(AB$30&gt;=EOMONTH($J33,-1)+1,AB$30&lt;=EOMONTH(EOMONTH($J33,-1)+1,$K33-1)),IF(NOT(ISBLANK($N33)),$N33/$K33,$I33/$K33),0),0)</f>
        <v>31007.916666666668</v>
      </c>
      <c r="AC33" s="532">
        <f>IFERROR(IF(AND(AC$30&gt;=EOMONTH($J33,-1)+1,AC$30&lt;=EOMONTH(EOMONTH($J33,-1)+1,$K33-1)),IF(NOT(ISBLANK($N33)),$N33/$K33,$I33/$K33),0),0)</f>
        <v>31007.916666666668</v>
      </c>
      <c r="AD33" s="532">
        <f>IFERROR(IF(AND(AD$30&gt;=EOMONTH($J33,-1)+1,AD$30&lt;=EOMONTH(EOMONTH($J33,-1)+1,$K33-1)),IF(NOT(ISBLANK($N33)),$N33/$K33,$I33/$K33),0),0)</f>
        <v>31007.916666666668</v>
      </c>
      <c r="AE33" s="469">
        <f t="shared" ref="AE33:AE36" si="18">SUM(AB33:AD33)</f>
        <v>93023.75</v>
      </c>
      <c r="AF33" s="532">
        <f>IFERROR(IF(AND(AF$30&gt;=EOMONTH($J33,-1)+1,AF$30&lt;=EOMONTH(EOMONTH($J33,-1)+1,$K33-1)),IF(NOT(ISBLANK($N33)),$N33/$K33,$I33/$K33),0),0)</f>
        <v>31007.916666666668</v>
      </c>
      <c r="AG33" s="532">
        <f>IFERROR(IF(AND(AG$30&gt;=EOMONTH($J33,-1)+1,AG$30&lt;=EOMONTH(EOMONTH($J33,-1)+1,$K33-1)),IF(NOT(ISBLANK($N33)),$N33/$K33,$I33/$K33),0),0)</f>
        <v>31007.916666666668</v>
      </c>
      <c r="AH33" s="532">
        <f>IFERROR(IF(AND(AH$30&gt;=EOMONTH($J33,-1)+1,AH$30&lt;=EOMONTH(EOMONTH($J33,-1)+1,$K33-1)),IF(NOT(ISBLANK($N33)),$N33/$K33,$I33/$K33),0),0)</f>
        <v>31007.916666666668</v>
      </c>
      <c r="AI33" s="469">
        <f t="shared" si="14"/>
        <v>93023.75</v>
      </c>
      <c r="AJ33" s="94">
        <f t="shared" si="16"/>
        <v>186047.5</v>
      </c>
      <c r="AK33" s="1038"/>
      <c r="AL33" s="1038"/>
      <c r="AM33" s="1042"/>
      <c r="AN33" s="1044">
        <f>I33*AM33</f>
        <v>0</v>
      </c>
      <c r="AO33" s="595" t="str">
        <f>D33</f>
        <v>Redução de custo Porca 73189 da curva A</v>
      </c>
      <c r="AP33" s="62" t="s">
        <v>289</v>
      </c>
      <c r="AQ33" s="543" t="str" cm="1">
        <f t="array" aca="1" ref="AQ33" ca="1">IF(OR(AO33="",AO33=0),"",IF(SUMPRODUCT(($D$31:$D$146=AO33)*($R$31:$R$146="Previsto")*($T$30:$AH$30&lt;EOMONTH(TODAY(),-1)+1)*($T$31:$AH$146))=0,"",SUMPRODUCT(($D$31:$D$146=AO33)*($R$31:$R$146="Previsto")*($T$30:$AH$30&lt;EOMONTH(TODAY(),-1)+1)*($T$31:$AH$146))))</f>
        <v/>
      </c>
    </row>
    <row r="34" spans="1:43" ht="29.1" customHeight="1" x14ac:dyDescent="0.3">
      <c r="A34" s="1094"/>
      <c r="B34" s="1096"/>
      <c r="C34" s="1039"/>
      <c r="D34" s="1098"/>
      <c r="E34" s="1084"/>
      <c r="F34" s="1100"/>
      <c r="G34" s="1102"/>
      <c r="H34" s="1102"/>
      <c r="I34" s="1104"/>
      <c r="J34" s="1110"/>
      <c r="K34" s="1112"/>
      <c r="L34" s="1077"/>
      <c r="M34" s="1073"/>
      <c r="N34" s="1056"/>
      <c r="O34" s="1043"/>
      <c r="P34" s="1043"/>
      <c r="Q34" s="1065"/>
      <c r="R34" s="96" t="s">
        <v>107</v>
      </c>
      <c r="S34" s="482">
        <f>_xlfn.XLOOKUP(B33,[1]Detalhamento!$A:$A,[1]Detalhamento!$N:$N)</f>
        <v>0.88</v>
      </c>
      <c r="T34" s="532"/>
      <c r="U34" s="532"/>
      <c r="V34" s="532"/>
      <c r="W34" s="469">
        <f t="shared" ref="W34:W37" si="19">SUM(T34:V34)</f>
        <v>0</v>
      </c>
      <c r="X34" s="532"/>
      <c r="Y34" s="532"/>
      <c r="Z34" s="532"/>
      <c r="AA34" s="469">
        <f t="shared" si="17"/>
        <v>0</v>
      </c>
      <c r="AB34" s="532"/>
      <c r="AC34" s="532"/>
      <c r="AD34" s="532"/>
      <c r="AE34" s="469">
        <f t="shared" si="18"/>
        <v>0</v>
      </c>
      <c r="AF34" s="532"/>
      <c r="AG34" s="532"/>
      <c r="AH34" s="532"/>
      <c r="AI34" s="469">
        <f t="shared" si="14"/>
        <v>0</v>
      </c>
      <c r="AJ34" s="94">
        <f t="shared" si="16"/>
        <v>0</v>
      </c>
      <c r="AK34" s="1039"/>
      <c r="AL34" s="1039"/>
      <c r="AM34" s="1043"/>
      <c r="AN34" s="1045"/>
      <c r="AO34" s="596" t="str">
        <f>D33</f>
        <v>Redução de custo Porca 73189 da curva A</v>
      </c>
      <c r="AP34" s="62" t="s">
        <v>291</v>
      </c>
      <c r="AQ34" s="543" t="str" cm="1">
        <f t="array" aca="1" ref="AQ34" ca="1">IF(OR(AO34="",AO34=0),"",IF(SUMPRODUCT(($D$31:$D$146=AO34)*(ISNUMBER(SEARCH("Real",$R$32:$R$147)))*($T$30:$AH$30&lt;EOMONTH(TODAY(),-1)+1)*($T$32:$AH$147))=0,"",SUMPRODUCT(($D$31:$D$146=AO34)*(ISNUMBER(SEARCH("Real",$R$32:$R$147)))*($T$30:$AH$30&lt;EOMONTH(TODAY(),-1)+1)*($T$32:$AH$147))))</f>
        <v/>
      </c>
    </row>
    <row r="35" spans="1:43" ht="29.1" customHeight="1" x14ac:dyDescent="0.3">
      <c r="A35" s="1036" t="s">
        <v>310</v>
      </c>
      <c r="B35" s="1113" t="s">
        <v>2371</v>
      </c>
      <c r="C35" s="1036" t="s">
        <v>91</v>
      </c>
      <c r="D35" s="1115" t="s">
        <v>2372</v>
      </c>
      <c r="E35" s="1087" t="s">
        <v>2373</v>
      </c>
      <c r="F35" s="1040" t="s">
        <v>2370</v>
      </c>
      <c r="G35" s="1117">
        <f>_xlfn.XLOOKUP(B35,[1]Detalhamento!$A:$A,[1]Detalhamento!$I:$I)</f>
        <v>45992</v>
      </c>
      <c r="H35" s="1117">
        <f>_xlfn.XLOOKUP(B35,[1]Detalhamento!$A:$A,[1]Detalhamento!$J:$J)</f>
        <v>46279</v>
      </c>
      <c r="I35" s="1074">
        <f>IFERROR(_xlfn.XLOOKUP(B35,[1]Detalhamento!$A:$A,[1]Detalhamento!$E:$E)," - ")+0.0009</f>
        <v>100000.0009</v>
      </c>
      <c r="J35" s="1158">
        <f>_xlfn.XLOOKUP(B35,[1]Detalhamento!$A:$A,[1]Detalhamento!$O:$O)</f>
        <v>46279</v>
      </c>
      <c r="K35" s="1121">
        <v>12</v>
      </c>
      <c r="L35" s="1074"/>
      <c r="M35" s="1119"/>
      <c r="N35" s="1053"/>
      <c r="O35" s="1057" t="s">
        <v>80</v>
      </c>
      <c r="P35" s="1057"/>
      <c r="Q35" s="1062" t="s">
        <v>2360</v>
      </c>
      <c r="R35" s="91" t="s">
        <v>106</v>
      </c>
      <c r="S35" s="91">
        <f>_xlfn.XLOOKUP(B35,[1]Detalhamento!$A:$A,[1]Detalhamento!$M:$M)</f>
        <v>0.31818181818181818</v>
      </c>
      <c r="T35" s="309">
        <f>IFERROR(IF(AND(T$30&gt;=EOMONTH($J35,-1)+1,T$30&lt;=EOMONTH(EOMONTH($J35,-1)+1,$K35-1)),IF(NOT(ISBLANK($N35)),$N35/$K35,$I35/$K35),0),0)</f>
        <v>0</v>
      </c>
      <c r="U35" s="309">
        <f>IFERROR(IF(AND(U$30&gt;=EOMONTH($J35,-1)+1,U$30&lt;=EOMONTH(EOMONTH($J35,-1)+1,$K35-1)),IF(NOT(ISBLANK($N35)),$N35/$K35,$I35/$K35),0),0)</f>
        <v>0</v>
      </c>
      <c r="V35" s="309">
        <f>IFERROR(IF(AND(V$30&gt;=EOMONTH($J35,-1)+1,V$30&lt;=EOMONTH(EOMONTH($J35,-1)+1,$K35-1)),IF(NOT(ISBLANK($N35)),$N35/$K35,$I35/$K35),0),0)</f>
        <v>0</v>
      </c>
      <c r="W35" s="469">
        <f t="shared" si="19"/>
        <v>0</v>
      </c>
      <c r="X35" s="309">
        <f>IFERROR(IF(AND(X$30&gt;=EOMONTH($J35,-1)+1,X$30&lt;=EOMONTH(EOMONTH($J35,-1)+1,$K35-1)),IF(NOT(ISBLANK($N35)),$N35/$K35,$I35/$K35),0),0)</f>
        <v>0</v>
      </c>
      <c r="Y35" s="309">
        <f>IFERROR(IF(AND(Y$30&gt;=EOMONTH($J35,-1)+1,Y$30&lt;=EOMONTH(EOMONTH($J35,-1)+1,$K35-1)),IF(NOT(ISBLANK($N35)),$N35/$K35,$I35/$K35),0),0)</f>
        <v>0</v>
      </c>
      <c r="Z35" s="309">
        <f>IFERROR(IF(AND(Z$30&gt;=EOMONTH($J35,-1)+1,Z$30&lt;=EOMONTH(EOMONTH($J35,-1)+1,$K35-1)),IF(NOT(ISBLANK($N35)),$N35/$K35,$I35/$K35),0),0)</f>
        <v>0</v>
      </c>
      <c r="AA35" s="469">
        <f t="shared" si="17"/>
        <v>0</v>
      </c>
      <c r="AB35" s="309">
        <f>IFERROR(IF(AND(AB$30&gt;=EOMONTH($J35,-1)+1,AB$30&lt;=EOMONTH(EOMONTH($J35,-1)+1,$K35-1)),IF(NOT(ISBLANK($N35)),$N35/$K35,$I35/$K35),0),0)</f>
        <v>0</v>
      </c>
      <c r="AC35" s="309">
        <f>IFERROR(IF(AND(AC$30&gt;=EOMONTH($J35,-1)+1,AC$30&lt;=EOMONTH(EOMONTH($J35,-1)+1,$K35-1)),IF(NOT(ISBLANK($N35)),$N35/$K35,$I35/$K35),0),0)</f>
        <v>0</v>
      </c>
      <c r="AD35" s="309">
        <f>IFERROR(IF(AND(AD$30&gt;=EOMONTH($J35,-1)+1,AD$30&lt;=EOMONTH(EOMONTH($J35,-1)+1,$K35-1)),IF(NOT(ISBLANK($N35)),$N35/$K35,$I35/$K35),0),0)</f>
        <v>8333.3334083333339</v>
      </c>
      <c r="AE35" s="469">
        <f t="shared" si="18"/>
        <v>8333.3334083333339</v>
      </c>
      <c r="AF35" s="309">
        <f>IFERROR(IF(AND(AF$30&gt;=EOMONTH($J35,-1)+1,AF$30&lt;=EOMONTH(EOMONTH($J35,-1)+1,$K35-1)),IF(NOT(ISBLANK($N35)),$N35/$K35,$I35/$K35),0),0)</f>
        <v>8333.3334083333339</v>
      </c>
      <c r="AG35" s="309">
        <f>IFERROR(IF(AND(AG$30&gt;=EOMONTH($J35,-1)+1,AG$30&lt;=EOMONTH(EOMONTH($J35,-1)+1,$K35-1)),IF(NOT(ISBLANK($N35)),$N35/$K35,$I35/$K35),0),0)</f>
        <v>8333.3334083333339</v>
      </c>
      <c r="AH35" s="309">
        <f>IFERROR(IF(AND(AH$30&gt;=EOMONTH($J35,-1)+1,AH$30&lt;=EOMONTH(EOMONTH($J35,-1)+1,$K35-1)),IF(NOT(ISBLANK($N35)),$N35/$K35,$I35/$K35),0),0)</f>
        <v>8333.3334083333339</v>
      </c>
      <c r="AI35" s="469">
        <f t="shared" si="14"/>
        <v>25000.000225000003</v>
      </c>
      <c r="AJ35" s="116">
        <f t="shared" si="16"/>
        <v>33333.333633333335</v>
      </c>
      <c r="AK35" s="1040"/>
      <c r="AL35" s="1040"/>
      <c r="AM35" s="1048"/>
      <c r="AN35" s="1046">
        <f>I35*AM35</f>
        <v>0</v>
      </c>
      <c r="AO35" s="595" t="str">
        <f>D35</f>
        <v>SRM Componentes</v>
      </c>
      <c r="AP35" s="62" t="s">
        <v>289</v>
      </c>
      <c r="AQ35" s="543" t="str" cm="1">
        <f t="array" aca="1" ref="AQ35" ca="1">IF(OR(AO35="",AO35=0),"",IF(SUMPRODUCT(($D$31:$D$146=AO35)*($R$31:$R$146="Previsto")*($T$30:$AH$30&lt;EOMONTH(TODAY(),-1)+1)*($T$31:$AH$146))=0,"",SUMPRODUCT(($D$31:$D$146=AO35)*($R$31:$R$146="Previsto")*($T$30:$AH$30&lt;EOMONTH(TODAY(),-1)+1)*($T$31:$AH$146))))</f>
        <v/>
      </c>
    </row>
    <row r="36" spans="1:43" ht="29.1" customHeight="1" x14ac:dyDescent="0.3">
      <c r="A36" s="1037"/>
      <c r="B36" s="1114"/>
      <c r="C36" s="1037"/>
      <c r="D36" s="1116"/>
      <c r="E36" s="1082"/>
      <c r="F36" s="1041"/>
      <c r="G36" s="1118"/>
      <c r="H36" s="1118"/>
      <c r="I36" s="1075"/>
      <c r="J36" s="1159"/>
      <c r="K36" s="1122"/>
      <c r="L36" s="1075"/>
      <c r="M36" s="1120"/>
      <c r="N36" s="1054"/>
      <c r="O36" s="1058"/>
      <c r="P36" s="1058"/>
      <c r="Q36" s="1063"/>
      <c r="R36" s="91" t="s">
        <v>107</v>
      </c>
      <c r="S36" s="481">
        <f>_xlfn.XLOOKUP(B35,[1]Detalhamento!$A:$A,[1]Detalhamento!$N:$N)</f>
        <v>0.31818181818181818</v>
      </c>
      <c r="T36" s="309"/>
      <c r="U36" s="309"/>
      <c r="V36" s="309"/>
      <c r="W36" s="469">
        <f t="shared" si="19"/>
        <v>0</v>
      </c>
      <c r="X36" s="309"/>
      <c r="Y36" s="309"/>
      <c r="Z36" s="309"/>
      <c r="AA36" s="469">
        <f t="shared" si="17"/>
        <v>0</v>
      </c>
      <c r="AB36" s="309"/>
      <c r="AC36" s="309"/>
      <c r="AD36" s="309"/>
      <c r="AE36" s="469">
        <f t="shared" si="18"/>
        <v>0</v>
      </c>
      <c r="AF36" s="309"/>
      <c r="AG36" s="309"/>
      <c r="AH36" s="309"/>
      <c r="AI36" s="469">
        <f t="shared" si="14"/>
        <v>0</v>
      </c>
      <c r="AJ36" s="483">
        <f t="shared" si="16"/>
        <v>0</v>
      </c>
      <c r="AK36" s="1041"/>
      <c r="AL36" s="1041"/>
      <c r="AM36" s="1049"/>
      <c r="AN36" s="1047"/>
      <c r="AO36" s="596" t="str">
        <f>D35</f>
        <v>SRM Componentes</v>
      </c>
      <c r="AP36" s="62" t="s">
        <v>291</v>
      </c>
      <c r="AQ36" s="543" t="str" cm="1">
        <f t="array" aca="1" ref="AQ36" ca="1">IF(OR(AO36="",AO36=0),"",IF(SUMPRODUCT(($D$31:$D$146=AO36)*(ISNUMBER(SEARCH("Real",$R$32:$R$147)))*($T$30:$AH$30&lt;EOMONTH(TODAY(),-1)+1)*($T$32:$AH$147))=0,"",SUMPRODUCT(($D$31:$D$146=AO36)*(ISNUMBER(SEARCH("Real",$R$32:$R$147)))*($T$30:$AH$30&lt;EOMONTH(TODAY(),-1)+1)*($T$32:$AH$147))))</f>
        <v/>
      </c>
    </row>
    <row r="37" spans="1:43" ht="29.1" customHeight="1" x14ac:dyDescent="0.3">
      <c r="A37" s="1093" t="s">
        <v>310</v>
      </c>
      <c r="B37" s="1095" t="s">
        <v>2374</v>
      </c>
      <c r="C37" s="1038" t="s">
        <v>91</v>
      </c>
      <c r="D37" s="1097" t="s">
        <v>2375</v>
      </c>
      <c r="E37" s="1083" t="s">
        <v>2376</v>
      </c>
      <c r="F37" s="1099" t="s">
        <v>2370</v>
      </c>
      <c r="G37" s="1101">
        <f>_xlfn.XLOOKUP(B37,[1]Detalhamento!$A:$A,[1]Detalhamento!$I:$I)</f>
        <v>45729</v>
      </c>
      <c r="H37" s="1101">
        <f>_xlfn.XLOOKUP(B37,[1]Detalhamento!$A:$A,[1]Detalhamento!$J:$J)</f>
        <v>46359</v>
      </c>
      <c r="I37" s="1103">
        <f>IFERROR(_xlfn.XLOOKUP(B37,[1]Detalhamento!$A:$A,[1]Detalhamento!$E:$E)," - ")</f>
        <v>35000</v>
      </c>
      <c r="J37" s="1109">
        <f>_xlfn.XLOOKUP(B37,[1]Detalhamento!$A:$A,[1]Detalhamento!$O:$O)</f>
        <v>46366</v>
      </c>
      <c r="K37" s="1111">
        <v>12</v>
      </c>
      <c r="L37" s="1076"/>
      <c r="M37" s="1072"/>
      <c r="N37" s="1055"/>
      <c r="O37" s="1042" t="s">
        <v>80</v>
      </c>
      <c r="P37" s="1042"/>
      <c r="Q37" s="1064" t="s">
        <v>2360</v>
      </c>
      <c r="R37" s="96" t="s">
        <v>106</v>
      </c>
      <c r="S37" s="96">
        <f>_xlfn.XLOOKUP(B37,[1]Detalhamento!$A:$A,[1]Detalhamento!$M:$M)</f>
        <v>0.60606060606060608</v>
      </c>
      <c r="T37" s="532">
        <f>IFERROR(IF(AND(T$30&gt;=EOMONTH($J37,-1)+1,T$30&lt;=EOMONTH(EOMONTH($J37,-1)+1,$K37-1)),IF(NOT(ISBLANK($N37)),$N37/$K37,$I37/$K37),0),0)</f>
        <v>0</v>
      </c>
      <c r="U37" s="532">
        <f>IFERROR(IF(AND(U$30&gt;=EOMONTH($J37,-1)+1,U$30&lt;=EOMONTH(EOMONTH($J37,-1)+1,$K37-1)),IF(NOT(ISBLANK($N37)),$N37/$K37,$I37/$K37),0),0)</f>
        <v>0</v>
      </c>
      <c r="V37" s="532">
        <f>IFERROR(IF(AND(V$30&gt;=EOMONTH($J37,-1)+1,V$30&lt;=EOMONTH(EOMONTH($J37,-1)+1,$K37-1)),IF(NOT(ISBLANK($N37)),$N37/$K37,$I37/$K37),0),0)</f>
        <v>0</v>
      </c>
      <c r="W37" s="469">
        <f t="shared" si="19"/>
        <v>0</v>
      </c>
      <c r="X37" s="532">
        <f>IFERROR(IF(AND(X$30&gt;=EOMONTH($J37,-1)+1,X$30&lt;=EOMONTH(EOMONTH($J37,-1)+1,$K37-1)),IF(NOT(ISBLANK($N37)),$N37/$K37,$I37/$K37),0),0)</f>
        <v>0</v>
      </c>
      <c r="Y37" s="532">
        <f>IFERROR(IF(AND(Y$30&gt;=EOMONTH($J37,-1)+1,Y$30&lt;=EOMONTH(EOMONTH($J37,-1)+1,$K37-1)),IF(NOT(ISBLANK($N37)),$N37/$K37,$I37/$K37),0),0)</f>
        <v>0</v>
      </c>
      <c r="Z37" s="532">
        <f>IFERROR(IF(AND(Z$30&gt;=EOMONTH($J37,-1)+1,Z$30&lt;=EOMONTH(EOMONTH($J37,-1)+1,$K37-1)),IF(NOT(ISBLANK($N37)),$N37/$K37,$I37/$K37),0),0)</f>
        <v>0</v>
      </c>
      <c r="AA37" s="469">
        <f t="shared" ref="AA37:AA100" si="20">SUM(X37:Z37)</f>
        <v>0</v>
      </c>
      <c r="AB37" s="532">
        <f>IFERROR(IF(AND(AB$30&gt;=EOMONTH($J37,-1)+1,AB$30&lt;=EOMONTH(EOMONTH($J37,-1)+1,$K37-1)),IF(NOT(ISBLANK($N37)),$N37/$K37,$I37/$K37),0),0)</f>
        <v>0</v>
      </c>
      <c r="AC37" s="532">
        <f>IFERROR(IF(AND(AC$30&gt;=EOMONTH($J37,-1)+1,AC$30&lt;=EOMONTH(EOMONTH($J37,-1)+1,$K37-1)),IF(NOT(ISBLANK($N37)),$N37/$K37,$I37/$K37),0),0)</f>
        <v>0</v>
      </c>
      <c r="AD37" s="532">
        <f>IFERROR(IF(AND(AD$30&gt;=EOMONTH($J37,-1)+1,AD$30&lt;=EOMONTH(EOMONTH($J37,-1)+1,$K37-1)),IF(NOT(ISBLANK($N37)),$N37/$K37,$I37/$K37),0),0)</f>
        <v>0</v>
      </c>
      <c r="AE37" s="469">
        <f t="shared" ref="AE37:AE100" si="21">SUM(AB37:AD37)</f>
        <v>0</v>
      </c>
      <c r="AF37" s="532">
        <f>IFERROR(IF(AND(AF$30&gt;=EOMONTH($J37,-1)+1,AF$30&lt;=EOMONTH(EOMONTH($J37,-1)+1,$K37-1)),IF(NOT(ISBLANK($N37)),$N37/$K37,$I37/$K37),0),0)</f>
        <v>0</v>
      </c>
      <c r="AG37" s="532">
        <f>IFERROR(IF(AND(AG$30&gt;=EOMONTH($J37,-1)+1,AG$30&lt;=EOMONTH(EOMONTH($J37,-1)+1,$K37-1)),IF(NOT(ISBLANK($N37)),$N37/$K37,$I37/$K37),0),0)</f>
        <v>0</v>
      </c>
      <c r="AH37" s="532">
        <f>IFERROR(IF(AND(AH$30&gt;=EOMONTH($J37,-1)+1,AH$30&lt;=EOMONTH(EOMONTH($J37,-1)+1,$K37-1)),IF(NOT(ISBLANK($N37)),$N37/$K37,$I37/$K37),0),0)</f>
        <v>2916.6666666666665</v>
      </c>
      <c r="AI37" s="469">
        <f t="shared" si="14"/>
        <v>2916.6666666666665</v>
      </c>
      <c r="AJ37" s="94">
        <f t="shared" si="16"/>
        <v>2916.6666666666665</v>
      </c>
      <c r="AK37" s="1038"/>
      <c r="AL37" s="1038"/>
      <c r="AM37" s="1042"/>
      <c r="AN37" s="1044">
        <f>I37*AM37</f>
        <v>0</v>
      </c>
      <c r="AO37" s="595" t="str">
        <f>D37</f>
        <v>Unificação itens de Distribuição Fixadores.</v>
      </c>
      <c r="AP37" s="62" t="s">
        <v>289</v>
      </c>
      <c r="AQ37" s="543" t="str" cm="1">
        <f t="array" aca="1" ref="AQ37" ca="1">IF(OR(AO37="",AO37=0),"",IF(SUMPRODUCT(($D$31:$D$146=AO37)*($R$31:$R$146="Previsto")*($T$30:$AH$30&lt;EOMONTH(TODAY(),-1)+1)*($T$31:$AH$146))=0,"",SUMPRODUCT(($D$31:$D$146=AO37)*($R$31:$R$146="Previsto")*($T$30:$AH$30&lt;EOMONTH(TODAY(),-1)+1)*($T$31:$AH$146))))</f>
        <v/>
      </c>
    </row>
    <row r="38" spans="1:43" ht="29.1" customHeight="1" x14ac:dyDescent="0.3">
      <c r="A38" s="1094"/>
      <c r="B38" s="1096"/>
      <c r="C38" s="1039"/>
      <c r="D38" s="1098"/>
      <c r="E38" s="1084"/>
      <c r="F38" s="1100"/>
      <c r="G38" s="1102"/>
      <c r="H38" s="1102"/>
      <c r="I38" s="1104"/>
      <c r="J38" s="1110"/>
      <c r="K38" s="1112"/>
      <c r="L38" s="1077"/>
      <c r="M38" s="1073"/>
      <c r="N38" s="1056"/>
      <c r="O38" s="1043"/>
      <c r="P38" s="1043"/>
      <c r="Q38" s="1065"/>
      <c r="R38" s="96" t="s">
        <v>107</v>
      </c>
      <c r="S38" s="482">
        <f>_xlfn.XLOOKUP(B37,[1]Detalhamento!$A:$A,[1]Detalhamento!$N:$N)</f>
        <v>0.60606060606060608</v>
      </c>
      <c r="T38" s="532"/>
      <c r="U38" s="532"/>
      <c r="V38" s="532"/>
      <c r="W38" s="469">
        <f t="shared" ref="W38:W101" si="22">SUM(T38:V38)</f>
        <v>0</v>
      </c>
      <c r="X38" s="532"/>
      <c r="Y38" s="532"/>
      <c r="Z38" s="532"/>
      <c r="AA38" s="469">
        <f t="shared" si="20"/>
        <v>0</v>
      </c>
      <c r="AB38" s="532"/>
      <c r="AC38" s="532"/>
      <c r="AD38" s="532"/>
      <c r="AE38" s="469">
        <f t="shared" si="21"/>
        <v>0</v>
      </c>
      <c r="AF38" s="532"/>
      <c r="AG38" s="532"/>
      <c r="AH38" s="532"/>
      <c r="AI38" s="469">
        <f t="shared" si="14"/>
        <v>0</v>
      </c>
      <c r="AJ38" s="94">
        <f t="shared" si="16"/>
        <v>0</v>
      </c>
      <c r="AK38" s="1039"/>
      <c r="AL38" s="1039"/>
      <c r="AM38" s="1043"/>
      <c r="AN38" s="1045"/>
      <c r="AO38" s="596" t="str">
        <f>D37</f>
        <v>Unificação itens de Distribuição Fixadores.</v>
      </c>
      <c r="AP38" s="62" t="s">
        <v>291</v>
      </c>
      <c r="AQ38" s="543" t="str" cm="1">
        <f t="array" aca="1" ref="AQ38" ca="1">IF(OR(AO38="",AO38=0),"",IF(SUMPRODUCT(($D$31:$D$146=AO38)*(ISNUMBER(SEARCH("Real",$R$32:$R$147)))*($T$30:$AH$30&lt;EOMONTH(TODAY(),-1)+1)*($T$32:$AH$147))=0,"",SUMPRODUCT(($D$31:$D$146=AO38)*(ISNUMBER(SEARCH("Real",$R$32:$R$147)))*($T$30:$AH$30&lt;EOMONTH(TODAY(),-1)+1)*($T$32:$AH$147))))</f>
        <v/>
      </c>
    </row>
    <row r="39" spans="1:43" ht="29.1" customHeight="1" x14ac:dyDescent="0.3">
      <c r="A39" s="1036" t="s">
        <v>310</v>
      </c>
      <c r="B39" s="1175" t="s">
        <v>2377</v>
      </c>
      <c r="C39" s="1036" t="s">
        <v>93</v>
      </c>
      <c r="D39" s="1177" t="s">
        <v>2378</v>
      </c>
      <c r="E39" s="1085" t="s">
        <v>2379</v>
      </c>
      <c r="F39" s="1179" t="s">
        <v>2366</v>
      </c>
      <c r="G39" s="1169">
        <f>_xlfn.XLOOKUP(B39,'[1]CONCLUIDO E IMPLANTADO-CANCELAD'!$A:$A,'[1]CONCLUIDO E IMPLANTADO-CANCELAD'!$I:$I)</f>
        <v>45757</v>
      </c>
      <c r="H39" s="1169">
        <f>_xlfn.XLOOKUP(B39,[1]Detalhamento!$A:$A,[1]Detalhamento!$J:$J)</f>
        <v>46038</v>
      </c>
      <c r="I39" s="1171">
        <f>IFERROR(_xlfn.XLOOKUP(B39,[1]Detalhamento!$A:$A,[1]Detalhamento!$E:$E)," - ")</f>
        <v>158990</v>
      </c>
      <c r="J39" s="1173">
        <f>_xlfn.XLOOKUP(B39,[1]Detalhamento!$A:$A,[1]Detalhamento!$O:$O)</f>
        <v>46071</v>
      </c>
      <c r="K39" s="1209">
        <v>12</v>
      </c>
      <c r="L39" s="1171"/>
      <c r="M39" s="1167" t="s">
        <v>388</v>
      </c>
      <c r="N39" s="1053"/>
      <c r="O39" s="1057" t="s">
        <v>77</v>
      </c>
      <c r="P39" s="1057"/>
      <c r="Q39" s="1062" t="s">
        <v>22</v>
      </c>
      <c r="R39" s="91" t="s">
        <v>106</v>
      </c>
      <c r="S39" s="91">
        <f>_xlfn.XLOOKUP(B39,'[1]CONCLUIDO E IMPLANTADO-CANCELAD'!$A:$A,'[1]CONCLUIDO E IMPLANTADO-CANCELAD'!$M:$M)</f>
        <v>1</v>
      </c>
      <c r="T39" s="309">
        <f>IFERROR(IF(AND(T$30&gt;=EOMONTH($J39,-1)+1,T$30&lt;=EOMONTH(EOMONTH($J39,-1)+1,$K39-1)),IF(NOT(ISBLANK($N39)),$N39/$K39,$I39/$K39),0),0)</f>
        <v>0</v>
      </c>
      <c r="U39" s="642">
        <f>IFERROR(IF(AND(U$30&gt;=EOMONTH($J39,-1)+1,U$30&lt;=EOMONTH(EOMONTH($J39,-1)+1,$K39-1)),IF(NOT(ISBLANK($N39)),$N39/$K39,$I39/$K39),0),0)</f>
        <v>13249.166666666666</v>
      </c>
      <c r="V39" s="642">
        <f>IFERROR(IF(AND(V$30&gt;=EOMONTH($J39,-1)+1,V$30&lt;=EOMONTH(EOMONTH($J39,-1)+1,$K39-1)),IF(NOT(ISBLANK($N39)),$N39/$K39,$I39/$K39),0),0)</f>
        <v>13249.166666666666</v>
      </c>
      <c r="W39" s="469">
        <f t="shared" si="22"/>
        <v>26498.333333333332</v>
      </c>
      <c r="X39" s="642">
        <f>IFERROR(IF(AND(X$30&gt;=EOMONTH($J39,-1)+1,X$30&lt;=EOMONTH(EOMONTH($J39,-1)+1,$K39-1)),IF(NOT(ISBLANK($N39)),$N39/$K39,$I39/$K39),0),0)</f>
        <v>13249.166666666666</v>
      </c>
      <c r="Y39" s="309">
        <f>IFERROR(IF(AND(Y$30&gt;=EOMONTH($J39,-1)+1,Y$30&lt;=EOMONTH(EOMONTH($J39,-1)+1,$K39-1)),IF(NOT(ISBLANK($N39)),$N39/$K39,$I39/$K39),0),0)</f>
        <v>13249.166666666666</v>
      </c>
      <c r="Z39" s="309">
        <f>IFERROR(IF(AND(Z$30&gt;=EOMONTH($J39,-1)+1,Z$30&lt;=EOMONTH(EOMONTH($J39,-1)+1,$K39-1)),IF(NOT(ISBLANK($N39)),$N39/$K39,$I39/$K39),0),0)</f>
        <v>13249.166666666666</v>
      </c>
      <c r="AA39" s="469">
        <f t="shared" si="20"/>
        <v>39747.5</v>
      </c>
      <c r="AB39" s="309">
        <f>IFERROR(IF(AND(AB$30&gt;=EOMONTH($J39,-1)+1,AB$30&lt;=EOMONTH(EOMONTH($J39,-1)+1,$K39-1)),IF(NOT(ISBLANK($N39)),$N39/$K39,$I39/$K39),0),0)</f>
        <v>13249.166666666666</v>
      </c>
      <c r="AC39" s="309">
        <f>IFERROR(IF(AND(AC$30&gt;=EOMONTH($J39,-1)+1,AC$30&lt;=EOMONTH(EOMONTH($J39,-1)+1,$K39-1)),IF(NOT(ISBLANK($N39)),$N39/$K39,$I39/$K39),0),0)</f>
        <v>13249.166666666666</v>
      </c>
      <c r="AD39" s="309">
        <f>IFERROR(IF(AND(AD$30&gt;=EOMONTH($J39,-1)+1,AD$30&lt;=EOMONTH(EOMONTH($J39,-1)+1,$K39-1)),IF(NOT(ISBLANK($N39)),$N39/$K39,$I39/$K39),0),0)</f>
        <v>13249.166666666666</v>
      </c>
      <c r="AE39" s="469">
        <f t="shared" si="21"/>
        <v>39747.5</v>
      </c>
      <c r="AF39" s="309">
        <f>IFERROR(IF(AND(AF$30&gt;=EOMONTH($J39,-1)+1,AF$30&lt;=EOMONTH(EOMONTH($J39,-1)+1,$K39-1)),IF(NOT(ISBLANK($N39)),$N39/$K39,$I39/$K39),0),0)</f>
        <v>13249.166666666666</v>
      </c>
      <c r="AG39" s="309">
        <f>IFERROR(IF(AND(AG$30&gt;=EOMONTH($J39,-1)+1,AG$30&lt;=EOMONTH(EOMONTH($J39,-1)+1,$K39-1)),IF(NOT(ISBLANK($N39)),$N39/$K39,$I39/$K39),0),0)</f>
        <v>13249.166666666666</v>
      </c>
      <c r="AH39" s="309">
        <f>IFERROR(IF(AND(AH$30&gt;=EOMONTH($J39,-1)+1,AH$30&lt;=EOMONTH(EOMONTH($J39,-1)+1,$K39-1)),IF(NOT(ISBLANK($N39)),$N39/$K39,$I39/$K39),0),0)</f>
        <v>13249.166666666666</v>
      </c>
      <c r="AI39" s="469">
        <f t="shared" si="14"/>
        <v>39747.5</v>
      </c>
      <c r="AJ39" s="116">
        <f t="shared" si="16"/>
        <v>145740.83333333334</v>
      </c>
      <c r="AK39" s="1040"/>
      <c r="AL39" s="1040"/>
      <c r="AM39" s="1048"/>
      <c r="AN39" s="1046">
        <f>I39*AM39</f>
        <v>0</v>
      </c>
      <c r="AO39" s="595" t="str">
        <f>D39</f>
        <v>Redução de custo Abrasivos Curva A Ferraz</v>
      </c>
      <c r="AP39" s="62" t="s">
        <v>289</v>
      </c>
      <c r="AQ39" s="543" cm="1">
        <f t="array" aca="1" ref="AQ39" ca="1">IF(OR(AO39="",AO39=0),"",IF(SUMPRODUCT(($D$31:$D$146=AO39)*($R$31:$R$146="Previsto")*($T$30:$AH$30&lt;EOMONTH(TODAY(),-1)+1)*($T$31:$AH$146))=0,"",SUMPRODUCT(($D$31:$D$146=AO39)*($R$31:$R$146="Previsto")*($T$30:$AH$30&lt;EOMONTH(TODAY(),-1)+1)*($T$31:$AH$146))))</f>
        <v>52996.666666666664</v>
      </c>
    </row>
    <row r="40" spans="1:43" ht="29.1" customHeight="1" x14ac:dyDescent="0.3">
      <c r="A40" s="1037"/>
      <c r="B40" s="1176"/>
      <c r="C40" s="1037"/>
      <c r="D40" s="1178"/>
      <c r="E40" s="1086"/>
      <c r="F40" s="1180"/>
      <c r="G40" s="1170"/>
      <c r="H40" s="1170"/>
      <c r="I40" s="1172"/>
      <c r="J40" s="1174"/>
      <c r="K40" s="1210"/>
      <c r="L40" s="1172"/>
      <c r="M40" s="1168"/>
      <c r="N40" s="1054"/>
      <c r="O40" s="1058"/>
      <c r="P40" s="1058"/>
      <c r="Q40" s="1063"/>
      <c r="R40" s="91" t="s">
        <v>107</v>
      </c>
      <c r="S40" s="481">
        <f>_xlfn.XLOOKUP(B39,'[1]CONCLUIDO E IMPLANTADO-CANCELAD'!$A:$A,'[1]CONCLUIDO E IMPLANTADO-CANCELAD'!$N:$N)</f>
        <v>1</v>
      </c>
      <c r="T40" s="831"/>
      <c r="U40" s="831"/>
      <c r="V40" s="831"/>
      <c r="W40" s="469">
        <f t="shared" si="22"/>
        <v>0</v>
      </c>
      <c r="X40" s="309"/>
      <c r="Y40" s="309"/>
      <c r="Z40" s="309"/>
      <c r="AA40" s="469">
        <f t="shared" si="20"/>
        <v>0</v>
      </c>
      <c r="AB40" s="309"/>
      <c r="AC40" s="309"/>
      <c r="AD40" s="309"/>
      <c r="AE40" s="469">
        <f t="shared" si="21"/>
        <v>0</v>
      </c>
      <c r="AF40" s="309"/>
      <c r="AG40" s="309"/>
      <c r="AH40" s="309"/>
      <c r="AI40" s="469">
        <f t="shared" si="14"/>
        <v>0</v>
      </c>
      <c r="AJ40" s="483">
        <f t="shared" si="16"/>
        <v>0</v>
      </c>
      <c r="AK40" s="1041"/>
      <c r="AL40" s="1041"/>
      <c r="AM40" s="1049"/>
      <c r="AN40" s="1047"/>
      <c r="AO40" s="596" t="str">
        <f>D39</f>
        <v>Redução de custo Abrasivos Curva A Ferraz</v>
      </c>
      <c r="AP40" s="62" t="s">
        <v>291</v>
      </c>
      <c r="AQ40" s="543" t="str" cm="1">
        <f t="array" aca="1" ref="AQ40" ca="1">IF(OR(AO40="",AO40=0),"",IF(SUMPRODUCT(($D$31:$D$146=AO40)*(ISNUMBER(SEARCH("Real",$R$32:$R$147)))*($T$30:$AH$30&lt;EOMONTH(TODAY(),-1)+1)*($T$32:$AH$147))=0,"",SUMPRODUCT(($D$31:$D$146=AO40)*(ISNUMBER(SEARCH("Real",$R$32:$R$147)))*($T$30:$AH$30&lt;EOMONTH(TODAY(),-1)+1)*($T$32:$AH$147))))</f>
        <v/>
      </c>
    </row>
    <row r="41" spans="1:43" ht="29.1" customHeight="1" x14ac:dyDescent="0.3">
      <c r="A41" s="1093" t="s">
        <v>310</v>
      </c>
      <c r="B41" s="1095" t="s">
        <v>2380</v>
      </c>
      <c r="C41" s="1038" t="s">
        <v>94</v>
      </c>
      <c r="D41" s="1097" t="s">
        <v>2381</v>
      </c>
      <c r="E41" s="1083" t="s">
        <v>2382</v>
      </c>
      <c r="F41" s="1099" t="s">
        <v>2383</v>
      </c>
      <c r="G41" s="1101">
        <f>_xlfn.XLOOKUP(B41,[1]Detalhamento!$A:$A,[1]Detalhamento!$I:$I)</f>
        <v>46006</v>
      </c>
      <c r="H41" s="1101">
        <f>_xlfn.XLOOKUP(B41,[1]Detalhamento!$A:$A,[1]Detalhamento!$J:$J)</f>
        <v>46160</v>
      </c>
      <c r="I41" s="1103">
        <f>IFERROR(_xlfn.XLOOKUP(B41,[1]Detalhamento!$A:$A,[1]Detalhamento!$E:$E)," - ")</f>
        <v>100602</v>
      </c>
      <c r="J41" s="1109">
        <f>_xlfn.XLOOKUP(B41,[1]Detalhamento!$A:$A,[1]Detalhamento!$O:$O)</f>
        <v>46174</v>
      </c>
      <c r="K41" s="1111">
        <v>12</v>
      </c>
      <c r="L41" s="1076"/>
      <c r="M41" s="1072"/>
      <c r="N41" s="1055"/>
      <c r="O41" s="1042" t="s">
        <v>80</v>
      </c>
      <c r="P41" s="1042"/>
      <c r="Q41" s="1064" t="s">
        <v>23</v>
      </c>
      <c r="R41" s="96" t="s">
        <v>106</v>
      </c>
      <c r="S41" s="96">
        <f>_xlfn.XLOOKUP(B41,[1]Detalhamento!$A:$A,[1]Detalhamento!$M:$M)</f>
        <v>0.94758064516129037</v>
      </c>
      <c r="T41" s="532">
        <f>IFERROR(IF(AND(T$30&gt;=EOMONTH($J41,-1)+1,T$30&lt;=EOMONTH(EOMONTH($J41,-1)+1,$K41-1)),IF(NOT(ISBLANK($N41)),$N41/$K41,$I41/$K41),0),0)</f>
        <v>0</v>
      </c>
      <c r="U41" s="532">
        <f>IFERROR(IF(AND(U$30&gt;=EOMONTH($J41,-1)+1,U$30&lt;=EOMONTH(EOMONTH($J41,-1)+1,$K41-1)),IF(NOT(ISBLANK($N41)),$N41/$K41,$I41/$K41),0),0)</f>
        <v>0</v>
      </c>
      <c r="V41" s="532">
        <f>IFERROR(IF(AND(V$30&gt;=EOMONTH($J41,-1)+1,V$30&lt;=EOMONTH(EOMONTH($J41,-1)+1,$K41-1)),IF(NOT(ISBLANK($N41)),$N41/$K41,$I41/$K41),0),0)</f>
        <v>0</v>
      </c>
      <c r="W41" s="469">
        <f t="shared" si="22"/>
        <v>0</v>
      </c>
      <c r="X41" s="532">
        <f>IFERROR(IF(AND(X$30&gt;=EOMONTH($J41,-1)+1,X$30&lt;=EOMONTH(EOMONTH($J41,-1)+1,$K41-1)),IF(NOT(ISBLANK($N41)),$N41/$K41,$I41/$K41),0),0)</f>
        <v>0</v>
      </c>
      <c r="Y41" s="532">
        <f>IFERROR(IF(AND(Y$30&gt;=EOMONTH($J41,-1)+1,Y$30&lt;=EOMONTH(EOMONTH($J41,-1)+1,$K41-1)),IF(NOT(ISBLANK($N41)),$N41/$K41,$I41/$K41),0),0)</f>
        <v>0</v>
      </c>
      <c r="Z41" s="532">
        <f>IFERROR(IF(AND(Z$30&gt;=EOMONTH($J41,-1)+1,Z$30&lt;=EOMONTH(EOMONTH($J41,-1)+1,$K41-1)),IF(NOT(ISBLANK($N41)),$N41/$K41,$I41/$K41),0),0)</f>
        <v>8383.5</v>
      </c>
      <c r="AA41" s="469">
        <f t="shared" si="20"/>
        <v>8383.5</v>
      </c>
      <c r="AB41" s="532">
        <f>IFERROR(IF(AND(AB$30&gt;=EOMONTH($J41,-1)+1,AB$30&lt;=EOMONTH(EOMONTH($J41,-1)+1,$K41-1)),IF(NOT(ISBLANK($N41)),$N41/$K41,$I41/$K41),0),0)</f>
        <v>8383.5</v>
      </c>
      <c r="AC41" s="532">
        <f>IFERROR(IF(AND(AC$30&gt;=EOMONTH($J41,-1)+1,AC$30&lt;=EOMONTH(EOMONTH($J41,-1)+1,$K41-1)),IF(NOT(ISBLANK($N41)),$N41/$K41,$I41/$K41),0),0)</f>
        <v>8383.5</v>
      </c>
      <c r="AD41" s="532">
        <f>IFERROR(IF(AND(AD$30&gt;=EOMONTH($J41,-1)+1,AD$30&lt;=EOMONTH(EOMONTH($J41,-1)+1,$K41-1)),IF(NOT(ISBLANK($N41)),$N41/$K41,$I41/$K41),0),0)</f>
        <v>8383.5</v>
      </c>
      <c r="AE41" s="469">
        <f t="shared" si="21"/>
        <v>25150.5</v>
      </c>
      <c r="AF41" s="532">
        <f>IFERROR(IF(AND(AF$30&gt;=EOMONTH($J41,-1)+1,AF$30&lt;=EOMONTH(EOMONTH($J41,-1)+1,$K41-1)),IF(NOT(ISBLANK($N41)),$N41/$K41,$I41/$K41),0),0)</f>
        <v>8383.5</v>
      </c>
      <c r="AG41" s="532">
        <f>IFERROR(IF(AND(AG$30&gt;=EOMONTH($J41,-1)+1,AG$30&lt;=EOMONTH(EOMONTH($J41,-1)+1,$K41-1)),IF(NOT(ISBLANK($N41)),$N41/$K41,$I41/$K41),0),0)</f>
        <v>8383.5</v>
      </c>
      <c r="AH41" s="532">
        <f>IFERROR(IF(AND(AH$30&gt;=EOMONTH($J41,-1)+1,AH$30&lt;=EOMONTH(EOMONTH($J41,-1)+1,$K41-1)),IF(NOT(ISBLANK($N41)),$N41/$K41,$I41/$K41),0),0)</f>
        <v>8383.5</v>
      </c>
      <c r="AI41" s="469">
        <f t="shared" si="14"/>
        <v>25150.5</v>
      </c>
      <c r="AJ41" s="94">
        <f t="shared" si="16"/>
        <v>58684.5</v>
      </c>
      <c r="AK41" s="1038"/>
      <c r="AL41" s="1038"/>
      <c r="AM41" s="1042"/>
      <c r="AN41" s="1044">
        <f>I41*AM41</f>
        <v>0</v>
      </c>
      <c r="AO41" s="595" t="str">
        <f>D41</f>
        <v>Substituição Plano Médico - São Leopoldo</v>
      </c>
      <c r="AP41" s="62" t="s">
        <v>289</v>
      </c>
      <c r="AQ41" s="543" t="str" cm="1">
        <f t="array" aca="1" ref="AQ41" ca="1">IF(OR(AO41="",AO41=0),"",IF(SUMPRODUCT(($D$31:$D$146=AO41)*($R$31:$R$146="Previsto")*($T$30:$AH$30&lt;EOMONTH(TODAY(),-1)+1)*($T$31:$AH$146))=0,"",SUMPRODUCT(($D$31:$D$146=AO41)*($R$31:$R$146="Previsto")*($T$30:$AH$30&lt;EOMONTH(TODAY(),-1)+1)*($T$31:$AH$146))))</f>
        <v/>
      </c>
    </row>
    <row r="42" spans="1:43" ht="29.1" customHeight="1" x14ac:dyDescent="0.3">
      <c r="A42" s="1094"/>
      <c r="B42" s="1096"/>
      <c r="C42" s="1039"/>
      <c r="D42" s="1098"/>
      <c r="E42" s="1084"/>
      <c r="F42" s="1100"/>
      <c r="G42" s="1102"/>
      <c r="H42" s="1102"/>
      <c r="I42" s="1104"/>
      <c r="J42" s="1110"/>
      <c r="K42" s="1112"/>
      <c r="L42" s="1077"/>
      <c r="M42" s="1073"/>
      <c r="N42" s="1056"/>
      <c r="O42" s="1043"/>
      <c r="P42" s="1043"/>
      <c r="Q42" s="1065"/>
      <c r="R42" s="96" t="s">
        <v>107</v>
      </c>
      <c r="S42" s="482">
        <f>_xlfn.XLOOKUP(B41,[1]Detalhamento!$A:$A,[1]Detalhamento!$N:$N)</f>
        <v>0.91666666666666663</v>
      </c>
      <c r="T42" s="532"/>
      <c r="U42" s="532"/>
      <c r="V42" s="532"/>
      <c r="W42" s="469">
        <f t="shared" si="22"/>
        <v>0</v>
      </c>
      <c r="X42" s="532"/>
      <c r="Y42" s="532"/>
      <c r="Z42" s="532"/>
      <c r="AA42" s="469">
        <f t="shared" si="20"/>
        <v>0</v>
      </c>
      <c r="AB42" s="532"/>
      <c r="AC42" s="532"/>
      <c r="AD42" s="532"/>
      <c r="AE42" s="469">
        <f t="shared" si="21"/>
        <v>0</v>
      </c>
      <c r="AF42" s="532"/>
      <c r="AG42" s="532"/>
      <c r="AH42" s="532"/>
      <c r="AI42" s="469">
        <f t="shared" si="14"/>
        <v>0</v>
      </c>
      <c r="AJ42" s="94">
        <f t="shared" si="16"/>
        <v>0</v>
      </c>
      <c r="AK42" s="1039"/>
      <c r="AL42" s="1039"/>
      <c r="AM42" s="1043"/>
      <c r="AN42" s="1045"/>
      <c r="AO42" s="596" t="str">
        <f>D41</f>
        <v>Substituição Plano Médico - São Leopoldo</v>
      </c>
      <c r="AP42" s="62" t="s">
        <v>291</v>
      </c>
      <c r="AQ42" s="543" t="str" cm="1">
        <f t="array" aca="1" ref="AQ42" ca="1">IF(OR(AO42="",AO42=0),"",IF(SUMPRODUCT(($D$31:$D$146=AO42)*(ISNUMBER(SEARCH("Real",$R$32:$R$147)))*($T$30:$AH$30&lt;EOMONTH(TODAY(),-1)+1)*($T$32:$AH$147))=0,"",SUMPRODUCT(($D$31:$D$146=AO42)*(ISNUMBER(SEARCH("Real",$R$32:$R$147)))*($T$30:$AH$30&lt;EOMONTH(TODAY(),-1)+1)*($T$32:$AH$147))))</f>
        <v/>
      </c>
    </row>
    <row r="43" spans="1:43" ht="29.1" customHeight="1" x14ac:dyDescent="0.3">
      <c r="A43" s="1036" t="s">
        <v>310</v>
      </c>
      <c r="B43" s="1113" t="s">
        <v>2384</v>
      </c>
      <c r="C43" s="1036" t="s">
        <v>91</v>
      </c>
      <c r="D43" s="1115" t="s">
        <v>2385</v>
      </c>
      <c r="E43" s="1087" t="s">
        <v>2386</v>
      </c>
      <c r="F43" s="1040" t="s">
        <v>2383</v>
      </c>
      <c r="G43" s="1117">
        <f>_xlfn.XLOOKUP(B43,[1]Detalhamento!$A:$A,[1]Detalhamento!$I:$I)</f>
        <v>45962</v>
      </c>
      <c r="H43" s="1117">
        <f>_xlfn.XLOOKUP(B43,[1]Detalhamento!$A:$A,[1]Detalhamento!$J:$J)</f>
        <v>46142</v>
      </c>
      <c r="I43" s="1074">
        <f>IFERROR(_xlfn.XLOOKUP(B43,[1]Detalhamento!$A:$A,[1]Detalhamento!$E:$E)," - ")</f>
        <v>600868</v>
      </c>
      <c r="J43" s="1158">
        <f>_xlfn.XLOOKUP(B43,[1]Detalhamento!$A:$A,[1]Detalhamento!$O:$O)</f>
        <v>46174</v>
      </c>
      <c r="K43" s="1121">
        <v>12</v>
      </c>
      <c r="L43" s="1074"/>
      <c r="M43" s="1119"/>
      <c r="N43" s="1053"/>
      <c r="O43" s="1057" t="s">
        <v>80</v>
      </c>
      <c r="P43" s="1057"/>
      <c r="Q43" s="1062" t="s">
        <v>2360</v>
      </c>
      <c r="R43" s="91" t="s">
        <v>106</v>
      </c>
      <c r="S43" s="91">
        <f>_xlfn.XLOOKUP(B43,[1]Detalhamento!$A:$A,[1]Detalhamento!$M:$M)</f>
        <v>1</v>
      </c>
      <c r="T43" s="309">
        <f>IFERROR(IF(AND(T$30&gt;=EOMONTH($J43,-1)+1,T$30&lt;=EOMONTH(EOMONTH($J43,-1)+1,$K43-1)),IF(NOT(ISBLANK($N43)),$N43/$K43,$I43/$K43),0),0)</f>
        <v>0</v>
      </c>
      <c r="U43" s="309">
        <f>IFERROR(IF(AND(U$30&gt;=EOMONTH($J43,-1)+1,U$30&lt;=EOMONTH(EOMONTH($J43,-1)+1,$K43-1)),IF(NOT(ISBLANK($N43)),$N43/$K43,$I43/$K43),0),0)</f>
        <v>0</v>
      </c>
      <c r="V43" s="309">
        <f>IFERROR(IF(AND(V$30&gt;=EOMONTH($J43,-1)+1,V$30&lt;=EOMONTH(EOMONTH($J43,-1)+1,$K43-1)),IF(NOT(ISBLANK($N43)),$N43/$K43,$I43/$K43),0),0)</f>
        <v>0</v>
      </c>
      <c r="W43" s="469">
        <f t="shared" si="22"/>
        <v>0</v>
      </c>
      <c r="X43" s="309">
        <f>IFERROR(IF(AND(X$30&gt;=EOMONTH($J43,-1)+1,X$30&lt;=EOMONTH(EOMONTH($J43,-1)+1,$K43-1)),IF(NOT(ISBLANK($N43)),$N43/$K43,$I43/$K43),0),0)</f>
        <v>0</v>
      </c>
      <c r="Y43" s="309">
        <f>IFERROR(IF(AND(Y$30&gt;=EOMONTH($J43,-1)+1,Y$30&lt;=EOMONTH(EOMONTH($J43,-1)+1,$K43-1)),IF(NOT(ISBLANK($N43)),$N43/$K43,$I43/$K43),0),0)</f>
        <v>0</v>
      </c>
      <c r="Z43" s="309">
        <f>IFERROR(IF(AND(Z$30&gt;=EOMONTH($J43,-1)+1,Z$30&lt;=EOMONTH(EOMONTH($J43,-1)+1,$K43-1)),IF(NOT(ISBLANK($N43)),$N43/$K43,$I43/$K43),0),0)</f>
        <v>50072.333333333336</v>
      </c>
      <c r="AA43" s="469">
        <f t="shared" si="20"/>
        <v>50072.333333333336</v>
      </c>
      <c r="AB43" s="309">
        <f>IFERROR(IF(AND(AB$30&gt;=EOMONTH($J43,-1)+1,AB$30&lt;=EOMONTH(EOMONTH($J43,-1)+1,$K43-1)),IF(NOT(ISBLANK($N43)),$N43/$K43,$I43/$K43),0),0)</f>
        <v>50072.333333333336</v>
      </c>
      <c r="AC43" s="309">
        <f>IFERROR(IF(AND(AC$30&gt;=EOMONTH($J43,-1)+1,AC$30&lt;=EOMONTH(EOMONTH($J43,-1)+1,$K43-1)),IF(NOT(ISBLANK($N43)),$N43/$K43,$I43/$K43),0),0)</f>
        <v>50072.333333333336</v>
      </c>
      <c r="AD43" s="309">
        <f>IFERROR(IF(AND(AD$30&gt;=EOMONTH($J43,-1)+1,AD$30&lt;=EOMONTH(EOMONTH($J43,-1)+1,$K43-1)),IF(NOT(ISBLANK($N43)),$N43/$K43,$I43/$K43),0),0)</f>
        <v>50072.333333333336</v>
      </c>
      <c r="AE43" s="469">
        <f t="shared" si="21"/>
        <v>150217</v>
      </c>
      <c r="AF43" s="309">
        <f>IFERROR(IF(AND(AF$30&gt;=EOMONTH($J43,-1)+1,AF$30&lt;=EOMONTH(EOMONTH($J43,-1)+1,$K43-1)),IF(NOT(ISBLANK($N43)),$N43/$K43,$I43/$K43),0),0)</f>
        <v>50072.333333333336</v>
      </c>
      <c r="AG43" s="309">
        <f>IFERROR(IF(AND(AG$30&gt;=EOMONTH($J43,-1)+1,AG$30&lt;=EOMONTH(EOMONTH($J43,-1)+1,$K43-1)),IF(NOT(ISBLANK($N43)),$N43/$K43,$I43/$K43),0),0)</f>
        <v>50072.333333333336</v>
      </c>
      <c r="AH43" s="309">
        <f>IFERROR(IF(AND(AH$30&gt;=EOMONTH($J43,-1)+1,AH$30&lt;=EOMONTH(EOMONTH($J43,-1)+1,$K43-1)),IF(NOT(ISBLANK($N43)),$N43/$K43,$I43/$K43),0),0)</f>
        <v>50072.333333333336</v>
      </c>
      <c r="AI43" s="469">
        <f t="shared" si="14"/>
        <v>150217</v>
      </c>
      <c r="AJ43" s="116">
        <f t="shared" si="16"/>
        <v>350506.33333333331</v>
      </c>
      <c r="AK43" s="1040"/>
      <c r="AL43" s="1040"/>
      <c r="AM43" s="1048"/>
      <c r="AN43" s="1046">
        <f>I43*AM43</f>
        <v>0</v>
      </c>
      <c r="AO43" s="595" t="str">
        <f>D43</f>
        <v>Mão de Obra Terceirizada</v>
      </c>
      <c r="AP43" s="62" t="s">
        <v>289</v>
      </c>
      <c r="AQ43" s="543" t="str" cm="1">
        <f t="array" aca="1" ref="AQ43" ca="1">IF(OR(AO43="",AO43=0),"",IF(SUMPRODUCT(($D$31:$D$146=AO43)*($R$31:$R$146="Previsto")*($T$30:$AH$30&lt;EOMONTH(TODAY(),-1)+1)*($T$31:$AH$146))=0,"",SUMPRODUCT(($D$31:$D$146=AO43)*($R$31:$R$146="Previsto")*($T$30:$AH$30&lt;EOMONTH(TODAY(),-1)+1)*($T$31:$AH$146))))</f>
        <v/>
      </c>
    </row>
    <row r="44" spans="1:43" ht="29.1" customHeight="1" x14ac:dyDescent="0.3">
      <c r="A44" s="1037"/>
      <c r="B44" s="1114"/>
      <c r="C44" s="1037"/>
      <c r="D44" s="1116"/>
      <c r="E44" s="1082"/>
      <c r="F44" s="1041"/>
      <c r="G44" s="1118"/>
      <c r="H44" s="1118"/>
      <c r="I44" s="1075"/>
      <c r="J44" s="1159"/>
      <c r="K44" s="1122"/>
      <c r="L44" s="1075"/>
      <c r="M44" s="1120"/>
      <c r="N44" s="1054"/>
      <c r="O44" s="1058"/>
      <c r="P44" s="1058"/>
      <c r="Q44" s="1063"/>
      <c r="R44" s="91" t="s">
        <v>107</v>
      </c>
      <c r="S44" s="481">
        <f>_xlfn.XLOOKUP(B43,[1]Detalhamento!$A:$A,[1]Detalhamento!$N:$N)</f>
        <v>1</v>
      </c>
      <c r="T44" s="309"/>
      <c r="U44" s="309"/>
      <c r="V44" s="309"/>
      <c r="W44" s="469">
        <f t="shared" si="22"/>
        <v>0</v>
      </c>
      <c r="X44" s="309"/>
      <c r="Y44" s="309"/>
      <c r="Z44" s="309"/>
      <c r="AA44" s="469">
        <f t="shared" si="20"/>
        <v>0</v>
      </c>
      <c r="AB44" s="309"/>
      <c r="AC44" s="309"/>
      <c r="AD44" s="309"/>
      <c r="AE44" s="469">
        <f t="shared" si="21"/>
        <v>0</v>
      </c>
      <c r="AF44" s="309"/>
      <c r="AG44" s="309"/>
      <c r="AH44" s="309"/>
      <c r="AI44" s="469">
        <f t="shared" si="14"/>
        <v>0</v>
      </c>
      <c r="AJ44" s="483">
        <f t="shared" si="16"/>
        <v>0</v>
      </c>
      <c r="AK44" s="1041"/>
      <c r="AL44" s="1041"/>
      <c r="AM44" s="1049"/>
      <c r="AN44" s="1047"/>
      <c r="AO44" s="596" t="str">
        <f>D43</f>
        <v>Mão de Obra Terceirizada</v>
      </c>
      <c r="AP44" s="62" t="s">
        <v>291</v>
      </c>
      <c r="AQ44" s="543" t="str" cm="1">
        <f t="array" aca="1" ref="AQ44" ca="1">IF(OR(AO44="",AO44=0),"",IF(SUMPRODUCT(($D$31:$D$146=AO44)*(ISNUMBER(SEARCH("Real",$R$32:$R$147)))*($T$30:$AH$30&lt;EOMONTH(TODAY(),-1)+1)*($T$32:$AH$147))=0,"",SUMPRODUCT(($D$31:$D$146=AO44)*(ISNUMBER(SEARCH("Real",$R$32:$R$147)))*($T$30:$AH$30&lt;EOMONTH(TODAY(),-1)+1)*($T$32:$AH$147))))</f>
        <v/>
      </c>
    </row>
    <row r="45" spans="1:43" ht="29.1" customHeight="1" x14ac:dyDescent="0.3">
      <c r="A45" s="1093" t="s">
        <v>310</v>
      </c>
      <c r="B45" s="1095" t="s">
        <v>2387</v>
      </c>
      <c r="C45" s="1038" t="s">
        <v>91</v>
      </c>
      <c r="D45" s="1097" t="s">
        <v>2388</v>
      </c>
      <c r="E45" s="1088" t="s">
        <v>2389</v>
      </c>
      <c r="F45" s="1099" t="s">
        <v>2383</v>
      </c>
      <c r="G45" s="1101">
        <f>_xlfn.XLOOKUP(B45,[1]Detalhamento!$A:$A,[1]Detalhamento!$I:$I)</f>
        <v>46006</v>
      </c>
      <c r="H45" s="1101">
        <f>_xlfn.XLOOKUP(B45,[1]Detalhamento!$A:$A,[1]Detalhamento!$J:$J)</f>
        <v>46539</v>
      </c>
      <c r="I45" s="1103">
        <f>IFERROR(_xlfn.XLOOKUP(B45,[1]Detalhamento!$A:$A,[1]Detalhamento!$E:$E)," - ")</f>
        <v>100000</v>
      </c>
      <c r="J45" s="1109">
        <f>_xlfn.XLOOKUP(B43,[1]Detalhamento!$A:$A,[1]Detalhamento!$O:$O)</f>
        <v>46174</v>
      </c>
      <c r="K45" s="1111">
        <v>12</v>
      </c>
      <c r="L45" s="1076"/>
      <c r="M45" s="1072"/>
      <c r="N45" s="1055"/>
      <c r="O45" s="1042" t="s">
        <v>80</v>
      </c>
      <c r="P45" s="1042"/>
      <c r="Q45" s="1064" t="s">
        <v>2360</v>
      </c>
      <c r="R45" s="96" t="s">
        <v>106</v>
      </c>
      <c r="S45" s="96">
        <f>_xlfn.XLOOKUP(B45,[1]Detalhamento!$A:$A,[1]Detalhamento!$M:$M)</f>
        <v>0.40972222222222221</v>
      </c>
      <c r="T45" s="532">
        <f>IFERROR(IF(AND(T$30&gt;=EOMONTH($J45,-1)+1,T$30&lt;=EOMONTH(EOMONTH($J45,-1)+1,$K45-1)),IF(NOT(ISBLANK($N45)),$N45/$K45,$I45/$K45),0),0)</f>
        <v>0</v>
      </c>
      <c r="U45" s="532">
        <f>IFERROR(IF(AND(U$30&gt;=EOMONTH($J45,-1)+1,U$30&lt;=EOMONTH(EOMONTH($J45,-1)+1,$K45-1)),IF(NOT(ISBLANK($N45)),$N45/$K45,$I45/$K45),0),0)</f>
        <v>0</v>
      </c>
      <c r="V45" s="532">
        <f>IFERROR(IF(AND(V$30&gt;=EOMONTH($J45,-1)+1,V$30&lt;=EOMONTH(EOMONTH($J45,-1)+1,$K45-1)),IF(NOT(ISBLANK($N45)),$N45/$K45,$I45/$K45),0),0)</f>
        <v>0</v>
      </c>
      <c r="W45" s="469">
        <f t="shared" si="22"/>
        <v>0</v>
      </c>
      <c r="X45" s="532">
        <f>IFERROR(IF(AND(X$30&gt;=EOMONTH($J45,-1)+1,X$30&lt;=EOMONTH(EOMONTH($J45,-1)+1,$K45-1)),IF(NOT(ISBLANK($N45)),$N45/$K45,$I45/$K45),0),0)</f>
        <v>0</v>
      </c>
      <c r="Y45" s="532">
        <f>IFERROR(IF(AND(Y$30&gt;=EOMONTH($J45,-1)+1,Y$30&lt;=EOMONTH(EOMONTH($J45,-1)+1,$K45-1)),IF(NOT(ISBLANK($N45)),$N45/$K45,$I45/$K45),0),0)</f>
        <v>0</v>
      </c>
      <c r="Z45" s="532"/>
      <c r="AA45" s="469">
        <f t="shared" si="20"/>
        <v>0</v>
      </c>
      <c r="AB45" s="532"/>
      <c r="AC45" s="532"/>
      <c r="AD45" s="532"/>
      <c r="AE45" s="469">
        <f t="shared" si="21"/>
        <v>0</v>
      </c>
      <c r="AF45" s="532"/>
      <c r="AG45" s="532"/>
      <c r="AH45" s="532"/>
      <c r="AI45" s="469">
        <f t="shared" si="14"/>
        <v>0</v>
      </c>
      <c r="AJ45" s="94">
        <f t="shared" si="16"/>
        <v>0</v>
      </c>
      <c r="AK45" s="1038"/>
      <c r="AL45" s="1038"/>
      <c r="AM45" s="1042"/>
      <c r="AN45" s="1044">
        <f>I45*AM45</f>
        <v>0</v>
      </c>
      <c r="AO45" s="595" t="str">
        <f>D45</f>
        <v>Recuperação de valores - Energia Elétrica</v>
      </c>
      <c r="AP45" s="62" t="s">
        <v>289</v>
      </c>
      <c r="AQ45" s="543" t="str" cm="1">
        <f t="array" aca="1" ref="AQ45" ca="1">IF(OR(AO45="",AO45=0),"",IF(SUMPRODUCT(($D$31:$D$146=AO45)*($R$31:$R$146="Previsto")*($T$30:$AH$30&lt;EOMONTH(TODAY(),-1)+1)*($T$31:$AH$146))=0,"",SUMPRODUCT(($D$31:$D$146=AO45)*($R$31:$R$146="Previsto")*($T$30:$AH$30&lt;EOMONTH(TODAY(),-1)+1)*($T$31:$AH$146))))</f>
        <v/>
      </c>
    </row>
    <row r="46" spans="1:43" ht="29.1" customHeight="1" x14ac:dyDescent="0.3">
      <c r="A46" s="1094"/>
      <c r="B46" s="1096"/>
      <c r="C46" s="1039"/>
      <c r="D46" s="1098"/>
      <c r="E46" s="1084"/>
      <c r="F46" s="1100"/>
      <c r="G46" s="1102"/>
      <c r="H46" s="1102"/>
      <c r="I46" s="1104"/>
      <c r="J46" s="1110"/>
      <c r="K46" s="1112"/>
      <c r="L46" s="1077"/>
      <c r="M46" s="1073"/>
      <c r="N46" s="1056"/>
      <c r="O46" s="1043"/>
      <c r="P46" s="1043"/>
      <c r="Q46" s="1065"/>
      <c r="R46" s="96" t="s">
        <v>107</v>
      </c>
      <c r="S46" s="482">
        <f>_xlfn.XLOOKUP(B45,[1]Detalhamento!$A:$A,[1]Detalhamento!$N:$N)</f>
        <v>0.44444444444444442</v>
      </c>
      <c r="T46" s="532"/>
      <c r="U46" s="532"/>
      <c r="V46" s="532"/>
      <c r="W46" s="469">
        <f t="shared" si="22"/>
        <v>0</v>
      </c>
      <c r="X46" s="532"/>
      <c r="Y46" s="532"/>
      <c r="Z46" s="532"/>
      <c r="AA46" s="469">
        <f t="shared" si="20"/>
        <v>0</v>
      </c>
      <c r="AB46" s="532"/>
      <c r="AC46" s="532"/>
      <c r="AD46" s="532"/>
      <c r="AE46" s="469">
        <f t="shared" si="21"/>
        <v>0</v>
      </c>
      <c r="AF46" s="532"/>
      <c r="AG46" s="532"/>
      <c r="AH46" s="532"/>
      <c r="AI46" s="469">
        <f t="shared" si="14"/>
        <v>0</v>
      </c>
      <c r="AJ46" s="94">
        <f t="shared" si="16"/>
        <v>0</v>
      </c>
      <c r="AK46" s="1039"/>
      <c r="AL46" s="1039"/>
      <c r="AM46" s="1043"/>
      <c r="AN46" s="1045"/>
      <c r="AO46" s="596" t="str">
        <f>D45</f>
        <v>Recuperação de valores - Energia Elétrica</v>
      </c>
      <c r="AP46" s="62" t="s">
        <v>291</v>
      </c>
      <c r="AQ46" s="543" t="str" cm="1">
        <f t="array" aca="1" ref="AQ46" ca="1">IF(OR(AO46="",AO46=0),"",IF(SUMPRODUCT(($D$31:$D$146=AO46)*(ISNUMBER(SEARCH("Real",$R$32:$R$147)))*($T$30:$AH$30&lt;EOMONTH(TODAY(),-1)+1)*($T$32:$AH$147))=0,"",SUMPRODUCT(($D$31:$D$146=AO46)*(ISNUMBER(SEARCH("Real",$R$32:$R$147)))*($T$30:$AH$30&lt;EOMONTH(TODAY(),-1)+1)*($T$32:$AH$147))))</f>
        <v/>
      </c>
    </row>
    <row r="47" spans="1:43" ht="29.1" customHeight="1" x14ac:dyDescent="0.3">
      <c r="A47" s="1036" t="s">
        <v>310</v>
      </c>
      <c r="B47" s="1113" t="s">
        <v>2390</v>
      </c>
      <c r="C47" s="1036" t="s">
        <v>91</v>
      </c>
      <c r="D47" s="1115" t="s">
        <v>2391</v>
      </c>
      <c r="E47" s="1087" t="s">
        <v>2392</v>
      </c>
      <c r="F47" s="1040" t="s">
        <v>2383</v>
      </c>
      <c r="G47" s="1117">
        <f>_xlfn.XLOOKUP(B47,[1]Detalhamento!$A:$A,[1]Detalhamento!$I:$I)</f>
        <v>46054</v>
      </c>
      <c r="H47" s="1117">
        <f>_xlfn.XLOOKUP(B47,[1]Detalhamento!$A:$A,[1]Detalhamento!$J:$J)</f>
        <v>46357</v>
      </c>
      <c r="I47" s="1074">
        <f>IFERROR(_xlfn.XLOOKUP(B47,[1]Detalhamento!$A:$A,[1]Detalhamento!$E:$E)," - ")</f>
        <v>353954</v>
      </c>
      <c r="J47" s="1158">
        <f>_xlfn.XLOOKUP(B47,[1]Detalhamento!$A:$A,[1]Detalhamento!$O:$O)</f>
        <v>46357</v>
      </c>
      <c r="K47" s="1121">
        <v>12</v>
      </c>
      <c r="L47" s="1074"/>
      <c r="M47" s="1119"/>
      <c r="N47" s="1053"/>
      <c r="O47" s="1057" t="s">
        <v>80</v>
      </c>
      <c r="P47" s="1057"/>
      <c r="Q47" s="1062" t="s">
        <v>2360</v>
      </c>
      <c r="R47" s="91" t="s">
        <v>106</v>
      </c>
      <c r="S47" s="91">
        <f>_xlfn.XLOOKUP(B47,[1]Detalhamento!$A:$A,[1]Detalhamento!$M:$M)</f>
        <v>0.33779755283648499</v>
      </c>
      <c r="T47" s="309">
        <f>IFERROR(IF(AND(T$30&gt;=EOMONTH($J47,-1)+1,T$30&lt;=EOMONTH(EOMONTH($J47,-1)+1,$K47-1)),IF(NOT(ISBLANK($N47)),$N47/$K47,$I47/$K47),0),0)</f>
        <v>0</v>
      </c>
      <c r="U47" s="309">
        <f>IFERROR(IF(AND(U$30&gt;=EOMONTH($J47,-1)+1,U$30&lt;=EOMONTH(EOMONTH($J47,-1)+1,$K47-1)),IF(NOT(ISBLANK($N47)),$N47/$K47,$I47/$K47),0),0)</f>
        <v>0</v>
      </c>
      <c r="V47" s="309">
        <f>IFERROR(IF(AND(V$30&gt;=EOMONTH($J47,-1)+1,V$30&lt;=EOMONTH(EOMONTH($J47,-1)+1,$K47-1)),IF(NOT(ISBLANK($N47)),$N47/$K47,$I47/$K47),0),0)</f>
        <v>0</v>
      </c>
      <c r="W47" s="469">
        <f t="shared" si="22"/>
        <v>0</v>
      </c>
      <c r="X47" s="309">
        <f>IFERROR(IF(AND(X$30&gt;=EOMONTH($J47,-1)+1,X$30&lt;=EOMONTH(EOMONTH($J47,-1)+1,$K47-1)),IF(NOT(ISBLANK($N47)),$N47/$K47,$I47/$K47),0),0)</f>
        <v>0</v>
      </c>
      <c r="Y47" s="309">
        <f>IFERROR(IF(AND(Y$30&gt;=EOMONTH($J47,-1)+1,Y$30&lt;=EOMONTH(EOMONTH($J47,-1)+1,$K47-1)),IF(NOT(ISBLANK($N47)),$N47/$K47,$I47/$K47),0),0)</f>
        <v>0</v>
      </c>
      <c r="Z47" s="309">
        <f>IFERROR(IF(AND(Z$30&gt;=EOMONTH($J47,-1)+1,Z$30&lt;=EOMONTH(EOMONTH($J47,-1)+1,$K47-1)),IF(NOT(ISBLANK($N47)),$N47/$K47,$I47/$K47),0),0)</f>
        <v>0</v>
      </c>
      <c r="AA47" s="469">
        <f t="shared" si="20"/>
        <v>0</v>
      </c>
      <c r="AB47" s="309">
        <f>IFERROR(IF(AND(AB$30&gt;=EOMONTH($J47,-1)+1,AB$30&lt;=EOMONTH(EOMONTH($J47,-1)+1,$K47-1)),IF(NOT(ISBLANK($N47)),$N47/$K47,$I47/$K47),0),0)</f>
        <v>0</v>
      </c>
      <c r="AC47" s="309">
        <f>IFERROR(IF(AND(AC$30&gt;=EOMONTH($J47,-1)+1,AC$30&lt;=EOMONTH(EOMONTH($J47,-1)+1,$K47-1)),IF(NOT(ISBLANK($N47)),$N47/$K47,$I47/$K47),0),0)</f>
        <v>0</v>
      </c>
      <c r="AD47" s="309">
        <f>IFERROR(IF(AND(AD$30&gt;=EOMONTH($J47,-1)+1,AD$30&lt;=EOMONTH(EOMONTH($J47,-1)+1,$K47-1)),IF(NOT(ISBLANK($N47)),$N47/$K47,$I47/$K47),0),0)</f>
        <v>0</v>
      </c>
      <c r="AE47" s="469">
        <f t="shared" si="21"/>
        <v>0</v>
      </c>
      <c r="AF47" s="309">
        <f>IFERROR(IF(AND(AF$30&gt;=EOMONTH($J47,-1)+1,AF$30&lt;=EOMONTH(EOMONTH($J47,-1)+1,$K47-1)),IF(NOT(ISBLANK($N47)),$N47/$K47,$I47/$K47),0),0)</f>
        <v>0</v>
      </c>
      <c r="AG47" s="309">
        <f>IFERROR(IF(AND(AG$30&gt;=EOMONTH($J47,-1)+1,AG$30&lt;=EOMONTH(EOMONTH($J47,-1)+1,$K47-1)),IF(NOT(ISBLANK($N47)),$N47/$K47,$I47/$K47),0),0)</f>
        <v>0</v>
      </c>
      <c r="AH47" s="309">
        <f>IFERROR(IF(AND(AH$30&gt;=EOMONTH($J47,-1)+1,AH$30&lt;=EOMONTH(EOMONTH($J47,-1)+1,$K47-1)),IF(NOT(ISBLANK($N47)),$N47/$K47,$I47/$K47),0),0)</f>
        <v>29496.166666666668</v>
      </c>
      <c r="AI47" s="469">
        <f t="shared" si="14"/>
        <v>29496.166666666668</v>
      </c>
      <c r="AJ47" s="116">
        <f t="shared" si="16"/>
        <v>29496.166666666668</v>
      </c>
      <c r="AK47" s="1040"/>
      <c r="AL47" s="1040"/>
      <c r="AM47" s="1048"/>
      <c r="AN47" s="1046">
        <f>I47*AM47</f>
        <v>0</v>
      </c>
      <c r="AO47" s="595" t="str">
        <f>D47</f>
        <v>Recuperação de valores - Água</v>
      </c>
      <c r="AP47" s="62" t="s">
        <v>289</v>
      </c>
      <c r="AQ47" s="543" t="str" cm="1">
        <f t="array" aca="1" ref="AQ47" ca="1">IF(OR(AO47="",AO47=0),"",IF(SUMPRODUCT(($D$31:$D$146=AO47)*($R$31:$R$146="Previsto")*($T$30:$AH$30&lt;EOMONTH(TODAY(),-1)+1)*($T$31:$AH$146))=0,"",SUMPRODUCT(($D$31:$D$146=AO47)*($R$31:$R$146="Previsto")*($T$30:$AH$30&lt;EOMONTH(TODAY(),-1)+1)*($T$31:$AH$146))))</f>
        <v/>
      </c>
    </row>
    <row r="48" spans="1:43" ht="29.1" customHeight="1" x14ac:dyDescent="0.3">
      <c r="A48" s="1037"/>
      <c r="B48" s="1114"/>
      <c r="C48" s="1037"/>
      <c r="D48" s="1116"/>
      <c r="E48" s="1082"/>
      <c r="F48" s="1041"/>
      <c r="G48" s="1118"/>
      <c r="H48" s="1118"/>
      <c r="I48" s="1075"/>
      <c r="J48" s="1159"/>
      <c r="K48" s="1122"/>
      <c r="L48" s="1075"/>
      <c r="M48" s="1120"/>
      <c r="N48" s="1054"/>
      <c r="O48" s="1058"/>
      <c r="P48" s="1058"/>
      <c r="Q48" s="1063"/>
      <c r="R48" s="91" t="s">
        <v>107</v>
      </c>
      <c r="S48" s="481">
        <f>_xlfn.XLOOKUP(B47,[1]Detalhamento!$A:$A,[1]Detalhamento!$N:$N)</f>
        <v>0.42499999999999999</v>
      </c>
      <c r="T48" s="309"/>
      <c r="U48" s="309"/>
      <c r="V48" s="309"/>
      <c r="W48" s="469">
        <f t="shared" si="22"/>
        <v>0</v>
      </c>
      <c r="X48" s="309"/>
      <c r="Y48" s="309"/>
      <c r="Z48" s="309"/>
      <c r="AA48" s="469">
        <f t="shared" si="20"/>
        <v>0</v>
      </c>
      <c r="AB48" s="309"/>
      <c r="AC48" s="309"/>
      <c r="AD48" s="309"/>
      <c r="AE48" s="469">
        <f t="shared" si="21"/>
        <v>0</v>
      </c>
      <c r="AF48" s="309"/>
      <c r="AG48" s="309"/>
      <c r="AH48" s="309"/>
      <c r="AI48" s="469">
        <f t="shared" si="14"/>
        <v>0</v>
      </c>
      <c r="AJ48" s="483">
        <f t="shared" si="16"/>
        <v>0</v>
      </c>
      <c r="AK48" s="1041"/>
      <c r="AL48" s="1041"/>
      <c r="AM48" s="1049"/>
      <c r="AN48" s="1047"/>
      <c r="AO48" s="596" t="str">
        <f>D47</f>
        <v>Recuperação de valores - Água</v>
      </c>
      <c r="AP48" s="62" t="s">
        <v>291</v>
      </c>
      <c r="AQ48" s="543" t="str" cm="1">
        <f t="array" aca="1" ref="AQ48" ca="1">IF(OR(AO48="",AO48=0),"",IF(SUMPRODUCT(($D$31:$D$146=AO48)*(ISNUMBER(SEARCH("Real",$R$32:$R$147)))*($T$30:$AH$30&lt;EOMONTH(TODAY(),-1)+1)*($T$32:$AH$147))=0,"",SUMPRODUCT(($D$31:$D$146=AO48)*(ISNUMBER(SEARCH("Real",$R$32:$R$147)))*($T$30:$AH$30&lt;EOMONTH(TODAY(),-1)+1)*($T$32:$AH$147))))</f>
        <v/>
      </c>
    </row>
    <row r="49" spans="1:43" ht="29.1" customHeight="1" x14ac:dyDescent="0.3">
      <c r="A49" s="1093" t="s">
        <v>310</v>
      </c>
      <c r="B49" s="1095" t="s">
        <v>2393</v>
      </c>
      <c r="C49" s="1038" t="s">
        <v>91</v>
      </c>
      <c r="D49" s="1097" t="s">
        <v>2394</v>
      </c>
      <c r="E49" s="1083" t="s">
        <v>2395</v>
      </c>
      <c r="F49" s="1099" t="s">
        <v>2370</v>
      </c>
      <c r="G49" s="1101">
        <f>_xlfn.XLOOKUP(B49,[1]Detalhamento!$A:$A,[1]Detalhamento!$I:$I)</f>
        <v>45898</v>
      </c>
      <c r="H49" s="1101">
        <f>_xlfn.XLOOKUP(B49,[1]Detalhamento!$A:$A,[1]Detalhamento!$J:$J)</f>
        <v>46366</v>
      </c>
      <c r="I49" s="1103">
        <f>IFERROR(_xlfn.XLOOKUP(B49,[1]Detalhamento!$A:$A,[1]Detalhamento!$E:$E)," - ")</f>
        <v>112000</v>
      </c>
      <c r="J49" s="1109">
        <f>_xlfn.XLOOKUP(B49,[1]Detalhamento!$A:$A,[1]Detalhamento!$O:$O)</f>
        <v>46300</v>
      </c>
      <c r="K49" s="1111">
        <v>12</v>
      </c>
      <c r="L49" s="1076"/>
      <c r="M49" s="1072"/>
      <c r="N49" s="1055"/>
      <c r="O49" s="1042" t="s">
        <v>80</v>
      </c>
      <c r="P49" s="1042"/>
      <c r="Q49" s="1064" t="s">
        <v>24</v>
      </c>
      <c r="R49" s="96" t="s">
        <v>106</v>
      </c>
      <c r="S49" s="96">
        <f>_xlfn.XLOOKUP(B49,[1]Detalhamento!$A:$A,[1]Detalhamento!$M:$M)</f>
        <v>0.7142857142857143</v>
      </c>
      <c r="T49" s="532">
        <f>IFERROR(IF(AND(T$30&gt;=EOMONTH($J49,-1)+1,T$30&lt;=EOMONTH(EOMONTH($J49,-1)+1,$K49-1)),IF(NOT(ISBLANK($N49)),$N49/$K49,$I49/$K49),0),0)</f>
        <v>0</v>
      </c>
      <c r="U49" s="532">
        <f>IFERROR(IF(AND(U$30&gt;=EOMONTH($J49,-1)+1,U$30&lt;=EOMONTH(EOMONTH($J49,-1)+1,$K49-1)),IF(NOT(ISBLANK($N49)),$N49/$K49,$I49/$K49),0),0)</f>
        <v>0</v>
      </c>
      <c r="V49" s="532">
        <f>IFERROR(IF(AND(V$30&gt;=EOMONTH($J49,-1)+1,V$30&lt;=EOMONTH(EOMONTH($J49,-1)+1,$K49-1)),IF(NOT(ISBLANK($N49)),$N49/$K49,$I49/$K49),0),0)</f>
        <v>0</v>
      </c>
      <c r="W49" s="469">
        <f t="shared" si="22"/>
        <v>0</v>
      </c>
      <c r="X49" s="532">
        <f>IFERROR(IF(AND(X$30&gt;=EOMONTH($J49,-1)+1,X$30&lt;=EOMONTH(EOMONTH($J49,-1)+1,$K49-1)),IF(NOT(ISBLANK($N49)),$N49/$K49,$I49/$K49),0),0)</f>
        <v>0</v>
      </c>
      <c r="Y49" s="532">
        <f>IFERROR(IF(AND(Y$30&gt;=EOMONTH($J49,-1)+1,Y$30&lt;=EOMONTH(EOMONTH($J49,-1)+1,$K49-1)),IF(NOT(ISBLANK($N49)),$N49/$K49,$I49/$K49),0),0)</f>
        <v>0</v>
      </c>
      <c r="Z49" s="532">
        <f>IFERROR(IF(AND(Z$30&gt;=EOMONTH($J49,-1)+1,Z$30&lt;=EOMONTH(EOMONTH($J49,-1)+1,$K49-1)),IF(NOT(ISBLANK($N49)),$N49/$K49,$I49/$K49),0),0)</f>
        <v>0</v>
      </c>
      <c r="AA49" s="469">
        <f t="shared" si="20"/>
        <v>0</v>
      </c>
      <c r="AB49" s="532">
        <f>IFERROR(IF(AND(AB$30&gt;=EOMONTH($J49,-1)+1,AB$30&lt;=EOMONTH(EOMONTH($J49,-1)+1,$K49-1)),IF(NOT(ISBLANK($N49)),$N49/$K49,$I49/$K49),0),0)</f>
        <v>0</v>
      </c>
      <c r="AC49" s="532">
        <f>IFERROR(IF(AND(AC$30&gt;=EOMONTH($J49,-1)+1,AC$30&lt;=EOMONTH(EOMONTH($J49,-1)+1,$K49-1)),IF(NOT(ISBLANK($N49)),$N49/$K49,$I49/$K49),0),0)</f>
        <v>0</v>
      </c>
      <c r="AD49" s="532">
        <f>IFERROR(IF(AND(AD$30&gt;=EOMONTH($J49,-1)+1,AD$30&lt;=EOMONTH(EOMONTH($J49,-1)+1,$K49-1)),IF(NOT(ISBLANK($N49)),$N49/$K49,$I49/$K49),0),0)</f>
        <v>0</v>
      </c>
      <c r="AE49" s="469">
        <f t="shared" si="21"/>
        <v>0</v>
      </c>
      <c r="AF49" s="532">
        <f>IFERROR(IF(AND(AF$30&gt;=EOMONTH($J49,-1)+1,AF$30&lt;=EOMONTH(EOMONTH($J49,-1)+1,$K49-1)),IF(NOT(ISBLANK($N49)),$N49/$K49,$I49/$K49),0),0)</f>
        <v>9333.3333333333339</v>
      </c>
      <c r="AG49" s="532">
        <f>IFERROR(IF(AND(AG$30&gt;=EOMONTH($J49,-1)+1,AG$30&lt;=EOMONTH(EOMONTH($J49,-1)+1,$K49-1)),IF(NOT(ISBLANK($N49)),$N49/$K49,$I49/$K49),0),0)</f>
        <v>9333.3333333333339</v>
      </c>
      <c r="AH49" s="532">
        <f>IFERROR(IF(AND(AH$30&gt;=EOMONTH($J49,-1)+1,AH$30&lt;=EOMONTH(EOMONTH($J49,-1)+1,$K49-1)),IF(NOT(ISBLANK($N49)),$N49/$K49,$I49/$K49),0),0)</f>
        <v>9333.3333333333339</v>
      </c>
      <c r="AI49" s="469">
        <f t="shared" si="14"/>
        <v>28000</v>
      </c>
      <c r="AJ49" s="94">
        <f t="shared" si="16"/>
        <v>28000</v>
      </c>
      <c r="AK49" s="1038"/>
      <c r="AL49" s="1038"/>
      <c r="AM49" s="1042"/>
      <c r="AN49" s="1044">
        <f>I49*AM49</f>
        <v>0</v>
      </c>
      <c r="AO49" s="595" t="str">
        <f>D49</f>
        <v>Resourcing Pino Esférico GM Lipos p/ Maxdel</v>
      </c>
      <c r="AP49" s="62" t="s">
        <v>289</v>
      </c>
      <c r="AQ49" s="543" t="str" cm="1">
        <f t="array" aca="1" ref="AQ49" ca="1">IF(OR(AO49="",AO49=0),"",IF(SUMPRODUCT(($D$31:$D$146=AO49)*($R$31:$R$146="Previsto")*($T$30:$AH$30&lt;EOMONTH(TODAY(),-1)+1)*($T$31:$AH$146))=0,"",SUMPRODUCT(($D$31:$D$146=AO49)*($R$31:$R$146="Previsto")*($T$30:$AH$30&lt;EOMONTH(TODAY(),-1)+1)*($T$31:$AH$146))))</f>
        <v/>
      </c>
    </row>
    <row r="50" spans="1:43" ht="29.1" customHeight="1" x14ac:dyDescent="0.3">
      <c r="A50" s="1094"/>
      <c r="B50" s="1096"/>
      <c r="C50" s="1039"/>
      <c r="D50" s="1098"/>
      <c r="E50" s="1084"/>
      <c r="F50" s="1100"/>
      <c r="G50" s="1102"/>
      <c r="H50" s="1102"/>
      <c r="I50" s="1104"/>
      <c r="J50" s="1110"/>
      <c r="K50" s="1112"/>
      <c r="L50" s="1077"/>
      <c r="M50" s="1073"/>
      <c r="N50" s="1056"/>
      <c r="O50" s="1043"/>
      <c r="P50" s="1043"/>
      <c r="Q50" s="1065"/>
      <c r="R50" s="96" t="s">
        <v>107</v>
      </c>
      <c r="S50" s="482">
        <f>_xlfn.XLOOKUP(B49,[1]Detalhamento!$A:$A,[1]Detalhamento!$N:$N)</f>
        <v>0.7142857142857143</v>
      </c>
      <c r="T50" s="532"/>
      <c r="U50" s="532"/>
      <c r="V50" s="532"/>
      <c r="W50" s="469">
        <f t="shared" si="22"/>
        <v>0</v>
      </c>
      <c r="X50" s="532"/>
      <c r="Y50" s="532"/>
      <c r="Z50" s="532"/>
      <c r="AA50" s="469">
        <f t="shared" si="20"/>
        <v>0</v>
      </c>
      <c r="AB50" s="532"/>
      <c r="AC50" s="532"/>
      <c r="AD50" s="532"/>
      <c r="AE50" s="469">
        <f t="shared" si="21"/>
        <v>0</v>
      </c>
      <c r="AF50" s="532"/>
      <c r="AG50" s="532"/>
      <c r="AH50" s="532"/>
      <c r="AI50" s="469">
        <f t="shared" si="14"/>
        <v>0</v>
      </c>
      <c r="AJ50" s="94">
        <f t="shared" si="16"/>
        <v>0</v>
      </c>
      <c r="AK50" s="1039"/>
      <c r="AL50" s="1039"/>
      <c r="AM50" s="1043"/>
      <c r="AN50" s="1045"/>
      <c r="AO50" s="596" t="str">
        <f>D49</f>
        <v>Resourcing Pino Esférico GM Lipos p/ Maxdel</v>
      </c>
      <c r="AP50" s="62" t="s">
        <v>291</v>
      </c>
      <c r="AQ50" s="543" t="str" cm="1">
        <f t="array" aca="1" ref="AQ50" ca="1">IF(OR(AO50="",AO50=0),"",IF(SUMPRODUCT(($D$31:$D$146=AO50)*(ISNUMBER(SEARCH("Real",$R$32:$R$147)))*($T$30:$AH$30&lt;EOMONTH(TODAY(),-1)+1)*($T$32:$AH$147))=0,"",SUMPRODUCT(($D$31:$D$146=AO50)*(ISNUMBER(SEARCH("Real",$R$32:$R$147)))*($T$30:$AH$30&lt;EOMONTH(TODAY(),-1)+1)*($T$32:$AH$147))))</f>
        <v/>
      </c>
    </row>
    <row r="51" spans="1:43" ht="29.1" customHeight="1" x14ac:dyDescent="0.3">
      <c r="A51" s="1036" t="s">
        <v>310</v>
      </c>
      <c r="B51" s="1125" t="s">
        <v>2396</v>
      </c>
      <c r="C51" s="1036" t="s">
        <v>91</v>
      </c>
      <c r="D51" s="1127" t="s">
        <v>2397</v>
      </c>
      <c r="E51" s="1089" t="s">
        <v>2398</v>
      </c>
      <c r="F51" s="1129" t="s">
        <v>2370</v>
      </c>
      <c r="G51" s="1131">
        <f>_xlfn.XLOOKUP(B51,[1]Detalhamento!$A:$A,[1]Detalhamento!$I:$I)</f>
        <v>46045</v>
      </c>
      <c r="H51" s="1131">
        <f>_xlfn.XLOOKUP(B51,[1]Detalhamento!$A:$A,[1]Detalhamento!$J:$J)</f>
        <v>46153</v>
      </c>
      <c r="I51" s="1133">
        <f>IFERROR(_xlfn.XLOOKUP(B51,[1]Detalhamento!$A:$A,[1]Detalhamento!$E:$E)," - ")</f>
        <v>219761</v>
      </c>
      <c r="J51" s="1156">
        <f>_xlfn.XLOOKUP(B51,[1]Detalhamento!$A:$A,[1]Detalhamento!$O:$O)</f>
        <v>46097</v>
      </c>
      <c r="K51" s="1211">
        <v>12</v>
      </c>
      <c r="L51" s="1123"/>
      <c r="M51" s="1135" t="s">
        <v>388</v>
      </c>
      <c r="N51" s="1165"/>
      <c r="O51" s="1057" t="s">
        <v>77</v>
      </c>
      <c r="P51" s="1057"/>
      <c r="Q51" s="1062" t="s">
        <v>22</v>
      </c>
      <c r="R51" s="91" t="s">
        <v>106</v>
      </c>
      <c r="S51" s="91">
        <f>_xlfn.XLOOKUP(B51,[1]Detalhamento!$A:$A,[1]Detalhamento!$M:$M)</f>
        <v>1</v>
      </c>
      <c r="T51" s="309">
        <f>IFERROR(IF(AND(T$30&gt;=EOMONTH($J51,-1)+1,T$30&lt;=EOMONTH(EOMONTH($J51,-1)+1,$K51-1)),IF(NOT(ISBLANK($N51)),$N51/$K51,$I51/$K51),0),0)</f>
        <v>0</v>
      </c>
      <c r="U51" s="309">
        <f>IFERROR(IF(AND(U$30&gt;=EOMONTH($J51,-1)+1,U$30&lt;=EOMONTH(EOMONTH($J51,-1)+1,$K51-1)),IF(NOT(ISBLANK($N51)),$N51/$K51,$I51/$K51),0),0)</f>
        <v>0</v>
      </c>
      <c r="V51" s="642">
        <f>IFERROR(IF(AND(V$30&gt;=EOMONTH($J51,-1)+1,V$30&lt;=EOMONTH(EOMONTH($J51,-1)+1,$K51-1)),IF(NOT(ISBLANK($N51)),$N51/$K51,$I51/$K51),0),0)</f>
        <v>18313.416666666668</v>
      </c>
      <c r="W51" s="469">
        <f t="shared" si="22"/>
        <v>18313.416666666668</v>
      </c>
      <c r="X51" s="642">
        <f>IFERROR(IF(AND(X$30&gt;=EOMONTH($J51,-1)+1,X$30&lt;=EOMONTH(EOMONTH($J51,-1)+1,$K51-1)),IF(NOT(ISBLANK($N51)),$N51/$K51,$I51/$K51),0),0)</f>
        <v>18313.416666666668</v>
      </c>
      <c r="Y51" s="309">
        <f>IFERROR(IF(AND(Y$30&gt;=EOMONTH($J51,-1)+1,Y$30&lt;=EOMONTH(EOMONTH($J51,-1)+1,$K51-1)),IF(NOT(ISBLANK($N51)),$N51/$K51,$I51/$K51),0),0)</f>
        <v>18313.416666666668</v>
      </c>
      <c r="Z51" s="309">
        <f>IFERROR(IF(AND(Z$30&gt;=EOMONTH($J51,-1)+1,Z$30&lt;=EOMONTH(EOMONTH($J51,-1)+1,$K51-1)),IF(NOT(ISBLANK($N51)),$N51/$K51,$I51/$K51),0),0)</f>
        <v>18313.416666666668</v>
      </c>
      <c r="AA51" s="469">
        <f t="shared" si="20"/>
        <v>54940.25</v>
      </c>
      <c r="AB51" s="309">
        <f>IFERROR(IF(AND(AB$30&gt;=EOMONTH($J51,-1)+1,AB$30&lt;=EOMONTH(EOMONTH($J51,-1)+1,$K51-1)),IF(NOT(ISBLANK($N51)),$N51/$K51,$I51/$K51),0),0)</f>
        <v>18313.416666666668</v>
      </c>
      <c r="AC51" s="309">
        <f>IFERROR(IF(AND(AC$30&gt;=EOMONTH($J51,-1)+1,AC$30&lt;=EOMONTH(EOMONTH($J51,-1)+1,$K51-1)),IF(NOT(ISBLANK($N51)),$N51/$K51,$I51/$K51),0),0)</f>
        <v>18313.416666666668</v>
      </c>
      <c r="AD51" s="309">
        <f>IFERROR(IF(AND(AD$30&gt;=EOMONTH($J51,-1)+1,AD$30&lt;=EOMONTH(EOMONTH($J51,-1)+1,$K51-1)),IF(NOT(ISBLANK($N51)),$N51/$K51,$I51/$K51),0),0)</f>
        <v>18313.416666666668</v>
      </c>
      <c r="AE51" s="469">
        <f t="shared" si="21"/>
        <v>54940.25</v>
      </c>
      <c r="AF51" s="309">
        <f>IFERROR(IF(AND(AF$30&gt;=EOMONTH($J51,-1)+1,AF$30&lt;=EOMONTH(EOMONTH($J51,-1)+1,$K51-1)),IF(NOT(ISBLANK($N51)),$N51/$K51,$I51/$K51),0),0)</f>
        <v>18313.416666666668</v>
      </c>
      <c r="AG51" s="309">
        <f>IFERROR(IF(AND(AG$30&gt;=EOMONTH($J51,-1)+1,AG$30&lt;=EOMONTH(EOMONTH($J51,-1)+1,$K51-1)),IF(NOT(ISBLANK($N51)),$N51/$K51,$I51/$K51),0),0)</f>
        <v>18313.416666666668</v>
      </c>
      <c r="AH51" s="309">
        <f>IFERROR(IF(AND(AH$30&gt;=EOMONTH($J51,-1)+1,AH$30&lt;=EOMONTH(EOMONTH($J51,-1)+1,$K51-1)),IF(NOT(ISBLANK($N51)),$N51/$K51,$I51/$K51),0),0)</f>
        <v>18313.416666666668</v>
      </c>
      <c r="AI51" s="469">
        <f t="shared" si="14"/>
        <v>54940.25</v>
      </c>
      <c r="AJ51" s="116">
        <f t="shared" si="16"/>
        <v>183134.16666666666</v>
      </c>
      <c r="AK51" s="1040"/>
      <c r="AL51" s="1040"/>
      <c r="AM51" s="1048"/>
      <c r="AN51" s="1046">
        <f>I51*AM51</f>
        <v>0</v>
      </c>
      <c r="AO51" s="595" t="str">
        <f>D51</f>
        <v>Resourcing Maletas Man (Mercante para Cartec)</v>
      </c>
      <c r="AP51" s="62" t="s">
        <v>289</v>
      </c>
      <c r="AQ51" s="543" cm="1">
        <f t="array" aca="1" ref="AQ51" ca="1">IF(OR(AO51="",AO51=0),"",IF(SUMPRODUCT(($D$31:$D$146=AO51)*($R$31:$R$146="Previsto")*($T$30:$AH$30&lt;EOMONTH(TODAY(),-1)+1)*($T$31:$AH$146))=0,"",SUMPRODUCT(($D$31:$D$146=AO51)*($R$31:$R$146="Previsto")*($T$30:$AH$30&lt;EOMONTH(TODAY(),-1)+1)*($T$31:$AH$146))))</f>
        <v>54940.25</v>
      </c>
    </row>
    <row r="52" spans="1:43" ht="29.85" customHeight="1" x14ac:dyDescent="0.3">
      <c r="A52" s="1037"/>
      <c r="B52" s="1126"/>
      <c r="C52" s="1037"/>
      <c r="D52" s="1128"/>
      <c r="E52" s="1090"/>
      <c r="F52" s="1130"/>
      <c r="G52" s="1132"/>
      <c r="H52" s="1132"/>
      <c r="I52" s="1134"/>
      <c r="J52" s="1157"/>
      <c r="K52" s="1212"/>
      <c r="L52" s="1124"/>
      <c r="M52" s="1136"/>
      <c r="N52" s="1166"/>
      <c r="O52" s="1058"/>
      <c r="P52" s="1058"/>
      <c r="Q52" s="1063"/>
      <c r="R52" s="91" t="s">
        <v>107</v>
      </c>
      <c r="S52" s="481">
        <f>_xlfn.XLOOKUP(B51,[1]Detalhamento!$A:$A,[1]Detalhamento!$N:$N)</f>
        <v>1</v>
      </c>
      <c r="T52" s="309"/>
      <c r="U52" s="309"/>
      <c r="V52" s="831"/>
      <c r="W52" s="469">
        <f t="shared" si="22"/>
        <v>0</v>
      </c>
      <c r="X52" s="309"/>
      <c r="Y52" s="309"/>
      <c r="Z52" s="309"/>
      <c r="AA52" s="469">
        <f t="shared" si="20"/>
        <v>0</v>
      </c>
      <c r="AB52" s="309"/>
      <c r="AC52" s="309"/>
      <c r="AD52" s="309"/>
      <c r="AE52" s="469">
        <f t="shared" si="21"/>
        <v>0</v>
      </c>
      <c r="AF52" s="309"/>
      <c r="AG52" s="309"/>
      <c r="AH52" s="309"/>
      <c r="AI52" s="469">
        <f t="shared" si="14"/>
        <v>0</v>
      </c>
      <c r="AJ52" s="483">
        <f t="shared" si="16"/>
        <v>0</v>
      </c>
      <c r="AK52" s="1041"/>
      <c r="AL52" s="1041"/>
      <c r="AM52" s="1049"/>
      <c r="AN52" s="1047"/>
      <c r="AO52" s="596" t="str">
        <f>D51</f>
        <v>Resourcing Maletas Man (Mercante para Cartec)</v>
      </c>
      <c r="AP52" s="62" t="s">
        <v>291</v>
      </c>
      <c r="AQ52" s="543" t="str" cm="1">
        <f t="array" aca="1" ref="AQ52" ca="1">IF(OR(AO52="",AO52=0),"",IF(SUMPRODUCT(($D$31:$D$146=AO52)*(ISNUMBER(SEARCH("Real",$R$32:$R$147)))*($T$30:$AH$30&lt;EOMONTH(TODAY(),-1)+1)*($T$32:$AH$147))=0,"",SUMPRODUCT(($D$31:$D$146=AO52)*(ISNUMBER(SEARCH("Real",$R$32:$R$147)))*($T$30:$AH$30&lt;EOMONTH(TODAY(),-1)+1)*($T$32:$AH$147))))</f>
        <v/>
      </c>
    </row>
    <row r="53" spans="1:43" ht="29.1" customHeight="1" x14ac:dyDescent="0.3">
      <c r="A53" s="1093" t="s">
        <v>310</v>
      </c>
      <c r="B53" s="1095" t="s">
        <v>2399</v>
      </c>
      <c r="C53" s="1038" t="s">
        <v>93</v>
      </c>
      <c r="D53" s="1097" t="s">
        <v>2400</v>
      </c>
      <c r="E53" s="1083" t="s">
        <v>2401</v>
      </c>
      <c r="F53" s="1099" t="s">
        <v>2366</v>
      </c>
      <c r="G53" s="1101">
        <f>_xlfn.XLOOKUP(B53,[1]Detalhamento!$A:$A,[1]Detalhamento!$I:$I)</f>
        <v>45918</v>
      </c>
      <c r="H53" s="1101">
        <f>_xlfn.XLOOKUP(B53,[1]Detalhamento!$A:$A,[1]Detalhamento!$J:$J)</f>
        <v>46136</v>
      </c>
      <c r="I53" s="1103">
        <f>IFERROR(_xlfn.XLOOKUP(B53,[1]Detalhamento!$A:$A,[1]Detalhamento!$E:$E)," - ")</f>
        <v>403768</v>
      </c>
      <c r="J53" s="1109">
        <f>_xlfn.XLOOKUP(B53,[1]Detalhamento!$A:$A,[1]Detalhamento!$O:$O)</f>
        <v>46174</v>
      </c>
      <c r="K53" s="1111">
        <v>12</v>
      </c>
      <c r="L53" s="1076"/>
      <c r="M53" s="1072"/>
      <c r="N53" s="1055"/>
      <c r="O53" s="1042" t="s">
        <v>77</v>
      </c>
      <c r="P53" s="1042"/>
      <c r="Q53" s="1064" t="s">
        <v>2360</v>
      </c>
      <c r="R53" s="96" t="s">
        <v>106</v>
      </c>
      <c r="S53" s="96">
        <f>_xlfn.XLOOKUP(B53,[1]Detalhamento!$A:$A,[1]Detalhamento!$M:$M)</f>
        <v>1</v>
      </c>
      <c r="T53" s="532">
        <f>IFERROR(IF(AND(T$30&gt;=EOMONTH($J53,-1)+1,T$30&lt;=EOMONTH(EOMONTH($J53,-1)+1,$K53-1)),IF(NOT(ISBLANK($N53)),$N53/$K53,$I53/$K53),0),0)</f>
        <v>0</v>
      </c>
      <c r="U53" s="532">
        <f>IFERROR(IF(AND(U$30&gt;=EOMONTH($J53,-1)+1,U$30&lt;=EOMONTH(EOMONTH($J53,-1)+1,$K53-1)),IF(NOT(ISBLANK($N53)),$N53/$K53,$I53/$K53),0),0)</f>
        <v>0</v>
      </c>
      <c r="V53" s="532">
        <f>IFERROR(IF(AND(V$30&gt;=EOMONTH($J53,-1)+1,V$30&lt;=EOMONTH(EOMONTH($J53,-1)+1,$K53-1)),IF(NOT(ISBLANK($N53)),$N53/$K53,$I53/$K53),0),0)</f>
        <v>0</v>
      </c>
      <c r="W53" s="469">
        <f t="shared" si="22"/>
        <v>0</v>
      </c>
      <c r="X53" s="532">
        <f>IFERROR(IF(AND(X$30&gt;=EOMONTH($J53,-1)+1,X$30&lt;=EOMONTH(EOMONTH($J53,-1)+1,$K53-1)),IF(NOT(ISBLANK($N53)),$N53/$K53,$I53/$K53),0),0)</f>
        <v>0</v>
      </c>
      <c r="Y53" s="532">
        <f>IFERROR(IF(AND(Y$30&gt;=EOMONTH($J53,-1)+1,Y$30&lt;=EOMONTH(EOMONTH($J53,-1)+1,$K53-1)),IF(NOT(ISBLANK($N53)),$N53/$K53,$I53/$K53),0),0)</f>
        <v>0</v>
      </c>
      <c r="Z53" s="532">
        <f>IFERROR(IF(AND(Z$30&gt;=EOMONTH($J53,-1)+1,Z$30&lt;=EOMONTH(EOMONTH($J53,-1)+1,$K53-1)),IF(NOT(ISBLANK($N53)),$N53/$K53,$I53/$K53),0),0)</f>
        <v>33647.333333333336</v>
      </c>
      <c r="AA53" s="469">
        <f t="shared" si="20"/>
        <v>33647.333333333336</v>
      </c>
      <c r="AB53" s="532">
        <f>IFERROR(IF(AND(AB$30&gt;=EOMONTH($J53,-1)+1,AB$30&lt;=EOMONTH(EOMONTH($J53,-1)+1,$K53-1)),IF(NOT(ISBLANK($N53)),$N53/$K53,$I53/$K53),0),0)</f>
        <v>33647.333333333336</v>
      </c>
      <c r="AC53" s="532">
        <f>IFERROR(IF(AND(AC$30&gt;=EOMONTH($J53,-1)+1,AC$30&lt;=EOMONTH(EOMONTH($J53,-1)+1,$K53-1)),IF(NOT(ISBLANK($N53)),$N53/$K53,$I53/$K53),0),0)</f>
        <v>33647.333333333336</v>
      </c>
      <c r="AD53" s="532">
        <f>IFERROR(IF(AND(AD$30&gt;=EOMONTH($J53,-1)+1,AD$30&lt;=EOMONTH(EOMONTH($J53,-1)+1,$K53-1)),IF(NOT(ISBLANK($N53)),$N53/$K53,$I53/$K53),0),0)</f>
        <v>33647.333333333336</v>
      </c>
      <c r="AE53" s="469">
        <f t="shared" si="21"/>
        <v>100942</v>
      </c>
      <c r="AF53" s="532">
        <f>IFERROR(IF(AND(AF$30&gt;=EOMONTH($J53,-1)+1,AF$30&lt;=EOMONTH(EOMONTH($J53,-1)+1,$K53-1)),IF(NOT(ISBLANK($N53)),$N53/$K53,$I53/$K53),0),0)</f>
        <v>33647.333333333336</v>
      </c>
      <c r="AG53" s="532">
        <f>IFERROR(IF(AND(AG$30&gt;=EOMONTH($J53,-1)+1,AG$30&lt;=EOMONTH(EOMONTH($J53,-1)+1,$K53-1)),IF(NOT(ISBLANK($N53)),$N53/$K53,$I53/$K53),0),0)</f>
        <v>33647.333333333336</v>
      </c>
      <c r="AH53" s="532">
        <f>IFERROR(IF(AND(AH$30&gt;=EOMONTH($J53,-1)+1,AH$30&lt;=EOMONTH(EOMONTH($J53,-1)+1,$K53-1)),IF(NOT(ISBLANK($N53)),$N53/$K53,$I53/$K53),0),0)</f>
        <v>33647.333333333336</v>
      </c>
      <c r="AI53" s="469">
        <f t="shared" si="14"/>
        <v>100942</v>
      </c>
      <c r="AJ53" s="94">
        <f t="shared" si="16"/>
        <v>235531.33333333337</v>
      </c>
      <c r="AK53" s="1038"/>
      <c r="AL53" s="1038"/>
      <c r="AM53" s="1042"/>
      <c r="AN53" s="1044">
        <f>I53*AM53</f>
        <v>0</v>
      </c>
      <c r="AO53" s="595" t="str">
        <f>D53</f>
        <v>Troca de fonte do arame de solda de Belgo para Gerdau</v>
      </c>
      <c r="AP53" s="62" t="s">
        <v>289</v>
      </c>
      <c r="AQ53" s="543" t="str" cm="1">
        <f t="array" aca="1" ref="AQ53" ca="1">IF(OR(AO53="",AO53=0),"",IF(SUMPRODUCT(($D$31:$D$146=AO53)*($R$31:$R$146="Previsto")*($T$30:$AH$30&lt;EOMONTH(TODAY(),-1)+1)*($T$31:$AH$146))=0,"",SUMPRODUCT(($D$31:$D$146=AO53)*($R$31:$R$146="Previsto")*($T$30:$AH$30&lt;EOMONTH(TODAY(),-1)+1)*($T$31:$AH$146))))</f>
        <v/>
      </c>
    </row>
    <row r="54" spans="1:43" ht="29.1" customHeight="1" x14ac:dyDescent="0.3">
      <c r="A54" s="1094"/>
      <c r="B54" s="1096"/>
      <c r="C54" s="1039"/>
      <c r="D54" s="1098"/>
      <c r="E54" s="1084"/>
      <c r="F54" s="1100"/>
      <c r="G54" s="1102"/>
      <c r="H54" s="1102"/>
      <c r="I54" s="1104"/>
      <c r="J54" s="1110"/>
      <c r="K54" s="1112"/>
      <c r="L54" s="1077"/>
      <c r="M54" s="1073"/>
      <c r="N54" s="1056"/>
      <c r="O54" s="1043"/>
      <c r="P54" s="1043"/>
      <c r="Q54" s="1065"/>
      <c r="R54" s="96" t="s">
        <v>107</v>
      </c>
      <c r="S54" s="482">
        <f>_xlfn.XLOOKUP(B53,[1]Detalhamento!$A:$A,[1]Detalhamento!$N:$N)</f>
        <v>1</v>
      </c>
      <c r="T54" s="532"/>
      <c r="U54" s="532"/>
      <c r="V54" s="532"/>
      <c r="W54" s="469">
        <f t="shared" si="22"/>
        <v>0</v>
      </c>
      <c r="X54" s="532"/>
      <c r="Y54" s="532"/>
      <c r="Z54" s="532"/>
      <c r="AA54" s="469">
        <f t="shared" si="20"/>
        <v>0</v>
      </c>
      <c r="AB54" s="532"/>
      <c r="AC54" s="532"/>
      <c r="AD54" s="532"/>
      <c r="AE54" s="469">
        <f t="shared" si="21"/>
        <v>0</v>
      </c>
      <c r="AF54" s="532"/>
      <c r="AG54" s="532"/>
      <c r="AH54" s="532"/>
      <c r="AI54" s="469">
        <f t="shared" si="14"/>
        <v>0</v>
      </c>
      <c r="AJ54" s="94">
        <f t="shared" si="16"/>
        <v>0</v>
      </c>
      <c r="AK54" s="1039"/>
      <c r="AL54" s="1039"/>
      <c r="AM54" s="1043"/>
      <c r="AN54" s="1045"/>
      <c r="AO54" s="596" t="str">
        <f>D53</f>
        <v>Troca de fonte do arame de solda de Belgo para Gerdau</v>
      </c>
      <c r="AP54" s="62" t="s">
        <v>291</v>
      </c>
      <c r="AQ54" s="543" t="str" cm="1">
        <f t="array" aca="1" ref="AQ54" ca="1">IF(OR(AO54="",AO54=0),"",IF(SUMPRODUCT(($D$31:$D$146=AO54)*(ISNUMBER(SEARCH("Real",$R$32:$R$147)))*($T$30:$AH$30&lt;EOMONTH(TODAY(),-1)+1)*($T$32:$AH$147))=0,"",SUMPRODUCT(($D$31:$D$146=AO54)*(ISNUMBER(SEARCH("Real",$R$32:$R$147)))*($T$30:$AH$30&lt;EOMONTH(TODAY(),-1)+1)*($T$32:$AH$147))))</f>
        <v/>
      </c>
    </row>
    <row r="55" spans="1:43" ht="29.1" customHeight="1" x14ac:dyDescent="0.3">
      <c r="A55" s="1036" t="s">
        <v>310</v>
      </c>
      <c r="B55" s="1113" t="s">
        <v>2402</v>
      </c>
      <c r="C55" s="1036" t="s">
        <v>91</v>
      </c>
      <c r="D55" s="1115" t="s">
        <v>2403</v>
      </c>
      <c r="E55" s="1087" t="s">
        <v>2404</v>
      </c>
      <c r="F55" s="1040" t="s">
        <v>2366</v>
      </c>
      <c r="G55" s="1117">
        <f>_xlfn.XLOOKUP(B55,[1]Detalhamento!$A:$A,[1]Detalhamento!$I:$I)</f>
        <v>46007</v>
      </c>
      <c r="H55" s="1117">
        <f>_xlfn.XLOOKUP(B55,[1]Detalhamento!$A:$A,[1]Detalhamento!$J:$J)</f>
        <v>46168</v>
      </c>
      <c r="I55" s="1074">
        <f>IFERROR(_xlfn.XLOOKUP(B55,[1]Detalhamento!$A:$A,[1]Detalhamento!$E:$E)," - ")</f>
        <v>130748</v>
      </c>
      <c r="J55" s="1158">
        <f>_xlfn.XLOOKUP(B55,[1]Detalhamento!$A:$A,[1]Detalhamento!$O:$O)</f>
        <v>46204</v>
      </c>
      <c r="K55" s="1121">
        <v>12</v>
      </c>
      <c r="L55" s="1074"/>
      <c r="M55" s="1119"/>
      <c r="N55" s="1053"/>
      <c r="O55" s="1057" t="s">
        <v>80</v>
      </c>
      <c r="P55" s="1057"/>
      <c r="Q55" s="1062" t="s">
        <v>2360</v>
      </c>
      <c r="R55" s="91" t="s">
        <v>106</v>
      </c>
      <c r="S55" s="91">
        <f>_xlfn.XLOOKUP(B55,[1]Detalhamento!$A:$A,[1]Detalhamento!$M:$M)</f>
        <v>0.72727272727272729</v>
      </c>
      <c r="T55" s="309">
        <f>IFERROR(IF(AND(T$30&gt;=EOMONTH($J55,-1)+1,T$30&lt;=EOMONTH(EOMONTH($J55,-1)+1,$K55-1)),IF(NOT(ISBLANK($N55)),$N55/$K55,$I55/$K55),0),0)</f>
        <v>0</v>
      </c>
      <c r="U55" s="309">
        <f>IFERROR(IF(AND(U$30&gt;=EOMONTH($J55,-1)+1,U$30&lt;=EOMONTH(EOMONTH($J55,-1)+1,$K55-1)),IF(NOT(ISBLANK($N55)),$N55/$K55,$I55/$K55),0),0)</f>
        <v>0</v>
      </c>
      <c r="V55" s="309">
        <f>IFERROR(IF(AND(V$30&gt;=EOMONTH($J55,-1)+1,V$30&lt;=EOMONTH(EOMONTH($J55,-1)+1,$K55-1)),IF(NOT(ISBLANK($N55)),$N55/$K55,$I55/$K55),0),0)</f>
        <v>0</v>
      </c>
      <c r="W55" s="469">
        <f t="shared" si="22"/>
        <v>0</v>
      </c>
      <c r="X55" s="309">
        <f>IFERROR(IF(AND(X$30&gt;=EOMONTH($J55,-1)+1,X$30&lt;=EOMONTH(EOMONTH($J55,-1)+1,$K55-1)),IF(NOT(ISBLANK($N55)),$N55/$K55,$I55/$K55),0),0)</f>
        <v>0</v>
      </c>
      <c r="Y55" s="309">
        <f>IFERROR(IF(AND(Y$30&gt;=EOMONTH($J55,-1)+1,Y$30&lt;=EOMONTH(EOMONTH($J55,-1)+1,$K55-1)),IF(NOT(ISBLANK($N55)),$N55/$K55,$I55/$K55),0),0)</f>
        <v>0</v>
      </c>
      <c r="Z55" s="309">
        <f>IFERROR(IF(AND(Z$30&gt;=EOMONTH($J55,-1)+1,Z$30&lt;=EOMONTH(EOMONTH($J55,-1)+1,$K55-1)),IF(NOT(ISBLANK($N55)),$N55/$K55,$I55/$K55),0),0)</f>
        <v>0</v>
      </c>
      <c r="AA55" s="469">
        <f t="shared" si="20"/>
        <v>0</v>
      </c>
      <c r="AB55" s="309">
        <f>IFERROR(IF(AND(AB$30&gt;=EOMONTH($J55,-1)+1,AB$30&lt;=EOMONTH(EOMONTH($J55,-1)+1,$K55-1)),IF(NOT(ISBLANK($N55)),$N55/$K55,$I55/$K55),0),0)</f>
        <v>10895.666666666666</v>
      </c>
      <c r="AC55" s="309">
        <f>IFERROR(IF(AND(AC$30&gt;=EOMONTH($J55,-1)+1,AC$30&lt;=EOMONTH(EOMONTH($J55,-1)+1,$K55-1)),IF(NOT(ISBLANK($N55)),$N55/$K55,$I55/$K55),0),0)</f>
        <v>10895.666666666666</v>
      </c>
      <c r="AD55" s="309">
        <f>IFERROR(IF(AND(AD$30&gt;=EOMONTH($J55,-1)+1,AD$30&lt;=EOMONTH(EOMONTH($J55,-1)+1,$K55-1)),IF(NOT(ISBLANK($N55)),$N55/$K55,$I55/$K55),0),0)</f>
        <v>10895.666666666666</v>
      </c>
      <c r="AE55" s="469">
        <f t="shared" si="21"/>
        <v>32687</v>
      </c>
      <c r="AF55" s="309">
        <f>IFERROR(IF(AND(AF$30&gt;=EOMONTH($J55,-1)+1,AF$30&lt;=EOMONTH(EOMONTH($J55,-1)+1,$K55-1)),IF(NOT(ISBLANK($N55)),$N55/$K55,$I55/$K55),0),0)</f>
        <v>10895.666666666666</v>
      </c>
      <c r="AG55" s="309">
        <f>IFERROR(IF(AND(AG$30&gt;=EOMONTH($J55,-1)+1,AG$30&lt;=EOMONTH(EOMONTH($J55,-1)+1,$K55-1)),IF(NOT(ISBLANK($N55)),$N55/$K55,$I55/$K55),0),0)</f>
        <v>10895.666666666666</v>
      </c>
      <c r="AH55" s="309">
        <f>IFERROR(IF(AND(AH$30&gt;=EOMONTH($J55,-1)+1,AH$30&lt;=EOMONTH(EOMONTH($J55,-1)+1,$K55-1)),IF(NOT(ISBLANK($N55)),$N55/$K55,$I55/$K55),0),0)</f>
        <v>10895.666666666666</v>
      </c>
      <c r="AI55" s="469">
        <f t="shared" si="14"/>
        <v>32687</v>
      </c>
      <c r="AJ55" s="116">
        <f t="shared" si="16"/>
        <v>65373.999999999993</v>
      </c>
      <c r="AK55" s="1040"/>
      <c r="AL55" s="1040"/>
      <c r="AM55" s="1048"/>
      <c r="AN55" s="1046">
        <f>I55*AM55</f>
        <v>0</v>
      </c>
      <c r="AO55" s="595" t="str">
        <f>D55</f>
        <v>Testes e troca do fornecedor de insumos de usinagem</v>
      </c>
      <c r="AP55" s="62" t="s">
        <v>289</v>
      </c>
      <c r="AQ55" s="543" t="str" cm="1">
        <f t="array" aca="1" ref="AQ55" ca="1">IF(OR(AO55="",AO55=0),"",IF(SUMPRODUCT(($D$31:$D$146=AO55)*($R$31:$R$146="Previsto")*($T$30:$AH$30&lt;EOMONTH(TODAY(),-1)+1)*($T$31:$AH$146))=0,"",SUMPRODUCT(($D$31:$D$146=AO55)*($R$31:$R$146="Previsto")*($T$30:$AH$30&lt;EOMONTH(TODAY(),-1)+1)*($T$31:$AH$146))))</f>
        <v/>
      </c>
    </row>
    <row r="56" spans="1:43" ht="29.1" customHeight="1" x14ac:dyDescent="0.3">
      <c r="A56" s="1037"/>
      <c r="B56" s="1114"/>
      <c r="C56" s="1037"/>
      <c r="D56" s="1116"/>
      <c r="E56" s="1082"/>
      <c r="F56" s="1041"/>
      <c r="G56" s="1118"/>
      <c r="H56" s="1118"/>
      <c r="I56" s="1075"/>
      <c r="J56" s="1159"/>
      <c r="K56" s="1122"/>
      <c r="L56" s="1075"/>
      <c r="M56" s="1120"/>
      <c r="N56" s="1054"/>
      <c r="O56" s="1058"/>
      <c r="P56" s="1058"/>
      <c r="Q56" s="1063"/>
      <c r="R56" s="91" t="s">
        <v>107</v>
      </c>
      <c r="S56" s="481">
        <f>_xlfn.XLOOKUP(B55,[1]Detalhamento!$A:$A,[1]Detalhamento!$N:$N)</f>
        <v>0.63636363636363635</v>
      </c>
      <c r="T56" s="309"/>
      <c r="U56" s="309"/>
      <c r="V56" s="309"/>
      <c r="W56" s="469">
        <f t="shared" si="22"/>
        <v>0</v>
      </c>
      <c r="X56" s="309"/>
      <c r="Y56" s="309"/>
      <c r="Z56" s="309"/>
      <c r="AA56" s="469">
        <f t="shared" si="20"/>
        <v>0</v>
      </c>
      <c r="AB56" s="309"/>
      <c r="AC56" s="309"/>
      <c r="AD56" s="309"/>
      <c r="AE56" s="469">
        <f t="shared" si="21"/>
        <v>0</v>
      </c>
      <c r="AF56" s="309"/>
      <c r="AG56" s="309"/>
      <c r="AH56" s="309"/>
      <c r="AI56" s="469">
        <f t="shared" si="14"/>
        <v>0</v>
      </c>
      <c r="AJ56" s="483">
        <f t="shared" si="16"/>
        <v>0</v>
      </c>
      <c r="AK56" s="1041"/>
      <c r="AL56" s="1041"/>
      <c r="AM56" s="1049"/>
      <c r="AN56" s="1047"/>
      <c r="AO56" s="596" t="str">
        <f>D55</f>
        <v>Testes e troca do fornecedor de insumos de usinagem</v>
      </c>
      <c r="AP56" s="62" t="s">
        <v>291</v>
      </c>
      <c r="AQ56" s="543" t="str" cm="1">
        <f t="array" aca="1" ref="AQ56" ca="1">IF(OR(AO56="",AO56=0),"",IF(SUMPRODUCT(($D$31:$D$146=AO56)*(ISNUMBER(SEARCH("Real",$R$32:$R$147)))*($T$30:$AH$30&lt;EOMONTH(TODAY(),-1)+1)*($T$32:$AH$147))=0,"",SUMPRODUCT(($D$31:$D$146=AO56)*(ISNUMBER(SEARCH("Real",$R$32:$R$147)))*($T$30:$AH$30&lt;EOMONTH(TODAY(),-1)+1)*($T$32:$AH$147))))</f>
        <v/>
      </c>
    </row>
    <row r="57" spans="1:43" ht="29.1" customHeight="1" x14ac:dyDescent="0.3">
      <c r="A57" s="1093" t="s">
        <v>310</v>
      </c>
      <c r="B57" s="1138" t="s">
        <v>2405</v>
      </c>
      <c r="C57" s="1038" t="s">
        <v>91</v>
      </c>
      <c r="D57" s="1140" t="s">
        <v>2406</v>
      </c>
      <c r="E57" s="1147" t="s">
        <v>2407</v>
      </c>
      <c r="F57" s="1142" t="s">
        <v>2408</v>
      </c>
      <c r="G57" s="1144">
        <f>_xlfn.XLOOKUP(B57,[1]Detalhamento!$A:$A,[1]Detalhamento!$I:$I)</f>
        <v>45933</v>
      </c>
      <c r="H57" s="1144">
        <f>_xlfn.XLOOKUP(B57,[1]Detalhamento!$A:$A,[1]Detalhamento!$J:$J)</f>
        <v>46010</v>
      </c>
      <c r="I57" s="1076">
        <f>IFERROR(_xlfn.XLOOKUP(B57,[1]Detalhamento!$A:$A,[1]Detalhamento!$E:$E)," - ")</f>
        <v>43500</v>
      </c>
      <c r="J57" s="1154">
        <f>_xlfn.XLOOKUP(B57,[1]Detalhamento!$A:$A,[1]Detalhamento!$O:$O)</f>
        <v>46038</v>
      </c>
      <c r="K57" s="1213">
        <v>12</v>
      </c>
      <c r="L57" s="1076"/>
      <c r="M57" s="1119" t="s">
        <v>287</v>
      </c>
      <c r="N57" s="1053">
        <v>39476.28</v>
      </c>
      <c r="O57" s="1042" t="s">
        <v>77</v>
      </c>
      <c r="P57" s="1042"/>
      <c r="Q57" s="1064" t="s">
        <v>25</v>
      </c>
      <c r="R57" s="96" t="s">
        <v>106</v>
      </c>
      <c r="S57" s="96">
        <f>_xlfn.XLOOKUP(B57,[1]Detalhamento!$A:$A,[1]Detalhamento!$M:$M)</f>
        <v>1</v>
      </c>
      <c r="T57" s="532">
        <f>IFERROR(IF(AND(T$30&gt;=EOMONTH($J57,-1)+1,T$30&lt;=EOMONTH(EOMONTH($J57,-1)+1,$K57-1)),IF(NOT(ISBLANK($N57)),$N57/$K57,$I57/$K57),0),0)</f>
        <v>3289.69</v>
      </c>
      <c r="U57" s="532">
        <f>IFERROR(IF(AND(U$30&gt;=EOMONTH($J57,-1)+1,U$30&lt;=EOMONTH(EOMONTH($J57,-1)+1,$K57-1)),IF(NOT(ISBLANK($N57)),$N57/$K57,$I57/$K57),0),0)</f>
        <v>3289.69</v>
      </c>
      <c r="V57" s="532">
        <f>IFERROR(IF(AND(V$30&gt;=EOMONTH($J57,-1)+1,V$30&lt;=EOMONTH(EOMONTH($J57,-1)+1,$K57-1)),IF(NOT(ISBLANK($N57)),$N57/$K57,$I57/$K57),0),0)</f>
        <v>3289.69</v>
      </c>
      <c r="W57" s="469">
        <f t="shared" si="22"/>
        <v>9869.07</v>
      </c>
      <c r="X57" s="717">
        <f>IFERROR(IF(AND(X$30&gt;=EOMONTH($J57,-1)+1,X$30&lt;=EOMONTH(EOMONTH($J57,-1)+1,$K57-1)),IF(NOT(ISBLANK($N57)),$N57/$K57,$I57/$K57),0),0)</f>
        <v>3289.69</v>
      </c>
      <c r="Y57" s="532">
        <f>IFERROR(IF(AND(Y$30&gt;=EOMONTH($J57,-1)+1,Y$30&lt;=EOMONTH(EOMONTH($J57,-1)+1,$K57-1)),IF(NOT(ISBLANK($N57)),$N57/$K57,$I57/$K57),0),0)</f>
        <v>3289.69</v>
      </c>
      <c r="Z57" s="532">
        <f>IFERROR(IF(AND(Z$30&gt;=EOMONTH($J57,-1)+1,Z$30&lt;=EOMONTH(EOMONTH($J57,-1)+1,$K57-1)),IF(NOT(ISBLANK($N57)),$N57/$K57,$I57/$K57),0),0)</f>
        <v>3289.69</v>
      </c>
      <c r="AA57" s="469">
        <f t="shared" si="20"/>
        <v>9869.07</v>
      </c>
      <c r="AB57" s="532">
        <f>IFERROR(IF(AND(AB$30&gt;=EOMONTH($J57,-1)+1,AB$30&lt;=EOMONTH(EOMONTH($J57,-1)+1,$K57-1)),IF(NOT(ISBLANK($N57)),$N57/$K57,$I57/$K57),0),0)</f>
        <v>3289.69</v>
      </c>
      <c r="AC57" s="532">
        <f>IFERROR(IF(AND(AC$30&gt;=EOMONTH($J57,-1)+1,AC$30&lt;=EOMONTH(EOMONTH($J57,-1)+1,$K57-1)),IF(NOT(ISBLANK($N57)),$N57/$K57,$I57/$K57),0),0)</f>
        <v>3289.69</v>
      </c>
      <c r="AD57" s="532">
        <f>IFERROR(IF(AND(AD$30&gt;=EOMONTH($J57,-1)+1,AD$30&lt;=EOMONTH(EOMONTH($J57,-1)+1,$K57-1)),IF(NOT(ISBLANK($N57)),$N57/$K57,$I57/$K57),0),0)</f>
        <v>3289.69</v>
      </c>
      <c r="AE57" s="469">
        <f t="shared" si="21"/>
        <v>9869.07</v>
      </c>
      <c r="AF57" s="532">
        <f>IFERROR(IF(AND(AF$30&gt;=EOMONTH($J57,-1)+1,AF$30&lt;=EOMONTH(EOMONTH($J57,-1)+1,$K57-1)),IF(NOT(ISBLANK($N57)),$N57/$K57,$I57/$K57),0),0)</f>
        <v>3289.69</v>
      </c>
      <c r="AG57" s="532">
        <f>IFERROR(IF(AND(AG$30&gt;=EOMONTH($J57,-1)+1,AG$30&lt;=EOMONTH(EOMONTH($J57,-1)+1,$K57-1)),IF(NOT(ISBLANK($N57)),$N57/$K57,$I57/$K57),0),0)</f>
        <v>3289.69</v>
      </c>
      <c r="AH57" s="532">
        <f>IFERROR(IF(AND(AH$30&gt;=EOMONTH($J57,-1)+1,AH$30&lt;=EOMONTH(EOMONTH($J57,-1)+1,$K57-1)),IF(NOT(ISBLANK($N57)),$N57/$K57,$I57/$K57),0),0)</f>
        <v>3289.69</v>
      </c>
      <c r="AI57" s="469">
        <f t="shared" si="14"/>
        <v>9869.07</v>
      </c>
      <c r="AJ57" s="94">
        <f t="shared" si="16"/>
        <v>39476.28</v>
      </c>
      <c r="AK57" s="1038"/>
      <c r="AL57" s="1038"/>
      <c r="AM57" s="1042"/>
      <c r="AN57" s="1044">
        <f>I57*AM57</f>
        <v>0</v>
      </c>
      <c r="AO57" s="595" t="str">
        <f>D57</f>
        <v>Mudança de Modalidade Gerador Anchieta</v>
      </c>
      <c r="AP57" s="62" t="s">
        <v>289</v>
      </c>
      <c r="AQ57" s="543" cm="1">
        <f t="array" aca="1" ref="AQ57" ca="1">IF(OR(AO57="",AO57=0),"",IF(SUMPRODUCT(($D$31:$D$146=AO57)*($R$31:$R$146="Previsto")*($T$30:$AH$30&lt;EOMONTH(TODAY(),-1)+1)*($T$31:$AH$146))=0,"",SUMPRODUCT(($D$31:$D$146=AO57)*($R$31:$R$146="Previsto")*($T$30:$AH$30&lt;EOMONTH(TODAY(),-1)+1)*($T$31:$AH$146))))</f>
        <v>16448.45</v>
      </c>
    </row>
    <row r="58" spans="1:43" ht="29.1" customHeight="1" x14ac:dyDescent="0.3">
      <c r="A58" s="1094"/>
      <c r="B58" s="1139"/>
      <c r="C58" s="1039"/>
      <c r="D58" s="1141"/>
      <c r="E58" s="1148"/>
      <c r="F58" s="1143"/>
      <c r="G58" s="1145"/>
      <c r="H58" s="1145"/>
      <c r="I58" s="1077"/>
      <c r="J58" s="1155"/>
      <c r="K58" s="1214"/>
      <c r="L58" s="1077"/>
      <c r="M58" s="1120"/>
      <c r="N58" s="1054"/>
      <c r="O58" s="1043"/>
      <c r="P58" s="1043"/>
      <c r="Q58" s="1065"/>
      <c r="R58" s="96" t="s">
        <v>107</v>
      </c>
      <c r="S58" s="482">
        <f>_xlfn.XLOOKUP(B57,[1]Detalhamento!$A:$A,[1]Detalhamento!$N:$N)</f>
        <v>1</v>
      </c>
      <c r="T58" s="532">
        <v>3289.69</v>
      </c>
      <c r="U58" s="532">
        <v>3289.69</v>
      </c>
      <c r="V58" s="775">
        <v>3289.69</v>
      </c>
      <c r="W58" s="469">
        <f t="shared" si="22"/>
        <v>9869.07</v>
      </c>
      <c r="X58" s="532"/>
      <c r="Y58" s="532"/>
      <c r="Z58" s="532"/>
      <c r="AA58" s="469">
        <f t="shared" si="20"/>
        <v>0</v>
      </c>
      <c r="AB58" s="532"/>
      <c r="AC58" s="532"/>
      <c r="AD58" s="532"/>
      <c r="AE58" s="469">
        <f t="shared" si="21"/>
        <v>0</v>
      </c>
      <c r="AF58" s="532"/>
      <c r="AG58" s="532"/>
      <c r="AH58" s="532"/>
      <c r="AI58" s="469">
        <f t="shared" si="14"/>
        <v>0</v>
      </c>
      <c r="AJ58" s="94">
        <f t="shared" si="16"/>
        <v>9869.07</v>
      </c>
      <c r="AK58" s="1039"/>
      <c r="AL58" s="1039"/>
      <c r="AM58" s="1043"/>
      <c r="AN58" s="1045"/>
      <c r="AO58" s="596" t="str">
        <f>D57</f>
        <v>Mudança de Modalidade Gerador Anchieta</v>
      </c>
      <c r="AP58" s="62" t="s">
        <v>291</v>
      </c>
      <c r="AQ58" s="543" cm="1">
        <f t="array" aca="1" ref="AQ58" ca="1">IF(OR(AO58="",AO58=0),"",IF(SUMPRODUCT(($D$31:$D$146=AO58)*(ISNUMBER(SEARCH("Real",$R$32:$R$147)))*($T$30:$AH$30&lt;EOMONTH(TODAY(),-1)+1)*($T$32:$AH$147))=0,"",SUMPRODUCT(($D$31:$D$146=AO58)*(ISNUMBER(SEARCH("Real",$R$32:$R$147)))*($T$30:$AH$30&lt;EOMONTH(TODAY(),-1)+1)*($T$32:$AH$147))))</f>
        <v>9869.07</v>
      </c>
    </row>
    <row r="59" spans="1:43" ht="29.1" customHeight="1" x14ac:dyDescent="0.3">
      <c r="A59" s="1036" t="s">
        <v>310</v>
      </c>
      <c r="B59" s="1125" t="s">
        <v>2409</v>
      </c>
      <c r="C59" s="1036" t="s">
        <v>94</v>
      </c>
      <c r="D59" s="1127" t="s">
        <v>2410</v>
      </c>
      <c r="E59" s="1089" t="s">
        <v>2411</v>
      </c>
      <c r="F59" s="1129" t="s">
        <v>2383</v>
      </c>
      <c r="G59" s="1131">
        <f>_xlfn.XLOOKUP(B59,[1]Detalhamento!$A:$A,[1]Detalhamento!$I:$I)</f>
        <v>46027</v>
      </c>
      <c r="H59" s="1131">
        <f>_xlfn.XLOOKUP(B59,[1]Detalhamento!$A:$A,[1]Detalhamento!$J:$J)</f>
        <v>46073</v>
      </c>
      <c r="I59" s="1133">
        <f>IFERROR(_xlfn.XLOOKUP(B59,[1]Detalhamento!$A:$A,[1]Detalhamento!$E:$E)," - ")</f>
        <v>72408</v>
      </c>
      <c r="J59" s="1156">
        <f>_xlfn.XLOOKUP(B59,[1]Detalhamento!$A:$A,[1]Detalhamento!$O:$O)</f>
        <v>46111</v>
      </c>
      <c r="K59" s="1211">
        <v>12</v>
      </c>
      <c r="L59" s="1123"/>
      <c r="M59" s="1105"/>
      <c r="N59" s="1053"/>
      <c r="O59" s="1057" t="s">
        <v>77</v>
      </c>
      <c r="P59" s="1057"/>
      <c r="Q59" s="1062" t="s">
        <v>2360</v>
      </c>
      <c r="R59" s="91" t="s">
        <v>106</v>
      </c>
      <c r="S59" s="91">
        <f>_xlfn.XLOOKUP(B59,[1]Detalhamento!$A:$A,[1]Detalhamento!$M:$M)</f>
        <v>1</v>
      </c>
      <c r="T59" s="309">
        <f>IFERROR(IF(AND(T$30&gt;=EOMONTH($J59,-1)+1,T$30&lt;=EOMONTH(EOMONTH($J59,-1)+1,$K59-1)),IF(NOT(ISBLANK($N59)),$N59/$K59,$I59/$K59),0),0)</f>
        <v>0</v>
      </c>
      <c r="U59" s="309">
        <f>IFERROR(IF(AND(U$30&gt;=EOMONTH($J59,-1)+1,U$30&lt;=EOMONTH(EOMONTH($J59,-1)+1,$K59-1)),IF(NOT(ISBLANK($N59)),$N59/$K59,$I59/$K59),0),0)</f>
        <v>0</v>
      </c>
      <c r="V59" s="309">
        <f>IFERROR(IF(AND(V$30&gt;=EOMONTH($J59,-1)+1,V$30&lt;=EOMONTH(EOMONTH($J59,-1)+1,$K59-1)),IF(NOT(ISBLANK($N59)),$N59/$K59,$I59/$K59),0),0)</f>
        <v>6034</v>
      </c>
      <c r="W59" s="469">
        <f t="shared" si="22"/>
        <v>6034</v>
      </c>
      <c r="X59" s="642">
        <f>IFERROR(IF(AND(X$30&gt;=EOMONTH($J59,-1)+1,X$30&lt;=EOMONTH(EOMONTH($J59,-1)+1,$K59-1)),IF(NOT(ISBLANK($N59)),$N59/$K59,$I59/$K59),0),0)</f>
        <v>6034</v>
      </c>
      <c r="Y59" s="309">
        <f>IFERROR(IF(AND(Y$30&gt;=EOMONTH($J59,-1)+1,Y$30&lt;=EOMONTH(EOMONTH($J59,-1)+1,$K59-1)),IF(NOT(ISBLANK($N59)),$N59/$K59,$I59/$K59),0),0)</f>
        <v>6034</v>
      </c>
      <c r="Z59" s="309">
        <f>IFERROR(IF(AND(Z$30&gt;=EOMONTH($J59,-1)+1,Z$30&lt;=EOMONTH(EOMONTH($J59,-1)+1,$K59-1)),IF(NOT(ISBLANK($N59)),$N59/$K59,$I59/$K59),0),0)</f>
        <v>6034</v>
      </c>
      <c r="AA59" s="469">
        <f t="shared" si="20"/>
        <v>18102</v>
      </c>
      <c r="AB59" s="309">
        <f>IFERROR(IF(AND(AB$30&gt;=EOMONTH($J59,-1)+1,AB$30&lt;=EOMONTH(EOMONTH($J59,-1)+1,$K59-1)),IF(NOT(ISBLANK($N59)),$N59/$K59,$I59/$K59),0),0)</f>
        <v>6034</v>
      </c>
      <c r="AC59" s="309">
        <f>IFERROR(IF(AND(AC$30&gt;=EOMONTH($J59,-1)+1,AC$30&lt;=EOMONTH(EOMONTH($J59,-1)+1,$K59-1)),IF(NOT(ISBLANK($N59)),$N59/$K59,$I59/$K59),0),0)</f>
        <v>6034</v>
      </c>
      <c r="AD59" s="309">
        <f>IFERROR(IF(AND(AD$30&gt;=EOMONTH($J59,-1)+1,AD$30&lt;=EOMONTH(EOMONTH($J59,-1)+1,$K59-1)),IF(NOT(ISBLANK($N59)),$N59/$K59,$I59/$K59),0),0)</f>
        <v>6034</v>
      </c>
      <c r="AE59" s="469">
        <f t="shared" si="21"/>
        <v>18102</v>
      </c>
      <c r="AF59" s="309">
        <f>IFERROR(IF(AND(AF$30&gt;=EOMONTH($J59,-1)+1,AF$30&lt;=EOMONTH(EOMONTH($J59,-1)+1,$K59-1)),IF(NOT(ISBLANK($N59)),$N59/$K59,$I59/$K59),0),0)</f>
        <v>6034</v>
      </c>
      <c r="AG59" s="309">
        <f>IFERROR(IF(AND(AG$30&gt;=EOMONTH($J59,-1)+1,AG$30&lt;=EOMONTH(EOMONTH($J59,-1)+1,$K59-1)),IF(NOT(ISBLANK($N59)),$N59/$K59,$I59/$K59),0),0)</f>
        <v>6034</v>
      </c>
      <c r="AH59" s="309">
        <f>IFERROR(IF(AND(AH$30&gt;=EOMONTH($J59,-1)+1,AH$30&lt;=EOMONTH(EOMONTH($J59,-1)+1,$K59-1)),IF(NOT(ISBLANK($N59)),$N59/$K59,$I59/$K59),0),0)</f>
        <v>6034</v>
      </c>
      <c r="AI59" s="469">
        <f t="shared" si="14"/>
        <v>18102</v>
      </c>
      <c r="AJ59" s="116">
        <f t="shared" si="16"/>
        <v>60340</v>
      </c>
      <c r="AK59" s="1040"/>
      <c r="AL59" s="1040"/>
      <c r="AM59" s="1048"/>
      <c r="AN59" s="1046">
        <f>I59*AM59</f>
        <v>0</v>
      </c>
      <c r="AO59" s="595" t="str">
        <f>D59</f>
        <v>Modalidade Tarifária</v>
      </c>
      <c r="AP59" s="62" t="s">
        <v>289</v>
      </c>
      <c r="AQ59" s="543" cm="1">
        <f t="array" aca="1" ref="AQ59" ca="1">IF(OR(AO59="",AO59=0),"",IF(SUMPRODUCT(($D$31:$D$146=AO59)*($R$31:$R$146="Previsto")*($T$30:$AH$30&lt;EOMONTH(TODAY(),-1)+1)*($T$31:$AH$146))=0,"",SUMPRODUCT(($D$31:$D$146=AO59)*($R$31:$R$146="Previsto")*($T$30:$AH$30&lt;EOMONTH(TODAY(),-1)+1)*($T$31:$AH$146))))</f>
        <v>18102</v>
      </c>
    </row>
    <row r="60" spans="1:43" ht="29.1" customHeight="1" x14ac:dyDescent="0.3">
      <c r="A60" s="1037"/>
      <c r="B60" s="1126"/>
      <c r="C60" s="1037"/>
      <c r="D60" s="1128"/>
      <c r="E60" s="1090"/>
      <c r="F60" s="1130"/>
      <c r="G60" s="1132"/>
      <c r="H60" s="1132"/>
      <c r="I60" s="1134"/>
      <c r="J60" s="1157"/>
      <c r="K60" s="1212"/>
      <c r="L60" s="1124"/>
      <c r="M60" s="1106"/>
      <c r="N60" s="1054"/>
      <c r="O60" s="1058"/>
      <c r="P60" s="1058"/>
      <c r="Q60" s="1063"/>
      <c r="R60" s="91" t="s">
        <v>107</v>
      </c>
      <c r="S60" s="481">
        <f>_xlfn.XLOOKUP(B59,[1]Detalhamento!$A:$A,[1]Detalhamento!$N:$N)</f>
        <v>1</v>
      </c>
      <c r="T60" s="309"/>
      <c r="U60" s="309"/>
      <c r="V60" s="831"/>
      <c r="W60" s="469">
        <f t="shared" si="22"/>
        <v>0</v>
      </c>
      <c r="X60" s="309"/>
      <c r="Y60" s="309"/>
      <c r="Z60" s="309"/>
      <c r="AA60" s="469">
        <f t="shared" si="20"/>
        <v>0</v>
      </c>
      <c r="AB60" s="309"/>
      <c r="AC60" s="309"/>
      <c r="AD60" s="309"/>
      <c r="AE60" s="469">
        <f t="shared" si="21"/>
        <v>0</v>
      </c>
      <c r="AF60" s="309"/>
      <c r="AG60" s="309"/>
      <c r="AH60" s="309"/>
      <c r="AI60" s="469">
        <f t="shared" si="14"/>
        <v>0</v>
      </c>
      <c r="AJ60" s="483">
        <f t="shared" si="16"/>
        <v>0</v>
      </c>
      <c r="AK60" s="1041"/>
      <c r="AL60" s="1041"/>
      <c r="AM60" s="1049"/>
      <c r="AN60" s="1047"/>
      <c r="AO60" s="596" t="str">
        <f>D59</f>
        <v>Modalidade Tarifária</v>
      </c>
      <c r="AP60" s="62" t="s">
        <v>291</v>
      </c>
      <c r="AQ60" s="543" t="str" cm="1">
        <f t="array" aca="1" ref="AQ60" ca="1">IF(OR(AO60="",AO60=0),"",IF(SUMPRODUCT(($D$31:$D$146=AO60)*(ISNUMBER(SEARCH("Real",$R$32:$R$147)))*($T$30:$AH$30&lt;EOMONTH(TODAY(),-1)+1)*($T$32:$AH$147))=0,"",SUMPRODUCT(($D$31:$D$146=AO60)*(ISNUMBER(SEARCH("Real",$R$32:$R$147)))*($T$30:$AH$30&lt;EOMONTH(TODAY(),-1)+1)*($T$32:$AH$147))))</f>
        <v/>
      </c>
    </row>
    <row r="61" spans="1:43" ht="29.1" customHeight="1" x14ac:dyDescent="0.3">
      <c r="A61" s="1093" t="s">
        <v>310</v>
      </c>
      <c r="B61" s="1095" t="s">
        <v>2412</v>
      </c>
      <c r="C61" s="1038" t="s">
        <v>90</v>
      </c>
      <c r="D61" s="1097" t="s">
        <v>2413</v>
      </c>
      <c r="E61" s="1083" t="s">
        <v>2414</v>
      </c>
      <c r="F61" s="1099" t="s">
        <v>2415</v>
      </c>
      <c r="G61" s="1101">
        <f>_xlfn.XLOOKUP(B61,[1]Detalhamento!$A:$A,[1]Detalhamento!$I:$I)</f>
        <v>45855</v>
      </c>
      <c r="H61" s="1101">
        <f>_xlfn.XLOOKUP(B61,[1]Detalhamento!$A:$A,[1]Detalhamento!$J:$J)</f>
        <v>46099</v>
      </c>
      <c r="I61" s="1103">
        <f>IFERROR(_xlfn.XLOOKUP(B61,[1]Detalhamento!$A:$A,[1]Detalhamento!$E:$E)," - ")</f>
        <v>500000</v>
      </c>
      <c r="J61" s="1109">
        <v>46327</v>
      </c>
      <c r="K61" s="1111">
        <v>12</v>
      </c>
      <c r="L61" s="1076"/>
      <c r="M61" s="1072"/>
      <c r="N61" s="1055"/>
      <c r="O61" s="1042" t="s">
        <v>80</v>
      </c>
      <c r="P61" s="1042"/>
      <c r="Q61" s="1064" t="s">
        <v>2360</v>
      </c>
      <c r="R61" s="96" t="s">
        <v>106</v>
      </c>
      <c r="S61" s="96">
        <f>_xlfn.XLOOKUP(B61,[1]Detalhamento!$A:$A,[1]Detalhamento!$M:$M)</f>
        <v>0.76470588235294112</v>
      </c>
      <c r="T61" s="532">
        <f>IFERROR(IF(AND(T$30&gt;=EOMONTH($J61,-1)+1,T$30&lt;=EOMONTH(EOMONTH($J61,-1)+1,$K61-1)),IF(NOT(ISBLANK($N61)),$N61/$K61,$I61/$K61),0),0)</f>
        <v>0</v>
      </c>
      <c r="U61" s="532">
        <f>IFERROR(IF(AND(U$30&gt;=EOMONTH($J61,-1)+1,U$30&lt;=EOMONTH(EOMONTH($J61,-1)+1,$K61-1)),IF(NOT(ISBLANK($N61)),$N61/$K61,$I61/$K61),0),0)</f>
        <v>0</v>
      </c>
      <c r="V61" s="532">
        <f>IFERROR(IF(AND(V$30&gt;=EOMONTH($J61,-1)+1,V$30&lt;=EOMONTH(EOMONTH($J61,-1)+1,$K61-1)),IF(NOT(ISBLANK($N61)),$N61/$K61,$I61/$K61),0),0)</f>
        <v>0</v>
      </c>
      <c r="W61" s="469">
        <f t="shared" si="22"/>
        <v>0</v>
      </c>
      <c r="X61" s="532">
        <f>IFERROR(IF(AND(X$30&gt;=EOMONTH($J61,-1)+1,X$30&lt;=EOMONTH(EOMONTH($J61,-1)+1,$K61-1)),IF(NOT(ISBLANK($N61)),$N61/$K61,$I61/$K61),0),0)</f>
        <v>0</v>
      </c>
      <c r="Y61" s="532">
        <f>IFERROR(IF(AND(Y$30&gt;=EOMONTH($J61,-1)+1,Y$30&lt;=EOMONTH(EOMONTH($J61,-1)+1,$K61-1)),IF(NOT(ISBLANK($N61)),$N61/$K61,$I61/$K61),0),0)</f>
        <v>0</v>
      </c>
      <c r="Z61" s="532">
        <f>IFERROR(IF(AND(Z$30&gt;=EOMONTH($J61,-1)+1,Z$30&lt;=EOMONTH(EOMONTH($J61,-1)+1,$K61-1)),IF(NOT(ISBLANK($N61)),$N61/$K61,$I61/$K61),0),0)</f>
        <v>0</v>
      </c>
      <c r="AA61" s="469">
        <f t="shared" si="20"/>
        <v>0</v>
      </c>
      <c r="AB61" s="532">
        <f>IFERROR(IF(AND(AB$30&gt;=EOMONTH($J61,-1)+1,AB$30&lt;=EOMONTH(EOMONTH($J61,-1)+1,$K61-1)),IF(NOT(ISBLANK($N61)),$N61/$K61,$I61/$K61),0),0)</f>
        <v>0</v>
      </c>
      <c r="AC61" s="532">
        <f>IFERROR(IF(AND(AC$30&gt;=EOMONTH($J61,-1)+1,AC$30&lt;=EOMONTH(EOMONTH($J61,-1)+1,$K61-1)),IF(NOT(ISBLANK($N61)),$N61/$K61,$I61/$K61),0),0)</f>
        <v>0</v>
      </c>
      <c r="AD61" s="532">
        <f>IFERROR(IF(AND(AD$30&gt;=EOMONTH($J61,-1)+1,AD$30&lt;=EOMONTH(EOMONTH($J61,-1)+1,$K61-1)),IF(NOT(ISBLANK($N61)),$N61/$K61,$I61/$K61),0),0)</f>
        <v>0</v>
      </c>
      <c r="AE61" s="469">
        <f t="shared" si="21"/>
        <v>0</v>
      </c>
      <c r="AF61" s="532">
        <f>IFERROR(IF(AND(AF$30&gt;=EOMONTH($J61,-1)+1,AF$30&lt;=EOMONTH(EOMONTH($J61,-1)+1,$K61-1)),IF(NOT(ISBLANK($N61)),$N61/$K61,$I61/$K61),0),0)</f>
        <v>0</v>
      </c>
      <c r="AG61" s="532">
        <f>IFERROR(IF(AND(AG$30&gt;=EOMONTH($J61,-1)+1,AG$30&lt;=EOMONTH(EOMONTH($J61,-1)+1,$K61-1)),IF(NOT(ISBLANK($N61)),$N61/$K61,$I61/$K61),0),0)</f>
        <v>41666.666666666664</v>
      </c>
      <c r="AH61" s="532">
        <f>IFERROR(IF(AND(AH$30&gt;=EOMONTH($J61,-1)+1,AH$30&lt;=EOMONTH(EOMONTH($J61,-1)+1,$K61-1)),IF(NOT(ISBLANK($N61)),$N61/$K61,$I61/$K61),0),0)</f>
        <v>41666.666666666664</v>
      </c>
      <c r="AI61" s="469">
        <f t="shared" si="14"/>
        <v>83333.333333333328</v>
      </c>
      <c r="AJ61" s="94">
        <f t="shared" si="16"/>
        <v>83333.333333333328</v>
      </c>
      <c r="AK61" s="1038"/>
      <c r="AL61" s="1038"/>
      <c r="AM61" s="1042"/>
      <c r="AN61" s="1044">
        <f>I61*AM61</f>
        <v>0</v>
      </c>
      <c r="AO61" s="595" t="str">
        <f>D61</f>
        <v>Viabilizar Material Alternativo de Menor Custo para Utilização na Carcaça da Scania</v>
      </c>
      <c r="AP61" s="62" t="s">
        <v>289</v>
      </c>
      <c r="AQ61" s="543" t="str" cm="1">
        <f t="array" aca="1" ref="AQ61" ca="1">IF(OR(AO61="",AO61=0),"",IF(SUMPRODUCT(($D$31:$D$146=AO61)*($R$31:$R$146="Previsto")*($T$30:$AH$30&lt;EOMONTH(TODAY(),-1)+1)*($T$31:$AH$146))=0,"",SUMPRODUCT(($D$31:$D$146=AO61)*($R$31:$R$146="Previsto")*($T$30:$AH$30&lt;EOMONTH(TODAY(),-1)+1)*($T$31:$AH$146))))</f>
        <v/>
      </c>
    </row>
    <row r="62" spans="1:43" ht="29.1" customHeight="1" x14ac:dyDescent="0.3">
      <c r="A62" s="1094"/>
      <c r="B62" s="1096"/>
      <c r="C62" s="1039"/>
      <c r="D62" s="1098"/>
      <c r="E62" s="1084"/>
      <c r="F62" s="1100"/>
      <c r="G62" s="1102"/>
      <c r="H62" s="1102"/>
      <c r="I62" s="1104"/>
      <c r="J62" s="1110"/>
      <c r="K62" s="1112"/>
      <c r="L62" s="1077"/>
      <c r="M62" s="1073"/>
      <c r="N62" s="1056"/>
      <c r="O62" s="1043"/>
      <c r="P62" s="1043"/>
      <c r="Q62" s="1065"/>
      <c r="R62" s="96" t="s">
        <v>107</v>
      </c>
      <c r="S62" s="482">
        <f>_xlfn.XLOOKUP(B61,[1]Detalhamento!$A:$A,[1]Detalhamento!$N:$N)</f>
        <v>0.76470588235294112</v>
      </c>
      <c r="T62" s="532"/>
      <c r="U62" s="532"/>
      <c r="V62" s="532"/>
      <c r="W62" s="469">
        <f t="shared" si="22"/>
        <v>0</v>
      </c>
      <c r="X62" s="532"/>
      <c r="Y62" s="532"/>
      <c r="Z62" s="532"/>
      <c r="AA62" s="469">
        <f t="shared" si="20"/>
        <v>0</v>
      </c>
      <c r="AB62" s="532"/>
      <c r="AC62" s="532"/>
      <c r="AD62" s="532"/>
      <c r="AE62" s="469">
        <f t="shared" si="21"/>
        <v>0</v>
      </c>
      <c r="AF62" s="532"/>
      <c r="AG62" s="532"/>
      <c r="AH62" s="532"/>
      <c r="AI62" s="469">
        <f t="shared" si="14"/>
        <v>0</v>
      </c>
      <c r="AJ62" s="94">
        <f t="shared" si="16"/>
        <v>0</v>
      </c>
      <c r="AK62" s="1039"/>
      <c r="AL62" s="1039"/>
      <c r="AM62" s="1043"/>
      <c r="AN62" s="1045"/>
      <c r="AO62" s="596" t="str">
        <f>D61</f>
        <v>Viabilizar Material Alternativo de Menor Custo para Utilização na Carcaça da Scania</v>
      </c>
      <c r="AP62" s="62" t="s">
        <v>291</v>
      </c>
      <c r="AQ62" s="543" t="str" cm="1">
        <f t="array" aca="1" ref="AQ62" ca="1">IF(OR(AO62="",AO62=0),"",IF(SUMPRODUCT(($D$31:$D$146=AO62)*(ISNUMBER(SEARCH("Real",$R$32:$R$147)))*($T$30:$AH$30&lt;EOMONTH(TODAY(),-1)+1)*($T$32:$AH$147))=0,"",SUMPRODUCT(($D$31:$D$146=AO62)*(ISNUMBER(SEARCH("Real",$R$32:$R$147)))*($T$30:$AH$30&lt;EOMONTH(TODAY(),-1)+1)*($T$32:$AH$147))))</f>
        <v/>
      </c>
    </row>
    <row r="63" spans="1:43" ht="29.1" customHeight="1" x14ac:dyDescent="0.3">
      <c r="A63" s="1036" t="s">
        <v>310</v>
      </c>
      <c r="B63" s="1095" t="s">
        <v>2416</v>
      </c>
      <c r="C63" s="1036" t="s">
        <v>90</v>
      </c>
      <c r="D63" s="1162" t="s">
        <v>2417</v>
      </c>
      <c r="E63" s="1083" t="s">
        <v>2418</v>
      </c>
      <c r="F63" s="1099" t="s">
        <v>2415</v>
      </c>
      <c r="G63" s="1101">
        <f>_xlfn.XLOOKUP(B63,[1]Detalhamento!$A:$A,[1]Detalhamento!$I:$I)</f>
        <v>45810</v>
      </c>
      <c r="H63" s="1101">
        <f>_xlfn.XLOOKUP(B63,[1]Detalhamento!$A:$A,[1]Detalhamento!$J:$J)</f>
        <v>45933</v>
      </c>
      <c r="I63" s="1103">
        <f>IFERROR(_xlfn.XLOOKUP(B63,[1]Detalhamento!$A:$A,[1]Detalhamento!$E:$E)," - ")</f>
        <v>317391</v>
      </c>
      <c r="J63" s="1163">
        <f>_xlfn.XLOOKUP(B63,[1]Detalhamento!$A:$A,[1]Detalhamento!$O:$O)</f>
        <v>46082</v>
      </c>
      <c r="K63" s="1111">
        <v>12</v>
      </c>
      <c r="L63" s="1103"/>
      <c r="M63" s="1091"/>
      <c r="N63" s="1053"/>
      <c r="O63" s="1057" t="s">
        <v>77</v>
      </c>
      <c r="P63" s="1057"/>
      <c r="Q63" s="1062" t="s">
        <v>2360</v>
      </c>
      <c r="R63" s="91" t="s">
        <v>106</v>
      </c>
      <c r="S63" s="91">
        <f>_xlfn.XLOOKUP(B63,[1]Detalhamento!$A:$A,[1]Detalhamento!$M:$M)</f>
        <v>1</v>
      </c>
      <c r="T63" s="309">
        <f>IFERROR(IF(AND(T$30&gt;=EOMONTH($J63,-1)+1,T$30&lt;=EOMONTH(EOMONTH($J63,-1)+1,$K63-1)),IF(NOT(ISBLANK($N63)),$N63/$K63,$I63/$K63),0),0)</f>
        <v>0</v>
      </c>
      <c r="U63" s="309">
        <f>IFERROR(IF(AND(U$30&gt;=EOMONTH($J63,-1)+1,U$30&lt;=EOMONTH(EOMONTH($J63,-1)+1,$K63-1)),IF(NOT(ISBLANK($N63)),$N63/$K63,$I63/$K63),0),0)</f>
        <v>0</v>
      </c>
      <c r="V63" s="642">
        <f>IFERROR(IF(AND(V$30&gt;=EOMONTH($J63,-1)+1,V$30&lt;=EOMONTH(EOMONTH($J63,-1)+1,$K63-1)),IF(NOT(ISBLANK($N63)),$N63/$K63,$I63/$K63),0),0)</f>
        <v>26449.25</v>
      </c>
      <c r="W63" s="469">
        <f t="shared" si="22"/>
        <v>26449.25</v>
      </c>
      <c r="X63" s="642">
        <f>IFERROR(IF(AND(X$30&gt;=EOMONTH($J63,-1)+1,X$30&lt;=EOMONTH(EOMONTH($J63,-1)+1,$K63-1)),IF(NOT(ISBLANK($N63)),$N63/$K63,$I63/$K63),0),0)</f>
        <v>26449.25</v>
      </c>
      <c r="Y63" s="309">
        <f>IFERROR(IF(AND(Y$30&gt;=EOMONTH($J63,-1)+1,Y$30&lt;=EOMONTH(EOMONTH($J63,-1)+1,$K63-1)),IF(NOT(ISBLANK($N63)),$N63/$K63,$I63/$K63),0),0)</f>
        <v>26449.25</v>
      </c>
      <c r="Z63" s="309">
        <f>IFERROR(IF(AND(Z$30&gt;=EOMONTH($J63,-1)+1,Z$30&lt;=EOMONTH(EOMONTH($J63,-1)+1,$K63-1)),IF(NOT(ISBLANK($N63)),$N63/$K63,$I63/$K63),0),0)</f>
        <v>26449.25</v>
      </c>
      <c r="AA63" s="469">
        <f t="shared" si="20"/>
        <v>79347.75</v>
      </c>
      <c r="AB63" s="309">
        <f>IFERROR(IF(AND(AB$30&gt;=EOMONTH($J63,-1)+1,AB$30&lt;=EOMONTH(EOMONTH($J63,-1)+1,$K63-1)),IF(NOT(ISBLANK($N63)),$N63/$K63,$I63/$K63),0),0)</f>
        <v>26449.25</v>
      </c>
      <c r="AC63" s="309">
        <f>IFERROR(IF(AND(AC$30&gt;=EOMONTH($J63,-1)+1,AC$30&lt;=EOMONTH(EOMONTH($J63,-1)+1,$K63-1)),IF(NOT(ISBLANK($N63)),$N63/$K63,$I63/$K63),0),0)</f>
        <v>26449.25</v>
      </c>
      <c r="AD63" s="309">
        <f>IFERROR(IF(AND(AD$30&gt;=EOMONTH($J63,-1)+1,AD$30&lt;=EOMONTH(EOMONTH($J63,-1)+1,$K63-1)),IF(NOT(ISBLANK($N63)),$N63/$K63,$I63/$K63),0),0)</f>
        <v>26449.25</v>
      </c>
      <c r="AE63" s="469">
        <f t="shared" si="21"/>
        <v>79347.75</v>
      </c>
      <c r="AF63" s="309">
        <f>IFERROR(IF(AND(AF$30&gt;=EOMONTH($J63,-1)+1,AF$30&lt;=EOMONTH(EOMONTH($J63,-1)+1,$K63-1)),IF(NOT(ISBLANK($N63)),$N63/$K63,$I63/$K63),0),0)</f>
        <v>26449.25</v>
      </c>
      <c r="AG63" s="309">
        <f>IFERROR(IF(AND(AG$30&gt;=EOMONTH($J63,-1)+1,AG$30&lt;=EOMONTH(EOMONTH($J63,-1)+1,$K63-1)),IF(NOT(ISBLANK($N63)),$N63/$K63,$I63/$K63),0),0)</f>
        <v>26449.25</v>
      </c>
      <c r="AH63" s="309">
        <f>IFERROR(IF(AND(AH$30&gt;=EOMONTH($J63,-1)+1,AH$30&lt;=EOMONTH(EOMONTH($J63,-1)+1,$K63-1)),IF(NOT(ISBLANK($N63)),$N63/$K63,$I63/$K63),0),0)</f>
        <v>26449.25</v>
      </c>
      <c r="AI63" s="469">
        <f t="shared" ref="AI63:AI94" si="23">SUM(AF63:AH63)</f>
        <v>79347.75</v>
      </c>
      <c r="AJ63" s="116">
        <f t="shared" si="16"/>
        <v>264492.5</v>
      </c>
      <c r="AK63" s="1040"/>
      <c r="AL63" s="1040"/>
      <c r="AM63" s="1048"/>
      <c r="AN63" s="1046">
        <f>I63*AM63</f>
        <v>0</v>
      </c>
      <c r="AO63" s="595" t="str">
        <f>D63</f>
        <v>Viabilizar itens Usiminas via Gonvarri-Full Service</v>
      </c>
      <c r="AP63" s="62" t="s">
        <v>289</v>
      </c>
      <c r="AQ63" s="543" cm="1">
        <f t="array" aca="1" ref="AQ63" ca="1">IF(OR(AO63="",AO63=0),"",IF(SUMPRODUCT(($D$31:$D$146=AO63)*($R$31:$R$146="Previsto")*($T$30:$AH$30&lt;EOMONTH(TODAY(),-1)+1)*($T$31:$AH$146))=0,"",SUMPRODUCT(($D$31:$D$146=AO63)*($R$31:$R$146="Previsto")*($T$30:$AH$30&lt;EOMONTH(TODAY(),-1)+1)*($T$31:$AH$146))))</f>
        <v>79347.75</v>
      </c>
    </row>
    <row r="64" spans="1:43" ht="29.1" customHeight="1" x14ac:dyDescent="0.3">
      <c r="A64" s="1037"/>
      <c r="B64" s="1096"/>
      <c r="C64" s="1037"/>
      <c r="D64" s="1098"/>
      <c r="E64" s="1084"/>
      <c r="F64" s="1100"/>
      <c r="G64" s="1102"/>
      <c r="H64" s="1102"/>
      <c r="I64" s="1104"/>
      <c r="J64" s="1164"/>
      <c r="K64" s="1112"/>
      <c r="L64" s="1104"/>
      <c r="M64" s="1137"/>
      <c r="N64" s="1054"/>
      <c r="O64" s="1058"/>
      <c r="P64" s="1058"/>
      <c r="Q64" s="1063"/>
      <c r="R64" s="91" t="s">
        <v>107</v>
      </c>
      <c r="S64" s="481">
        <f>_xlfn.XLOOKUP(B63,[1]Detalhamento!$A:$A,[1]Detalhamento!$N:$N)</f>
        <v>1</v>
      </c>
      <c r="T64" s="309"/>
      <c r="U64" s="309"/>
      <c r="V64" s="570"/>
      <c r="W64" s="469">
        <f t="shared" si="22"/>
        <v>0</v>
      </c>
      <c r="X64" s="309"/>
      <c r="Y64" s="309"/>
      <c r="Z64" s="309"/>
      <c r="AA64" s="469">
        <f t="shared" si="20"/>
        <v>0</v>
      </c>
      <c r="AB64" s="309"/>
      <c r="AC64" s="309"/>
      <c r="AD64" s="309"/>
      <c r="AE64" s="469">
        <f t="shared" si="21"/>
        <v>0</v>
      </c>
      <c r="AF64" s="309"/>
      <c r="AG64" s="309"/>
      <c r="AH64" s="309"/>
      <c r="AI64" s="469">
        <f t="shared" si="23"/>
        <v>0</v>
      </c>
      <c r="AJ64" s="483">
        <f t="shared" si="16"/>
        <v>0</v>
      </c>
      <c r="AK64" s="1041"/>
      <c r="AL64" s="1041"/>
      <c r="AM64" s="1049"/>
      <c r="AN64" s="1047"/>
      <c r="AO64" s="596" t="str">
        <f>D63</f>
        <v>Viabilizar itens Usiminas via Gonvarri-Full Service</v>
      </c>
      <c r="AP64" s="62" t="s">
        <v>291</v>
      </c>
      <c r="AQ64" s="543" t="str" cm="1">
        <f t="array" aca="1" ref="AQ64" ca="1">IF(OR(AO64="",AO64=0),"",IF(SUMPRODUCT(($D$31:$D$146=AO64)*(ISNUMBER(SEARCH("Real",$R$32:$R$147)))*($T$30:$AH$30&lt;EOMONTH(TODAY(),-1)+1)*($T$32:$AH$147))=0,"",SUMPRODUCT(($D$31:$D$146=AO64)*(ISNUMBER(SEARCH("Real",$R$32:$R$147)))*($T$30:$AH$30&lt;EOMONTH(TODAY(),-1)+1)*($T$32:$AH$147))))</f>
        <v/>
      </c>
    </row>
    <row r="65" spans="1:43" ht="29.1" customHeight="1" x14ac:dyDescent="0.3">
      <c r="A65" s="1093" t="s">
        <v>310</v>
      </c>
      <c r="B65" s="1095" t="s">
        <v>2419</v>
      </c>
      <c r="C65" s="1038" t="s">
        <v>91</v>
      </c>
      <c r="D65" s="1097" t="s">
        <v>2420</v>
      </c>
      <c r="E65" s="1083" t="s">
        <v>2421</v>
      </c>
      <c r="F65" s="1099" t="s">
        <v>2422</v>
      </c>
      <c r="G65" s="1101">
        <f>_xlfn.XLOOKUP(B65,[1]Detalhamento!$A:$A,[1]Detalhamento!$I:$I)</f>
        <v>45845</v>
      </c>
      <c r="H65" s="1101">
        <f>_xlfn.XLOOKUP(B65,[1]Detalhamento!$A:$A,[1]Detalhamento!$J:$J)</f>
        <v>46146</v>
      </c>
      <c r="I65" s="1103" t="str">
        <f>IFERROR(_xlfn.XLOOKUP(B65,[1]Detalhamento!$A:$A,[1]Detalhamento!$E:$E)," - ")</f>
        <v>-</v>
      </c>
      <c r="J65" s="1109" t="str">
        <f>_xlfn.XLOOKUP(B65,[1]Detalhamento!$A:$A,[1]Detalhamento!$O:$O)</f>
        <v>-</v>
      </c>
      <c r="K65" s="1111">
        <v>12</v>
      </c>
      <c r="L65" s="1076"/>
      <c r="M65" s="1072"/>
      <c r="N65" s="1055"/>
      <c r="O65" s="1042" t="s">
        <v>80</v>
      </c>
      <c r="P65" s="1042"/>
      <c r="Q65" s="1064" t="s">
        <v>2360</v>
      </c>
      <c r="R65" s="96" t="s">
        <v>106</v>
      </c>
      <c r="S65" s="96">
        <f>_xlfn.XLOOKUP(B65,[1]Detalhamento!$A:$A,[1]Detalhamento!$M:$M)</f>
        <v>0.89423076923076927</v>
      </c>
      <c r="T65" s="532">
        <f>IFERROR(IF(AND(T$30&gt;=EOMONTH($J65,-1)+1,T$30&lt;=EOMONTH(EOMONTH($J65,-1)+1,$K65-1)),IF(NOT(ISBLANK($N65)),$N65/$K65,$I65/$K65),0),0)</f>
        <v>0</v>
      </c>
      <c r="U65" s="532">
        <f>IFERROR(IF(AND(U$30&gt;=EOMONTH($J65,-1)+1,U$30&lt;=EOMONTH(EOMONTH($J65,-1)+1,$K65-1)),IF(NOT(ISBLANK($N65)),$N65/$K65,$I65/$K65),0),0)</f>
        <v>0</v>
      </c>
      <c r="V65" s="532">
        <f>IFERROR(IF(AND(V$30&gt;=EOMONTH($J65,-1)+1,V$30&lt;=EOMONTH(EOMONTH($J65,-1)+1,$K65-1)),IF(NOT(ISBLANK($N65)),$N65/$K65,$I65/$K65),0),0)</f>
        <v>0</v>
      </c>
      <c r="W65" s="469">
        <f t="shared" si="22"/>
        <v>0</v>
      </c>
      <c r="X65" s="532">
        <f>IFERROR(IF(AND(X$30&gt;=EOMONTH($J65,-1)+1,X$30&lt;=EOMONTH(EOMONTH($J65,-1)+1,$K65-1)),IF(NOT(ISBLANK($N65)),$N65/$K65,$I65/$K65),0),0)</f>
        <v>0</v>
      </c>
      <c r="Y65" s="532">
        <f>IFERROR(IF(AND(Y$30&gt;=EOMONTH($J65,-1)+1,Y$30&lt;=EOMONTH(EOMONTH($J65,-1)+1,$K65-1)),IF(NOT(ISBLANK($N65)),$N65/$K65,$I65/$K65),0),0)</f>
        <v>0</v>
      </c>
      <c r="Z65" s="532">
        <f>IFERROR(IF(AND(Z$30&gt;=EOMONTH($J65,-1)+1,Z$30&lt;=EOMONTH(EOMONTH($J65,-1)+1,$K65-1)),IF(NOT(ISBLANK($N65)),$N65/$K65,$I65/$K65),0),0)</f>
        <v>0</v>
      </c>
      <c r="AA65" s="469">
        <f t="shared" si="20"/>
        <v>0</v>
      </c>
      <c r="AB65" s="532">
        <f>IFERROR(IF(AND(AB$30&gt;=EOMONTH($J65,-1)+1,AB$30&lt;=EOMONTH(EOMONTH($J65,-1)+1,$K65-1)),IF(NOT(ISBLANK($N65)),$N65/$K65,$I65/$K65),0),0)</f>
        <v>0</v>
      </c>
      <c r="AC65" s="532">
        <f>IFERROR(IF(AND(AC$30&gt;=EOMONTH($J65,-1)+1,AC$30&lt;=EOMONTH(EOMONTH($J65,-1)+1,$K65-1)),IF(NOT(ISBLANK($N65)),$N65/$K65,$I65/$K65),0),0)</f>
        <v>0</v>
      </c>
      <c r="AD65" s="532">
        <f>IFERROR(IF(AND(AD$30&gt;=EOMONTH($J65,-1)+1,AD$30&lt;=EOMONTH(EOMONTH($J65,-1)+1,$K65-1)),IF(NOT(ISBLANK($N65)),$N65/$K65,$I65/$K65),0),0)</f>
        <v>0</v>
      </c>
      <c r="AE65" s="469">
        <f t="shared" si="21"/>
        <v>0</v>
      </c>
      <c r="AF65" s="532">
        <f>IFERROR(IF(AND(AF$30&gt;=EOMONTH($J65,-1)+1,AF$30&lt;=EOMONTH(EOMONTH($J65,-1)+1,$K65-1)),IF(NOT(ISBLANK($N65)),$N65/$K65,$I65/$K65),0),0)</f>
        <v>0</v>
      </c>
      <c r="AG65" s="532">
        <f>IFERROR(IF(AND(AG$30&gt;=EOMONTH($J65,-1)+1,AG$30&lt;=EOMONTH(EOMONTH($J65,-1)+1,$K65-1)),IF(NOT(ISBLANK($N65)),$N65/$K65,$I65/$K65),0),0)</f>
        <v>0</v>
      </c>
      <c r="AH65" s="532">
        <f>IFERROR(IF(AND(AH$30&gt;=EOMONTH($J65,-1)+1,AH$30&lt;=EOMONTH(EOMONTH($J65,-1)+1,$K65-1)),IF(NOT(ISBLANK($N65)),$N65/$K65,$I65/$K65),0),0)</f>
        <v>0</v>
      </c>
      <c r="AI65" s="469">
        <f t="shared" si="23"/>
        <v>0</v>
      </c>
      <c r="AJ65" s="94">
        <f t="shared" si="16"/>
        <v>0</v>
      </c>
      <c r="AK65" s="1038"/>
      <c r="AL65" s="1038"/>
      <c r="AM65" s="1042"/>
      <c r="AN65" s="1046" t="e">
        <f>I65*AM65</f>
        <v>#VALUE!</v>
      </c>
      <c r="AO65" s="595" t="str">
        <f>D65</f>
        <v>Estudo de viabilidade compressores</v>
      </c>
      <c r="AP65" s="62" t="s">
        <v>289</v>
      </c>
      <c r="AQ65" s="543" t="str" cm="1">
        <f t="array" aca="1" ref="AQ65" ca="1">IF(OR(AO65="",AO65=0),"",IF(SUMPRODUCT(($D$31:$D$146=AO65)*($R$31:$R$146="Previsto")*($T$30:$AH$30&lt;EOMONTH(TODAY(),-1)+1)*($T$31:$AH$146))=0,"",SUMPRODUCT(($D$31:$D$146=AO65)*($R$31:$R$146="Previsto")*($T$30:$AH$30&lt;EOMONTH(TODAY(),-1)+1)*($T$31:$AH$146))))</f>
        <v/>
      </c>
    </row>
    <row r="66" spans="1:43" ht="29.1" customHeight="1" x14ac:dyDescent="0.3">
      <c r="A66" s="1094"/>
      <c r="B66" s="1096"/>
      <c r="C66" s="1039"/>
      <c r="D66" s="1098"/>
      <c r="E66" s="1084"/>
      <c r="F66" s="1100"/>
      <c r="G66" s="1102"/>
      <c r="H66" s="1102"/>
      <c r="I66" s="1104"/>
      <c r="J66" s="1110"/>
      <c r="K66" s="1112"/>
      <c r="L66" s="1077"/>
      <c r="M66" s="1073"/>
      <c r="N66" s="1056"/>
      <c r="O66" s="1043"/>
      <c r="P66" s="1043"/>
      <c r="Q66" s="1065"/>
      <c r="R66" s="96" t="s">
        <v>107</v>
      </c>
      <c r="S66" s="482">
        <f>_xlfn.XLOOKUP(B65,[1]Detalhamento!$A:$A,[1]Detalhamento!$N:$N)</f>
        <v>0.5</v>
      </c>
      <c r="T66" s="532"/>
      <c r="U66" s="532"/>
      <c r="V66" s="532"/>
      <c r="W66" s="469">
        <f t="shared" si="22"/>
        <v>0</v>
      </c>
      <c r="X66" s="532"/>
      <c r="Y66" s="532"/>
      <c r="Z66" s="532"/>
      <c r="AA66" s="469">
        <f t="shared" si="20"/>
        <v>0</v>
      </c>
      <c r="AB66" s="532"/>
      <c r="AC66" s="532"/>
      <c r="AD66" s="532"/>
      <c r="AE66" s="469">
        <f t="shared" si="21"/>
        <v>0</v>
      </c>
      <c r="AF66" s="532"/>
      <c r="AG66" s="532"/>
      <c r="AH66" s="532"/>
      <c r="AI66" s="469">
        <f t="shared" si="23"/>
        <v>0</v>
      </c>
      <c r="AJ66" s="94">
        <f t="shared" si="16"/>
        <v>0</v>
      </c>
      <c r="AK66" s="1039"/>
      <c r="AL66" s="1039"/>
      <c r="AM66" s="1043"/>
      <c r="AN66" s="1047"/>
      <c r="AO66" s="596" t="str">
        <f>D65</f>
        <v>Estudo de viabilidade compressores</v>
      </c>
      <c r="AP66" s="62" t="s">
        <v>291</v>
      </c>
      <c r="AQ66" s="543" t="str" cm="1">
        <f t="array" aca="1" ref="AQ66" ca="1">IF(OR(AO66="",AO66=0),"",IF(SUMPRODUCT(($D$31:$D$146=AO66)*(ISNUMBER(SEARCH("Real",$R$32:$R$147)))*($T$30:$AH$30&lt;EOMONTH(TODAY(),-1)+1)*($T$32:$AH$147))=0,"",SUMPRODUCT(($D$31:$D$146=AO66)*(ISNUMBER(SEARCH("Real",$R$32:$R$147)))*($T$30:$AH$30&lt;EOMONTH(TODAY(),-1)+1)*($T$32:$AH$147))))</f>
        <v/>
      </c>
    </row>
    <row r="67" spans="1:43" ht="29.1" customHeight="1" x14ac:dyDescent="0.3">
      <c r="A67" s="1036" t="s">
        <v>310</v>
      </c>
      <c r="B67" s="1113" t="s">
        <v>2423</v>
      </c>
      <c r="C67" s="1036" t="s">
        <v>94</v>
      </c>
      <c r="D67" s="1115" t="s">
        <v>2424</v>
      </c>
      <c r="E67" s="1087" t="s">
        <v>2425</v>
      </c>
      <c r="F67" s="1040" t="s">
        <v>2383</v>
      </c>
      <c r="G67" s="1117">
        <f>_xlfn.XLOOKUP(B67,[1]Detalhamento!$A:$A,[1]Detalhamento!$I:$I)</f>
        <v>45936</v>
      </c>
      <c r="H67" s="1117">
        <f>_xlfn.XLOOKUP(B67,[1]Detalhamento!$A:$A,[1]Detalhamento!$J:$J)</f>
        <v>46157</v>
      </c>
      <c r="I67" s="1074" t="str">
        <f>IFERROR(_xlfn.XLOOKUP(B67,[1]Detalhamento!$A:$A,[1]Detalhamento!$E:$E)," - ")</f>
        <v>-</v>
      </c>
      <c r="J67" s="1158">
        <f>_xlfn.XLOOKUP(B67,[1]Detalhamento!$A:$A,[1]Detalhamento!$O:$O)</f>
        <v>46157</v>
      </c>
      <c r="K67" s="1121">
        <v>12</v>
      </c>
      <c r="L67" s="1074"/>
      <c r="M67" s="1119"/>
      <c r="N67" s="1053"/>
      <c r="O67" s="1057" t="s">
        <v>80</v>
      </c>
      <c r="P67" s="1057"/>
      <c r="Q67" s="1062" t="s">
        <v>2360</v>
      </c>
      <c r="R67" s="91" t="s">
        <v>106</v>
      </c>
      <c r="S67" s="91">
        <f>_xlfn.XLOOKUP(B67,[1]Detalhamento!$A:$A,[1]Detalhamento!$M:$M)</f>
        <v>0.33166666666666667</v>
      </c>
      <c r="T67" s="309">
        <f>IFERROR(IF(AND(T$30&gt;=EOMONTH($J67,-1)+1,T$30&lt;=EOMONTH(EOMONTH($J67,-1)+1,$K67-1)),IF(NOT(ISBLANK($N67)),$N67/$K67,$I67/$K67),0),0)</f>
        <v>0</v>
      </c>
      <c r="U67" s="309">
        <f>IFERROR(IF(AND(U$30&gt;=EOMONTH($J67,-1)+1,U$30&lt;=EOMONTH(EOMONTH($J67,-1)+1,$K67-1)),IF(NOT(ISBLANK($N67)),$N67/$K67,$I67/$K67),0),0)</f>
        <v>0</v>
      </c>
      <c r="V67" s="309">
        <f>IFERROR(IF(AND(V$30&gt;=EOMONTH($J67,-1)+1,V$30&lt;=EOMONTH(EOMONTH($J67,-1)+1,$K67-1)),IF(NOT(ISBLANK($N67)),$N67/$K67,$I67/$K67),0),0)</f>
        <v>0</v>
      </c>
      <c r="W67" s="469">
        <f t="shared" si="22"/>
        <v>0</v>
      </c>
      <c r="X67" s="309">
        <f>IFERROR(IF(AND(X$30&gt;=EOMONTH($J67,-1)+1,X$30&lt;=EOMONTH(EOMONTH($J67,-1)+1,$K67-1)),IF(NOT(ISBLANK($N67)),$N67/$K67,$I67/$K67),0),0)</f>
        <v>0</v>
      </c>
      <c r="Y67" s="309">
        <f>IFERROR(IF(AND(Y$30&gt;=EOMONTH($J67,-1)+1,Y$30&lt;=EOMONTH(EOMONTH($J67,-1)+1,$K67-1)),IF(NOT(ISBLANK($N67)),$N67/$K67,$I67/$K67),0),0)</f>
        <v>0</v>
      </c>
      <c r="Z67" s="309">
        <f>IFERROR(IF(AND(Z$30&gt;=EOMONTH($J67,-1)+1,Z$30&lt;=EOMONTH(EOMONTH($J67,-1)+1,$K67-1)),IF(NOT(ISBLANK($N67)),$N67/$K67,$I67/$K67),0),0)</f>
        <v>0</v>
      </c>
      <c r="AA67" s="469">
        <f t="shared" si="20"/>
        <v>0</v>
      </c>
      <c r="AB67" s="309">
        <f>IFERROR(IF(AND(AB$30&gt;=EOMONTH($J67,-1)+1,AB$30&lt;=EOMONTH(EOMONTH($J67,-1)+1,$K67-1)),IF(NOT(ISBLANK($N67)),$N67/$K67,$I67/$K67),0),0)</f>
        <v>0</v>
      </c>
      <c r="AC67" s="309">
        <f>IFERROR(IF(AND(AC$30&gt;=EOMONTH($J67,-1)+1,AC$30&lt;=EOMONTH(EOMONTH($J67,-1)+1,$K67-1)),IF(NOT(ISBLANK($N67)),$N67/$K67,$I67/$K67),0),0)</f>
        <v>0</v>
      </c>
      <c r="AD67" s="309">
        <f>IFERROR(IF(AND(AD$30&gt;=EOMONTH($J67,-1)+1,AD$30&lt;=EOMONTH(EOMONTH($J67,-1)+1,$K67-1)),IF(NOT(ISBLANK($N67)),$N67/$K67,$I67/$K67),0),0)</f>
        <v>0</v>
      </c>
      <c r="AE67" s="469">
        <f t="shared" si="21"/>
        <v>0</v>
      </c>
      <c r="AF67" s="309">
        <f>IFERROR(IF(AND(AF$30&gt;=EOMONTH($J67,-1)+1,AF$30&lt;=EOMONTH(EOMONTH($J67,-1)+1,$K67-1)),IF(NOT(ISBLANK($N67)),$N67/$K67,$I67/$K67),0),0)</f>
        <v>0</v>
      </c>
      <c r="AG67" s="309">
        <f>IFERROR(IF(AND(AG$30&gt;=EOMONTH($J67,-1)+1,AG$30&lt;=EOMONTH(EOMONTH($J67,-1)+1,$K67-1)),IF(NOT(ISBLANK($N67)),$N67/$K67,$I67/$K67),0),0)</f>
        <v>0</v>
      </c>
      <c r="AH67" s="309">
        <f>IFERROR(IF(AND(AH$30&gt;=EOMONTH($J67,-1)+1,AH$30&lt;=EOMONTH(EOMONTH($J67,-1)+1,$K67-1)),IF(NOT(ISBLANK($N67)),$N67/$K67,$I67/$K67),0),0)</f>
        <v>0</v>
      </c>
      <c r="AI67" s="469">
        <f t="shared" si="23"/>
        <v>0</v>
      </c>
      <c r="AJ67" s="116">
        <f t="shared" si="16"/>
        <v>0</v>
      </c>
      <c r="AK67" s="1040"/>
      <c r="AL67" s="1040"/>
      <c r="AM67" s="1048"/>
      <c r="AN67" s="1046" t="e">
        <f>I67*AM67</f>
        <v>#VALUE!</v>
      </c>
      <c r="AO67" s="595" t="str">
        <f>D67</f>
        <v>Desenvolvimento novos modelos de planos médicos</v>
      </c>
      <c r="AP67" s="62" t="s">
        <v>289</v>
      </c>
      <c r="AQ67" s="543" t="str" cm="1">
        <f t="array" aca="1" ref="AQ67" ca="1">IF(OR(AO67="",AO67=0),"",IF(SUMPRODUCT(($D$31:$D$146=AO67)*($R$31:$R$146="Previsto")*($T$30:$AH$30&lt;EOMONTH(TODAY(),-1)+1)*($T$31:$AH$146))=0,"",SUMPRODUCT(($D$31:$D$146=AO67)*($R$31:$R$146="Previsto")*($T$30:$AH$30&lt;EOMONTH(TODAY(),-1)+1)*($T$31:$AH$146))))</f>
        <v/>
      </c>
    </row>
    <row r="68" spans="1:43" ht="29.1" customHeight="1" x14ac:dyDescent="0.3">
      <c r="A68" s="1037"/>
      <c r="B68" s="1114"/>
      <c r="C68" s="1037"/>
      <c r="D68" s="1116"/>
      <c r="E68" s="1082"/>
      <c r="F68" s="1041"/>
      <c r="G68" s="1118"/>
      <c r="H68" s="1118"/>
      <c r="I68" s="1075"/>
      <c r="J68" s="1159"/>
      <c r="K68" s="1122"/>
      <c r="L68" s="1075"/>
      <c r="M68" s="1120"/>
      <c r="N68" s="1054"/>
      <c r="O68" s="1058"/>
      <c r="P68" s="1058"/>
      <c r="Q68" s="1063"/>
      <c r="R68" s="91" t="s">
        <v>107</v>
      </c>
      <c r="S68" s="481">
        <f>_xlfn.XLOOKUP(B67,[1]Detalhamento!$A:$A,[1]Detalhamento!$N:$N)</f>
        <v>0.4</v>
      </c>
      <c r="T68" s="309"/>
      <c r="U68" s="309"/>
      <c r="V68" s="309"/>
      <c r="W68" s="469">
        <f t="shared" si="22"/>
        <v>0</v>
      </c>
      <c r="X68" s="309"/>
      <c r="Y68" s="309"/>
      <c r="Z68" s="309"/>
      <c r="AA68" s="469">
        <f t="shared" si="20"/>
        <v>0</v>
      </c>
      <c r="AB68" s="309"/>
      <c r="AC68" s="309"/>
      <c r="AD68" s="309"/>
      <c r="AE68" s="469">
        <f t="shared" si="21"/>
        <v>0</v>
      </c>
      <c r="AF68" s="309"/>
      <c r="AG68" s="309"/>
      <c r="AH68" s="309"/>
      <c r="AI68" s="469">
        <f t="shared" si="23"/>
        <v>0</v>
      </c>
      <c r="AJ68" s="483">
        <f t="shared" si="16"/>
        <v>0</v>
      </c>
      <c r="AK68" s="1041"/>
      <c r="AL68" s="1041"/>
      <c r="AM68" s="1049"/>
      <c r="AN68" s="1047"/>
      <c r="AO68" s="596" t="str">
        <f>D67</f>
        <v>Desenvolvimento novos modelos de planos médicos</v>
      </c>
      <c r="AP68" s="62" t="s">
        <v>291</v>
      </c>
      <c r="AQ68" s="543" t="str" cm="1">
        <f t="array" aca="1" ref="AQ68" ca="1">IF(OR(AO68="",AO68=0),"",IF(SUMPRODUCT(($D$31:$D$146=AO68)*(ISNUMBER(SEARCH("Real",$R$32:$R$147)))*($T$30:$AH$30&lt;EOMONTH(TODAY(),-1)+1)*($T$32:$AH$147))=0,"",SUMPRODUCT(($D$31:$D$146=AO68)*(ISNUMBER(SEARCH("Real",$R$32:$R$147)))*($T$30:$AH$30&lt;EOMONTH(TODAY(),-1)+1)*($T$32:$AH$147))))</f>
        <v/>
      </c>
    </row>
    <row r="69" spans="1:43" ht="29.1" customHeight="1" x14ac:dyDescent="0.3">
      <c r="A69" s="1093" t="s">
        <v>310</v>
      </c>
      <c r="B69" s="1095" t="s">
        <v>2426</v>
      </c>
      <c r="C69" s="1038" t="s">
        <v>94</v>
      </c>
      <c r="D69" s="1097" t="s">
        <v>2427</v>
      </c>
      <c r="E69" s="1083" t="s">
        <v>2428</v>
      </c>
      <c r="F69" s="1099" t="s">
        <v>2415</v>
      </c>
      <c r="G69" s="1101">
        <f>_xlfn.XLOOKUP(B69,[1]Detalhamento!$A:$A,[1]Detalhamento!$I:$I)</f>
        <v>45845</v>
      </c>
      <c r="H69" s="1101">
        <f>_xlfn.XLOOKUP(B69,[1]Detalhamento!$A:$A,[1]Detalhamento!$J:$J)</f>
        <v>46159</v>
      </c>
      <c r="I69" s="1103">
        <f>IFERROR(_xlfn.XLOOKUP(B69,[1]Detalhamento!$A:$A,[1]Detalhamento!$E:$E)," - ")</f>
        <v>102750</v>
      </c>
      <c r="J69" s="1109">
        <f>_xlfn.XLOOKUP(B69,[1]Detalhamento!$A:$A,[1]Detalhamento!$O:$O)</f>
        <v>46113</v>
      </c>
      <c r="K69" s="1111">
        <v>12</v>
      </c>
      <c r="L69" s="1076"/>
      <c r="M69" s="1072"/>
      <c r="N69" s="1055"/>
      <c r="O69" s="1042" t="s">
        <v>80</v>
      </c>
      <c r="P69" s="1042"/>
      <c r="Q69" s="1064" t="s">
        <v>22</v>
      </c>
      <c r="R69" s="96" t="s">
        <v>106</v>
      </c>
      <c r="S69" s="96">
        <f>_xlfn.XLOOKUP(B69,[1]Detalhamento!$A:$A,[1]Detalhamento!$M:$M)</f>
        <v>0.72</v>
      </c>
      <c r="T69" s="532">
        <f>IFERROR(IF(AND(T$30&gt;=EOMONTH($J69,-1)+1,T$30&lt;=EOMONTH(EOMONTH($J69,-1)+1,$K69-1)),IF(NOT(ISBLANK($N69)),$N69/$K69,$I69/$K69),0),0)</f>
        <v>0</v>
      </c>
      <c r="U69" s="532">
        <f>IFERROR(IF(AND(U$30&gt;=EOMONTH($J69,-1)+1,U$30&lt;=EOMONTH(EOMONTH($J69,-1)+1,$K69-1)),IF(NOT(ISBLANK($N69)),$N69/$K69,$I69/$K69),0),0)</f>
        <v>0</v>
      </c>
      <c r="V69" s="532">
        <f>IFERROR(IF(AND(V$30&gt;=EOMONTH($J69,-1)+1,V$30&lt;=EOMONTH(EOMONTH($J69,-1)+1,$K69-1)),IF(NOT(ISBLANK($N69)),$N69/$K69,$I69/$K69),0),0)</f>
        <v>0</v>
      </c>
      <c r="W69" s="469">
        <f t="shared" si="22"/>
        <v>0</v>
      </c>
      <c r="X69" s="717">
        <f>IFERROR(IF(AND(X$30&gt;=EOMONTH($J69,-1)+1,X$30&lt;=EOMONTH(EOMONTH($J69,-1)+1,$K69-1)),IF(NOT(ISBLANK($N69)),$N69/$K69,$I69/$K69),0),0)</f>
        <v>8562.5</v>
      </c>
      <c r="Y69" s="532">
        <f>IFERROR(IF(AND(Y$30&gt;=EOMONTH($J69,-1)+1,Y$30&lt;=EOMONTH(EOMONTH($J69,-1)+1,$K69-1)),IF(NOT(ISBLANK($N69)),$N69/$K69,$I69/$K69),0),0)</f>
        <v>8562.5</v>
      </c>
      <c r="Z69" s="532">
        <f>IFERROR(IF(AND(Z$30&gt;=EOMONTH($J69,-1)+1,Z$30&lt;=EOMONTH(EOMONTH($J69,-1)+1,$K69-1)),IF(NOT(ISBLANK($N69)),$N69/$K69,$I69/$K69),0),0)</f>
        <v>8562.5</v>
      </c>
      <c r="AA69" s="469">
        <f t="shared" si="20"/>
        <v>25687.5</v>
      </c>
      <c r="AB69" s="532">
        <f>IFERROR(IF(AND(AB$30&gt;=EOMONTH($J69,-1)+1,AB$30&lt;=EOMONTH(EOMONTH($J69,-1)+1,$K69-1)),IF(NOT(ISBLANK($N69)),$N69/$K69,$I69/$K69),0),0)</f>
        <v>8562.5</v>
      </c>
      <c r="AC69" s="532">
        <f>IFERROR(IF(AND(AC$30&gt;=EOMONTH($J69,-1)+1,AC$30&lt;=EOMONTH(EOMONTH($J69,-1)+1,$K69-1)),IF(NOT(ISBLANK($N69)),$N69/$K69,$I69/$K69),0),0)</f>
        <v>8562.5</v>
      </c>
      <c r="AD69" s="532">
        <f>IFERROR(IF(AND(AD$30&gt;=EOMONTH($J69,-1)+1,AD$30&lt;=EOMONTH(EOMONTH($J69,-1)+1,$K69-1)),IF(NOT(ISBLANK($N69)),$N69/$K69,$I69/$K69),0),0)</f>
        <v>8562.5</v>
      </c>
      <c r="AE69" s="469">
        <f t="shared" si="21"/>
        <v>25687.5</v>
      </c>
      <c r="AF69" s="532">
        <f>IFERROR(IF(AND(AF$30&gt;=EOMONTH($J69,-1)+1,AF$30&lt;=EOMONTH(EOMONTH($J69,-1)+1,$K69-1)),IF(NOT(ISBLANK($N69)),$N69/$K69,$I69/$K69),0),0)</f>
        <v>8562.5</v>
      </c>
      <c r="AG69" s="532">
        <f>IFERROR(IF(AND(AG$30&gt;=EOMONTH($J69,-1)+1,AG$30&lt;=EOMONTH(EOMONTH($J69,-1)+1,$K69-1)),IF(NOT(ISBLANK($N69)),$N69/$K69,$I69/$K69),0),0)</f>
        <v>8562.5</v>
      </c>
      <c r="AH69" s="532">
        <f>IFERROR(IF(AND(AH$30&gt;=EOMONTH($J69,-1)+1,AH$30&lt;=EOMONTH(EOMONTH($J69,-1)+1,$K69-1)),IF(NOT(ISBLANK($N69)),$N69/$K69,$I69/$K69),0),0)</f>
        <v>8562.5</v>
      </c>
      <c r="AI69" s="469">
        <f t="shared" si="23"/>
        <v>25687.5</v>
      </c>
      <c r="AJ69" s="94">
        <f t="shared" si="16"/>
        <v>77062.5</v>
      </c>
      <c r="AK69" s="1038"/>
      <c r="AL69" s="1038"/>
      <c r="AM69" s="1042"/>
      <c r="AN69" s="1044">
        <f>I69*AM69</f>
        <v>0</v>
      </c>
      <c r="AO69" s="595" t="str">
        <f>D69</f>
        <v>Estudo de viabilidade lixadeiras</v>
      </c>
      <c r="AP69" s="62" t="s">
        <v>289</v>
      </c>
      <c r="AQ69" s="543" cm="1">
        <f t="array" aca="1" ref="AQ69" ca="1">IF(OR(AO69="",AO69=0),"",IF(SUMPRODUCT(($D$31:$D$146=AO69)*($R$31:$R$146="Previsto")*($T$30:$AH$30&lt;EOMONTH(TODAY(),-1)+1)*($T$31:$AH$146))=0,"",SUMPRODUCT(($D$31:$D$146=AO69)*($R$31:$R$146="Previsto")*($T$30:$AH$30&lt;EOMONTH(TODAY(),-1)+1)*($T$31:$AH$146))))</f>
        <v>17125</v>
      </c>
    </row>
    <row r="70" spans="1:43" ht="29.1" customHeight="1" x14ac:dyDescent="0.3">
      <c r="A70" s="1094"/>
      <c r="B70" s="1096"/>
      <c r="C70" s="1039"/>
      <c r="D70" s="1098"/>
      <c r="E70" s="1084"/>
      <c r="F70" s="1100"/>
      <c r="G70" s="1102"/>
      <c r="H70" s="1102"/>
      <c r="I70" s="1104"/>
      <c r="J70" s="1110"/>
      <c r="K70" s="1112"/>
      <c r="L70" s="1077"/>
      <c r="M70" s="1073"/>
      <c r="N70" s="1056"/>
      <c r="O70" s="1043"/>
      <c r="P70" s="1043"/>
      <c r="Q70" s="1065"/>
      <c r="R70" s="96" t="s">
        <v>107</v>
      </c>
      <c r="S70" s="482">
        <f>_xlfn.XLOOKUP(B69,[1]Detalhamento!$A:$A,[1]Detalhamento!$N:$N)</f>
        <v>0.72</v>
      </c>
      <c r="T70" s="532"/>
      <c r="U70" s="532"/>
      <c r="V70" s="532"/>
      <c r="W70" s="469">
        <f t="shared" si="22"/>
        <v>0</v>
      </c>
      <c r="X70" s="532"/>
      <c r="Y70" s="532"/>
      <c r="Z70" s="532"/>
      <c r="AA70" s="469">
        <f t="shared" si="20"/>
        <v>0</v>
      </c>
      <c r="AB70" s="532"/>
      <c r="AC70" s="532"/>
      <c r="AD70" s="532"/>
      <c r="AE70" s="469">
        <f t="shared" si="21"/>
        <v>0</v>
      </c>
      <c r="AF70" s="532"/>
      <c r="AG70" s="532"/>
      <c r="AH70" s="532"/>
      <c r="AI70" s="469">
        <f t="shared" si="23"/>
        <v>0</v>
      </c>
      <c r="AJ70" s="94">
        <f t="shared" si="16"/>
        <v>0</v>
      </c>
      <c r="AK70" s="1039"/>
      <c r="AL70" s="1039"/>
      <c r="AM70" s="1043"/>
      <c r="AN70" s="1045"/>
      <c r="AO70" s="596" t="str">
        <f>D69</f>
        <v>Estudo de viabilidade lixadeiras</v>
      </c>
      <c r="AP70" s="62" t="s">
        <v>291</v>
      </c>
      <c r="AQ70" s="543" t="str" cm="1">
        <f t="array" aca="1" ref="AQ70" ca="1">IF(OR(AO70="",AO70=0),"",IF(SUMPRODUCT(($D$31:$D$146=AO70)*(ISNUMBER(SEARCH("Real",$R$32:$R$147)))*($T$30:$AH$30&lt;EOMONTH(TODAY(),-1)+1)*($T$32:$AH$147))=0,"",SUMPRODUCT(($D$31:$D$146=AO70)*(ISNUMBER(SEARCH("Real",$R$32:$R$147)))*($T$30:$AH$30&lt;EOMONTH(TODAY(),-1)+1)*($T$32:$AH$147))))</f>
        <v/>
      </c>
    </row>
    <row r="71" spans="1:43" ht="29.1" customHeight="1" x14ac:dyDescent="0.3">
      <c r="A71" s="1036" t="s">
        <v>310</v>
      </c>
      <c r="B71" s="1113" t="s">
        <v>2429</v>
      </c>
      <c r="C71" s="1036" t="s">
        <v>90</v>
      </c>
      <c r="D71" s="1115" t="s">
        <v>2430</v>
      </c>
      <c r="E71" s="1087" t="s">
        <v>2431</v>
      </c>
      <c r="F71" s="1040" t="s">
        <v>2432</v>
      </c>
      <c r="G71" s="1117">
        <f>_xlfn.XLOOKUP(B71,[1]Detalhamento!$A:$A,[1]Detalhamento!$I:$I)</f>
        <v>45926</v>
      </c>
      <c r="H71" s="1117">
        <f>_xlfn.XLOOKUP(B71,[1]Detalhamento!$A:$A,[1]Detalhamento!$J:$J)</f>
        <v>46132</v>
      </c>
      <c r="I71" s="1074">
        <f>IFERROR(_xlfn.XLOOKUP(B71,[1]Detalhamento!$A:$A,[1]Detalhamento!$E:$E)," - ")</f>
        <v>3256202</v>
      </c>
      <c r="J71" s="1160">
        <f>_xlfn.XLOOKUP(B71,[1]Detalhamento!$A:$A,[1]Detalhamento!$O:$O)</f>
        <v>46174</v>
      </c>
      <c r="K71" s="1121">
        <v>12</v>
      </c>
      <c r="L71" s="1074"/>
      <c r="M71" s="1119" t="s">
        <v>287</v>
      </c>
      <c r="N71" s="1053">
        <v>1444478.73</v>
      </c>
      <c r="O71" s="1057" t="s">
        <v>77</v>
      </c>
      <c r="P71" s="1057"/>
      <c r="Q71" s="1062" t="s">
        <v>2360</v>
      </c>
      <c r="R71" s="91" t="s">
        <v>106</v>
      </c>
      <c r="S71" s="91">
        <f>_xlfn.XLOOKUP(B71,[1]Detalhamento!$A:$A,[1]Detalhamento!$M:$M)</f>
        <v>1</v>
      </c>
      <c r="T71" s="309">
        <f>IFERROR(IF(AND(T$30&gt;=EOMONTH($J71,-1)+1,T$30&lt;=EOMONTH(EOMONTH($J71,-1)+1,$K71-1)),IF(NOT(ISBLANK($N71)),$N71/$K71,$I71/$K71),0),0)</f>
        <v>0</v>
      </c>
      <c r="U71" s="309">
        <f>IFERROR(IF(AND(U$30&gt;=EOMONTH($J71,-1)+1,U$30&lt;=EOMONTH(EOMONTH($J71,-1)+1,$K71-1)),IF(NOT(ISBLANK($N71)),$N71/$K71,$I71/$K71),0),0)</f>
        <v>0</v>
      </c>
      <c r="V71" s="309">
        <f>IFERROR(IF(AND(V$30&gt;=EOMONTH($J71,-1)+1,V$30&lt;=EOMONTH(EOMONTH($J71,-1)+1,$K71-1)),IF(NOT(ISBLANK($N71)),$N71/$K71,$I71/$K71),0),0)</f>
        <v>0</v>
      </c>
      <c r="W71" s="469">
        <f t="shared" si="22"/>
        <v>0</v>
      </c>
      <c r="X71" s="309">
        <f>IFERROR(IF(AND(X$30&gt;=EOMONTH($J71,-1)+1,X$30&lt;=EOMONTH(EOMONTH($J71,-1)+1,$K71-1)),IF(NOT(ISBLANK($N71)),$N71/$K71,$I71/$K71),0),0)</f>
        <v>0</v>
      </c>
      <c r="Y71" s="309">
        <f>IFERROR(IF(AND(Y$30&gt;=EOMONTH($J71,-1)+1,Y$30&lt;=EOMONTH(EOMONTH($J71,-1)+1,$K71-1)),IF(NOT(ISBLANK($N71)),$N71/$K71,$I71/$K71),0),0)</f>
        <v>0</v>
      </c>
      <c r="Z71" s="309">
        <f>IFERROR(IF(AND(Z$30&gt;=EOMONTH($J71,-1)+1,Z$30&lt;=EOMONTH(EOMONTH($J71,-1)+1,$K71-1)),IF(NOT(ISBLANK($N71)),$N71/$K71,$I71/$K71),0),0)</f>
        <v>120373.22749999999</v>
      </c>
      <c r="AA71" s="469">
        <f t="shared" si="20"/>
        <v>120373.22749999999</v>
      </c>
      <c r="AB71" s="309">
        <f>IFERROR(IF(AND(AB$30&gt;=EOMONTH($J71,-1)+1,AB$30&lt;=EOMONTH(EOMONTH($J71,-1)+1,$K71-1)),IF(NOT(ISBLANK($N71)),$N71/$K71,$I71/$K71),0),0)</f>
        <v>120373.22749999999</v>
      </c>
      <c r="AC71" s="309">
        <f>IFERROR(IF(AND(AC$30&gt;=EOMONTH($J71,-1)+1,AC$30&lt;=EOMONTH(EOMONTH($J71,-1)+1,$K71-1)),IF(NOT(ISBLANK($N71)),$N71/$K71,$I71/$K71),0),0)</f>
        <v>120373.22749999999</v>
      </c>
      <c r="AD71" s="309">
        <f>IFERROR(IF(AND(AD$30&gt;=EOMONTH($J71,-1)+1,AD$30&lt;=EOMONTH(EOMONTH($J71,-1)+1,$K71-1)),IF(NOT(ISBLANK($N71)),$N71/$K71,$I71/$K71),0),0)</f>
        <v>120373.22749999999</v>
      </c>
      <c r="AE71" s="469">
        <f t="shared" si="21"/>
        <v>361119.6825</v>
      </c>
      <c r="AF71" s="309">
        <f>IFERROR(IF(AND(AF$30&gt;=EOMONTH($J71,-1)+1,AF$30&lt;=EOMONTH(EOMONTH($J71,-1)+1,$K71-1)),IF(NOT(ISBLANK($N71)),$N71/$K71,$I71/$K71),0),0)</f>
        <v>120373.22749999999</v>
      </c>
      <c r="AG71" s="309">
        <f>IFERROR(IF(AND(AG$30&gt;=EOMONTH($J71,-1)+1,AG$30&lt;=EOMONTH(EOMONTH($J71,-1)+1,$K71-1)),IF(NOT(ISBLANK($N71)),$N71/$K71,$I71/$K71),0),0)</f>
        <v>120373.22749999999</v>
      </c>
      <c r="AH71" s="309">
        <f>IFERROR(IF(AND(AH$30&gt;=EOMONTH($J71,-1)+1,AH$30&lt;=EOMONTH(EOMONTH($J71,-1)+1,$K71-1)),IF(NOT(ISBLANK($N71)),$N71/$K71,$I71/$K71),0),0)</f>
        <v>120373.22749999999</v>
      </c>
      <c r="AI71" s="469">
        <f t="shared" si="23"/>
        <v>361119.6825</v>
      </c>
      <c r="AJ71" s="116">
        <f t="shared" si="16"/>
        <v>842612.59250000003</v>
      </c>
      <c r="AK71" s="1040"/>
      <c r="AL71" s="1040"/>
      <c r="AM71" s="1048"/>
      <c r="AN71" s="1046">
        <f>I71*AM71</f>
        <v>0</v>
      </c>
      <c r="AO71" s="595" t="str">
        <f>D71</f>
        <v>Projeto DANA - Mudança de CH para BQ</v>
      </c>
      <c r="AP71" s="62" t="s">
        <v>289</v>
      </c>
      <c r="AQ71" s="543" t="str" cm="1">
        <f t="array" aca="1" ref="AQ71" ca="1">IF(OR(AO71="",AO71=0),"",IF(SUMPRODUCT(($D$31:$D$146=AO71)*($R$31:$R$146="Previsto")*($T$30:$AH$30&lt;EOMONTH(TODAY(),-1)+1)*($T$31:$AH$146))=0,"",SUMPRODUCT(($D$31:$D$146=AO71)*($R$31:$R$146="Previsto")*($T$30:$AH$30&lt;EOMONTH(TODAY(),-1)+1)*($T$31:$AH$146))))</f>
        <v/>
      </c>
    </row>
    <row r="72" spans="1:43" ht="29.1" customHeight="1" x14ac:dyDescent="0.3">
      <c r="A72" s="1037"/>
      <c r="B72" s="1114"/>
      <c r="C72" s="1037"/>
      <c r="D72" s="1116"/>
      <c r="E72" s="1082"/>
      <c r="F72" s="1041"/>
      <c r="G72" s="1118"/>
      <c r="H72" s="1118"/>
      <c r="I72" s="1075"/>
      <c r="J72" s="1161"/>
      <c r="K72" s="1122"/>
      <c r="L72" s="1075"/>
      <c r="M72" s="1120"/>
      <c r="N72" s="1054"/>
      <c r="O72" s="1058"/>
      <c r="P72" s="1058"/>
      <c r="Q72" s="1063"/>
      <c r="R72" s="91" t="s">
        <v>107</v>
      </c>
      <c r="S72" s="481">
        <f>_xlfn.XLOOKUP(B71,[1]Detalhamento!$A:$A,[1]Detalhamento!$N:$N)</f>
        <v>1</v>
      </c>
      <c r="T72" s="309"/>
      <c r="U72" s="309"/>
      <c r="V72" s="309"/>
      <c r="W72" s="469">
        <f t="shared" si="22"/>
        <v>0</v>
      </c>
      <c r="X72" s="309"/>
      <c r="Y72" s="309"/>
      <c r="Z72" s="309"/>
      <c r="AA72" s="469">
        <f t="shared" si="20"/>
        <v>0</v>
      </c>
      <c r="AB72" s="309"/>
      <c r="AC72" s="309"/>
      <c r="AD72" s="309"/>
      <c r="AE72" s="469">
        <f t="shared" si="21"/>
        <v>0</v>
      </c>
      <c r="AF72" s="309"/>
      <c r="AG72" s="309"/>
      <c r="AH72" s="309"/>
      <c r="AI72" s="469">
        <f t="shared" si="23"/>
        <v>0</v>
      </c>
      <c r="AJ72" s="483">
        <f t="shared" si="16"/>
        <v>0</v>
      </c>
      <c r="AK72" s="1041"/>
      <c r="AL72" s="1041"/>
      <c r="AM72" s="1049"/>
      <c r="AN72" s="1047"/>
      <c r="AO72" s="596" t="str">
        <f>D71</f>
        <v>Projeto DANA - Mudança de CH para BQ</v>
      </c>
      <c r="AP72" s="62" t="s">
        <v>291</v>
      </c>
      <c r="AQ72" s="543" t="str" cm="1">
        <f t="array" aca="1" ref="AQ72" ca="1">IF(OR(AO72="",AO72=0),"",IF(SUMPRODUCT(($D$31:$D$146=AO72)*(ISNUMBER(SEARCH("Real",$R$32:$R$147)))*($T$30:$AH$30&lt;EOMONTH(TODAY(),-1)+1)*($T$32:$AH$147))=0,"",SUMPRODUCT(($D$31:$D$146=AO72)*(ISNUMBER(SEARCH("Real",$R$32:$R$147)))*($T$30:$AH$30&lt;EOMONTH(TODAY(),-1)+1)*($T$32:$AH$147))))</f>
        <v/>
      </c>
    </row>
    <row r="73" spans="1:43" ht="29.1" customHeight="1" x14ac:dyDescent="0.3">
      <c r="A73" s="1093" t="s">
        <v>310</v>
      </c>
      <c r="B73" s="1095" t="s">
        <v>2433</v>
      </c>
      <c r="C73" s="1038" t="s">
        <v>93</v>
      </c>
      <c r="D73" s="1097" t="s">
        <v>2434</v>
      </c>
      <c r="E73" s="1087" t="s">
        <v>2435</v>
      </c>
      <c r="F73" s="1099" t="s">
        <v>2370</v>
      </c>
      <c r="G73" s="1101">
        <f>_xlfn.XLOOKUP(B73,[1]Detalhamento!$A:$A,[1]Detalhamento!$I:$I)</f>
        <v>46056</v>
      </c>
      <c r="H73" s="1101">
        <f>_xlfn.XLOOKUP(B73,[1]Detalhamento!$A:$A,[1]Detalhamento!$J:$J)</f>
        <v>46201</v>
      </c>
      <c r="I73" s="1103">
        <f>IFERROR(_xlfn.XLOOKUP(B73,[1]Detalhamento!$A:$A,[1]Detalhamento!$E:$E)," - ")</f>
        <v>100871</v>
      </c>
      <c r="J73" s="1109">
        <f>_xlfn.XLOOKUP(B73,[1]Detalhamento!$A:$A,[1]Detalhamento!$O:$O)</f>
        <v>46204</v>
      </c>
      <c r="K73" s="1111">
        <v>12</v>
      </c>
      <c r="L73" s="1076"/>
      <c r="M73" s="1072"/>
      <c r="N73" s="1055"/>
      <c r="O73" s="1042" t="s">
        <v>80</v>
      </c>
      <c r="P73" s="1042"/>
      <c r="Q73" s="1064" t="s">
        <v>24</v>
      </c>
      <c r="R73" s="96" t="s">
        <v>106</v>
      </c>
      <c r="S73" s="96">
        <f>_xlfn.XLOOKUP(B73,[1]Detalhamento!$A:$A,[1]Detalhamento!$M:$M)</f>
        <v>0.7</v>
      </c>
      <c r="T73" s="532">
        <f>IFERROR(IF(AND(T$30&gt;=EOMONTH($J73,-1)+1,T$30&lt;=EOMONTH(EOMONTH($J73,-1)+1,$K73-1)),IF(NOT(ISBLANK($N73)),$N73/$K73,$I73/$K73),0),0)</f>
        <v>0</v>
      </c>
      <c r="U73" s="532">
        <f>IFERROR(IF(AND(U$30&gt;=EOMONTH($J73,-1)+1,U$30&lt;=EOMONTH(EOMONTH($J73,-1)+1,$K73-1)),IF(NOT(ISBLANK($N73)),$N73/$K73,$I73/$K73),0),0)</f>
        <v>0</v>
      </c>
      <c r="V73" s="532">
        <f>IFERROR(IF(AND(V$30&gt;=EOMONTH($J73,-1)+1,V$30&lt;=EOMONTH(EOMONTH($J73,-1)+1,$K73-1)),IF(NOT(ISBLANK($N73)),$N73/$K73,$I73/$K73),0),0)</f>
        <v>0</v>
      </c>
      <c r="W73" s="469">
        <f t="shared" si="22"/>
        <v>0</v>
      </c>
      <c r="X73" s="532">
        <f>IFERROR(IF(AND(X$30&gt;=EOMONTH($J73,-1)+1,X$30&lt;=EOMONTH(EOMONTH($J73,-1)+1,$K73-1)),IF(NOT(ISBLANK($N73)),$N73/$K73,$I73/$K73),0),0)</f>
        <v>0</v>
      </c>
      <c r="Y73" s="532">
        <f>IFERROR(IF(AND(Y$30&gt;=EOMONTH($J73,-1)+1,Y$30&lt;=EOMONTH(EOMONTH($J73,-1)+1,$K73-1)),IF(NOT(ISBLANK($N73)),$N73/$K73,$I73/$K73),0),0)</f>
        <v>0</v>
      </c>
      <c r="Z73" s="532">
        <f>IFERROR(IF(AND(Z$30&gt;=EOMONTH($J73,-1)+1,Z$30&lt;=EOMONTH(EOMONTH($J73,-1)+1,$K73-1)),IF(NOT(ISBLANK($N73)),$N73/$K73,$I73/$K73),0),0)</f>
        <v>0</v>
      </c>
      <c r="AA73" s="469">
        <f t="shared" si="20"/>
        <v>0</v>
      </c>
      <c r="AB73" s="532">
        <f>IFERROR(IF(AND(AB$30&gt;=EOMONTH($J73,-1)+1,AB$30&lt;=EOMONTH(EOMONTH($J73,-1)+1,$K73-1)),IF(NOT(ISBLANK($N73)),$N73/$K73,$I73/$K73),0),0)</f>
        <v>8405.9166666666661</v>
      </c>
      <c r="AC73" s="532">
        <f>IFERROR(IF(AND(AC$30&gt;=EOMONTH($J73,-1)+1,AC$30&lt;=EOMONTH(EOMONTH($J73,-1)+1,$K73-1)),IF(NOT(ISBLANK($N73)),$N73/$K73,$I73/$K73),0),0)</f>
        <v>8405.9166666666661</v>
      </c>
      <c r="AD73" s="532">
        <f>IFERROR(IF(AND(AD$30&gt;=EOMONTH($J73,-1)+1,AD$30&lt;=EOMONTH(EOMONTH($J73,-1)+1,$K73-1)),IF(NOT(ISBLANK($N73)),$N73/$K73,$I73/$K73),0),0)</f>
        <v>8405.9166666666661</v>
      </c>
      <c r="AE73" s="469">
        <f t="shared" si="21"/>
        <v>25217.75</v>
      </c>
      <c r="AF73" s="532">
        <f>IFERROR(IF(AND(AF$30&gt;=EOMONTH($J73,-1)+1,AF$30&lt;=EOMONTH(EOMONTH($J73,-1)+1,$K73-1)),IF(NOT(ISBLANK($N73)),$N73/$K73,$I73/$K73),0),0)</f>
        <v>8405.9166666666661</v>
      </c>
      <c r="AG73" s="532">
        <f>IFERROR(IF(AND(AG$30&gt;=EOMONTH($J73,-1)+1,AG$30&lt;=EOMONTH(EOMONTH($J73,-1)+1,$K73-1)),IF(NOT(ISBLANK($N73)),$N73/$K73,$I73/$K73),0),0)</f>
        <v>8405.9166666666661</v>
      </c>
      <c r="AH73" s="532">
        <f>IFERROR(IF(AND(AH$30&gt;=EOMONTH($J73,-1)+1,AH$30&lt;=EOMONTH(EOMONTH($J73,-1)+1,$K73-1)),IF(NOT(ISBLANK($N73)),$N73/$K73,$I73/$K73),0),0)</f>
        <v>8405.9166666666661</v>
      </c>
      <c r="AI73" s="469">
        <f t="shared" si="23"/>
        <v>25217.75</v>
      </c>
      <c r="AJ73" s="94">
        <f t="shared" si="16"/>
        <v>50435.499999999993</v>
      </c>
      <c r="AK73" s="1038"/>
      <c r="AL73" s="1038"/>
      <c r="AM73" s="1042"/>
      <c r="AN73" s="1044">
        <f>I73*AM73</f>
        <v>0</v>
      </c>
      <c r="AO73" s="595" t="str">
        <f>D73</f>
        <v>Negociação Boellhoff
85290 - PORCA QUADRADA SOLDA PROJEÇÃO - M5</v>
      </c>
      <c r="AP73" s="62" t="s">
        <v>289</v>
      </c>
      <c r="AQ73" s="543" t="str" cm="1">
        <f t="array" aca="1" ref="AQ73" ca="1">IF(OR(AO73="",AO73=0),"",IF(SUMPRODUCT(($D$31:$D$146=AO73)*($R$31:$R$146="Previsto")*($T$30:$AH$30&lt;EOMONTH(TODAY(),-1)+1)*($T$31:$AH$146))=0,"",SUMPRODUCT(($D$31:$D$146=AO73)*($R$31:$R$146="Previsto")*($T$30:$AH$30&lt;EOMONTH(TODAY(),-1)+1)*($T$31:$AH$146))))</f>
        <v/>
      </c>
    </row>
    <row r="74" spans="1:43" ht="29.1" customHeight="1" x14ac:dyDescent="0.3">
      <c r="A74" s="1094"/>
      <c r="B74" s="1096"/>
      <c r="C74" s="1039"/>
      <c r="D74" s="1098"/>
      <c r="E74" s="1082"/>
      <c r="F74" s="1100"/>
      <c r="G74" s="1102"/>
      <c r="H74" s="1102"/>
      <c r="I74" s="1104"/>
      <c r="J74" s="1110"/>
      <c r="K74" s="1112"/>
      <c r="L74" s="1077"/>
      <c r="M74" s="1073"/>
      <c r="N74" s="1056"/>
      <c r="O74" s="1043"/>
      <c r="P74" s="1043"/>
      <c r="Q74" s="1065"/>
      <c r="R74" s="96" t="s">
        <v>107</v>
      </c>
      <c r="S74" s="482">
        <f>_xlfn.XLOOKUP(B73,[1]Detalhamento!$A:$A,[1]Detalhamento!$N:$N)</f>
        <v>0.65</v>
      </c>
      <c r="T74" s="532"/>
      <c r="U74" s="532"/>
      <c r="V74" s="532"/>
      <c r="W74" s="469">
        <f t="shared" si="22"/>
        <v>0</v>
      </c>
      <c r="X74" s="532"/>
      <c r="Y74" s="532"/>
      <c r="Z74" s="532"/>
      <c r="AA74" s="469">
        <f t="shared" si="20"/>
        <v>0</v>
      </c>
      <c r="AB74" s="532"/>
      <c r="AC74" s="532"/>
      <c r="AD74" s="532"/>
      <c r="AE74" s="469">
        <f t="shared" si="21"/>
        <v>0</v>
      </c>
      <c r="AF74" s="532"/>
      <c r="AG74" s="532"/>
      <c r="AH74" s="532"/>
      <c r="AI74" s="469">
        <f t="shared" si="23"/>
        <v>0</v>
      </c>
      <c r="AJ74" s="94">
        <f t="shared" si="16"/>
        <v>0</v>
      </c>
      <c r="AK74" s="1039"/>
      <c r="AL74" s="1039"/>
      <c r="AM74" s="1043"/>
      <c r="AN74" s="1045"/>
      <c r="AO74" s="596" t="str">
        <f>D73</f>
        <v>Negociação Boellhoff
85290 - PORCA QUADRADA SOLDA PROJEÇÃO - M5</v>
      </c>
      <c r="AP74" s="62" t="s">
        <v>291</v>
      </c>
      <c r="AQ74" s="543" t="str" cm="1">
        <f t="array" aca="1" ref="AQ74" ca="1">IF(OR(AO74="",AO74=0),"",IF(SUMPRODUCT(($D$31:$D$146=AO74)*(ISNUMBER(SEARCH("Real",$R$32:$R$147)))*($T$30:$AH$30&lt;EOMONTH(TODAY(),-1)+1)*($T$32:$AH$147))=0,"",SUMPRODUCT(($D$31:$D$146=AO74)*(ISNUMBER(SEARCH("Real",$R$32:$R$147)))*($T$30:$AH$30&lt;EOMONTH(TODAY(),-1)+1)*($T$32:$AH$147))))</f>
        <v/>
      </c>
    </row>
    <row r="75" spans="1:43" ht="29.1" customHeight="1" x14ac:dyDescent="0.3">
      <c r="A75" s="1036" t="s">
        <v>310</v>
      </c>
      <c r="B75" s="1113" t="s">
        <v>2436</v>
      </c>
      <c r="C75" s="1036" t="s">
        <v>93</v>
      </c>
      <c r="D75" s="1115" t="s">
        <v>2437</v>
      </c>
      <c r="E75" s="1087" t="s">
        <v>2438</v>
      </c>
      <c r="F75" s="1040" t="s">
        <v>2366</v>
      </c>
      <c r="G75" s="1117">
        <f>_xlfn.XLOOKUP(B75,[1]Detalhamento!$A:$A,[1]Detalhamento!$I:$I)</f>
        <v>45603</v>
      </c>
      <c r="H75" s="1117">
        <f>_xlfn.XLOOKUP(B75,[1]Detalhamento!$A:$A,[1]Detalhamento!$J:$J)</f>
        <v>46204</v>
      </c>
      <c r="I75" s="1074">
        <f>IFERROR(_xlfn.XLOOKUP(B75,[1]Detalhamento!$A:$A,[1]Detalhamento!$E:$E)," - ")</f>
        <v>171002</v>
      </c>
      <c r="J75" s="1158">
        <f>_xlfn.XLOOKUP(B75,[1]Detalhamento!$A:$A,[1]Detalhamento!$O:$O)</f>
        <v>46113</v>
      </c>
      <c r="K75" s="1121">
        <v>12</v>
      </c>
      <c r="L75" s="1074"/>
      <c r="M75" s="1119"/>
      <c r="N75" s="1053"/>
      <c r="O75" s="1057" t="s">
        <v>77</v>
      </c>
      <c r="P75" s="1057"/>
      <c r="Q75" s="1062" t="s">
        <v>2360</v>
      </c>
      <c r="R75" s="91" t="s">
        <v>106</v>
      </c>
      <c r="S75" s="91">
        <f>_xlfn.XLOOKUP(B75,[1]Detalhamento!$A:$A,[1]Detalhamento!$M:$M)</f>
        <v>0.94117647058823528</v>
      </c>
      <c r="T75" s="309">
        <f>IFERROR(IF(AND(T$30&gt;=EOMONTH($J75,-1)+1,T$30&lt;=EOMONTH(EOMONTH($J75,-1)+1,$K75-1)),IF(NOT(ISBLANK($N75)),$N75/$K75,$I75/$K75),0),0)</f>
        <v>0</v>
      </c>
      <c r="U75" s="309">
        <f>IFERROR(IF(AND(U$30&gt;=EOMONTH($J75,-1)+1,U$30&lt;=EOMONTH(EOMONTH($J75,-1)+1,$K75-1)),IF(NOT(ISBLANK($N75)),$N75/$K75,$I75/$K75),0),0)</f>
        <v>0</v>
      </c>
      <c r="V75" s="309">
        <f>IFERROR(IF(AND(V$30&gt;=EOMONTH($J75,-1)+1,V$30&lt;=EOMONTH(EOMONTH($J75,-1)+1,$K75-1)),IF(NOT(ISBLANK($N75)),$N75/$K75,$I75/$K75),0),0)</f>
        <v>0</v>
      </c>
      <c r="W75" s="469">
        <f t="shared" si="22"/>
        <v>0</v>
      </c>
      <c r="X75" s="642">
        <f>IFERROR(IF(AND(X$30&gt;=EOMONTH($J75,-1)+1,X$30&lt;=EOMONTH(EOMONTH($J75,-1)+1,$K75-1)),IF(NOT(ISBLANK($N75)),$N75/$K75,$I75/$K75),0),0)</f>
        <v>14250.166666666666</v>
      </c>
      <c r="Y75" s="309">
        <f>IFERROR(IF(AND(Y$30&gt;=EOMONTH($J75,-1)+1,Y$30&lt;=EOMONTH(EOMONTH($J75,-1)+1,$K75-1)),IF(NOT(ISBLANK($N75)),$N75/$K75,$I75/$K75),0),0)</f>
        <v>14250.166666666666</v>
      </c>
      <c r="Z75" s="309">
        <f>IFERROR(IF(AND(Z$30&gt;=EOMONTH($J75,-1)+1,Z$30&lt;=EOMONTH(EOMONTH($J75,-1)+1,$K75-1)),IF(NOT(ISBLANK($N75)),$N75/$K75,$I75/$K75),0),0)</f>
        <v>14250.166666666666</v>
      </c>
      <c r="AA75" s="469">
        <f t="shared" si="20"/>
        <v>42750.5</v>
      </c>
      <c r="AB75" s="309">
        <f>IFERROR(IF(AND(AB$30&gt;=EOMONTH($J75,-1)+1,AB$30&lt;=EOMONTH(EOMONTH($J75,-1)+1,$K75-1)),IF(NOT(ISBLANK($N75)),$N75/$K75,$I75/$K75),0),0)</f>
        <v>14250.166666666666</v>
      </c>
      <c r="AC75" s="309">
        <f>IFERROR(IF(AND(AC$30&gt;=EOMONTH($J75,-1)+1,AC$30&lt;=EOMONTH(EOMONTH($J75,-1)+1,$K75-1)),IF(NOT(ISBLANK($N75)),$N75/$K75,$I75/$K75),0),0)</f>
        <v>14250.166666666666</v>
      </c>
      <c r="AD75" s="309">
        <f>IFERROR(IF(AND(AD$30&gt;=EOMONTH($J75,-1)+1,AD$30&lt;=EOMONTH(EOMONTH($J75,-1)+1,$K75-1)),IF(NOT(ISBLANK($N75)),$N75/$K75,$I75/$K75),0),0)</f>
        <v>14250.166666666666</v>
      </c>
      <c r="AE75" s="469">
        <f t="shared" si="21"/>
        <v>42750.5</v>
      </c>
      <c r="AF75" s="309">
        <f>IFERROR(IF(AND(AF$30&gt;=EOMONTH($J75,-1)+1,AF$30&lt;=EOMONTH(EOMONTH($J75,-1)+1,$K75-1)),IF(NOT(ISBLANK($N75)),$N75/$K75,$I75/$K75),0),0)</f>
        <v>14250.166666666666</v>
      </c>
      <c r="AG75" s="309">
        <f>IFERROR(IF(AND(AG$30&gt;=EOMONTH($J75,-1)+1,AG$30&lt;=EOMONTH(EOMONTH($J75,-1)+1,$K75-1)),IF(NOT(ISBLANK($N75)),$N75/$K75,$I75/$K75),0),0)</f>
        <v>14250.166666666666</v>
      </c>
      <c r="AH75" s="309">
        <f>IFERROR(IF(AND(AH$30&gt;=EOMONTH($J75,-1)+1,AH$30&lt;=EOMONTH(EOMONTH($J75,-1)+1,$K75-1)),IF(NOT(ISBLANK($N75)),$N75/$K75,$I75/$K75),0),0)</f>
        <v>14250.166666666666</v>
      </c>
      <c r="AI75" s="469">
        <f t="shared" si="23"/>
        <v>42750.5</v>
      </c>
      <c r="AJ75" s="116">
        <f t="shared" si="16"/>
        <v>128251.50000000001</v>
      </c>
      <c r="AK75" s="1040"/>
      <c r="AL75" s="1040"/>
      <c r="AM75" s="1048"/>
      <c r="AN75" s="1046">
        <f>I75*AM75</f>
        <v>0</v>
      </c>
      <c r="AO75" s="595" t="str">
        <f>D75</f>
        <v>Troca de fonte fita zebrada e etiqueta litografada</v>
      </c>
      <c r="AP75" s="62" t="s">
        <v>289</v>
      </c>
      <c r="AQ75" s="543" cm="1">
        <f t="array" aca="1" ref="AQ75" ca="1">IF(OR(AO75="",AO75=0),"",IF(SUMPRODUCT(($D$31:$D$146=AO75)*($R$31:$R$146="Previsto")*($T$30:$AH$30&lt;EOMONTH(TODAY(),-1)+1)*($T$31:$AH$146))=0,"",SUMPRODUCT(($D$31:$D$146=AO75)*($R$31:$R$146="Previsto")*($T$30:$AH$30&lt;EOMONTH(TODAY(),-1)+1)*($T$31:$AH$146))))</f>
        <v>28500.333333333332</v>
      </c>
    </row>
    <row r="76" spans="1:43" ht="29.1" customHeight="1" x14ac:dyDescent="0.3">
      <c r="A76" s="1037"/>
      <c r="B76" s="1114"/>
      <c r="C76" s="1037"/>
      <c r="D76" s="1116"/>
      <c r="E76" s="1082"/>
      <c r="F76" s="1041"/>
      <c r="G76" s="1118"/>
      <c r="H76" s="1118"/>
      <c r="I76" s="1075"/>
      <c r="J76" s="1159"/>
      <c r="K76" s="1122"/>
      <c r="L76" s="1075"/>
      <c r="M76" s="1120"/>
      <c r="N76" s="1054"/>
      <c r="O76" s="1058"/>
      <c r="P76" s="1058"/>
      <c r="Q76" s="1063"/>
      <c r="R76" s="91" t="s">
        <v>107</v>
      </c>
      <c r="S76" s="481">
        <f>_xlfn.XLOOKUP(B75,[1]Detalhamento!$A:$A,[1]Detalhamento!$N:$N)</f>
        <v>0.8529411764705882</v>
      </c>
      <c r="T76" s="309"/>
      <c r="U76" s="309"/>
      <c r="V76" s="309"/>
      <c r="W76" s="469">
        <f t="shared" si="22"/>
        <v>0</v>
      </c>
      <c r="X76" s="309"/>
      <c r="Y76" s="309"/>
      <c r="Z76" s="309"/>
      <c r="AA76" s="469">
        <f t="shared" si="20"/>
        <v>0</v>
      </c>
      <c r="AB76" s="309"/>
      <c r="AC76" s="309"/>
      <c r="AD76" s="309"/>
      <c r="AE76" s="469">
        <f t="shared" si="21"/>
        <v>0</v>
      </c>
      <c r="AF76" s="309"/>
      <c r="AG76" s="309"/>
      <c r="AH76" s="309"/>
      <c r="AI76" s="469">
        <f t="shared" si="23"/>
        <v>0</v>
      </c>
      <c r="AJ76" s="483">
        <f t="shared" si="16"/>
        <v>0</v>
      </c>
      <c r="AK76" s="1041"/>
      <c r="AL76" s="1041"/>
      <c r="AM76" s="1049"/>
      <c r="AN76" s="1047"/>
      <c r="AO76" s="596" t="str">
        <f>D75</f>
        <v>Troca de fonte fita zebrada e etiqueta litografada</v>
      </c>
      <c r="AP76" s="62" t="s">
        <v>291</v>
      </c>
      <c r="AQ76" s="543" t="str" cm="1">
        <f t="array" aca="1" ref="AQ76" ca="1">IF(OR(AO76="",AO76=0),"",IF(SUMPRODUCT(($D$31:$D$146=AO76)*(ISNUMBER(SEARCH("Real",$R$32:$R$147)))*($T$30:$AH$30&lt;EOMONTH(TODAY(),-1)+1)*($T$32:$AH$147))=0,"",SUMPRODUCT(($D$31:$D$146=AO76)*(ISNUMBER(SEARCH("Real",$R$32:$R$147)))*($T$30:$AH$30&lt;EOMONTH(TODAY(),-1)+1)*($T$32:$AH$147))))</f>
        <v/>
      </c>
    </row>
    <row r="77" spans="1:43" ht="29.1" customHeight="1" x14ac:dyDescent="0.3">
      <c r="A77" s="1093" t="s">
        <v>310</v>
      </c>
      <c r="B77" s="1095" t="s">
        <v>2439</v>
      </c>
      <c r="C77" s="1038" t="s">
        <v>93</v>
      </c>
      <c r="D77" s="1097" t="s">
        <v>2440</v>
      </c>
      <c r="E77" s="1083" t="s">
        <v>2441</v>
      </c>
      <c r="F77" s="1099" t="s">
        <v>2366</v>
      </c>
      <c r="G77" s="1101">
        <f>_xlfn.XLOOKUP(B77,[1]Detalhamento!$A:$A,[1]Detalhamento!$I:$I)</f>
        <v>46051</v>
      </c>
      <c r="H77" s="1101">
        <f>_xlfn.XLOOKUP(B77,[1]Detalhamento!$A:$A,[1]Detalhamento!$J:$J)</f>
        <v>46183</v>
      </c>
      <c r="I77" s="1103" t="str">
        <f>IFERROR(_xlfn.XLOOKUP(B77,[1]Detalhamento!$A:$A,[1]Detalhamento!$E:$E)," - ")</f>
        <v>-</v>
      </c>
      <c r="J77" s="1109">
        <f>_xlfn.XLOOKUP(B77,[1]Detalhamento!$A:$A,[1]Detalhamento!$O:$O)</f>
        <v>46569</v>
      </c>
      <c r="K77" s="1111">
        <v>12</v>
      </c>
      <c r="L77" s="1076"/>
      <c r="M77" s="1072"/>
      <c r="N77" s="1055"/>
      <c r="O77" s="1042" t="s">
        <v>80</v>
      </c>
      <c r="P77" s="1042"/>
      <c r="Q77" s="1064" t="s">
        <v>2360</v>
      </c>
      <c r="R77" s="96" t="s">
        <v>106</v>
      </c>
      <c r="S77" s="96">
        <f>_xlfn.XLOOKUP(B77,[1]Detalhamento!$A:$A,[1]Detalhamento!$M:$M)</f>
        <v>0.36363636363636365</v>
      </c>
      <c r="T77" s="532">
        <f>IFERROR(IF(AND(T$30&gt;=EOMONTH($J77,-1)+1,T$30&lt;=EOMONTH(EOMONTH($J77,-1)+1,$K77-1)),IF(NOT(ISBLANK($N77)),$N77/$K77,$I77/$K77),0),0)</f>
        <v>0</v>
      </c>
      <c r="U77" s="532">
        <f>IFERROR(IF(AND(U$30&gt;=EOMONTH($J77,-1)+1,U$30&lt;=EOMONTH(EOMONTH($J77,-1)+1,$K77-1)),IF(NOT(ISBLANK($N77)),$N77/$K77,$I77/$K77),0),0)</f>
        <v>0</v>
      </c>
      <c r="V77" s="532">
        <f>IFERROR(IF(AND(V$30&gt;=EOMONTH($J77,-1)+1,V$30&lt;=EOMONTH(EOMONTH($J77,-1)+1,$K77-1)),IF(NOT(ISBLANK($N77)),$N77/$K77,$I77/$K77),0),0)</f>
        <v>0</v>
      </c>
      <c r="W77" s="469">
        <f t="shared" si="22"/>
        <v>0</v>
      </c>
      <c r="X77" s="532">
        <f>IFERROR(IF(AND(X$30&gt;=EOMONTH($J77,-1)+1,X$30&lt;=EOMONTH(EOMONTH($J77,-1)+1,$K77-1)),IF(NOT(ISBLANK($N77)),$N77/$K77,$I77/$K77),0),0)</f>
        <v>0</v>
      </c>
      <c r="Y77" s="532">
        <f>IFERROR(IF(AND(Y$30&gt;=EOMONTH($J77,-1)+1,Y$30&lt;=EOMONTH(EOMONTH($J77,-1)+1,$K77-1)),IF(NOT(ISBLANK($N77)),$N77/$K77,$I77/$K77),0),0)</f>
        <v>0</v>
      </c>
      <c r="Z77" s="532">
        <f>IFERROR(IF(AND(Z$30&gt;=EOMONTH($J77,-1)+1,Z$30&lt;=EOMONTH(EOMONTH($J77,-1)+1,$K77-1)),IF(NOT(ISBLANK($N77)),$N77/$K77,$I77/$K77),0),0)</f>
        <v>0</v>
      </c>
      <c r="AA77" s="469">
        <f t="shared" si="20"/>
        <v>0</v>
      </c>
      <c r="AB77" s="532">
        <f>IFERROR(IF(AND(AB$30&gt;=EOMONTH($J77,-1)+1,AB$30&lt;=EOMONTH(EOMONTH($J77,-1)+1,$K77-1)),IF(NOT(ISBLANK($N77)),$N77/$K77,$I77/$K77),0),0)</f>
        <v>0</v>
      </c>
      <c r="AC77" s="532">
        <f>IFERROR(IF(AND(AC$30&gt;=EOMONTH($J77,-1)+1,AC$30&lt;=EOMONTH(EOMONTH($J77,-1)+1,$K77-1)),IF(NOT(ISBLANK($N77)),$N77/$K77,$I77/$K77),0),0)</f>
        <v>0</v>
      </c>
      <c r="AD77" s="532">
        <f>IFERROR(IF(AND(AD$30&gt;=EOMONTH($J77,-1)+1,AD$30&lt;=EOMONTH(EOMONTH($J77,-1)+1,$K77-1)),IF(NOT(ISBLANK($N77)),$N77/$K77,$I77/$K77),0),0)</f>
        <v>0</v>
      </c>
      <c r="AE77" s="469">
        <f t="shared" si="21"/>
        <v>0</v>
      </c>
      <c r="AF77" s="532">
        <f>IFERROR(IF(AND(AF$30&gt;=EOMONTH($J77,-1)+1,AF$30&lt;=EOMONTH(EOMONTH($J77,-1)+1,$K77-1)),IF(NOT(ISBLANK($N77)),$N77/$K77,$I77/$K77),0),0)</f>
        <v>0</v>
      </c>
      <c r="AG77" s="532">
        <f>IFERROR(IF(AND(AG$30&gt;=EOMONTH($J77,-1)+1,AG$30&lt;=EOMONTH(EOMONTH($J77,-1)+1,$K77-1)),IF(NOT(ISBLANK($N77)),$N77/$K77,$I77/$K77),0),0)</f>
        <v>0</v>
      </c>
      <c r="AH77" s="532">
        <f>IFERROR(IF(AND(AH$30&gt;=EOMONTH($J77,-1)+1,AH$30&lt;=EOMONTH(EOMONTH($J77,-1)+1,$K77-1)),IF(NOT(ISBLANK($N77)),$N77/$K77,$I77/$K77),0),0)</f>
        <v>0</v>
      </c>
      <c r="AI77" s="469">
        <f t="shared" si="23"/>
        <v>0</v>
      </c>
      <c r="AJ77" s="94">
        <f t="shared" si="16"/>
        <v>0</v>
      </c>
      <c r="AK77" s="1038"/>
      <c r="AL77" s="1038"/>
      <c r="AM77" s="1042"/>
      <c r="AN77" s="1044" t="e">
        <f>I77*AM77</f>
        <v>#VALUE!</v>
      </c>
      <c r="AO77" s="595" t="str">
        <f>D77</f>
        <v>Unificação óleos utilizados nas plantas</v>
      </c>
      <c r="AP77" s="62" t="s">
        <v>289</v>
      </c>
      <c r="AQ77" s="543" t="str" cm="1">
        <f t="array" aca="1" ref="AQ77" ca="1">IF(OR(AO77="",AO77=0),"",IF(SUMPRODUCT(($D$31:$D$146=AO77)*($R$31:$R$146="Previsto")*($T$30:$AH$30&lt;EOMONTH(TODAY(),-1)+1)*($T$31:$AH$146))=0,"",SUMPRODUCT(($D$31:$D$146=AO77)*($R$31:$R$146="Previsto")*($T$30:$AH$30&lt;EOMONTH(TODAY(),-1)+1)*($T$31:$AH$146))))</f>
        <v/>
      </c>
    </row>
    <row r="78" spans="1:43" ht="29.1" customHeight="1" x14ac:dyDescent="0.3">
      <c r="A78" s="1094"/>
      <c r="B78" s="1096"/>
      <c r="C78" s="1039"/>
      <c r="D78" s="1098"/>
      <c r="E78" s="1084"/>
      <c r="F78" s="1100"/>
      <c r="G78" s="1102"/>
      <c r="H78" s="1102"/>
      <c r="I78" s="1104"/>
      <c r="J78" s="1110"/>
      <c r="K78" s="1112"/>
      <c r="L78" s="1077"/>
      <c r="M78" s="1073"/>
      <c r="N78" s="1056"/>
      <c r="O78" s="1043"/>
      <c r="P78" s="1043"/>
      <c r="Q78" s="1065"/>
      <c r="R78" s="96" t="s">
        <v>107</v>
      </c>
      <c r="S78" s="482">
        <f>_xlfn.XLOOKUP(B77,[1]Detalhamento!$A:$A,[1]Detalhamento!$N:$N)</f>
        <v>0.36363636363636365</v>
      </c>
      <c r="T78" s="532"/>
      <c r="U78" s="532"/>
      <c r="V78" s="532"/>
      <c r="W78" s="469">
        <f t="shared" si="22"/>
        <v>0</v>
      </c>
      <c r="X78" s="532"/>
      <c r="Y78" s="532"/>
      <c r="Z78" s="532"/>
      <c r="AA78" s="469">
        <f t="shared" si="20"/>
        <v>0</v>
      </c>
      <c r="AB78" s="532"/>
      <c r="AC78" s="532"/>
      <c r="AD78" s="532"/>
      <c r="AE78" s="469">
        <f t="shared" si="21"/>
        <v>0</v>
      </c>
      <c r="AF78" s="532"/>
      <c r="AG78" s="532"/>
      <c r="AH78" s="532"/>
      <c r="AI78" s="469">
        <f t="shared" si="23"/>
        <v>0</v>
      </c>
      <c r="AJ78" s="94">
        <f t="shared" si="16"/>
        <v>0</v>
      </c>
      <c r="AK78" s="1039"/>
      <c r="AL78" s="1039"/>
      <c r="AM78" s="1043"/>
      <c r="AN78" s="1045"/>
      <c r="AO78" s="596" t="str">
        <f>D77</f>
        <v>Unificação óleos utilizados nas plantas</v>
      </c>
      <c r="AP78" s="62" t="s">
        <v>291</v>
      </c>
      <c r="AQ78" s="543" t="str" cm="1">
        <f t="array" aca="1" ref="AQ78" ca="1">IF(OR(AO78="",AO78=0),"",IF(SUMPRODUCT(($D$31:$D$146=AO78)*(ISNUMBER(SEARCH("Real",$R$32:$R$147)))*($T$30:$AH$30&lt;EOMONTH(TODAY(),-1)+1)*($T$32:$AH$147))=0,"",SUMPRODUCT(($D$31:$D$146=AO78)*(ISNUMBER(SEARCH("Real",$R$32:$R$147)))*($T$30:$AH$30&lt;EOMONTH(TODAY(),-1)+1)*($T$32:$AH$147))))</f>
        <v/>
      </c>
    </row>
    <row r="79" spans="1:43" ht="29.1" customHeight="1" x14ac:dyDescent="0.3">
      <c r="A79" s="1036" t="s">
        <v>310</v>
      </c>
      <c r="B79" s="1125" t="s">
        <v>2442</v>
      </c>
      <c r="C79" s="1036" t="s">
        <v>91</v>
      </c>
      <c r="D79" s="1127" t="s">
        <v>2443</v>
      </c>
      <c r="E79" s="1089" t="s">
        <v>2444</v>
      </c>
      <c r="F79" s="1129" t="s">
        <v>2366</v>
      </c>
      <c r="G79" s="1131">
        <f>_xlfn.XLOOKUP(B79,[1]Detalhamento!$A:$A,[1]Detalhamento!$I:$I)</f>
        <v>45918</v>
      </c>
      <c r="H79" s="1131">
        <f>_xlfn.XLOOKUP(B79,[1]Detalhamento!$A:$A,[1]Detalhamento!$J:$J)</f>
        <v>46010</v>
      </c>
      <c r="I79" s="1133">
        <f>IFERROR(_xlfn.XLOOKUP(B79,[1]Detalhamento!$A:$A,[1]Detalhamento!$E:$E)," - ")</f>
        <v>3852.73</v>
      </c>
      <c r="J79" s="1156">
        <f>_xlfn.XLOOKUP(B79,[1]Detalhamento!$A:$A,[1]Detalhamento!$O:$O)</f>
        <v>46082</v>
      </c>
      <c r="K79" s="1211">
        <v>12</v>
      </c>
      <c r="L79" s="1123"/>
      <c r="M79" s="1135" t="s">
        <v>287</v>
      </c>
      <c r="N79" s="1165">
        <v>3049.93</v>
      </c>
      <c r="O79" s="1057" t="s">
        <v>77</v>
      </c>
      <c r="P79" s="1057"/>
      <c r="Q79" s="1062" t="s">
        <v>2360</v>
      </c>
      <c r="R79" s="91" t="s">
        <v>106</v>
      </c>
      <c r="S79" s="91">
        <f>_xlfn.XLOOKUP(B79,[1]Detalhamento!$A:$A,[1]Detalhamento!$M:$M)</f>
        <v>1</v>
      </c>
      <c r="T79" s="309">
        <f>IFERROR(IF(AND(T$30&gt;=EOMONTH($J79,-1)+1,T$30&lt;=EOMONTH(EOMONTH($J79,-1)+1,$K79-1)),IF(NOT(ISBLANK($N79)),$N79/$K79,$I79/$K79),0),0)</f>
        <v>0</v>
      </c>
      <c r="U79" s="309">
        <f>IFERROR(IF(AND(U$30&gt;=EOMONTH($J79,-1)+1,U$30&lt;=EOMONTH(EOMONTH($J79,-1)+1,$K79-1)),IF(NOT(ISBLANK($N79)),$N79/$K79,$I79/$K79),0),0)</f>
        <v>0</v>
      </c>
      <c r="V79" s="642">
        <f>IFERROR(IF(AND(V$30&gt;=EOMONTH($J79,-1)+1,V$30&lt;=EOMONTH(EOMONTH($J79,-1)+1,$K79-1)),IF(NOT(ISBLANK($N79)),$N79/$K79,$I79/$K79),0),0)</f>
        <v>254.16083333333333</v>
      </c>
      <c r="W79" s="469">
        <f t="shared" si="22"/>
        <v>254.16083333333333</v>
      </c>
      <c r="X79" s="642">
        <f>IFERROR(IF(AND(X$30&gt;=EOMONTH($J79,-1)+1,X$30&lt;=EOMONTH(EOMONTH($J79,-1)+1,$K79-1)),IF(NOT(ISBLANK($N79)),$N79/$K79,$I79/$K79),0),0)</f>
        <v>254.16083333333333</v>
      </c>
      <c r="Y79" s="309">
        <f>IFERROR(IF(AND(Y$30&gt;=EOMONTH($J79,-1)+1,Y$30&lt;=EOMONTH(EOMONTH($J79,-1)+1,$K79-1)),IF(NOT(ISBLANK($N79)),$N79/$K79,$I79/$K79),0),0)</f>
        <v>254.16083333333333</v>
      </c>
      <c r="Z79" s="309">
        <f>IFERROR(IF(AND(Z$30&gt;=EOMONTH($J79,-1)+1,Z$30&lt;=EOMONTH(EOMONTH($J79,-1)+1,$K79-1)),IF(NOT(ISBLANK($N79)),$N79/$K79,$I79/$K79),0),0)</f>
        <v>254.16083333333333</v>
      </c>
      <c r="AA79" s="469">
        <f t="shared" si="20"/>
        <v>762.48249999999996</v>
      </c>
      <c r="AB79" s="309">
        <f>IFERROR(IF(AND(AB$30&gt;=EOMONTH($J79,-1)+1,AB$30&lt;=EOMONTH(EOMONTH($J79,-1)+1,$K79-1)),IF(NOT(ISBLANK($N79)),$N79/$K79,$I79/$K79),0),0)</f>
        <v>254.16083333333333</v>
      </c>
      <c r="AC79" s="309">
        <f>IFERROR(IF(AND(AC$30&gt;=EOMONTH($J79,-1)+1,AC$30&lt;=EOMONTH(EOMONTH($J79,-1)+1,$K79-1)),IF(NOT(ISBLANK($N79)),$N79/$K79,$I79/$K79),0),0)</f>
        <v>254.16083333333333</v>
      </c>
      <c r="AD79" s="309">
        <f>IFERROR(IF(AND(AD$30&gt;=EOMONTH($J79,-1)+1,AD$30&lt;=EOMONTH(EOMONTH($J79,-1)+1,$K79-1)),IF(NOT(ISBLANK($N79)),$N79/$K79,$I79/$K79),0),0)</f>
        <v>254.16083333333333</v>
      </c>
      <c r="AE79" s="469">
        <f t="shared" si="21"/>
        <v>762.48249999999996</v>
      </c>
      <c r="AF79" s="309">
        <f>IFERROR(IF(AND(AF$30&gt;=EOMONTH($J79,-1)+1,AF$30&lt;=EOMONTH(EOMONTH($J79,-1)+1,$K79-1)),IF(NOT(ISBLANK($N79)),$N79/$K79,$I79/$K79),0),0)</f>
        <v>254.16083333333333</v>
      </c>
      <c r="AG79" s="309">
        <f>IFERROR(IF(AND(AG$30&gt;=EOMONTH($J79,-1)+1,AG$30&lt;=EOMONTH(EOMONTH($J79,-1)+1,$K79-1)),IF(NOT(ISBLANK($N79)),$N79/$K79,$I79/$K79),0),0)</f>
        <v>254.16083333333333</v>
      </c>
      <c r="AH79" s="309">
        <f>IFERROR(IF(AND(AH$30&gt;=EOMONTH($J79,-1)+1,AH$30&lt;=EOMONTH(EOMONTH($J79,-1)+1,$K79-1)),IF(NOT(ISBLANK($N79)),$N79/$K79,$I79/$K79),0),0)</f>
        <v>254.16083333333333</v>
      </c>
      <c r="AI79" s="469">
        <f t="shared" si="23"/>
        <v>762.48249999999996</v>
      </c>
      <c r="AJ79" s="116">
        <f t="shared" si="16"/>
        <v>2541.6083333333331</v>
      </c>
      <c r="AK79" s="1040"/>
      <c r="AL79" s="1040"/>
      <c r="AM79" s="1048"/>
      <c r="AN79" s="1046">
        <f>I79*AM79</f>
        <v>0</v>
      </c>
      <c r="AO79" s="595" t="str">
        <f>D79</f>
        <v>BID carimbos industriais</v>
      </c>
      <c r="AP79" s="62" t="s">
        <v>289</v>
      </c>
      <c r="AQ79" s="543" cm="1">
        <f t="array" aca="1" ref="AQ79" ca="1">IF(OR(AO79="",AO79=0),"",IF(SUMPRODUCT(($D$31:$D$146=AO79)*($R$31:$R$146="Previsto")*($T$30:$AH$30&lt;EOMONTH(TODAY(),-1)+1)*($T$31:$AH$146))=0,"",SUMPRODUCT(($D$31:$D$146=AO79)*($R$31:$R$146="Previsto")*($T$30:$AH$30&lt;EOMONTH(TODAY(),-1)+1)*($T$31:$AH$146))))</f>
        <v>762.48249999999996</v>
      </c>
    </row>
    <row r="80" spans="1:43" ht="29.1" customHeight="1" x14ac:dyDescent="0.3">
      <c r="A80" s="1037"/>
      <c r="B80" s="1126"/>
      <c r="C80" s="1037"/>
      <c r="D80" s="1128"/>
      <c r="E80" s="1090"/>
      <c r="F80" s="1130"/>
      <c r="G80" s="1132"/>
      <c r="H80" s="1132"/>
      <c r="I80" s="1134"/>
      <c r="J80" s="1157"/>
      <c r="K80" s="1212"/>
      <c r="L80" s="1124"/>
      <c r="M80" s="1136"/>
      <c r="N80" s="1166"/>
      <c r="O80" s="1058"/>
      <c r="P80" s="1058"/>
      <c r="Q80" s="1063"/>
      <c r="R80" s="91" t="s">
        <v>107</v>
      </c>
      <c r="S80" s="481">
        <f>_xlfn.XLOOKUP(B79,[1]Detalhamento!$A:$A,[1]Detalhamento!$N:$N)</f>
        <v>1</v>
      </c>
      <c r="T80" s="309"/>
      <c r="U80" s="309"/>
      <c r="V80" s="309">
        <v>0</v>
      </c>
      <c r="W80" s="469">
        <f t="shared" si="22"/>
        <v>0</v>
      </c>
      <c r="X80" s="309"/>
      <c r="Y80" s="309"/>
      <c r="Z80" s="309"/>
      <c r="AA80" s="469">
        <f t="shared" si="20"/>
        <v>0</v>
      </c>
      <c r="AB80" s="309"/>
      <c r="AC80" s="309"/>
      <c r="AD80" s="309"/>
      <c r="AE80" s="469">
        <f t="shared" si="21"/>
        <v>0</v>
      </c>
      <c r="AF80" s="309"/>
      <c r="AG80" s="309"/>
      <c r="AH80" s="309"/>
      <c r="AI80" s="469">
        <f t="shared" si="23"/>
        <v>0</v>
      </c>
      <c r="AJ80" s="483">
        <f t="shared" si="16"/>
        <v>0</v>
      </c>
      <c r="AK80" s="1041"/>
      <c r="AL80" s="1041"/>
      <c r="AM80" s="1049"/>
      <c r="AN80" s="1047"/>
      <c r="AO80" s="596" t="str">
        <f>D79</f>
        <v>BID carimbos industriais</v>
      </c>
      <c r="AP80" s="62" t="s">
        <v>291</v>
      </c>
      <c r="AQ80" s="543" t="str" cm="1">
        <f t="array" aca="1" ref="AQ80" ca="1">IF(OR(AO80="",AO80=0),"",IF(SUMPRODUCT(($D$31:$D$146=AO80)*(ISNUMBER(SEARCH("Real",$R$32:$R$147)))*($T$30:$AH$30&lt;EOMONTH(TODAY(),-1)+1)*($T$32:$AH$147))=0,"",SUMPRODUCT(($D$31:$D$146=AO80)*(ISNUMBER(SEARCH("Real",$R$32:$R$147)))*($T$30:$AH$30&lt;EOMONTH(TODAY(),-1)+1)*($T$32:$AH$147))))</f>
        <v/>
      </c>
    </row>
    <row r="81" spans="1:43" ht="29.1" customHeight="1" x14ac:dyDescent="0.3">
      <c r="A81" s="1093" t="s">
        <v>310</v>
      </c>
      <c r="B81" s="1095" t="s">
        <v>2445</v>
      </c>
      <c r="C81" s="1038" t="s">
        <v>90</v>
      </c>
      <c r="D81" s="1097" t="s">
        <v>2446</v>
      </c>
      <c r="E81" s="1083" t="s">
        <v>2447</v>
      </c>
      <c r="F81" s="1099" t="s">
        <v>2366</v>
      </c>
      <c r="G81" s="1101">
        <f>_xlfn.XLOOKUP(B81,[1]Detalhamento!$A:$A,[1]Detalhamento!$I:$I)</f>
        <v>45944</v>
      </c>
      <c r="H81" s="1101">
        <f>_xlfn.XLOOKUP(B81,[1]Detalhamento!$A:$A,[1]Detalhamento!$J:$J)</f>
        <v>46101</v>
      </c>
      <c r="I81" s="1103">
        <f>IFERROR(_xlfn.XLOOKUP(B81,[1]Detalhamento!$A:$A,[1]Detalhamento!$E:$E)," - ")</f>
        <v>46745</v>
      </c>
      <c r="J81" s="1109">
        <f>_xlfn.XLOOKUP(B81,[1]Detalhamento!$A:$A,[1]Detalhamento!$O:$O)</f>
        <v>46113</v>
      </c>
      <c r="K81" s="1111">
        <v>12</v>
      </c>
      <c r="L81" s="1076"/>
      <c r="M81" s="1072"/>
      <c r="N81" s="1205" t="s">
        <v>340</v>
      </c>
      <c r="O81" s="1042" t="s">
        <v>80</v>
      </c>
      <c r="P81" s="1042"/>
      <c r="Q81" s="1064" t="s">
        <v>2360</v>
      </c>
      <c r="R81" s="96" t="s">
        <v>106</v>
      </c>
      <c r="S81" s="96">
        <f>_xlfn.XLOOKUP(B81,[1]Detalhamento!$A:$A,[1]Detalhamento!$M:$M)</f>
        <v>0.95454545454545459</v>
      </c>
      <c r="T81" s="532">
        <f>IFERROR(IF(AND(T$30&gt;=EOMONTH($J81,-1)+1,T$30&lt;=EOMONTH(EOMONTH($J81,-1)+1,$K81-1)),IF(NOT(ISBLANK($N81)),$N81/$K81,$I81/$K81),0),0)</f>
        <v>0</v>
      </c>
      <c r="U81" s="532">
        <f>IFERROR(IF(AND(U$30&gt;=EOMONTH($J81,-1)+1,U$30&lt;=EOMONTH(EOMONTH($J81,-1)+1,$K81-1)),IF(NOT(ISBLANK($N81)),$N81/$K81,$I81/$K81),0),0)</f>
        <v>0</v>
      </c>
      <c r="V81" s="532">
        <f>IFERROR(IF(AND(V$30&gt;=EOMONTH($J81,-1)+1,V$30&lt;=EOMONTH(EOMONTH($J81,-1)+1,$K81-1)),IF(NOT(ISBLANK($N81)),$N81/$K81,$I81/$K81),0),0)</f>
        <v>0</v>
      </c>
      <c r="W81" s="469">
        <f t="shared" si="22"/>
        <v>0</v>
      </c>
      <c r="X81" s="532">
        <f>IFERROR(IF(AND(X$30&gt;=EOMONTH($J81,-1)+1,X$30&lt;=EOMONTH(EOMONTH($J81,-1)+1,$K81-1)),IF(NOT(ISBLANK($N81)),$N81/$K81,$I81/$K81),0),0)</f>
        <v>0</v>
      </c>
      <c r="Y81" s="532">
        <f>IFERROR(IF(AND(Y$30&gt;=EOMONTH($J81,-1)+1,Y$30&lt;=EOMONTH(EOMONTH($J81,-1)+1,$K81-1)),IF(NOT(ISBLANK($N81)),$N81/$K81,$I81/$K81),0),0)</f>
        <v>0</v>
      </c>
      <c r="Z81" s="532">
        <f>IFERROR(IF(AND(Z$30&gt;=EOMONTH($J81,-1)+1,Z$30&lt;=EOMONTH(EOMONTH($J81,-1)+1,$K81-1)),IF(NOT(ISBLANK($N81)),$N81/$K81,$I81/$K81),0),0)</f>
        <v>0</v>
      </c>
      <c r="AA81" s="469">
        <f t="shared" si="20"/>
        <v>0</v>
      </c>
      <c r="AB81" s="532">
        <f>IFERROR(IF(AND(AB$30&gt;=EOMONTH($J81,-1)+1,AB$30&lt;=EOMONTH(EOMONTH($J81,-1)+1,$K81-1)),IF(NOT(ISBLANK($N81)),$N81/$K81,$I81/$K81),0),0)</f>
        <v>0</v>
      </c>
      <c r="AC81" s="532">
        <f>IFERROR(IF(AND(AC$30&gt;=EOMONTH($J81,-1)+1,AC$30&lt;=EOMONTH(EOMONTH($J81,-1)+1,$K81-1)),IF(NOT(ISBLANK($N81)),$N81/$K81,$I81/$K81),0),0)</f>
        <v>0</v>
      </c>
      <c r="AD81" s="532">
        <f>IFERROR(IF(AND(AD$30&gt;=EOMONTH($J81,-1)+1,AD$30&lt;=EOMONTH(EOMONTH($J81,-1)+1,$K81-1)),IF(NOT(ISBLANK($N81)),$N81/$K81,$I81/$K81),0),0)</f>
        <v>0</v>
      </c>
      <c r="AE81" s="469">
        <f t="shared" si="21"/>
        <v>0</v>
      </c>
      <c r="AF81" s="532">
        <f>IFERROR(IF(AND(AF$30&gt;=EOMONTH($J81,-1)+1,AF$30&lt;=EOMONTH(EOMONTH($J81,-1)+1,$K81-1)),IF(NOT(ISBLANK($N81)),$N81/$K81,$I81/$K81),0),0)</f>
        <v>0</v>
      </c>
      <c r="AG81" s="532">
        <f>IFERROR(IF(AND(AG$30&gt;=EOMONTH($J81,-1)+1,AG$30&lt;=EOMONTH(EOMONTH($J81,-1)+1,$K81-1)),IF(NOT(ISBLANK($N81)),$N81/$K81,$I81/$K81),0),0)</f>
        <v>0</v>
      </c>
      <c r="AH81" s="532">
        <f>IFERROR(IF(AND(AH$30&gt;=EOMONTH($J81,-1)+1,AH$30&lt;=EOMONTH(EOMONTH($J81,-1)+1,$K81-1)),IF(NOT(ISBLANK($N81)),$N81/$K81,$I81/$K81),0),0)</f>
        <v>0</v>
      </c>
      <c r="AI81" s="469">
        <f t="shared" si="23"/>
        <v>0</v>
      </c>
      <c r="AJ81" s="94">
        <f t="shared" si="16"/>
        <v>0</v>
      </c>
      <c r="AK81" s="1038"/>
      <c r="AL81" s="1038"/>
      <c r="AM81" s="1042"/>
      <c r="AN81" s="1044">
        <f>I81*AM81</f>
        <v>0</v>
      </c>
      <c r="AO81" s="595" t="str">
        <f>D81</f>
        <v>BID eletrodos de solda</v>
      </c>
      <c r="AP81" s="62" t="s">
        <v>289</v>
      </c>
      <c r="AQ81" s="543" t="str" cm="1">
        <f t="array" aca="1" ref="AQ81" ca="1">IF(OR(AO81="",AO81=0),"",IF(SUMPRODUCT(($D$31:$D$146=AO81)*($R$31:$R$146="Previsto")*($T$30:$AH$30&lt;EOMONTH(TODAY(),-1)+1)*($T$31:$AH$146))=0,"",SUMPRODUCT(($D$31:$D$146=AO81)*($R$31:$R$146="Previsto")*($T$30:$AH$30&lt;EOMONTH(TODAY(),-1)+1)*($T$31:$AH$146))))</f>
        <v/>
      </c>
    </row>
    <row r="82" spans="1:43" ht="29.1" customHeight="1" x14ac:dyDescent="0.3">
      <c r="A82" s="1094"/>
      <c r="B82" s="1096"/>
      <c r="C82" s="1039"/>
      <c r="D82" s="1098"/>
      <c r="E82" s="1084"/>
      <c r="F82" s="1100"/>
      <c r="G82" s="1102"/>
      <c r="H82" s="1102"/>
      <c r="I82" s="1104"/>
      <c r="J82" s="1110"/>
      <c r="K82" s="1112"/>
      <c r="L82" s="1077"/>
      <c r="M82" s="1073"/>
      <c r="N82" s="1056"/>
      <c r="O82" s="1043"/>
      <c r="P82" s="1043"/>
      <c r="Q82" s="1065"/>
      <c r="R82" s="96" t="s">
        <v>107</v>
      </c>
      <c r="S82" s="482">
        <f>_xlfn.XLOOKUP(B81,[1]Detalhamento!$A:$A,[1]Detalhamento!$N:$N)</f>
        <v>0.90909090909090906</v>
      </c>
      <c r="T82" s="532"/>
      <c r="U82" s="532"/>
      <c r="V82" s="532"/>
      <c r="W82" s="469">
        <f t="shared" si="22"/>
        <v>0</v>
      </c>
      <c r="X82" s="532"/>
      <c r="Y82" s="532"/>
      <c r="Z82" s="532"/>
      <c r="AA82" s="469">
        <f t="shared" si="20"/>
        <v>0</v>
      </c>
      <c r="AB82" s="532"/>
      <c r="AC82" s="532"/>
      <c r="AD82" s="532"/>
      <c r="AE82" s="469">
        <f t="shared" si="21"/>
        <v>0</v>
      </c>
      <c r="AF82" s="532"/>
      <c r="AG82" s="532"/>
      <c r="AH82" s="532"/>
      <c r="AI82" s="469">
        <f t="shared" si="23"/>
        <v>0</v>
      </c>
      <c r="AJ82" s="94">
        <f t="shared" si="16"/>
        <v>0</v>
      </c>
      <c r="AK82" s="1039"/>
      <c r="AL82" s="1039"/>
      <c r="AM82" s="1043"/>
      <c r="AN82" s="1045"/>
      <c r="AO82" s="596" t="str">
        <f>D81</f>
        <v>BID eletrodos de solda</v>
      </c>
      <c r="AP82" s="62" t="s">
        <v>291</v>
      </c>
      <c r="AQ82" s="543" t="str" cm="1">
        <f t="array" aca="1" ref="AQ82" ca="1">IF(OR(AO82="",AO82=0),"",IF(SUMPRODUCT(($D$31:$D$146=AO82)*(ISNUMBER(SEARCH("Real",$R$32:$R$147)))*($T$30:$AH$30&lt;EOMONTH(TODAY(),-1)+1)*($T$32:$AH$147))=0,"",SUMPRODUCT(($D$31:$D$146=AO82)*(ISNUMBER(SEARCH("Real",$R$32:$R$147)))*($T$30:$AH$30&lt;EOMONTH(TODAY(),-1)+1)*($T$32:$AH$147))))</f>
        <v/>
      </c>
    </row>
    <row r="83" spans="1:43" ht="29.1" customHeight="1" x14ac:dyDescent="0.3">
      <c r="A83" s="1036" t="s">
        <v>310</v>
      </c>
      <c r="B83" s="1125" t="s">
        <v>2448</v>
      </c>
      <c r="C83" s="1036" t="s">
        <v>91</v>
      </c>
      <c r="D83" s="1127" t="s">
        <v>2449</v>
      </c>
      <c r="E83" s="1089" t="s">
        <v>2450</v>
      </c>
      <c r="F83" s="1129" t="s">
        <v>2366</v>
      </c>
      <c r="G83" s="1131">
        <f>_xlfn.XLOOKUP(B83,[1]Detalhamento!$A:$A,[1]Detalhamento!$I:$I)</f>
        <v>45961</v>
      </c>
      <c r="H83" s="1131">
        <f>_xlfn.XLOOKUP(B83,[1]Detalhamento!$A:$A,[1]Detalhamento!$J:$J)</f>
        <v>45992</v>
      </c>
      <c r="I83" s="1133">
        <f>IFERROR(_xlfn.XLOOKUP(B83,[1]Detalhamento!$A:$A,[1]Detalhamento!$E:$E)," - ")</f>
        <v>14893</v>
      </c>
      <c r="J83" s="1156">
        <f>_xlfn.XLOOKUP(B83,[1]Detalhamento!$A:$A,[1]Detalhamento!$O:$O)</f>
        <v>46082</v>
      </c>
      <c r="K83" s="1211">
        <v>12</v>
      </c>
      <c r="L83" s="1123"/>
      <c r="M83" s="1091" t="s">
        <v>287</v>
      </c>
      <c r="N83" s="1206">
        <v>25580.33</v>
      </c>
      <c r="O83" s="1057" t="s">
        <v>77</v>
      </c>
      <c r="P83" s="1057"/>
      <c r="Q83" s="1062" t="s">
        <v>24</v>
      </c>
      <c r="R83" s="91" t="s">
        <v>106</v>
      </c>
      <c r="S83" s="91">
        <f>_xlfn.XLOOKUP(B83,[1]Detalhamento!$A:$A,[1]Detalhamento!$M:$M)</f>
        <v>1</v>
      </c>
      <c r="T83" s="309">
        <f>IFERROR(IF(AND(T$30&gt;=EOMONTH($J83,-1)+1,T$30&lt;=EOMONTH(EOMONTH($J83,-1)+1,$K83-1)),IF(NOT(ISBLANK($N83)),$N83/$K83,$I83/$K83),0),0)</f>
        <v>0</v>
      </c>
      <c r="U83" s="309">
        <f>IFERROR(IF(AND(U$30&gt;=EOMONTH($J83,-1)+1,U$30&lt;=EOMONTH(EOMONTH($J83,-1)+1,$K83-1)),IF(NOT(ISBLANK($N83)),$N83/$K83,$I83/$K83),0),0)</f>
        <v>0</v>
      </c>
      <c r="V83" s="642">
        <f>IFERROR(IF(AND(V$30&gt;=EOMONTH($J83,-1)+1,V$30&lt;=EOMONTH(EOMONTH($J83,-1)+1,$K83-1)),IF(NOT(ISBLANK($N83)),$N83/$K83,$I83/$K83),0),0)</f>
        <v>2131.6941666666667</v>
      </c>
      <c r="W83" s="469">
        <f t="shared" si="22"/>
        <v>2131.6941666666667</v>
      </c>
      <c r="X83" s="642">
        <f>IFERROR(IF(AND(X$30&gt;=EOMONTH($J83,-1)+1,X$30&lt;=EOMONTH(EOMONTH($J83,-1)+1,$K83-1)),IF(NOT(ISBLANK($N83)),$N83/$K83,$I83/$K83),0),0)</f>
        <v>2131.6941666666667</v>
      </c>
      <c r="Y83" s="309">
        <f>IFERROR(IF(AND(Y$30&gt;=EOMONTH($J83,-1)+1,Y$30&lt;=EOMONTH(EOMONTH($J83,-1)+1,$K83-1)),IF(NOT(ISBLANK($N83)),$N83/$K83,$I83/$K83),0),0)</f>
        <v>2131.6941666666667</v>
      </c>
      <c r="Z83" s="309">
        <f>IFERROR(IF(AND(Z$30&gt;=EOMONTH($J83,-1)+1,Z$30&lt;=EOMONTH(EOMONTH($J83,-1)+1,$K83-1)),IF(NOT(ISBLANK($N83)),$N83/$K83,$I83/$K83),0),0)</f>
        <v>2131.6941666666667</v>
      </c>
      <c r="AA83" s="469">
        <f t="shared" si="20"/>
        <v>6395.0825000000004</v>
      </c>
      <c r="AB83" s="309">
        <f>IFERROR(IF(AND(AB$30&gt;=EOMONTH($J83,-1)+1,AB$30&lt;=EOMONTH(EOMONTH($J83,-1)+1,$K83-1)),IF(NOT(ISBLANK($N83)),$N83/$K83,$I83/$K83),0),0)</f>
        <v>2131.6941666666667</v>
      </c>
      <c r="AC83" s="309">
        <f>IFERROR(IF(AND(AC$30&gt;=EOMONTH($J83,-1)+1,AC$30&lt;=EOMONTH(EOMONTH($J83,-1)+1,$K83-1)),IF(NOT(ISBLANK($N83)),$N83/$K83,$I83/$K83),0),0)</f>
        <v>2131.6941666666667</v>
      </c>
      <c r="AD83" s="309">
        <f>IFERROR(IF(AND(AD$30&gt;=EOMONTH($J83,-1)+1,AD$30&lt;=EOMONTH(EOMONTH($J83,-1)+1,$K83-1)),IF(NOT(ISBLANK($N83)),$N83/$K83,$I83/$K83),0),0)</f>
        <v>2131.6941666666667</v>
      </c>
      <c r="AE83" s="469">
        <f t="shared" si="21"/>
        <v>6395.0825000000004</v>
      </c>
      <c r="AF83" s="309">
        <f>IFERROR(IF(AND(AF$30&gt;=EOMONTH($J83,-1)+1,AF$30&lt;=EOMONTH(EOMONTH($J83,-1)+1,$K83-1)),IF(NOT(ISBLANK($N83)),$N83/$K83,$I83/$K83),0),0)</f>
        <v>2131.6941666666667</v>
      </c>
      <c r="AG83" s="309">
        <f>IFERROR(IF(AND(AG$30&gt;=EOMONTH($J83,-1)+1,AG$30&lt;=EOMONTH(EOMONTH($J83,-1)+1,$K83-1)),IF(NOT(ISBLANK($N83)),$N83/$K83,$I83/$K83),0),0)</f>
        <v>2131.6941666666667</v>
      </c>
      <c r="AH83" s="309">
        <f>IFERROR(IF(AND(AH$30&gt;=EOMONTH($J83,-1)+1,AH$30&lt;=EOMONTH(EOMONTH($J83,-1)+1,$K83-1)),IF(NOT(ISBLANK($N83)),$N83/$K83,$I83/$K83),0),0)</f>
        <v>2131.6941666666667</v>
      </c>
      <c r="AI83" s="469">
        <f t="shared" si="23"/>
        <v>6395.0825000000004</v>
      </c>
      <c r="AJ83" s="116">
        <f t="shared" si="16"/>
        <v>21316.941666666669</v>
      </c>
      <c r="AK83" s="1038"/>
      <c r="AL83" s="1038"/>
      <c r="AM83" s="1042"/>
      <c r="AN83" s="1044">
        <f>I83*AM83</f>
        <v>0</v>
      </c>
      <c r="AO83" s="595" t="str">
        <f>D83</f>
        <v>BID complementar punções Jarinu</v>
      </c>
      <c r="AP83" s="62" t="s">
        <v>289</v>
      </c>
      <c r="AQ83" s="543" cm="1">
        <f t="array" aca="1" ref="AQ83" ca="1">IF(OR(AO83="",AO83=0),"",IF(SUMPRODUCT(($D$31:$D$146=AO83)*($R$31:$R$146="Previsto")*($T$30:$AH$30&lt;EOMONTH(TODAY(),-1)+1)*($T$31:$AH$146))=0,"",SUMPRODUCT(($D$31:$D$146=AO83)*($R$31:$R$146="Previsto")*($T$30:$AH$30&lt;EOMONTH(TODAY(),-1)+1)*($T$31:$AH$146))))</f>
        <v>6395.0825000000004</v>
      </c>
    </row>
    <row r="84" spans="1:43" ht="29.1" customHeight="1" x14ac:dyDescent="0.3">
      <c r="A84" s="1037"/>
      <c r="B84" s="1126"/>
      <c r="C84" s="1037"/>
      <c r="D84" s="1128"/>
      <c r="E84" s="1090"/>
      <c r="F84" s="1130"/>
      <c r="G84" s="1132"/>
      <c r="H84" s="1132"/>
      <c r="I84" s="1134"/>
      <c r="J84" s="1157"/>
      <c r="K84" s="1212"/>
      <c r="L84" s="1124"/>
      <c r="M84" s="1137"/>
      <c r="N84" s="1207"/>
      <c r="O84" s="1058"/>
      <c r="P84" s="1058"/>
      <c r="Q84" s="1063"/>
      <c r="R84" s="91" t="s">
        <v>107</v>
      </c>
      <c r="S84" s="481">
        <f>_xlfn.XLOOKUP(B83,[1]Detalhamento!$A:$A,[1]Detalhamento!$N:$N)</f>
        <v>1</v>
      </c>
      <c r="T84" s="309">
        <v>0</v>
      </c>
      <c r="U84" s="309">
        <v>0</v>
      </c>
      <c r="V84" s="309">
        <v>0</v>
      </c>
      <c r="W84" s="469">
        <f t="shared" si="22"/>
        <v>0</v>
      </c>
      <c r="X84" s="309"/>
      <c r="Y84" s="309"/>
      <c r="Z84" s="309"/>
      <c r="AA84" s="469">
        <f t="shared" si="20"/>
        <v>0</v>
      </c>
      <c r="AB84" s="309"/>
      <c r="AC84" s="309"/>
      <c r="AD84" s="309"/>
      <c r="AE84" s="469">
        <f t="shared" si="21"/>
        <v>0</v>
      </c>
      <c r="AF84" s="309"/>
      <c r="AG84" s="309"/>
      <c r="AH84" s="309"/>
      <c r="AI84" s="469">
        <f t="shared" si="23"/>
        <v>0</v>
      </c>
      <c r="AJ84" s="483">
        <f t="shared" si="16"/>
        <v>0</v>
      </c>
      <c r="AK84" s="1039"/>
      <c r="AL84" s="1039"/>
      <c r="AM84" s="1043"/>
      <c r="AN84" s="1045"/>
      <c r="AO84" s="596" t="str">
        <f>D83</f>
        <v>BID complementar punções Jarinu</v>
      </c>
      <c r="AP84" s="62" t="s">
        <v>291</v>
      </c>
      <c r="AQ84" s="543" t="str" cm="1">
        <f t="array" aca="1" ref="AQ84" ca="1">IF(OR(AO84="",AO84=0),"",IF(SUMPRODUCT(($D$31:$D$146=AO84)*(ISNUMBER(SEARCH("Real",$R$32:$R$147)))*($T$30:$AH$30&lt;EOMONTH(TODAY(),-1)+1)*($T$32:$AH$147))=0,"",SUMPRODUCT(($D$31:$D$146=AO84)*(ISNUMBER(SEARCH("Real",$R$32:$R$147)))*($T$30:$AH$30&lt;EOMONTH(TODAY(),-1)+1)*($T$32:$AH$147))))</f>
        <v/>
      </c>
    </row>
    <row r="85" spans="1:43" ht="29.1" customHeight="1" x14ac:dyDescent="0.3">
      <c r="A85" s="1093" t="s">
        <v>310</v>
      </c>
      <c r="B85" s="1138" t="s">
        <v>2451</v>
      </c>
      <c r="C85" s="1038" t="s">
        <v>91</v>
      </c>
      <c r="D85" s="1140" t="s">
        <v>2452</v>
      </c>
      <c r="E85" s="1147" t="s">
        <v>2453</v>
      </c>
      <c r="F85" s="1142" t="s">
        <v>2366</v>
      </c>
      <c r="G85" s="1144">
        <f>_xlfn.XLOOKUP(B85,[1]Detalhamento!$A:$A,[1]Detalhamento!$I:$I)</f>
        <v>46008</v>
      </c>
      <c r="H85" s="1144">
        <f>_xlfn.XLOOKUP(B85,[1]Detalhamento!$A:$A,[1]Detalhamento!$J:$J)</f>
        <v>46008</v>
      </c>
      <c r="I85" s="1076">
        <f>IFERROR(_xlfn.XLOOKUP(B85,[1]Detalhamento!$A:$A,[1]Detalhamento!$E:$E)," - ")</f>
        <v>22612.28</v>
      </c>
      <c r="J85" s="1154">
        <v>46023</v>
      </c>
      <c r="K85" s="1213">
        <v>12</v>
      </c>
      <c r="L85" s="1076"/>
      <c r="M85" s="1091" t="s">
        <v>287</v>
      </c>
      <c r="N85" s="1206">
        <v>21098.91</v>
      </c>
      <c r="O85" s="1042" t="s">
        <v>77</v>
      </c>
      <c r="P85" s="1042"/>
      <c r="Q85" s="1064" t="s">
        <v>25</v>
      </c>
      <c r="R85" s="96" t="s">
        <v>106</v>
      </c>
      <c r="S85" s="96">
        <f>_xlfn.XLOOKUP(B85,[1]Detalhamento!$A:$A,[1]Detalhamento!$M:$M)</f>
        <v>1</v>
      </c>
      <c r="T85" s="532">
        <f>IFERROR(IF(AND(T$30&gt;=EOMONTH($J85,-1)+1,T$30&lt;=EOMONTH(EOMONTH($J85,-1)+1,$K85-1)),IF(NOT(ISBLANK($N85)),$N85/$K85,$I85/$K85),0),0)</f>
        <v>1758.2425000000001</v>
      </c>
      <c r="U85" s="532">
        <f>IFERROR(IF(AND(U$30&gt;=EOMONTH($J85,-1)+1,U$30&lt;=EOMONTH(EOMONTH($J85,-1)+1,$K85-1)),IF(NOT(ISBLANK($N85)),$N85/$K85,$I85/$K85),0),0)</f>
        <v>1758.2425000000001</v>
      </c>
      <c r="V85" s="532">
        <f>IFERROR(IF(AND(V$30&gt;=EOMONTH($J85,-1)+1,V$30&lt;=EOMONTH(EOMONTH($J85,-1)+1,$K85-1)),IF(NOT(ISBLANK($N85)),$N85/$K85,$I85/$K85),0),0)</f>
        <v>1758.2425000000001</v>
      </c>
      <c r="W85" s="469">
        <f t="shared" si="22"/>
        <v>5274.7275</v>
      </c>
      <c r="X85" s="717">
        <f>IFERROR(IF(AND(X$30&gt;=EOMONTH($J85,-1)+1,X$30&lt;=EOMONTH(EOMONTH($J85,-1)+1,$K85-1)),IF(NOT(ISBLANK($N85)),$N85/$K85,$I85/$K85),0),0)</f>
        <v>1758.2425000000001</v>
      </c>
      <c r="Y85" s="532">
        <f>IFERROR(IF(AND(Y$30&gt;=EOMONTH($J85,-1)+1,Y$30&lt;=EOMONTH(EOMONTH($J85,-1)+1,$K85-1)),IF(NOT(ISBLANK($N85)),$N85/$K85,$I85/$K85),0),0)</f>
        <v>1758.2425000000001</v>
      </c>
      <c r="Z85" s="532">
        <f>IFERROR(IF(AND(Z$30&gt;=EOMONTH($J85,-1)+1,Z$30&lt;=EOMONTH(EOMONTH($J85,-1)+1,$K85-1)),IF(NOT(ISBLANK($N85)),$N85/$K85,$I85/$K85),0),0)</f>
        <v>1758.2425000000001</v>
      </c>
      <c r="AA85" s="469">
        <f t="shared" si="20"/>
        <v>5274.7275</v>
      </c>
      <c r="AB85" s="532">
        <f>IFERROR(IF(AND(AB$30&gt;=EOMONTH($J85,-1)+1,AB$30&lt;=EOMONTH(EOMONTH($J85,-1)+1,$K85-1)),IF(NOT(ISBLANK($N85)),$N85/$K85,$I85/$K85),0),0)</f>
        <v>1758.2425000000001</v>
      </c>
      <c r="AC85" s="532">
        <f>IFERROR(IF(AND(AC$30&gt;=EOMONTH($J85,-1)+1,AC$30&lt;=EOMONTH(EOMONTH($J85,-1)+1,$K85-1)),IF(NOT(ISBLANK($N85)),$N85/$K85,$I85/$K85),0),0)</f>
        <v>1758.2425000000001</v>
      </c>
      <c r="AD85" s="532">
        <f>IFERROR(IF(AND(AD$30&gt;=EOMONTH($J85,-1)+1,AD$30&lt;=EOMONTH(EOMONTH($J85,-1)+1,$K85-1)),IF(NOT(ISBLANK($N85)),$N85/$K85,$I85/$K85),0),0)</f>
        <v>1758.2425000000001</v>
      </c>
      <c r="AE85" s="469">
        <f t="shared" si="21"/>
        <v>5274.7275</v>
      </c>
      <c r="AF85" s="532">
        <f>IFERROR(IF(AND(AF$30&gt;=EOMONTH($J85,-1)+1,AF$30&lt;=EOMONTH(EOMONTH($J85,-1)+1,$K85-1)),IF(NOT(ISBLANK($N85)),$N85/$K85,$I85/$K85),0),0)</f>
        <v>1758.2425000000001</v>
      </c>
      <c r="AG85" s="532">
        <f>IFERROR(IF(AND(AG$30&gt;=EOMONTH($J85,-1)+1,AG$30&lt;=EOMONTH(EOMONTH($J85,-1)+1,$K85-1)),IF(NOT(ISBLANK($N85)),$N85/$K85,$I85/$K85),0),0)</f>
        <v>1758.2425000000001</v>
      </c>
      <c r="AH85" s="532">
        <f>IFERROR(IF(AND(AH$30&gt;=EOMONTH($J85,-1)+1,AH$30&lt;=EOMONTH(EOMONTH($J85,-1)+1,$K85-1)),IF(NOT(ISBLANK($N85)),$N85/$K85,$I85/$K85),0),0)</f>
        <v>1758.2425000000001</v>
      </c>
      <c r="AI85" s="469">
        <f t="shared" si="23"/>
        <v>5274.7275</v>
      </c>
      <c r="AJ85" s="94">
        <f t="shared" si="16"/>
        <v>21098.91</v>
      </c>
      <c r="AK85" s="1038"/>
      <c r="AL85" s="1038"/>
      <c r="AM85" s="1042"/>
      <c r="AN85" s="1044">
        <f>I85*AM85</f>
        <v>0</v>
      </c>
      <c r="AO85" s="595" t="str">
        <f>D85</f>
        <v>BID tampões pintura Anchieta</v>
      </c>
      <c r="AP85" s="62" t="s">
        <v>289</v>
      </c>
      <c r="AQ85" s="543" cm="1">
        <f t="array" aca="1" ref="AQ85" ca="1">IF(OR(AO85="",AO85=0),"",IF(SUMPRODUCT(($D$31:$D$146=AO85)*($R$31:$R$146="Previsto")*($T$30:$AH$30&lt;EOMONTH(TODAY(),-1)+1)*($T$31:$AH$146))=0,"",SUMPRODUCT(($D$31:$D$146=AO85)*($R$31:$R$146="Previsto")*($T$30:$AH$30&lt;EOMONTH(TODAY(),-1)+1)*($T$31:$AH$146))))</f>
        <v>8791.2124999999996</v>
      </c>
    </row>
    <row r="86" spans="1:43" ht="29.1" customHeight="1" x14ac:dyDescent="0.3">
      <c r="A86" s="1094"/>
      <c r="B86" s="1139"/>
      <c r="C86" s="1039"/>
      <c r="D86" s="1141"/>
      <c r="E86" s="1148"/>
      <c r="F86" s="1143"/>
      <c r="G86" s="1145"/>
      <c r="H86" s="1145"/>
      <c r="I86" s="1077"/>
      <c r="J86" s="1155"/>
      <c r="K86" s="1214"/>
      <c r="L86" s="1077"/>
      <c r="M86" s="1137"/>
      <c r="N86" s="1207"/>
      <c r="O86" s="1043"/>
      <c r="P86" s="1043"/>
      <c r="Q86" s="1065"/>
      <c r="R86" s="96" t="s">
        <v>107</v>
      </c>
      <c r="S86" s="482">
        <f>_xlfn.XLOOKUP(B85,[1]Detalhamento!$A:$A,[1]Detalhamento!$N:$N)</f>
        <v>1</v>
      </c>
      <c r="T86" s="532">
        <v>5</v>
      </c>
      <c r="U86" s="532">
        <v>3247</v>
      </c>
      <c r="V86" s="532">
        <v>2220</v>
      </c>
      <c r="W86" s="469">
        <f t="shared" si="22"/>
        <v>5472</v>
      </c>
      <c r="X86" s="532"/>
      <c r="Y86" s="532"/>
      <c r="Z86" s="532"/>
      <c r="AA86" s="469">
        <f t="shared" si="20"/>
        <v>0</v>
      </c>
      <c r="AB86" s="532"/>
      <c r="AC86" s="532"/>
      <c r="AD86" s="532"/>
      <c r="AE86" s="469">
        <f t="shared" si="21"/>
        <v>0</v>
      </c>
      <c r="AF86" s="532"/>
      <c r="AG86" s="532"/>
      <c r="AH86" s="532"/>
      <c r="AI86" s="469">
        <f t="shared" si="23"/>
        <v>0</v>
      </c>
      <c r="AJ86" s="94">
        <f t="shared" si="16"/>
        <v>5472</v>
      </c>
      <c r="AK86" s="1039"/>
      <c r="AL86" s="1039"/>
      <c r="AM86" s="1043"/>
      <c r="AN86" s="1045"/>
      <c r="AO86" s="596" t="str">
        <f>D85</f>
        <v>BID tampões pintura Anchieta</v>
      </c>
      <c r="AP86" s="62" t="s">
        <v>291</v>
      </c>
      <c r="AQ86" s="543" cm="1">
        <f t="array" aca="1" ref="AQ86" ca="1">IF(OR(AO86="",AO86=0),"",IF(SUMPRODUCT(($D$31:$D$146=AO86)*(ISNUMBER(SEARCH("Real",$R$32:$R$147)))*($T$30:$AH$30&lt;EOMONTH(TODAY(),-1)+1)*($T$32:$AH$147))=0,"",SUMPRODUCT(($D$31:$D$146=AO86)*(ISNUMBER(SEARCH("Real",$R$32:$R$147)))*($T$30:$AH$30&lt;EOMONTH(TODAY(),-1)+1)*($T$32:$AH$147))))</f>
        <v>5472</v>
      </c>
    </row>
    <row r="87" spans="1:43" ht="29.1" customHeight="1" x14ac:dyDescent="0.3">
      <c r="A87" s="1036" t="s">
        <v>310</v>
      </c>
      <c r="B87" s="1113" t="s">
        <v>2454</v>
      </c>
      <c r="C87" s="1036" t="s">
        <v>91</v>
      </c>
      <c r="D87" s="1115" t="s">
        <v>2455</v>
      </c>
      <c r="E87" s="1087" t="s">
        <v>2456</v>
      </c>
      <c r="F87" s="1040" t="s">
        <v>2366</v>
      </c>
      <c r="G87" s="1117">
        <f>_xlfn.XLOOKUP(B87,[1]Detalhamento!$A:$A,[1]Detalhamento!$I:$I)</f>
        <v>46050</v>
      </c>
      <c r="H87" s="1117">
        <f>_xlfn.XLOOKUP(B87,[1]Detalhamento!$A:$A,[1]Detalhamento!$J:$J)</f>
        <v>46087</v>
      </c>
      <c r="I87" s="1074">
        <f>IFERROR(_xlfn.XLOOKUP(B87,[1]Detalhamento!$A:$A,[1]Detalhamento!$E:$E)," - ")</f>
        <v>37266.49</v>
      </c>
      <c r="J87" s="1158">
        <f>_xlfn.XLOOKUP(B87,[1]Detalhamento!$A:$A,[1]Detalhamento!$O:$O)</f>
        <v>46235</v>
      </c>
      <c r="K87" s="1121">
        <v>12</v>
      </c>
      <c r="L87" s="1074"/>
      <c r="M87" s="1119"/>
      <c r="N87" s="1053"/>
      <c r="O87" s="1057" t="s">
        <v>77</v>
      </c>
      <c r="P87" s="1057"/>
      <c r="Q87" s="1062" t="s">
        <v>2360</v>
      </c>
      <c r="R87" s="91" t="s">
        <v>106</v>
      </c>
      <c r="S87" s="91">
        <f>_xlfn.XLOOKUP(B87,[1]Detalhamento!$A:$A,[1]Detalhamento!$M:$M)</f>
        <v>1</v>
      </c>
      <c r="T87" s="309">
        <f>IFERROR(IF(AND(T$30&gt;=EOMONTH($J87,-1)+1,T$30&lt;=EOMONTH(EOMONTH($J87,-1)+1,$K87-1)),IF(NOT(ISBLANK($N87)),$N87/$K87,$I87/$K87),0),0)</f>
        <v>0</v>
      </c>
      <c r="U87" s="309">
        <f>IFERROR(IF(AND(U$30&gt;=EOMONTH($J87,-1)+1,U$30&lt;=EOMONTH(EOMONTH($J87,-1)+1,$K87-1)),IF(NOT(ISBLANK($N87)),$N87/$K87,$I87/$K87),0),0)</f>
        <v>0</v>
      </c>
      <c r="V87" s="309">
        <f>IFERROR(IF(AND(V$30&gt;=EOMONTH($J87,-1)+1,V$30&lt;=EOMONTH(EOMONTH($J87,-1)+1,$K87-1)),IF(NOT(ISBLANK($N87)),$N87/$K87,$I87/$K87),0),0)</f>
        <v>0</v>
      </c>
      <c r="W87" s="469">
        <f t="shared" si="22"/>
        <v>0</v>
      </c>
      <c r="X87" s="309">
        <f>IFERROR(IF(AND(X$30&gt;=EOMONTH($J87,-1)+1,X$30&lt;=EOMONTH(EOMONTH($J87,-1)+1,$K87-1)),IF(NOT(ISBLANK($N87)),$N87/$K87,$I87/$K87),0),0)</f>
        <v>0</v>
      </c>
      <c r="Y87" s="309">
        <f>IFERROR(IF(AND(Y$30&gt;=EOMONTH($J87,-1)+1,Y$30&lt;=EOMONTH(EOMONTH($J87,-1)+1,$K87-1)),IF(NOT(ISBLANK($N87)),$N87/$K87,$I87/$K87),0),0)</f>
        <v>0</v>
      </c>
      <c r="Z87" s="309">
        <f>IFERROR(IF(AND(Z$30&gt;=EOMONTH($J87,-1)+1,Z$30&lt;=EOMONTH(EOMONTH($J87,-1)+1,$K87-1)),IF(NOT(ISBLANK($N87)),$N87/$K87,$I87/$K87),0),0)</f>
        <v>0</v>
      </c>
      <c r="AA87" s="469">
        <f t="shared" si="20"/>
        <v>0</v>
      </c>
      <c r="AB87" s="309">
        <f>IFERROR(IF(AND(AB$30&gt;=EOMONTH($J87,-1)+1,AB$30&lt;=EOMONTH(EOMONTH($J87,-1)+1,$K87-1)),IF(NOT(ISBLANK($N87)),$N87/$K87,$I87/$K87),0),0)</f>
        <v>0</v>
      </c>
      <c r="AC87" s="309">
        <f>IFERROR(IF(AND(AC$30&gt;=EOMONTH($J87,-1)+1,AC$30&lt;=EOMONTH(EOMONTH($J87,-1)+1,$K87-1)),IF(NOT(ISBLANK($N87)),$N87/$K87,$I87/$K87),0),0)</f>
        <v>3105.540833333333</v>
      </c>
      <c r="AD87" s="309">
        <f>IFERROR(IF(AND(AD$30&gt;=EOMONTH($J87,-1)+1,AD$30&lt;=EOMONTH(EOMONTH($J87,-1)+1,$K87-1)),IF(NOT(ISBLANK($N87)),$N87/$K87,$I87/$K87),0),0)</f>
        <v>3105.540833333333</v>
      </c>
      <c r="AE87" s="469">
        <f t="shared" si="21"/>
        <v>6211.081666666666</v>
      </c>
      <c r="AF87" s="309">
        <f>IFERROR(IF(AND(AF$30&gt;=EOMONTH($J87,-1)+1,AF$30&lt;=EOMONTH(EOMONTH($J87,-1)+1,$K87-1)),IF(NOT(ISBLANK($N87)),$N87/$K87,$I87/$K87),0),0)</f>
        <v>3105.540833333333</v>
      </c>
      <c r="AG87" s="309">
        <f>IFERROR(IF(AND(AG$30&gt;=EOMONTH($J87,-1)+1,AG$30&lt;=EOMONTH(EOMONTH($J87,-1)+1,$K87-1)),IF(NOT(ISBLANK($N87)),$N87/$K87,$I87/$K87),0),0)</f>
        <v>3105.540833333333</v>
      </c>
      <c r="AH87" s="309">
        <f>IFERROR(IF(AND(AH$30&gt;=EOMONTH($J87,-1)+1,AH$30&lt;=EOMONTH(EOMONTH($J87,-1)+1,$K87-1)),IF(NOT(ISBLANK($N87)),$N87/$K87,$I87/$K87),0),0)</f>
        <v>3105.540833333333</v>
      </c>
      <c r="AI87" s="469">
        <f t="shared" si="23"/>
        <v>9316.6224999999995</v>
      </c>
      <c r="AJ87" s="116">
        <f t="shared" si="16"/>
        <v>15527.704166666665</v>
      </c>
      <c r="AK87" s="1038"/>
      <c r="AL87" s="1038"/>
      <c r="AM87" s="1042"/>
      <c r="AN87" s="1044">
        <f>I87*AM87</f>
        <v>0</v>
      </c>
      <c r="AO87" s="595" t="str">
        <f>D87</f>
        <v>BID consumíveis laser</v>
      </c>
      <c r="AP87" s="62" t="s">
        <v>289</v>
      </c>
      <c r="AQ87" s="543" t="str" cm="1">
        <f t="array" aca="1" ref="AQ87" ca="1">IF(OR(AO87="",AO87=0),"",IF(SUMPRODUCT(($D$31:$D$146=AO87)*($R$31:$R$146="Previsto")*($T$30:$AH$30&lt;EOMONTH(TODAY(),-1)+1)*($T$31:$AH$146))=0,"",SUMPRODUCT(($D$31:$D$146=AO87)*($R$31:$R$146="Previsto")*($T$30:$AH$30&lt;EOMONTH(TODAY(),-1)+1)*($T$31:$AH$146))))</f>
        <v/>
      </c>
    </row>
    <row r="88" spans="1:43" ht="29.1" customHeight="1" x14ac:dyDescent="0.3">
      <c r="A88" s="1037"/>
      <c r="B88" s="1114"/>
      <c r="C88" s="1037"/>
      <c r="D88" s="1116"/>
      <c r="E88" s="1082"/>
      <c r="F88" s="1041"/>
      <c r="G88" s="1118"/>
      <c r="H88" s="1118"/>
      <c r="I88" s="1075"/>
      <c r="J88" s="1159"/>
      <c r="K88" s="1122"/>
      <c r="L88" s="1075"/>
      <c r="M88" s="1120"/>
      <c r="N88" s="1054"/>
      <c r="O88" s="1058"/>
      <c r="P88" s="1058"/>
      <c r="Q88" s="1063"/>
      <c r="R88" s="91" t="s">
        <v>107</v>
      </c>
      <c r="S88" s="481">
        <f>_xlfn.XLOOKUP(B87,[1]Detalhamento!$A:$A,[1]Detalhamento!$N:$N)</f>
        <v>1</v>
      </c>
      <c r="T88" s="309"/>
      <c r="U88" s="309"/>
      <c r="V88" s="309"/>
      <c r="W88" s="469">
        <f t="shared" si="22"/>
        <v>0</v>
      </c>
      <c r="X88" s="309"/>
      <c r="Y88" s="309"/>
      <c r="Z88" s="309"/>
      <c r="AA88" s="469">
        <f t="shared" si="20"/>
        <v>0</v>
      </c>
      <c r="AB88" s="309"/>
      <c r="AC88" s="309"/>
      <c r="AD88" s="309"/>
      <c r="AE88" s="469">
        <f t="shared" si="21"/>
        <v>0</v>
      </c>
      <c r="AF88" s="309"/>
      <c r="AG88" s="309"/>
      <c r="AH88" s="309"/>
      <c r="AI88" s="469">
        <f t="shared" si="23"/>
        <v>0</v>
      </c>
      <c r="AJ88" s="483">
        <f t="shared" si="16"/>
        <v>0</v>
      </c>
      <c r="AK88" s="1039"/>
      <c r="AL88" s="1039"/>
      <c r="AM88" s="1043"/>
      <c r="AN88" s="1045"/>
      <c r="AO88" s="596" t="str">
        <f>D87</f>
        <v>BID consumíveis laser</v>
      </c>
      <c r="AP88" s="62" t="s">
        <v>291</v>
      </c>
      <c r="AQ88" s="543" t="str" cm="1">
        <f t="array" aca="1" ref="AQ88" ca="1">IF(OR(AO88="",AO88=0),"",IF(SUMPRODUCT(($D$31:$D$146=AO88)*(ISNUMBER(SEARCH("Real",$R$32:$R$147)))*($T$30:$AH$30&lt;EOMONTH(TODAY(),-1)+1)*($T$32:$AH$147))=0,"",SUMPRODUCT(($D$31:$D$146=AO88)*(ISNUMBER(SEARCH("Real",$R$32:$R$147)))*($T$30:$AH$30&lt;EOMONTH(TODAY(),-1)+1)*($T$32:$AH$147))))</f>
        <v/>
      </c>
    </row>
    <row r="89" spans="1:43" ht="29.1" customHeight="1" x14ac:dyDescent="0.3">
      <c r="A89" s="1093" t="s">
        <v>310</v>
      </c>
      <c r="B89" s="1125" t="s">
        <v>2457</v>
      </c>
      <c r="C89" s="1038" t="s">
        <v>91</v>
      </c>
      <c r="D89" s="1127" t="s">
        <v>2458</v>
      </c>
      <c r="E89" s="1089" t="s">
        <v>2459</v>
      </c>
      <c r="F89" s="1129" t="s">
        <v>2366</v>
      </c>
      <c r="G89" s="1131">
        <f>_xlfn.XLOOKUP(B89,[1]Detalhamento!$A:$A,[1]Detalhamento!$I:$I)</f>
        <v>45923</v>
      </c>
      <c r="H89" s="1131">
        <f>_xlfn.XLOOKUP(B89,[1]Detalhamento!$A:$A,[1]Detalhamento!$J:$J)</f>
        <v>46031</v>
      </c>
      <c r="I89" s="1133">
        <f>IFERROR(_xlfn.XLOOKUP(B89,[1]Detalhamento!$A:$A,[1]Detalhamento!$E:$E)," - ")</f>
        <v>126386</v>
      </c>
      <c r="J89" s="1156">
        <f>_xlfn.XLOOKUP(B89,[1]Detalhamento!$A:$A,[1]Detalhamento!$O:$O)</f>
        <v>46071</v>
      </c>
      <c r="K89" s="1211">
        <v>12</v>
      </c>
      <c r="L89" s="1123"/>
      <c r="M89" s="1091" t="s">
        <v>287</v>
      </c>
      <c r="N89" s="1206">
        <v>98909.8</v>
      </c>
      <c r="O89" s="1042" t="s">
        <v>77</v>
      </c>
      <c r="P89" s="1042"/>
      <c r="Q89" s="1064" t="s">
        <v>22</v>
      </c>
      <c r="R89" s="96" t="s">
        <v>106</v>
      </c>
      <c r="S89" s="96">
        <f>_xlfn.XLOOKUP(B89,[1]Detalhamento!$A:$A,[1]Detalhamento!$M:$M)</f>
        <v>1</v>
      </c>
      <c r="T89" s="532">
        <f>IFERROR(IF(AND(T$30&gt;=EOMONTH($J89,-1)+1,T$30&lt;=EOMONTH(EOMONTH($J89,-1)+1,$K89-1)),IF(NOT(ISBLANK($N89)),$N89/$K89,$I89/$K89),0),0)</f>
        <v>0</v>
      </c>
      <c r="U89" s="532">
        <f>IFERROR(IF(AND(U$30&gt;=EOMONTH($J89,-1)+1,U$30&lt;=EOMONTH(EOMONTH($J89,-1)+1,$K89-1)),IF(NOT(ISBLANK($N89)),$N89/$K89,$I89/$K89),0),0)</f>
        <v>8242.4833333333336</v>
      </c>
      <c r="V89" s="532">
        <f>IFERROR(IF(AND(V$30&gt;=EOMONTH($J89,-1)+1,V$30&lt;=EOMONTH(EOMONTH($J89,-1)+1,$K89-1)),IF(NOT(ISBLANK($N89)),$N89/$K89,$I89/$K89),0),0)</f>
        <v>8242.4833333333336</v>
      </c>
      <c r="W89" s="469">
        <f t="shared" si="22"/>
        <v>16484.966666666667</v>
      </c>
      <c r="X89" s="717">
        <f>IFERROR(IF(AND(X$30&gt;=EOMONTH($J89,-1)+1,X$30&lt;=EOMONTH(EOMONTH($J89,-1)+1,$K89-1)),IF(NOT(ISBLANK($N89)),$N89/$K89,$I89/$K89),0),0)</f>
        <v>8242.4833333333336</v>
      </c>
      <c r="Y89" s="532">
        <f>IFERROR(IF(AND(Y$30&gt;=EOMONTH($J89,-1)+1,Y$30&lt;=EOMONTH(EOMONTH($J89,-1)+1,$K89-1)),IF(NOT(ISBLANK($N89)),$N89/$K89,$I89/$K89),0),0)</f>
        <v>8242.4833333333336</v>
      </c>
      <c r="Z89" s="532">
        <f>IFERROR(IF(AND(Z$30&gt;=EOMONTH($J89,-1)+1,Z$30&lt;=EOMONTH(EOMONTH($J89,-1)+1,$K89-1)),IF(NOT(ISBLANK($N89)),$N89/$K89,$I89/$K89),0),0)</f>
        <v>8242.4833333333336</v>
      </c>
      <c r="AA89" s="469">
        <f t="shared" si="20"/>
        <v>24727.45</v>
      </c>
      <c r="AB89" s="532">
        <f>IFERROR(IF(AND(AB$30&gt;=EOMONTH($J89,-1)+1,AB$30&lt;=EOMONTH(EOMONTH($J89,-1)+1,$K89-1)),IF(NOT(ISBLANK($N89)),$N89/$K89,$I89/$K89),0),0)</f>
        <v>8242.4833333333336</v>
      </c>
      <c r="AC89" s="532">
        <f>IFERROR(IF(AND(AC$30&gt;=EOMONTH($J89,-1)+1,AC$30&lt;=EOMONTH(EOMONTH($J89,-1)+1,$K89-1)),IF(NOT(ISBLANK($N89)),$N89/$K89,$I89/$K89),0),0)</f>
        <v>8242.4833333333336</v>
      </c>
      <c r="AD89" s="532">
        <f>IFERROR(IF(AND(AD$30&gt;=EOMONTH($J89,-1)+1,AD$30&lt;=EOMONTH(EOMONTH($J89,-1)+1,$K89-1)),IF(NOT(ISBLANK($N89)),$N89/$K89,$I89/$K89),0),0)</f>
        <v>8242.4833333333336</v>
      </c>
      <c r="AE89" s="469">
        <f t="shared" si="21"/>
        <v>24727.45</v>
      </c>
      <c r="AF89" s="532">
        <f>IFERROR(IF(AND(AF$30&gt;=EOMONTH($J89,-1)+1,AF$30&lt;=EOMONTH(EOMONTH($J89,-1)+1,$K89-1)),IF(NOT(ISBLANK($N89)),$N89/$K89,$I89/$K89),0),0)</f>
        <v>8242.4833333333336</v>
      </c>
      <c r="AG89" s="532">
        <f>IFERROR(IF(AND(AG$30&gt;=EOMONTH($J89,-1)+1,AG$30&lt;=EOMONTH(EOMONTH($J89,-1)+1,$K89-1)),IF(NOT(ISBLANK($N89)),$N89/$K89,$I89/$K89),0),0)</f>
        <v>8242.4833333333336</v>
      </c>
      <c r="AH89" s="532">
        <f>IFERROR(IF(AND(AH$30&gt;=EOMONTH($J89,-1)+1,AH$30&lt;=EOMONTH(EOMONTH($J89,-1)+1,$K89-1)),IF(NOT(ISBLANK($N89)),$N89/$K89,$I89/$K89),0),0)</f>
        <v>8242.4833333333336</v>
      </c>
      <c r="AI89" s="469">
        <f t="shared" si="23"/>
        <v>24727.45</v>
      </c>
      <c r="AJ89" s="94">
        <f t="shared" si="16"/>
        <v>90667.316666666695</v>
      </c>
      <c r="AK89" s="1038"/>
      <c r="AL89" s="1038"/>
      <c r="AM89" s="1042"/>
      <c r="AN89" s="1044">
        <f>I89*AM89</f>
        <v>0</v>
      </c>
      <c r="AO89" s="595" t="str">
        <f>D89</f>
        <v>Troca fornecedor decapagem gancheiras Ferraz</v>
      </c>
      <c r="AP89" s="62" t="s">
        <v>289</v>
      </c>
      <c r="AQ89" s="543" cm="1">
        <f t="array" aca="1" ref="AQ89" ca="1">IF(OR(AO89="",AO89=0),"",IF(SUMPRODUCT(($D$31:$D$146=AO89)*($R$31:$R$146="Previsto")*($T$30:$AH$30&lt;EOMONTH(TODAY(),-1)+1)*($T$31:$AH$146))=0,"",SUMPRODUCT(($D$31:$D$146=AO89)*($R$31:$R$146="Previsto")*($T$30:$AH$30&lt;EOMONTH(TODAY(),-1)+1)*($T$31:$AH$146))))</f>
        <v>32969.933333333334</v>
      </c>
    </row>
    <row r="90" spans="1:43" ht="29.1" customHeight="1" x14ac:dyDescent="0.3">
      <c r="A90" s="1094"/>
      <c r="B90" s="1126"/>
      <c r="C90" s="1039"/>
      <c r="D90" s="1146"/>
      <c r="E90" s="1090"/>
      <c r="F90" s="1130"/>
      <c r="G90" s="1132"/>
      <c r="H90" s="1132"/>
      <c r="I90" s="1134"/>
      <c r="J90" s="1157"/>
      <c r="K90" s="1212"/>
      <c r="L90" s="1124"/>
      <c r="M90" s="1092"/>
      <c r="N90" s="1208"/>
      <c r="O90" s="1043"/>
      <c r="P90" s="1043"/>
      <c r="Q90" s="1065"/>
      <c r="R90" s="96" t="s">
        <v>107</v>
      </c>
      <c r="S90" s="482">
        <f>_xlfn.XLOOKUP(B89,[1]Detalhamento!$A:$A,[1]Detalhamento!$N:$N)</f>
        <v>1</v>
      </c>
      <c r="T90" s="532"/>
      <c r="U90" s="742">
        <v>0</v>
      </c>
      <c r="V90" s="775">
        <v>544.5</v>
      </c>
      <c r="W90" s="469">
        <f t="shared" si="22"/>
        <v>544.5</v>
      </c>
      <c r="X90" s="532"/>
      <c r="Y90" s="532"/>
      <c r="Z90" s="532"/>
      <c r="AA90" s="469">
        <f t="shared" si="20"/>
        <v>0</v>
      </c>
      <c r="AB90" s="532"/>
      <c r="AC90" s="532"/>
      <c r="AD90" s="532"/>
      <c r="AE90" s="469">
        <f t="shared" si="21"/>
        <v>0</v>
      </c>
      <c r="AF90" s="532"/>
      <c r="AG90" s="532"/>
      <c r="AH90" s="532"/>
      <c r="AI90" s="469">
        <f t="shared" si="23"/>
        <v>0</v>
      </c>
      <c r="AJ90" s="94">
        <f t="shared" si="16"/>
        <v>544.5</v>
      </c>
      <c r="AK90" s="1039"/>
      <c r="AL90" s="1039"/>
      <c r="AM90" s="1043"/>
      <c r="AN90" s="1045"/>
      <c r="AO90" s="596" t="str">
        <f>D89</f>
        <v>Troca fornecedor decapagem gancheiras Ferraz</v>
      </c>
      <c r="AP90" s="62" t="s">
        <v>291</v>
      </c>
      <c r="AQ90" s="543" cm="1">
        <f t="array" aca="1" ref="AQ90" ca="1">IF(OR(AO90="",AO90=0),"",IF(SUMPRODUCT(($D$31:$D$146=AO90)*(ISNUMBER(SEARCH("Real",$R$32:$R$147)))*($T$30:$AH$30&lt;EOMONTH(TODAY(),-1)+1)*($T$32:$AH$147))=0,"",SUMPRODUCT(($D$31:$D$146=AO90)*(ISNUMBER(SEARCH("Real",$R$32:$R$147)))*($T$30:$AH$30&lt;EOMONTH(TODAY(),-1)+1)*($T$32:$AH$147))))</f>
        <v>544.5</v>
      </c>
    </row>
    <row r="91" spans="1:43" ht="29.1" customHeight="1" x14ac:dyDescent="0.3">
      <c r="A91" s="1036" t="s">
        <v>310</v>
      </c>
      <c r="B91" s="1113" t="s">
        <v>2460</v>
      </c>
      <c r="C91" s="1036" t="s">
        <v>93</v>
      </c>
      <c r="D91" s="1115" t="s">
        <v>2461</v>
      </c>
      <c r="E91" s="1087" t="s">
        <v>2462</v>
      </c>
      <c r="F91" s="1040" t="s">
        <v>2366</v>
      </c>
      <c r="G91" s="1117">
        <f>_xlfn.XLOOKUP(B91,[1]Detalhamento!$A:$A,[1]Detalhamento!$I:$I)</f>
        <v>46038</v>
      </c>
      <c r="H91" s="1117">
        <f>_xlfn.XLOOKUP(B91,[1]Detalhamento!$A:$A,[1]Detalhamento!$J:$J)</f>
        <v>46235</v>
      </c>
      <c r="I91" s="1074">
        <f>IFERROR(_xlfn.XLOOKUP(B91,[1]Detalhamento!$A:$A,[1]Detalhamento!$E:$E)," - ")</f>
        <v>348550.6</v>
      </c>
      <c r="J91" s="1158">
        <f>_xlfn.XLOOKUP(B91,[1]Detalhamento!$A:$A,[1]Detalhamento!$O:$O)</f>
        <v>46568</v>
      </c>
      <c r="K91" s="1121">
        <v>12</v>
      </c>
      <c r="L91" s="1074"/>
      <c r="M91" s="1119"/>
      <c r="N91" s="1053"/>
      <c r="O91" s="1057" t="s">
        <v>83</v>
      </c>
      <c r="P91" s="1057"/>
      <c r="Q91" s="1062" t="s">
        <v>2360</v>
      </c>
      <c r="R91" s="91" t="s">
        <v>106</v>
      </c>
      <c r="S91" s="91">
        <f>_xlfn.XLOOKUP(B91,[1]Detalhamento!$A:$A,[1]Detalhamento!$M:$M)</f>
        <v>0.875</v>
      </c>
      <c r="T91" s="309">
        <f>IFERROR(IF(AND(T$30&gt;=EOMONTH($J91,-1)+1,T$30&lt;=EOMONTH(EOMONTH($J91,-1)+1,$K91-1)),IF(NOT(ISBLANK($N91)),$N91/$K91,$I91/$K91),0),0)</f>
        <v>0</v>
      </c>
      <c r="U91" s="309">
        <f>IFERROR(IF(AND(U$30&gt;=EOMONTH($J91,-1)+1,U$30&lt;=EOMONTH(EOMONTH($J91,-1)+1,$K91-1)),IF(NOT(ISBLANK($N91)),$N91/$K91,$I91/$K91),0),0)</f>
        <v>0</v>
      </c>
      <c r="V91" s="309">
        <f>IFERROR(IF(AND(V$30&gt;=EOMONTH($J91,-1)+1,V$30&lt;=EOMONTH(EOMONTH($J91,-1)+1,$K91-1)),IF(NOT(ISBLANK($N91)),$N91/$K91,$I91/$K91),0),0)</f>
        <v>0</v>
      </c>
      <c r="W91" s="469">
        <f t="shared" si="22"/>
        <v>0</v>
      </c>
      <c r="X91" s="309">
        <f>IFERROR(IF(AND(X$30&gt;=EOMONTH($J91,-1)+1,X$30&lt;=EOMONTH(EOMONTH($J91,-1)+1,$K91-1)),IF(NOT(ISBLANK($N91)),$N91/$K91,$I91/$K91),0),0)</f>
        <v>0</v>
      </c>
      <c r="Y91" s="309">
        <f>IFERROR(IF(AND(Y$30&gt;=EOMONTH($J91,-1)+1,Y$30&lt;=EOMONTH(EOMONTH($J91,-1)+1,$K91-1)),IF(NOT(ISBLANK($N91)),$N91/$K91,$I91/$K91),0),0)</f>
        <v>0</v>
      </c>
      <c r="Z91" s="309">
        <f>IFERROR(IF(AND(Z$30&gt;=EOMONTH($J91,-1)+1,Z$30&lt;=EOMONTH(EOMONTH($J91,-1)+1,$K91-1)),IF(NOT(ISBLANK($N91)),$N91/$K91,$I91/$K91),0),0)</f>
        <v>0</v>
      </c>
      <c r="AA91" s="469">
        <f t="shared" si="20"/>
        <v>0</v>
      </c>
      <c r="AB91" s="309">
        <f>IFERROR(IF(AND(AB$30&gt;=EOMONTH($J91,-1)+1,AB$30&lt;=EOMONTH(EOMONTH($J91,-1)+1,$K91-1)),IF(NOT(ISBLANK($N91)),$N91/$K91,$I91/$K91),0),0)</f>
        <v>0</v>
      </c>
      <c r="AC91" s="309">
        <f>IFERROR(IF(AND(AC$30&gt;=EOMONTH($J91,-1)+1,AC$30&lt;=EOMONTH(EOMONTH($J91,-1)+1,$K91-1)),IF(NOT(ISBLANK($N91)),$N91/$K91,$I91/$K91),0),0)</f>
        <v>0</v>
      </c>
      <c r="AD91" s="309">
        <f>IFERROR(IF(AND(AD$30&gt;=EOMONTH($J91,-1)+1,AD$30&lt;=EOMONTH(EOMONTH($J91,-1)+1,$K91-1)),IF(NOT(ISBLANK($N91)),$N91/$K91,$I91/$K91),0),0)</f>
        <v>0</v>
      </c>
      <c r="AE91" s="469">
        <f t="shared" si="21"/>
        <v>0</v>
      </c>
      <c r="AF91" s="309">
        <f>IFERROR(IF(AND(AF$30&gt;=EOMONTH($J91,-1)+1,AF$30&lt;=EOMONTH(EOMONTH($J91,-1)+1,$K91-1)),IF(NOT(ISBLANK($N91)),$N91/$K91,$I91/$K91),0),0)</f>
        <v>0</v>
      </c>
      <c r="AG91" s="309">
        <f>IFERROR(IF(AND(AG$30&gt;=EOMONTH($J91,-1)+1,AG$30&lt;=EOMONTH(EOMONTH($J91,-1)+1,$K91-1)),IF(NOT(ISBLANK($N91)),$N91/$K91,$I91/$K91),0),0)</f>
        <v>0</v>
      </c>
      <c r="AH91" s="309">
        <f>IFERROR(IF(AND(AH$30&gt;=EOMONTH($J91,-1)+1,AH$30&lt;=EOMONTH(EOMONTH($J91,-1)+1,$K91-1)),IF(NOT(ISBLANK($N91)),$N91/$K91,$I91/$K91),0),0)</f>
        <v>0</v>
      </c>
      <c r="AI91" s="469">
        <f t="shared" si="23"/>
        <v>0</v>
      </c>
      <c r="AJ91" s="116">
        <f t="shared" si="16"/>
        <v>0</v>
      </c>
      <c r="AK91" s="1038"/>
      <c r="AL91" s="1038"/>
      <c r="AM91" s="1042"/>
      <c r="AN91" s="1044">
        <f>I91*AM91</f>
        <v>0</v>
      </c>
      <c r="AO91" s="595" t="str">
        <f>D91</f>
        <v>Troca da fonte de arame de solda para China</v>
      </c>
      <c r="AP91" s="62" t="s">
        <v>289</v>
      </c>
      <c r="AQ91" s="543" t="str" cm="1">
        <f t="array" aca="1" ref="AQ91" ca="1">IF(OR(AO91="",AO91=0),"",IF(SUMPRODUCT(($D$31:$D$146=AO91)*($R$31:$R$146="Previsto")*($T$30:$AH$30&lt;EOMONTH(TODAY(),-1)+1)*($T$31:$AH$146))=0,"",SUMPRODUCT(($D$31:$D$146=AO91)*($R$31:$R$146="Previsto")*($T$30:$AH$30&lt;EOMONTH(TODAY(),-1)+1)*($T$31:$AH$146))))</f>
        <v/>
      </c>
    </row>
    <row r="92" spans="1:43" ht="29.1" customHeight="1" x14ac:dyDescent="0.3">
      <c r="A92" s="1037"/>
      <c r="B92" s="1114"/>
      <c r="C92" s="1037"/>
      <c r="D92" s="1116"/>
      <c r="E92" s="1082"/>
      <c r="F92" s="1041"/>
      <c r="G92" s="1118"/>
      <c r="H92" s="1118"/>
      <c r="I92" s="1075"/>
      <c r="J92" s="1159"/>
      <c r="K92" s="1122"/>
      <c r="L92" s="1075"/>
      <c r="M92" s="1120"/>
      <c r="N92" s="1054"/>
      <c r="O92" s="1058"/>
      <c r="P92" s="1058"/>
      <c r="Q92" s="1063"/>
      <c r="R92" s="91" t="s">
        <v>107</v>
      </c>
      <c r="S92" s="481">
        <f>_xlfn.XLOOKUP(B91,[1]Detalhamento!$A:$A,[1]Detalhamento!$N:$N)</f>
        <v>0.875</v>
      </c>
      <c r="T92" s="309"/>
      <c r="U92" s="309"/>
      <c r="V92" s="309"/>
      <c r="W92" s="469">
        <f t="shared" si="22"/>
        <v>0</v>
      </c>
      <c r="X92" s="309"/>
      <c r="Y92" s="309"/>
      <c r="Z92" s="309"/>
      <c r="AA92" s="469">
        <f t="shared" si="20"/>
        <v>0</v>
      </c>
      <c r="AB92" s="309"/>
      <c r="AC92" s="309"/>
      <c r="AD92" s="309"/>
      <c r="AE92" s="469">
        <f t="shared" si="21"/>
        <v>0</v>
      </c>
      <c r="AF92" s="309"/>
      <c r="AG92" s="309"/>
      <c r="AH92" s="309"/>
      <c r="AI92" s="469">
        <f t="shared" si="23"/>
        <v>0</v>
      </c>
      <c r="AJ92" s="483">
        <f t="shared" si="16"/>
        <v>0</v>
      </c>
      <c r="AK92" s="1039"/>
      <c r="AL92" s="1039"/>
      <c r="AM92" s="1043"/>
      <c r="AN92" s="1045"/>
      <c r="AO92" s="596" t="str">
        <f>D91</f>
        <v>Troca da fonte de arame de solda para China</v>
      </c>
      <c r="AP92" s="62" t="s">
        <v>291</v>
      </c>
      <c r="AQ92" s="543" t="str" cm="1">
        <f t="array" aca="1" ref="AQ92" ca="1">IF(OR(AO92="",AO92=0),"",IF(SUMPRODUCT(($D$31:$D$146=AO92)*(ISNUMBER(SEARCH("Real",$R$32:$R$147)))*($T$30:$AH$30&lt;EOMONTH(TODAY(),-1)+1)*($T$32:$AH$147))=0,"",SUMPRODUCT(($D$31:$D$146=AO92)*(ISNUMBER(SEARCH("Real",$R$32:$R$147)))*($T$30:$AH$30&lt;EOMONTH(TODAY(),-1)+1)*($T$32:$AH$147))))</f>
        <v/>
      </c>
    </row>
    <row r="93" spans="1:43" ht="29.1" customHeight="1" x14ac:dyDescent="0.3">
      <c r="A93" s="1093" t="s">
        <v>310</v>
      </c>
      <c r="B93" s="1095" t="s">
        <v>2463</v>
      </c>
      <c r="C93" s="1038" t="s">
        <v>90</v>
      </c>
      <c r="D93" s="1097" t="s">
        <v>2464</v>
      </c>
      <c r="E93" s="1083" t="s">
        <v>2465</v>
      </c>
      <c r="F93" s="1099" t="s">
        <v>2432</v>
      </c>
      <c r="G93" s="1101">
        <f>_xlfn.XLOOKUP(B93,[1]Detalhamento!$A:$A,[1]Detalhamento!$I:$I)</f>
        <v>45659</v>
      </c>
      <c r="H93" s="1101">
        <f>_xlfn.XLOOKUP(B93,[1]Detalhamento!$A:$A,[1]Detalhamento!$J:$J)</f>
        <v>45769</v>
      </c>
      <c r="I93" s="1103">
        <f>IFERROR(_xlfn.XLOOKUP(B93,[1]Detalhamento!$A:$A,[1]Detalhamento!$E:$E)," - ")</f>
        <v>56550.98</v>
      </c>
      <c r="J93" s="1109">
        <f>_xlfn.XLOOKUP(B93,[1]Detalhamento!$A:$A,[1]Detalhamento!$O:$O)</f>
        <v>46066</v>
      </c>
      <c r="K93" s="1111">
        <v>12</v>
      </c>
      <c r="L93" s="1076"/>
      <c r="M93" s="1105" t="s">
        <v>287</v>
      </c>
      <c r="N93" s="1107">
        <v>86933</v>
      </c>
      <c r="O93" s="1042" t="s">
        <v>77</v>
      </c>
      <c r="P93" s="1042"/>
      <c r="Q93" s="1064" t="s">
        <v>22</v>
      </c>
      <c r="R93" s="96" t="s">
        <v>106</v>
      </c>
      <c r="S93" s="96">
        <f>_xlfn.XLOOKUP(B93,[1]Detalhamento!$A:$A,[1]Detalhamento!$M:$M)</f>
        <v>1</v>
      </c>
      <c r="T93" s="532">
        <f>IFERROR(IF(AND(T$30&gt;=EOMONTH($J93,-1)+1,T$30&lt;=EOMONTH(EOMONTH($J93,-1)+1,$K93-1)),IF(NOT(ISBLANK($N93)),$N93/$K93,$I93/$K93),0),0)</f>
        <v>0</v>
      </c>
      <c r="U93" s="532">
        <f>IFERROR(IF(AND(U$30&gt;=EOMONTH($J93,-1)+1,U$30&lt;=EOMONTH(EOMONTH($J93,-1)+1,$K93-1)),IF(NOT(ISBLANK($N93)),$N93/$K93,$I93/$K93),0),0)</f>
        <v>7244.416666666667</v>
      </c>
      <c r="V93" s="532">
        <f>IFERROR(IF(AND(V$30&gt;=EOMONTH($J93,-1)+1,V$30&lt;=EOMONTH(EOMONTH($J93,-1)+1,$K93-1)),IF(NOT(ISBLANK($N93)),$N93/$K93,$I93/$K93),0),0)</f>
        <v>7244.416666666667</v>
      </c>
      <c r="W93" s="469">
        <f t="shared" si="22"/>
        <v>14488.833333333334</v>
      </c>
      <c r="X93" s="717">
        <f>IFERROR(IF(AND(X$30&gt;=EOMONTH($J93,-1)+1,X$30&lt;=EOMONTH(EOMONTH($J93,-1)+1,$K93-1)),IF(NOT(ISBLANK($N93)),$N93/$K93,$I93/$K93),0),0)</f>
        <v>7244.416666666667</v>
      </c>
      <c r="Y93" s="532">
        <f>IFERROR(IF(AND(Y$30&gt;=EOMONTH($J93,-1)+1,Y$30&lt;=EOMONTH(EOMONTH($J93,-1)+1,$K93-1)),IF(NOT(ISBLANK($N93)),$N93/$K93,$I93/$K93),0),0)</f>
        <v>7244.416666666667</v>
      </c>
      <c r="Z93" s="532">
        <f>IFERROR(IF(AND(Z$30&gt;=EOMONTH($J93,-1)+1,Z$30&lt;=EOMONTH(EOMONTH($J93,-1)+1,$K93-1)),IF(NOT(ISBLANK($N93)),$N93/$K93,$I93/$K93),0),0)</f>
        <v>7244.416666666667</v>
      </c>
      <c r="AA93" s="469">
        <f t="shared" si="20"/>
        <v>21733.25</v>
      </c>
      <c r="AB93" s="532">
        <f>IFERROR(IF(AND(AB$30&gt;=EOMONTH($J93,-1)+1,AB$30&lt;=EOMONTH(EOMONTH($J93,-1)+1,$K93-1)),IF(NOT(ISBLANK($N93)),$N93/$K93,$I93/$K93),0),0)</f>
        <v>7244.416666666667</v>
      </c>
      <c r="AC93" s="532">
        <f>IFERROR(IF(AND(AC$30&gt;=EOMONTH($J93,-1)+1,AC$30&lt;=EOMONTH(EOMONTH($J93,-1)+1,$K93-1)),IF(NOT(ISBLANK($N93)),$N93/$K93,$I93/$K93),0),0)</f>
        <v>7244.416666666667</v>
      </c>
      <c r="AD93" s="532">
        <f>IFERROR(IF(AND(AD$30&gt;=EOMONTH($J93,-1)+1,AD$30&lt;=EOMONTH(EOMONTH($J93,-1)+1,$K93-1)),IF(NOT(ISBLANK($N93)),$N93/$K93,$I93/$K93),0),0)</f>
        <v>7244.416666666667</v>
      </c>
      <c r="AE93" s="469">
        <f t="shared" si="21"/>
        <v>21733.25</v>
      </c>
      <c r="AF93" s="532">
        <f>IFERROR(IF(AND(AF$30&gt;=EOMONTH($J93,-1)+1,AF$30&lt;=EOMONTH(EOMONTH($J93,-1)+1,$K93-1)),IF(NOT(ISBLANK($N93)),$N93/$K93,$I93/$K93),0),0)</f>
        <v>7244.416666666667</v>
      </c>
      <c r="AG93" s="532">
        <f>IFERROR(IF(AND(AG$30&gt;=EOMONTH($J93,-1)+1,AG$30&lt;=EOMONTH(EOMONTH($J93,-1)+1,$K93-1)),IF(NOT(ISBLANK($N93)),$N93/$K93,$I93/$K93),0),0)</f>
        <v>7244.416666666667</v>
      </c>
      <c r="AH93" s="532">
        <f>IFERROR(IF(AND(AH$30&gt;=EOMONTH($J93,-1)+1,AH$30&lt;=EOMONTH(EOMONTH($J93,-1)+1,$K93-1)),IF(NOT(ISBLANK($N93)),$N93/$K93,$I93/$K93),0),0)</f>
        <v>7244.416666666667</v>
      </c>
      <c r="AI93" s="469">
        <f t="shared" si="23"/>
        <v>21733.25</v>
      </c>
      <c r="AJ93" s="94">
        <f t="shared" si="16"/>
        <v>79688.583333333328</v>
      </c>
      <c r="AK93" s="1038"/>
      <c r="AL93" s="1038"/>
      <c r="AM93" s="1042"/>
      <c r="AN93" s="1044">
        <f>I93*AM93</f>
        <v>0</v>
      </c>
      <c r="AO93" s="595" t="str">
        <f>D93</f>
        <v>Redução MP Viga Banana</v>
      </c>
      <c r="AP93" s="62" t="s">
        <v>289</v>
      </c>
      <c r="AQ93" s="543" cm="1">
        <f t="array" aca="1" ref="AQ93" ca="1">IF(OR(AO93="",AO93=0),"",IF(SUMPRODUCT(($D$31:$D$146=AO93)*($R$31:$R$146="Previsto")*($T$30:$AH$30&lt;EOMONTH(TODAY(),-1)+1)*($T$31:$AH$146))=0,"",SUMPRODUCT(($D$31:$D$146=AO93)*($R$31:$R$146="Previsto")*($T$30:$AH$30&lt;EOMONTH(TODAY(),-1)+1)*($T$31:$AH$146))))</f>
        <v>28977.666666666668</v>
      </c>
    </row>
    <row r="94" spans="1:43" ht="29.1" customHeight="1" x14ac:dyDescent="0.3">
      <c r="A94" s="1094"/>
      <c r="B94" s="1096"/>
      <c r="C94" s="1039"/>
      <c r="D94" s="1098"/>
      <c r="E94" s="1084"/>
      <c r="F94" s="1100"/>
      <c r="G94" s="1102"/>
      <c r="H94" s="1102"/>
      <c r="I94" s="1104"/>
      <c r="J94" s="1110"/>
      <c r="K94" s="1112"/>
      <c r="L94" s="1077"/>
      <c r="M94" s="1106"/>
      <c r="N94" s="1108"/>
      <c r="O94" s="1043"/>
      <c r="P94" s="1043"/>
      <c r="Q94" s="1065"/>
      <c r="R94" s="96" t="s">
        <v>107</v>
      </c>
      <c r="S94" s="482">
        <f>_xlfn.XLOOKUP(B93,[1]Detalhamento!$A:$A,[1]Detalhamento!$N:$N)</f>
        <v>1</v>
      </c>
      <c r="T94" s="532"/>
      <c r="U94" s="742">
        <v>5111.5812094399989</v>
      </c>
      <c r="V94" s="742">
        <v>5666.1395482000007</v>
      </c>
      <c r="W94" s="469">
        <f t="shared" si="22"/>
        <v>10777.72075764</v>
      </c>
      <c r="X94" s="532"/>
      <c r="Y94" s="532"/>
      <c r="Z94" s="532"/>
      <c r="AA94" s="469">
        <f t="shared" si="20"/>
        <v>0</v>
      </c>
      <c r="AB94" s="532"/>
      <c r="AC94" s="532"/>
      <c r="AD94" s="532"/>
      <c r="AE94" s="469">
        <f t="shared" si="21"/>
        <v>0</v>
      </c>
      <c r="AF94" s="532"/>
      <c r="AG94" s="532"/>
      <c r="AH94" s="532"/>
      <c r="AI94" s="469">
        <f t="shared" si="23"/>
        <v>0</v>
      </c>
      <c r="AJ94" s="94">
        <f t="shared" si="16"/>
        <v>10777.72075764</v>
      </c>
      <c r="AK94" s="1039"/>
      <c r="AL94" s="1039"/>
      <c r="AM94" s="1043"/>
      <c r="AN94" s="1045"/>
      <c r="AO94" s="596" t="str">
        <f>D93</f>
        <v>Redução MP Viga Banana</v>
      </c>
      <c r="AP94" s="62" t="s">
        <v>291</v>
      </c>
      <c r="AQ94" s="543" cm="1">
        <f t="array" aca="1" ref="AQ94" ca="1">IF(OR(AO94="",AO94=0),"",IF(SUMPRODUCT(($D$31:$D$146=AO94)*(ISNUMBER(SEARCH("Real",$R$32:$R$147)))*($T$30:$AH$30&lt;EOMONTH(TODAY(),-1)+1)*($T$32:$AH$147))=0,"",SUMPRODUCT(($D$31:$D$146=AO94)*(ISNUMBER(SEARCH("Real",$R$32:$R$147)))*($T$30:$AH$30&lt;EOMONTH(TODAY(),-1)+1)*($T$32:$AH$147))))</f>
        <v>10777.72075764</v>
      </c>
    </row>
    <row r="95" spans="1:43" ht="29.1" customHeight="1" x14ac:dyDescent="0.3">
      <c r="A95" s="1036" t="s">
        <v>310</v>
      </c>
      <c r="B95" s="1113" t="s">
        <v>2466</v>
      </c>
      <c r="C95" s="1036" t="s">
        <v>93</v>
      </c>
      <c r="D95" s="1115" t="s">
        <v>2467</v>
      </c>
      <c r="E95" s="1087" t="s">
        <v>2468</v>
      </c>
      <c r="F95" s="1040" t="s">
        <v>2370</v>
      </c>
      <c r="G95" s="1117">
        <f>_xlfn.XLOOKUP(B95,[1]Detalhamento!$A:$A,[1]Detalhamento!$I:$I)</f>
        <v>45792</v>
      </c>
      <c r="H95" s="1117">
        <f>_xlfn.XLOOKUP(B95,[1]Detalhamento!$A:$A,[1]Detalhamento!$J:$J)</f>
        <v>45982</v>
      </c>
      <c r="I95" s="1074">
        <f>IFERROR(_xlfn.XLOOKUP(B95,[1]Detalhamento!$A:$A,[1]Detalhamento!$E:$E)," - ")</f>
        <v>155799</v>
      </c>
      <c r="J95" s="1158">
        <f>_xlfn.XLOOKUP(B95,[1]Detalhamento!$A:$A,[1]Detalhamento!$O:$O)</f>
        <v>46072</v>
      </c>
      <c r="K95" s="1121">
        <v>12</v>
      </c>
      <c r="L95" s="1074"/>
      <c r="M95" s="1119" t="s">
        <v>287</v>
      </c>
      <c r="N95" s="1053">
        <v>154937</v>
      </c>
      <c r="O95" s="1057" t="s">
        <v>77</v>
      </c>
      <c r="P95" s="1057"/>
      <c r="Q95" s="1062" t="s">
        <v>25</v>
      </c>
      <c r="R95" s="91" t="s">
        <v>106</v>
      </c>
      <c r="S95" s="91">
        <f>_xlfn.XLOOKUP(B95,[1]Detalhamento!$A:$A,[1]Detalhamento!$M:$M)</f>
        <v>1</v>
      </c>
      <c r="T95" s="309">
        <f>IFERROR(IF(AND(T$30&gt;=EOMONTH($J95,-1)+1,T$30&lt;=EOMONTH(EOMONTH($J95,-1)+1,$K95-1)),IF(NOT(ISBLANK($N95)),$N95/$K95,$I95/$K95),0),0)</f>
        <v>0</v>
      </c>
      <c r="U95" s="309">
        <f>IFERROR(IF(AND(U$30&gt;=EOMONTH($J95,-1)+1,U$30&lt;=EOMONTH(EOMONTH($J95,-1)+1,$K95-1)),IF(NOT(ISBLANK($N95)),$N95/$K95,$I95/$K95),0),0)</f>
        <v>12911.416666666666</v>
      </c>
      <c r="V95" s="309">
        <f>IFERROR(IF(AND(V$30&gt;=EOMONTH($J95,-1)+1,V$30&lt;=EOMONTH(EOMONTH($J95,-1)+1,$K95-1)),IF(NOT(ISBLANK($N95)),$N95/$K95,$I95/$K95),0),0)</f>
        <v>12911.416666666666</v>
      </c>
      <c r="W95" s="469">
        <f t="shared" si="22"/>
        <v>25822.833333333332</v>
      </c>
      <c r="X95" s="642">
        <f>IFERROR(IF(AND(X$30&gt;=EOMONTH($J95,-1)+1,X$30&lt;=EOMONTH(EOMONTH($J95,-1)+1,$K95-1)),IF(NOT(ISBLANK($N95)),$N95/$K95,$I95/$K95),0),0)</f>
        <v>12911.416666666666</v>
      </c>
      <c r="Y95" s="309">
        <f>IFERROR(IF(AND(Y$30&gt;=EOMONTH($J95,-1)+1,Y$30&lt;=EOMONTH(EOMONTH($J95,-1)+1,$K95-1)),IF(NOT(ISBLANK($N95)),$N95/$K95,$I95/$K95),0),0)</f>
        <v>12911.416666666666</v>
      </c>
      <c r="Z95" s="309">
        <f>IFERROR(IF(AND(Z$30&gt;=EOMONTH($J95,-1)+1,Z$30&lt;=EOMONTH(EOMONTH($J95,-1)+1,$K95-1)),IF(NOT(ISBLANK($N95)),$N95/$K95,$I95/$K95),0),0)</f>
        <v>12911.416666666666</v>
      </c>
      <c r="AA95" s="469">
        <f t="shared" si="20"/>
        <v>38734.25</v>
      </c>
      <c r="AB95" s="309">
        <f>IFERROR(IF(AND(AB$30&gt;=EOMONTH($J95,-1)+1,AB$30&lt;=EOMONTH(EOMONTH($J95,-1)+1,$K95-1)),IF(NOT(ISBLANK($N95)),$N95/$K95,$I95/$K95),0),0)</f>
        <v>12911.416666666666</v>
      </c>
      <c r="AC95" s="309">
        <f>IFERROR(IF(AND(AC$30&gt;=EOMONTH($J95,-1)+1,AC$30&lt;=EOMONTH(EOMONTH($J95,-1)+1,$K95-1)),IF(NOT(ISBLANK($N95)),$N95/$K95,$I95/$K95),0),0)</f>
        <v>12911.416666666666</v>
      </c>
      <c r="AD95" s="309">
        <f>IFERROR(IF(AND(AD$30&gt;=EOMONTH($J95,-1)+1,AD$30&lt;=EOMONTH(EOMONTH($J95,-1)+1,$K95-1)),IF(NOT(ISBLANK($N95)),$N95/$K95,$I95/$K95),0),0)</f>
        <v>12911.416666666666</v>
      </c>
      <c r="AE95" s="469">
        <f t="shared" si="21"/>
        <v>38734.25</v>
      </c>
      <c r="AF95" s="309">
        <f>IFERROR(IF(AND(AF$30&gt;=EOMONTH($J95,-1)+1,AF$30&lt;=EOMONTH(EOMONTH($J95,-1)+1,$K95-1)),IF(NOT(ISBLANK($N95)),$N95/$K95,$I95/$K95),0),0)</f>
        <v>12911.416666666666</v>
      </c>
      <c r="AG95" s="309">
        <f>IFERROR(IF(AND(AG$30&gt;=EOMONTH($J95,-1)+1,AG$30&lt;=EOMONTH(EOMONTH($J95,-1)+1,$K95-1)),IF(NOT(ISBLANK($N95)),$N95/$K95,$I95/$K95),0),0)</f>
        <v>12911.416666666666</v>
      </c>
      <c r="AH95" s="309">
        <f>IFERROR(IF(AND(AH$30&gt;=EOMONTH($J95,-1)+1,AH$30&lt;=EOMONTH(EOMONTH($J95,-1)+1,$K95-1)),IF(NOT(ISBLANK($N95)),$N95/$K95,$I95/$K95),0),0)</f>
        <v>12911.416666666666</v>
      </c>
      <c r="AI95" s="469">
        <f t="shared" ref="AI95:AI146" si="24">SUM(AF95:AH95)</f>
        <v>38734.25</v>
      </c>
      <c r="AJ95" s="116">
        <f t="shared" si="16"/>
        <v>142025.58333333334</v>
      </c>
      <c r="AK95" s="1038"/>
      <c r="AL95" s="1038"/>
      <c r="AM95" s="1042"/>
      <c r="AN95" s="1044">
        <f>I95*AM95</f>
        <v>0</v>
      </c>
      <c r="AO95" s="595" t="str">
        <f>D95</f>
        <v>Resourcing Hasmman para Metalac</v>
      </c>
      <c r="AP95" s="62" t="s">
        <v>289</v>
      </c>
      <c r="AQ95" s="543" cm="1">
        <f t="array" aca="1" ref="AQ95" ca="1">IF(OR(AO95="",AO95=0),"",IF(SUMPRODUCT(($D$31:$D$146=AO95)*($R$31:$R$146="Previsto")*($T$30:$AH$30&lt;EOMONTH(TODAY(),-1)+1)*($T$31:$AH$146))=0,"",SUMPRODUCT(($D$31:$D$146=AO95)*($R$31:$R$146="Previsto")*($T$30:$AH$30&lt;EOMONTH(TODAY(),-1)+1)*($T$31:$AH$146))))</f>
        <v>51645.666666666664</v>
      </c>
    </row>
    <row r="96" spans="1:43" ht="29.1" customHeight="1" x14ac:dyDescent="0.3">
      <c r="A96" s="1037"/>
      <c r="B96" s="1114"/>
      <c r="C96" s="1037"/>
      <c r="D96" s="1116"/>
      <c r="E96" s="1082"/>
      <c r="F96" s="1041"/>
      <c r="G96" s="1118"/>
      <c r="H96" s="1118"/>
      <c r="I96" s="1075"/>
      <c r="J96" s="1159"/>
      <c r="K96" s="1122"/>
      <c r="L96" s="1075"/>
      <c r="M96" s="1120"/>
      <c r="N96" s="1054"/>
      <c r="O96" s="1058"/>
      <c r="P96" s="1058"/>
      <c r="Q96" s="1063"/>
      <c r="R96" s="91" t="s">
        <v>107</v>
      </c>
      <c r="S96" s="481">
        <f>_xlfn.XLOOKUP(B95,[1]Detalhamento!$A:$A,[1]Detalhamento!$N:$N)</f>
        <v>1</v>
      </c>
      <c r="T96" s="309"/>
      <c r="U96" s="309"/>
      <c r="V96" s="309"/>
      <c r="W96" s="469">
        <f t="shared" si="22"/>
        <v>0</v>
      </c>
      <c r="X96" s="309"/>
      <c r="Y96" s="309"/>
      <c r="Z96" s="309"/>
      <c r="AA96" s="469">
        <f t="shared" si="20"/>
        <v>0</v>
      </c>
      <c r="AB96" s="309"/>
      <c r="AC96" s="309"/>
      <c r="AD96" s="309"/>
      <c r="AE96" s="469">
        <f t="shared" si="21"/>
        <v>0</v>
      </c>
      <c r="AF96" s="309"/>
      <c r="AG96" s="309"/>
      <c r="AH96" s="309"/>
      <c r="AI96" s="469">
        <f t="shared" si="24"/>
        <v>0</v>
      </c>
      <c r="AJ96" s="483">
        <f t="shared" ref="AJ96:AJ146" si="25">SUM(T96:V96,X96:Z96,AB96:AD96,AF96:AH96)</f>
        <v>0</v>
      </c>
      <c r="AK96" s="1039"/>
      <c r="AL96" s="1039"/>
      <c r="AM96" s="1043"/>
      <c r="AN96" s="1045"/>
      <c r="AO96" s="596" t="str">
        <f>D95</f>
        <v>Resourcing Hasmman para Metalac</v>
      </c>
      <c r="AP96" s="62" t="s">
        <v>291</v>
      </c>
      <c r="AQ96" s="543" t="str" cm="1">
        <f t="array" aca="1" ref="AQ96" ca="1">IF(OR(AO96="",AO96=0),"",IF(SUMPRODUCT(($D$31:$D$146=AO96)*(ISNUMBER(SEARCH("Real",$R$32:$R$147)))*($T$30:$AH$30&lt;EOMONTH(TODAY(),-1)+1)*($T$32:$AH$147))=0,"",SUMPRODUCT(($D$31:$D$146=AO96)*(ISNUMBER(SEARCH("Real",$R$32:$R$147)))*($T$30:$AH$30&lt;EOMONTH(TODAY(),-1)+1)*($T$32:$AH$147))))</f>
        <v/>
      </c>
    </row>
    <row r="97" spans="1:43" ht="29.1" customHeight="1" x14ac:dyDescent="0.3">
      <c r="A97" s="1093" t="s">
        <v>310</v>
      </c>
      <c r="B97" s="1095" t="s">
        <v>2469</v>
      </c>
      <c r="C97" s="1038" t="s">
        <v>90</v>
      </c>
      <c r="D97" s="1097" t="s">
        <v>2470</v>
      </c>
      <c r="E97" s="1087" t="s">
        <v>2471</v>
      </c>
      <c r="F97" s="1099" t="s">
        <v>2432</v>
      </c>
      <c r="G97" s="1101">
        <f>_xlfn.XLOOKUP(B97,[1]Detalhamento!$A:$A,[1]Detalhamento!$I:$I)</f>
        <v>45905</v>
      </c>
      <c r="H97" s="1101">
        <f>_xlfn.XLOOKUP(B97,[1]Detalhamento!$A:$A,[1]Detalhamento!$J:$J)</f>
        <v>45947</v>
      </c>
      <c r="I97" s="1103">
        <f>IFERROR(_xlfn.XLOOKUP(B97,[1]Detalhamento!$A:$A,[1]Detalhamento!$E:$E)," - ")</f>
        <v>2674685</v>
      </c>
      <c r="J97" s="1109">
        <f>_xlfn.XLOOKUP(B97,[1]Detalhamento!$A:$A,[1]Detalhamento!$O:$O)</f>
        <v>45992</v>
      </c>
      <c r="K97" s="1111">
        <v>12</v>
      </c>
      <c r="L97" s="1076"/>
      <c r="M97" s="1105" t="s">
        <v>287</v>
      </c>
      <c r="N97" s="1107">
        <v>2651202.3199999998</v>
      </c>
      <c r="O97" s="1042" t="s">
        <v>77</v>
      </c>
      <c r="P97" s="1042"/>
      <c r="Q97" s="1064" t="s">
        <v>22</v>
      </c>
      <c r="R97" s="96" t="s">
        <v>106</v>
      </c>
      <c r="S97" s="96">
        <f>_xlfn.XLOOKUP(B97,[1]Detalhamento!$A:$A,[1]Detalhamento!$M:$M)</f>
        <v>1</v>
      </c>
      <c r="T97" s="532">
        <f>IFERROR(IF(AND(T$30&gt;=EOMONTH($J97,-1)+1,T$30&lt;=EOMONTH(EOMONTH($J97,-1)+1,$K97-1)),IF(NOT(ISBLANK($N97)),$N97/$K97,$I97/$K97),0),0)</f>
        <v>220933.52666666664</v>
      </c>
      <c r="U97" s="532">
        <f>IFERROR(IF(AND(U$30&gt;=EOMONTH($J97,-1)+1,U$30&lt;=EOMONTH(EOMONTH($J97,-1)+1,$K97-1)),IF(NOT(ISBLANK($N97)),$N97/$K97,$I97/$K97),0),0)</f>
        <v>220933.52666666664</v>
      </c>
      <c r="V97" s="532">
        <f>IFERROR(IF(AND(V$30&gt;=EOMONTH($J97,-1)+1,V$30&lt;=EOMONTH(EOMONTH($J97,-1)+1,$K97-1)),IF(NOT(ISBLANK($N97)),$N97/$K97,$I97/$K97),0),0)</f>
        <v>220933.52666666664</v>
      </c>
      <c r="W97" s="469">
        <f t="shared" si="22"/>
        <v>662800.57999999996</v>
      </c>
      <c r="X97" s="717">
        <f>IFERROR(IF(AND(X$30&gt;=EOMONTH($J97,-1)+1,X$30&lt;=EOMONTH(EOMONTH($J97,-1)+1,$K97-1)),IF(NOT(ISBLANK($N97)),$N97/$K97,$I97/$K97),0),0)</f>
        <v>220933.52666666664</v>
      </c>
      <c r="Y97" s="532">
        <f>IFERROR(IF(AND(Y$30&gt;=EOMONTH($J97,-1)+1,Y$30&lt;=EOMONTH(EOMONTH($J97,-1)+1,$K97-1)),IF(NOT(ISBLANK($N97)),$N97/$K97,$I97/$K97),0),0)</f>
        <v>220933.52666666664</v>
      </c>
      <c r="Z97" s="532">
        <f>IFERROR(IF(AND(Z$30&gt;=EOMONTH($J97,-1)+1,Z$30&lt;=EOMONTH(EOMONTH($J97,-1)+1,$K97-1)),IF(NOT(ISBLANK($N97)),$N97/$K97,$I97/$K97),0),0)</f>
        <v>220933.52666666664</v>
      </c>
      <c r="AA97" s="469">
        <f t="shared" si="20"/>
        <v>662800.57999999996</v>
      </c>
      <c r="AB97" s="532">
        <f>IFERROR(IF(AND(AB$30&gt;=EOMONTH($J97,-1)+1,AB$30&lt;=EOMONTH(EOMONTH($J97,-1)+1,$K97-1)),IF(NOT(ISBLANK($N97)),$N97/$K97,$I97/$K97),0),0)</f>
        <v>220933.52666666664</v>
      </c>
      <c r="AC97" s="532">
        <f>IFERROR(IF(AND(AC$30&gt;=EOMONTH($J97,-1)+1,AC$30&lt;=EOMONTH(EOMONTH($J97,-1)+1,$K97-1)),IF(NOT(ISBLANK($N97)),$N97/$K97,$I97/$K97),0),0)</f>
        <v>220933.52666666664</v>
      </c>
      <c r="AD97" s="532">
        <f>IFERROR(IF(AND(AD$30&gt;=EOMONTH($J97,-1)+1,AD$30&lt;=EOMONTH(EOMONTH($J97,-1)+1,$K97-1)),IF(NOT(ISBLANK($N97)),$N97/$K97,$I97/$K97),0),0)</f>
        <v>220933.52666666664</v>
      </c>
      <c r="AE97" s="469">
        <f t="shared" si="21"/>
        <v>662800.57999999996</v>
      </c>
      <c r="AF97" s="532">
        <f>IFERROR(IF(AND(AF$30&gt;=EOMONTH($J97,-1)+1,AF$30&lt;=EOMONTH(EOMONTH($J97,-1)+1,$K97-1)),IF(NOT(ISBLANK($N97)),$N97/$K97,$I97/$K97),0),0)</f>
        <v>220933.52666666664</v>
      </c>
      <c r="AG97" s="532">
        <f>IFERROR(IF(AND(AG$30&gt;=EOMONTH($J97,-1)+1,AG$30&lt;=EOMONTH(EOMONTH($J97,-1)+1,$K97-1)),IF(NOT(ISBLANK($N97)),$N97/$K97,$I97/$K97),0),0)</f>
        <v>220933.52666666664</v>
      </c>
      <c r="AH97" s="532">
        <f>IFERROR(IF(AND(AH$30&gt;=EOMONTH($J97,-1)+1,AH$30&lt;=EOMONTH(EOMONTH($J97,-1)+1,$K97-1)),IF(NOT(ISBLANK($N97)),$N97/$K97,$I97/$K97),0),0)</f>
        <v>0</v>
      </c>
      <c r="AI97" s="469">
        <f t="shared" si="24"/>
        <v>441867.05333333329</v>
      </c>
      <c r="AJ97" s="94">
        <f t="shared" si="25"/>
        <v>2430268.7933333335</v>
      </c>
      <c r="AK97" s="1038"/>
      <c r="AL97" s="1038"/>
      <c r="AM97" s="1042"/>
      <c r="AN97" s="1044">
        <f>I97*AM97</f>
        <v>0</v>
      </c>
      <c r="AO97" s="595" t="str">
        <f>D97</f>
        <v>Negociação de preços materiais carcaça Dana</v>
      </c>
      <c r="AP97" s="62" t="s">
        <v>289</v>
      </c>
      <c r="AQ97" s="543" cm="1">
        <f t="array" aca="1" ref="AQ97" ca="1">IF(OR(AO97="",AO97=0),"",IF(SUMPRODUCT(($D$31:$D$146=AO97)*($R$31:$R$146="Previsto")*($T$30:$AH$30&lt;EOMONTH(TODAY(),-1)+1)*($T$31:$AH$146))=0,"",SUMPRODUCT(($D$31:$D$146=AO97)*($R$31:$R$146="Previsto")*($T$30:$AH$30&lt;EOMONTH(TODAY(),-1)+1)*($T$31:$AH$146))))</f>
        <v>1104667.6333333333</v>
      </c>
    </row>
    <row r="98" spans="1:43" ht="29.1" customHeight="1" x14ac:dyDescent="0.3">
      <c r="A98" s="1094"/>
      <c r="B98" s="1096"/>
      <c r="C98" s="1039"/>
      <c r="D98" s="1098"/>
      <c r="E98" s="1082"/>
      <c r="F98" s="1100"/>
      <c r="G98" s="1102"/>
      <c r="H98" s="1102"/>
      <c r="I98" s="1104"/>
      <c r="J98" s="1110"/>
      <c r="K98" s="1112"/>
      <c r="L98" s="1077"/>
      <c r="M98" s="1106"/>
      <c r="N98" s="1108"/>
      <c r="O98" s="1043"/>
      <c r="P98" s="1043"/>
      <c r="Q98" s="1065"/>
      <c r="R98" s="96" t="s">
        <v>107</v>
      </c>
      <c r="S98" s="485">
        <f>_xlfn.XLOOKUP(B97,[1]Detalhamento!$A:$A,[1]Detalhamento!$N:$N)</f>
        <v>1</v>
      </c>
      <c r="T98" s="532">
        <v>208823.13</v>
      </c>
      <c r="U98" s="532">
        <v>200827.67</v>
      </c>
      <c r="V98" s="742">
        <v>160789.38</v>
      </c>
      <c r="W98" s="469">
        <f>SUM(T98:V98)</f>
        <v>570440.18000000005</v>
      </c>
      <c r="X98" s="532"/>
      <c r="Y98" s="532"/>
      <c r="Z98" s="532"/>
      <c r="AA98" s="469">
        <f t="shared" si="20"/>
        <v>0</v>
      </c>
      <c r="AB98" s="532"/>
      <c r="AC98" s="532"/>
      <c r="AD98" s="532"/>
      <c r="AE98" s="469">
        <f t="shared" si="21"/>
        <v>0</v>
      </c>
      <c r="AF98" s="532"/>
      <c r="AG98" s="532"/>
      <c r="AH98" s="532"/>
      <c r="AI98" s="469">
        <f t="shared" si="24"/>
        <v>0</v>
      </c>
      <c r="AJ98" s="94">
        <f>SUM(T98:V98,X98:Z98,AB98:AD98,AF98:AH98)</f>
        <v>570440.18000000005</v>
      </c>
      <c r="AK98" s="1039"/>
      <c r="AL98" s="1039"/>
      <c r="AM98" s="1043"/>
      <c r="AN98" s="1045"/>
      <c r="AO98" s="596" t="str">
        <f>D97</f>
        <v>Negociação de preços materiais carcaça Dana</v>
      </c>
      <c r="AP98" s="62" t="s">
        <v>291</v>
      </c>
      <c r="AQ98" s="543" cm="1">
        <f t="array" aca="1" ref="AQ98" ca="1">IF(OR(AO98="",AO98=0),"",IF(SUMPRODUCT(($D$31:$D$146=AO98)*(ISNUMBER(SEARCH("Real",$R$32:$R$147)))*($T$30:$AH$30&lt;EOMONTH(TODAY(),-1)+1)*($T$32:$AH$147))=0,"",SUMPRODUCT(($D$31:$D$146=AO98)*(ISNUMBER(SEARCH("Real",$R$32:$R$147)))*($T$30:$AH$30&lt;EOMONTH(TODAY(),-1)+1)*($T$32:$AH$147))))</f>
        <v>570440.18000000005</v>
      </c>
    </row>
    <row r="99" spans="1:43" ht="29.1" customHeight="1" x14ac:dyDescent="0.3">
      <c r="A99" s="1036" t="s">
        <v>79</v>
      </c>
      <c r="B99" s="1113" t="s">
        <v>2472</v>
      </c>
      <c r="C99" s="1036" t="s">
        <v>94</v>
      </c>
      <c r="D99" s="1115" t="s">
        <v>2473</v>
      </c>
      <c r="E99" s="1081" t="s">
        <v>2474</v>
      </c>
      <c r="F99" s="1040" t="s">
        <v>2415</v>
      </c>
      <c r="G99" s="1117">
        <f>_xlfn.XLOOKUP(B99,[1]Detalhamento!$A:$A,[1]Detalhamento!$I:$I)</f>
        <v>46077</v>
      </c>
      <c r="H99" s="1117">
        <f>_xlfn.XLOOKUP(B99,[1]Detalhamento!$A:$A,[1]Detalhamento!$J:$J)</f>
        <v>46094</v>
      </c>
      <c r="I99" s="1074">
        <f>IFERROR(_xlfn.XLOOKUP(B99,[1]Detalhamento!$A:$A,[1]Detalhamento!$E:$E)," - ")</f>
        <v>0</v>
      </c>
      <c r="J99" s="1158">
        <f>_xlfn.XLOOKUP(B99,[1]Detalhamento!$A:$A,[1]Detalhamento!$O:$O)</f>
        <v>46296</v>
      </c>
      <c r="K99" s="1121">
        <v>12</v>
      </c>
      <c r="L99" s="1074"/>
      <c r="M99" s="1119"/>
      <c r="N99" s="1053"/>
      <c r="O99" s="1057" t="s">
        <v>80</v>
      </c>
      <c r="P99" s="1057"/>
      <c r="Q99" s="1062" t="s">
        <v>24</v>
      </c>
      <c r="R99" s="91" t="s">
        <v>106</v>
      </c>
      <c r="S99" s="91">
        <f>_xlfn.XLOOKUP(B99,[1]Detalhamento!$A:$A,[1]Detalhamento!$M:$M)</f>
        <v>0.5</v>
      </c>
      <c r="T99" s="309">
        <f>IFERROR(IF(AND(T$30&gt;=EOMONTH($J99,-1)+1,T$30&lt;=EOMONTH(EOMONTH($J99,-1)+1,$K99-1)),IF(NOT(ISBLANK($N99)),$N99/$K99,$I99/$K99),0),0)</f>
        <v>0</v>
      </c>
      <c r="U99" s="309">
        <f>IFERROR(IF(AND(U$30&gt;=EOMONTH($J99,-1)+1,U$30&lt;=EOMONTH(EOMONTH($J99,-1)+1,$K99-1)),IF(NOT(ISBLANK($N99)),$N99/$K99,$I99/$K99),0),0)</f>
        <v>0</v>
      </c>
      <c r="V99" s="309">
        <f>IFERROR(IF(AND(V$30&gt;=EOMONTH($J99,-1)+1,V$30&lt;=EOMONTH(EOMONTH($J99,-1)+1,$K99-1)),IF(NOT(ISBLANK($N99)),$N99/$K99,$I99/$K99),0),0)</f>
        <v>0</v>
      </c>
      <c r="W99" s="469">
        <f t="shared" si="22"/>
        <v>0</v>
      </c>
      <c r="X99" s="309">
        <f>IFERROR(IF(AND(X$30&gt;=EOMONTH($J99,-1)+1,X$30&lt;=EOMONTH(EOMONTH($J99,-1)+1,$K99-1)),IF(NOT(ISBLANK($N99)),$N99/$K99,$I99/$K99),0),0)</f>
        <v>0</v>
      </c>
      <c r="Y99" s="309">
        <f>IFERROR(IF(AND(Y$30&gt;=EOMONTH($J99,-1)+1,Y$30&lt;=EOMONTH(EOMONTH($J99,-1)+1,$K99-1)),IF(NOT(ISBLANK($N99)),$N99/$K99,$I99/$K99),0),0)</f>
        <v>0</v>
      </c>
      <c r="Z99" s="309">
        <f>IFERROR(IF(AND(Z$30&gt;=EOMONTH($J99,-1)+1,Z$30&lt;=EOMONTH(EOMONTH($J99,-1)+1,$K99-1)),IF(NOT(ISBLANK($N99)),$N99/$K99,$I99/$K99),0),0)</f>
        <v>0</v>
      </c>
      <c r="AA99" s="469">
        <f t="shared" si="20"/>
        <v>0</v>
      </c>
      <c r="AB99" s="309">
        <f>IFERROR(IF(AND(AB$30&gt;=EOMONTH($J99,-1)+1,AB$30&lt;=EOMONTH(EOMONTH($J99,-1)+1,$K99-1)),IF(NOT(ISBLANK($N99)),$N99/$K99,$I99/$K99),0),0)</f>
        <v>0</v>
      </c>
      <c r="AC99" s="309">
        <f>IFERROR(IF(AND(AC$30&gt;=EOMONTH($J99,-1)+1,AC$30&lt;=EOMONTH(EOMONTH($J99,-1)+1,$K99-1)),IF(NOT(ISBLANK($N99)),$N99/$K99,$I99/$K99),0),0)</f>
        <v>0</v>
      </c>
      <c r="AD99" s="309">
        <f>IFERROR(IF(AND(AD$30&gt;=EOMONTH($J99,-1)+1,AD$30&lt;=EOMONTH(EOMONTH($J99,-1)+1,$K99-1)),IF(NOT(ISBLANK($N99)),$N99/$K99,$I99/$K99),0),0)</f>
        <v>0</v>
      </c>
      <c r="AE99" s="469">
        <f t="shared" si="21"/>
        <v>0</v>
      </c>
      <c r="AF99" s="309">
        <f>IFERROR(IF(AND(AF$30&gt;=EOMONTH($J99,-1)+1,AF$30&lt;=EOMONTH(EOMONTH($J99,-1)+1,$K99-1)),IF(NOT(ISBLANK($N99)),$N99/$K99,$I99/$K99),0),0)</f>
        <v>0</v>
      </c>
      <c r="AG99" s="309">
        <f>IFERROR(IF(AND(AG$30&gt;=EOMONTH($J99,-1)+1,AG$30&lt;=EOMONTH(EOMONTH($J99,-1)+1,$K99-1)),IF(NOT(ISBLANK($N99)),$N99/$K99,$I99/$K99),0),0)</f>
        <v>0</v>
      </c>
      <c r="AH99" s="309">
        <f>IFERROR(IF(AND(AH$30&gt;=EOMONTH($J99,-1)+1,AH$30&lt;=EOMONTH(EOMONTH($J99,-1)+1,$K99-1)),IF(NOT(ISBLANK($N99)),$N99/$K99,$I99/$K99),0),0)</f>
        <v>0</v>
      </c>
      <c r="AI99" s="469">
        <f t="shared" si="24"/>
        <v>0</v>
      </c>
      <c r="AJ99" s="116">
        <f t="shared" si="25"/>
        <v>0</v>
      </c>
      <c r="AK99" s="1038"/>
      <c r="AL99" s="1038"/>
      <c r="AM99" s="1042"/>
      <c r="AN99" s="1044">
        <f>I99*AM99</f>
        <v>0</v>
      </c>
      <c r="AO99" s="595" t="str">
        <f>D99</f>
        <v>Conseguir Ex tarifário Ferramentas Saga</v>
      </c>
      <c r="AP99" s="62" t="s">
        <v>289</v>
      </c>
      <c r="AQ99" s="543" t="str" cm="1">
        <f t="array" aca="1" ref="AQ99" ca="1">IF(OR(AO99="",AO99=0),"",IF(SUMPRODUCT(($D$31:$D$146=AO99)*($R$31:$R$146="Previsto")*($T$30:$AH$30&lt;EOMONTH(TODAY(),-1)+1)*($T$31:$AH$146))=0,"",SUMPRODUCT(($D$31:$D$146=AO99)*($R$31:$R$146="Previsto")*($T$30:$AH$30&lt;EOMONTH(TODAY(),-1)+1)*($T$31:$AH$146))))</f>
        <v/>
      </c>
    </row>
    <row r="100" spans="1:43" ht="29.1" customHeight="1" x14ac:dyDescent="0.3">
      <c r="A100" s="1037"/>
      <c r="B100" s="1114"/>
      <c r="C100" s="1037"/>
      <c r="D100" s="1116"/>
      <c r="E100" s="1082"/>
      <c r="F100" s="1041"/>
      <c r="G100" s="1118"/>
      <c r="H100" s="1118"/>
      <c r="I100" s="1075"/>
      <c r="J100" s="1159"/>
      <c r="K100" s="1122"/>
      <c r="L100" s="1075"/>
      <c r="M100" s="1120"/>
      <c r="N100" s="1054"/>
      <c r="O100" s="1058"/>
      <c r="P100" s="1058"/>
      <c r="Q100" s="1063"/>
      <c r="R100" s="91" t="s">
        <v>107</v>
      </c>
      <c r="S100" s="481">
        <f>_xlfn.XLOOKUP(B99,[1]Detalhamento!$A:$A,[1]Detalhamento!$N:$N)</f>
        <v>0.67500000000000004</v>
      </c>
      <c r="T100" s="309"/>
      <c r="U100" s="309"/>
      <c r="V100" s="309"/>
      <c r="W100" s="469">
        <f t="shared" si="22"/>
        <v>0</v>
      </c>
      <c r="X100" s="309"/>
      <c r="Y100" s="309"/>
      <c r="Z100" s="309"/>
      <c r="AA100" s="469">
        <f t="shared" si="20"/>
        <v>0</v>
      </c>
      <c r="AB100" s="309"/>
      <c r="AC100" s="309"/>
      <c r="AD100" s="309"/>
      <c r="AE100" s="469">
        <f t="shared" si="21"/>
        <v>0</v>
      </c>
      <c r="AF100" s="309"/>
      <c r="AG100" s="309"/>
      <c r="AH100" s="309"/>
      <c r="AI100" s="469">
        <f t="shared" si="24"/>
        <v>0</v>
      </c>
      <c r="AJ100" s="483">
        <f t="shared" si="25"/>
        <v>0</v>
      </c>
      <c r="AK100" s="1039"/>
      <c r="AL100" s="1039"/>
      <c r="AM100" s="1043"/>
      <c r="AN100" s="1045"/>
      <c r="AO100" s="596" t="str">
        <f>D99</f>
        <v>Conseguir Ex tarifário Ferramentas Saga</v>
      </c>
      <c r="AP100" s="62" t="s">
        <v>291</v>
      </c>
      <c r="AQ100" s="543" t="str" cm="1">
        <f t="array" aca="1" ref="AQ100" ca="1">IF(OR(AO100="",AO100=0),"",IF(SUMPRODUCT(($D$31:$D$146=AO100)*(ISNUMBER(SEARCH("Real",$R$32:$R$147)))*($T$30:$AH$30&lt;EOMONTH(TODAY(),-1)+1)*($T$32:$AH$147))=0,"",SUMPRODUCT(($D$31:$D$146=AO100)*(ISNUMBER(SEARCH("Real",$R$32:$R$147)))*($T$30:$AH$30&lt;EOMONTH(TODAY(),-1)+1)*($T$32:$AH$147))))</f>
        <v/>
      </c>
    </row>
    <row r="101" spans="1:43" ht="29.1" customHeight="1" x14ac:dyDescent="0.3">
      <c r="A101" s="1093" t="s">
        <v>87</v>
      </c>
      <c r="B101" s="1095" t="s">
        <v>2475</v>
      </c>
      <c r="C101" s="1038" t="s">
        <v>90</v>
      </c>
      <c r="D101" s="1097" t="s">
        <v>2476</v>
      </c>
      <c r="E101" s="1081" t="s">
        <v>2477</v>
      </c>
      <c r="F101" s="1099" t="s">
        <v>2415</v>
      </c>
      <c r="G101" s="1101">
        <f>_xlfn.XLOOKUP(B101,[1]Detalhamento!$A:$A,[1]Detalhamento!$I:$I)</f>
        <v>46087</v>
      </c>
      <c r="H101" s="1101">
        <f>_xlfn.XLOOKUP(B101,[1]Detalhamento!$A:$A,[1]Detalhamento!$J:$J)</f>
        <v>46094</v>
      </c>
      <c r="I101" s="1103">
        <f>IFERROR(_xlfn.XLOOKUP(B101,[1]Detalhamento!$A:$A,[1]Detalhamento!$E:$E)," - ")</f>
        <v>0</v>
      </c>
      <c r="J101" s="1109">
        <f>_xlfn.XLOOKUP(B101,[1]Detalhamento!$A:$A,[1]Detalhamento!$O:$O)</f>
        <v>46266</v>
      </c>
      <c r="K101" s="1111">
        <v>12</v>
      </c>
      <c r="L101" s="1076"/>
      <c r="M101" s="1072"/>
      <c r="N101" s="1055"/>
      <c r="O101" s="1042" t="s">
        <v>80</v>
      </c>
      <c r="P101" s="1042"/>
      <c r="Q101" s="1064"/>
      <c r="R101" s="96" t="s">
        <v>106</v>
      </c>
      <c r="S101" s="96">
        <f>_xlfn.XLOOKUP(B101,[1]Detalhamento!$A:$A,[1]Detalhamento!$M:$M)</f>
        <v>0.22222222222222221</v>
      </c>
      <c r="T101" s="532">
        <f>IFERROR(IF(AND(T$30&gt;=EOMONTH($J101,-1)+1,T$30&lt;=EOMONTH(EOMONTH($J101,-1)+1,$K101-1)),IF(NOT(ISBLANK($N101)),$N101/$K101,$I101/$K101),0),0)</f>
        <v>0</v>
      </c>
      <c r="U101" s="532">
        <f>IFERROR(IF(AND(U$30&gt;=EOMONTH($J101,-1)+1,U$30&lt;=EOMONTH(EOMONTH($J101,-1)+1,$K101-1)),IF(NOT(ISBLANK($N101)),$N101/$K101,$I101/$K101),0),0)</f>
        <v>0</v>
      </c>
      <c r="V101" s="532">
        <f>IFERROR(IF(AND(V$30&gt;=EOMONTH($J101,-1)+1,V$30&lt;=EOMONTH(EOMONTH($J101,-1)+1,$K101-1)),IF(NOT(ISBLANK($N101)),$N101/$K101,$I101/$K101),0),0)</f>
        <v>0</v>
      </c>
      <c r="W101" s="469">
        <f t="shared" si="22"/>
        <v>0</v>
      </c>
      <c r="X101" s="532">
        <f>IFERROR(IF(AND(X$30&gt;=EOMONTH($J101,-1)+1,X$30&lt;=EOMONTH(EOMONTH($J101,-1)+1,$K101-1)),IF(NOT(ISBLANK($N101)),$N101/$K101,$I101/$K101),0),0)</f>
        <v>0</v>
      </c>
      <c r="Y101" s="532">
        <f>IFERROR(IF(AND(Y$30&gt;=EOMONTH($J101,-1)+1,Y$30&lt;=EOMONTH(EOMONTH($J101,-1)+1,$K101-1)),IF(NOT(ISBLANK($N101)),$N101/$K101,$I101/$K101),0),0)</f>
        <v>0</v>
      </c>
      <c r="Z101" s="532">
        <f>IFERROR(IF(AND(Z$30&gt;=EOMONTH($J101,-1)+1,Z$30&lt;=EOMONTH(EOMONTH($J101,-1)+1,$K101-1)),IF(NOT(ISBLANK($N101)),$N101/$K101,$I101/$K101),0),0)</f>
        <v>0</v>
      </c>
      <c r="AA101" s="469">
        <f t="shared" ref="AA101:AA146" si="26">SUM(X101:Z101)</f>
        <v>0</v>
      </c>
      <c r="AB101" s="532">
        <f>IFERROR(IF(AND(AB$30&gt;=EOMONTH($J101,-1)+1,AB$30&lt;=EOMONTH(EOMONTH($J101,-1)+1,$K101-1)),IF(NOT(ISBLANK($N101)),$N101/$K101,$I101/$K101),0),0)</f>
        <v>0</v>
      </c>
      <c r="AC101" s="532">
        <f>IFERROR(IF(AND(AC$30&gt;=EOMONTH($J101,-1)+1,AC$30&lt;=EOMONTH(EOMONTH($J101,-1)+1,$K101-1)),IF(NOT(ISBLANK($N101)),$N101/$K101,$I101/$K101),0),0)</f>
        <v>0</v>
      </c>
      <c r="AD101" s="532">
        <f>IFERROR(IF(AND(AD$30&gt;=EOMONTH($J101,-1)+1,AD$30&lt;=EOMONTH(EOMONTH($J101,-1)+1,$K101-1)),IF(NOT(ISBLANK($N101)),$N101/$K101,$I101/$K101),0),0)</f>
        <v>0</v>
      </c>
      <c r="AE101" s="469">
        <f t="shared" ref="AE101:AE146" si="27">SUM(AB101:AD101)</f>
        <v>0</v>
      </c>
      <c r="AF101" s="532">
        <f>IFERROR(IF(AND(AF$30&gt;=EOMONTH($J101,-1)+1,AF$30&lt;=EOMONTH(EOMONTH($J101,-1)+1,$K101-1)),IF(NOT(ISBLANK($N101)),$N101/$K101,$I101/$K101),0),0)</f>
        <v>0</v>
      </c>
      <c r="AG101" s="532">
        <f>IFERROR(IF(AND(AG$30&gt;=EOMONTH($J101,-1)+1,AG$30&lt;=EOMONTH(EOMONTH($J101,-1)+1,$K101-1)),IF(NOT(ISBLANK($N101)),$N101/$K101,$I101/$K101),0),0)</f>
        <v>0</v>
      </c>
      <c r="AH101" s="532">
        <f>IFERROR(IF(AND(AH$30&gt;=EOMONTH($J101,-1)+1,AH$30&lt;=EOMONTH(EOMONTH($J101,-1)+1,$K101-1)),IF(NOT(ISBLANK($N101)),$N101/$K101,$I101/$K101),0),0)</f>
        <v>0</v>
      </c>
      <c r="AI101" s="469">
        <f t="shared" si="24"/>
        <v>0</v>
      </c>
      <c r="AJ101" s="94">
        <f t="shared" si="25"/>
        <v>0</v>
      </c>
      <c r="AK101" s="1038"/>
      <c r="AL101" s="1038"/>
      <c r="AM101" s="1042"/>
      <c r="AN101" s="1044">
        <f>I101*AM101</f>
        <v>0</v>
      </c>
      <c r="AO101" s="595" t="str">
        <f>D101</f>
        <v>Estratégia comercial com as Usinas</v>
      </c>
      <c r="AP101" s="62" t="s">
        <v>289</v>
      </c>
      <c r="AQ101" s="543" t="str" cm="1">
        <f t="array" aca="1" ref="AQ101" ca="1">IF(OR(AO101="",AO101=0),"",IF(SUMPRODUCT(($D$31:$D$146=AO101)*($R$31:$R$146="Previsto")*($T$30:$AH$30&lt;EOMONTH(TODAY(),-1)+1)*($T$31:$AH$146))=0,"",SUMPRODUCT(($D$31:$D$146=AO101)*($R$31:$R$146="Previsto")*($T$30:$AH$30&lt;EOMONTH(TODAY(),-1)+1)*($T$31:$AH$146))))</f>
        <v/>
      </c>
    </row>
    <row r="102" spans="1:43" ht="29.1" customHeight="1" x14ac:dyDescent="0.3">
      <c r="A102" s="1094"/>
      <c r="B102" s="1096"/>
      <c r="C102" s="1039"/>
      <c r="D102" s="1098"/>
      <c r="E102" s="1082"/>
      <c r="F102" s="1100"/>
      <c r="G102" s="1102"/>
      <c r="H102" s="1102"/>
      <c r="I102" s="1104"/>
      <c r="J102" s="1110"/>
      <c r="K102" s="1112"/>
      <c r="L102" s="1077"/>
      <c r="M102" s="1073"/>
      <c r="N102" s="1056"/>
      <c r="O102" s="1043"/>
      <c r="P102" s="1043"/>
      <c r="Q102" s="1065"/>
      <c r="R102" s="96" t="s">
        <v>107</v>
      </c>
      <c r="S102" s="482">
        <f>_xlfn.XLOOKUP(B101,[1]Detalhamento!$A:$A,[1]Detalhamento!$N:$N)</f>
        <v>0.22222222222222221</v>
      </c>
      <c r="T102" s="532"/>
      <c r="U102" s="532"/>
      <c r="V102" s="532"/>
      <c r="W102" s="469">
        <f t="shared" ref="W102:W146" si="28">SUM(T102:V102)</f>
        <v>0</v>
      </c>
      <c r="X102" s="532"/>
      <c r="Y102" s="532"/>
      <c r="Z102" s="532"/>
      <c r="AA102" s="469">
        <f t="shared" si="26"/>
        <v>0</v>
      </c>
      <c r="AB102" s="532"/>
      <c r="AC102" s="532"/>
      <c r="AD102" s="532"/>
      <c r="AE102" s="469">
        <f t="shared" si="27"/>
        <v>0</v>
      </c>
      <c r="AF102" s="532"/>
      <c r="AG102" s="532"/>
      <c r="AH102" s="532"/>
      <c r="AI102" s="469">
        <f t="shared" si="24"/>
        <v>0</v>
      </c>
      <c r="AJ102" s="94">
        <f t="shared" si="25"/>
        <v>0</v>
      </c>
      <c r="AK102" s="1039"/>
      <c r="AL102" s="1039"/>
      <c r="AM102" s="1043"/>
      <c r="AN102" s="1045"/>
      <c r="AO102" s="596" t="str">
        <f>D101</f>
        <v>Estratégia comercial com as Usinas</v>
      </c>
      <c r="AP102" s="62" t="s">
        <v>291</v>
      </c>
      <c r="AQ102" s="543" t="str" cm="1">
        <f t="array" aca="1" ref="AQ102" ca="1">IF(OR(AO102="",AO102=0),"",IF(SUMPRODUCT(($D$31:$D$146=AO102)*(ISNUMBER(SEARCH("Real",$R$32:$R$147)))*($T$30:$AH$30&lt;EOMONTH(TODAY(),-1)+1)*($T$32:$AH$147))=0,"",SUMPRODUCT(($D$31:$D$146=AO102)*(ISNUMBER(SEARCH("Real",$R$32:$R$147)))*($T$30:$AH$30&lt;EOMONTH(TODAY(),-1)+1)*($T$32:$AH$147))))</f>
        <v/>
      </c>
    </row>
    <row r="103" spans="1:43" ht="29.1" customHeight="1" x14ac:dyDescent="0.3">
      <c r="A103" s="1036" t="s">
        <v>79</v>
      </c>
      <c r="B103" s="1125" t="s">
        <v>2478</v>
      </c>
      <c r="C103" s="1036" t="s">
        <v>93</v>
      </c>
      <c r="D103" s="1127" t="s">
        <v>2479</v>
      </c>
      <c r="E103" s="1149" t="s">
        <v>2480</v>
      </c>
      <c r="F103" s="1129" t="s">
        <v>2370</v>
      </c>
      <c r="G103" s="1131">
        <f>_xlfn.XLOOKUP(B103,[1]Detalhamento!$A:$A,[1]Detalhamento!$I:$I)</f>
        <v>46045</v>
      </c>
      <c r="H103" s="1131">
        <f>_xlfn.XLOOKUP(B103,[1]Detalhamento!$A:$A,[1]Detalhamento!$J:$J)</f>
        <v>46099</v>
      </c>
      <c r="I103" s="1133">
        <f>IFERROR(_xlfn.XLOOKUP(B103,[1]Detalhamento!$A:$A,[1]Detalhamento!$E:$E)," - ")</f>
        <v>39383</v>
      </c>
      <c r="J103" s="1156">
        <f>_xlfn.XLOOKUP(B103,[1]Detalhamento!$A:$A,[1]Detalhamento!$O:$O)</f>
        <v>46101</v>
      </c>
      <c r="K103" s="1211">
        <v>12</v>
      </c>
      <c r="L103" s="1123"/>
      <c r="M103" s="1135" t="s">
        <v>287</v>
      </c>
      <c r="N103" s="1165">
        <v>39383</v>
      </c>
      <c r="O103" s="1057" t="s">
        <v>77</v>
      </c>
      <c r="P103" s="1057"/>
      <c r="Q103" s="1062"/>
      <c r="R103" s="91" t="s">
        <v>106</v>
      </c>
      <c r="S103" s="91">
        <f>_xlfn.XLOOKUP(B103,[1]Detalhamento!$A:$A,[1]Detalhamento!$M:$M)</f>
        <v>1</v>
      </c>
      <c r="T103" s="309">
        <f>IFERROR(IF(AND(T$30&gt;=EOMONTH($J103,-1)+1,T$30&lt;=EOMONTH(EOMONTH($J103,-1)+1,$K103-1)),IF(NOT(ISBLANK($N103)),$N103/$K103,$I103/$K103),0),0)</f>
        <v>0</v>
      </c>
      <c r="U103" s="309">
        <f>IFERROR(IF(AND(U$30&gt;=EOMONTH($J103,-1)+1,U$30&lt;=EOMONTH(EOMONTH($J103,-1)+1,$K103-1)),IF(NOT(ISBLANK($N103)),$N103/$K103,$I103/$K103),0),0)</f>
        <v>0</v>
      </c>
      <c r="V103" s="642">
        <f>IFERROR(IF(AND(V$30&gt;=EOMONTH($J103,-1)+1,V$30&lt;=EOMONTH(EOMONTH($J103,-1)+1,$K103-1)),IF(NOT(ISBLANK($N103)),$N103/$K103,$I103/$K103),0),0)</f>
        <v>3281.9166666666665</v>
      </c>
      <c r="W103" s="469">
        <f t="shared" si="28"/>
        <v>3281.9166666666665</v>
      </c>
      <c r="X103" s="642">
        <f>IFERROR(IF(AND(X$30&gt;=EOMONTH($J103,-1)+1,X$30&lt;=EOMONTH(EOMONTH($J103,-1)+1,$K103-1)),IF(NOT(ISBLANK($N103)),$N103/$K103,$I103/$K103),0),0)</f>
        <v>3281.9166666666665</v>
      </c>
      <c r="Y103" s="309">
        <f>IFERROR(IF(AND(Y$30&gt;=EOMONTH($J103,-1)+1,Y$30&lt;=EOMONTH(EOMONTH($J103,-1)+1,$K103-1)),IF(NOT(ISBLANK($N103)),$N103/$K103,$I103/$K103),0),0)</f>
        <v>3281.9166666666665</v>
      </c>
      <c r="Z103" s="309">
        <f>IFERROR(IF(AND(Z$30&gt;=EOMONTH($J103,-1)+1,Z$30&lt;=EOMONTH(EOMONTH($J103,-1)+1,$K103-1)),IF(NOT(ISBLANK($N103)),$N103/$K103,$I103/$K103),0),0)</f>
        <v>3281.9166666666665</v>
      </c>
      <c r="AA103" s="469">
        <f t="shared" si="26"/>
        <v>9845.75</v>
      </c>
      <c r="AB103" s="309">
        <f>IFERROR(IF(AND(AB$30&gt;=EOMONTH($J103,-1)+1,AB$30&lt;=EOMONTH(EOMONTH($J103,-1)+1,$K103-1)),IF(NOT(ISBLANK($N103)),$N103/$K103,$I103/$K103),0),0)</f>
        <v>3281.9166666666665</v>
      </c>
      <c r="AC103" s="309">
        <f>IFERROR(IF(AND(AC$30&gt;=EOMONTH($J103,-1)+1,AC$30&lt;=EOMONTH(EOMONTH($J103,-1)+1,$K103-1)),IF(NOT(ISBLANK($N103)),$N103/$K103,$I103/$K103),0),0)</f>
        <v>3281.9166666666665</v>
      </c>
      <c r="AD103" s="309">
        <f>IFERROR(IF(AND(AD$30&gt;=EOMONTH($J103,-1)+1,AD$30&lt;=EOMONTH(EOMONTH($J103,-1)+1,$K103-1)),IF(NOT(ISBLANK($N103)),$N103/$K103,$I103/$K103),0),0)</f>
        <v>3281.9166666666665</v>
      </c>
      <c r="AE103" s="469">
        <f t="shared" si="27"/>
        <v>9845.75</v>
      </c>
      <c r="AF103" s="309">
        <f>IFERROR(IF(AND(AF$30&gt;=EOMONTH($J103,-1)+1,AF$30&lt;=EOMONTH(EOMONTH($J103,-1)+1,$K103-1)),IF(NOT(ISBLANK($N103)),$N103/$K103,$I103/$K103),0),0)</f>
        <v>3281.9166666666665</v>
      </c>
      <c r="AG103" s="309">
        <f>IFERROR(IF(AND(AG$30&gt;=EOMONTH($J103,-1)+1,AG$30&lt;=EOMONTH(EOMONTH($J103,-1)+1,$K103-1)),IF(NOT(ISBLANK($N103)),$N103/$K103,$I103/$K103),0),0)</f>
        <v>3281.9166666666665</v>
      </c>
      <c r="AH103" s="309">
        <f>IFERROR(IF(AND(AH$30&gt;=EOMONTH($J103,-1)+1,AH$30&lt;=EOMONTH(EOMONTH($J103,-1)+1,$K103-1)),IF(NOT(ISBLANK($N103)),$N103/$K103,$I103/$K103),0),0)</f>
        <v>3281.9166666666665</v>
      </c>
      <c r="AI103" s="469">
        <f t="shared" si="24"/>
        <v>9845.75</v>
      </c>
      <c r="AJ103" s="116">
        <f t="shared" si="25"/>
        <v>32819.166666666672</v>
      </c>
      <c r="AK103" s="1038"/>
      <c r="AL103" s="1038"/>
      <c r="AM103" s="1042"/>
      <c r="AN103" s="1044">
        <f>I103*AM103</f>
        <v>0</v>
      </c>
      <c r="AO103" s="595" t="str">
        <f>D103</f>
        <v>Negociação Porca Bollhoff 15341 Saga</v>
      </c>
      <c r="AP103" s="62" t="s">
        <v>289</v>
      </c>
      <c r="AQ103" s="543" cm="1">
        <f t="array" aca="1" ref="AQ103" ca="1">IF(OR(AO103="",AO103=0),"",IF(SUMPRODUCT(($D$31:$D$146=AO103)*($R$31:$R$146="Previsto")*($T$30:$AH$30&lt;EOMONTH(TODAY(),-1)+1)*($T$31:$AH$146))=0,"",SUMPRODUCT(($D$31:$D$146=AO103)*($R$31:$R$146="Previsto")*($T$30:$AH$30&lt;EOMONTH(TODAY(),-1)+1)*($T$31:$AH$146))))</f>
        <v>9845.75</v>
      </c>
    </row>
    <row r="104" spans="1:43" ht="29.1" customHeight="1" x14ac:dyDescent="0.3">
      <c r="A104" s="1037"/>
      <c r="B104" s="1126"/>
      <c r="C104" s="1037"/>
      <c r="D104" s="1128"/>
      <c r="E104" s="1090"/>
      <c r="F104" s="1130"/>
      <c r="G104" s="1132"/>
      <c r="H104" s="1132"/>
      <c r="I104" s="1134"/>
      <c r="J104" s="1157"/>
      <c r="K104" s="1212"/>
      <c r="L104" s="1124"/>
      <c r="M104" s="1136"/>
      <c r="N104" s="1166"/>
      <c r="O104" s="1058"/>
      <c r="P104" s="1058"/>
      <c r="Q104" s="1063"/>
      <c r="R104" s="91" t="s">
        <v>107</v>
      </c>
      <c r="S104" s="481">
        <f>_xlfn.XLOOKUP(B103,[1]Detalhamento!$A:$A,[1]Detalhamento!$N:$N)</f>
        <v>1</v>
      </c>
      <c r="T104" s="309"/>
      <c r="U104" s="309"/>
      <c r="V104" s="831"/>
      <c r="W104" s="469">
        <f t="shared" si="28"/>
        <v>0</v>
      </c>
      <c r="X104" s="309"/>
      <c r="Y104" s="309"/>
      <c r="Z104" s="309"/>
      <c r="AA104" s="469">
        <f t="shared" si="26"/>
        <v>0</v>
      </c>
      <c r="AB104" s="309"/>
      <c r="AC104" s="309"/>
      <c r="AD104" s="309"/>
      <c r="AE104" s="469">
        <f t="shared" si="27"/>
        <v>0</v>
      </c>
      <c r="AF104" s="309"/>
      <c r="AG104" s="309"/>
      <c r="AH104" s="309"/>
      <c r="AI104" s="469">
        <f t="shared" si="24"/>
        <v>0</v>
      </c>
      <c r="AJ104" s="483">
        <f t="shared" si="25"/>
        <v>0</v>
      </c>
      <c r="AK104" s="1039"/>
      <c r="AL104" s="1039"/>
      <c r="AM104" s="1043"/>
      <c r="AN104" s="1045"/>
      <c r="AO104" s="596" t="str">
        <f>D103</f>
        <v>Negociação Porca Bollhoff 15341 Saga</v>
      </c>
      <c r="AP104" s="62" t="s">
        <v>291</v>
      </c>
      <c r="AQ104" s="543" t="str" cm="1">
        <f t="array" aca="1" ref="AQ104" ca="1">IF(OR(AO104="",AO104=0),"",IF(SUMPRODUCT(($D$31:$D$146=AO104)*(ISNUMBER(SEARCH("Real",$R$32:$R$147)))*($T$30:$AH$30&lt;EOMONTH(TODAY(),-1)+1)*($T$32:$AH$147))=0,"",SUMPRODUCT(($D$31:$D$146=AO104)*(ISNUMBER(SEARCH("Real",$R$32:$R$147)))*($T$30:$AH$30&lt;EOMONTH(TODAY(),-1)+1)*($T$32:$AH$147))))</f>
        <v/>
      </c>
    </row>
    <row r="105" spans="1:43" ht="29.1" customHeight="1" x14ac:dyDescent="0.3">
      <c r="A105" s="1093" t="s">
        <v>79</v>
      </c>
      <c r="B105" s="1095" t="s">
        <v>2481</v>
      </c>
      <c r="C105" s="1038" t="s">
        <v>90</v>
      </c>
      <c r="D105" s="1097" t="s">
        <v>2482</v>
      </c>
      <c r="E105" s="1081" t="s">
        <v>2483</v>
      </c>
      <c r="F105" s="1099" t="s">
        <v>2432</v>
      </c>
      <c r="G105" s="1150">
        <f>_xlfn.XLOOKUP(B105,[1]Detalhamento!$A:$A,[1]Detalhamento!$I:$I)</f>
        <v>46045</v>
      </c>
      <c r="H105" s="1150">
        <f>_xlfn.XLOOKUP(B105,[1]Detalhamento!$A:$A,[1]Detalhamento!$J:$J)</f>
        <v>46247</v>
      </c>
      <c r="I105" s="1152">
        <f>IFERROR(_xlfn.XLOOKUP(B105,[1]Detalhamento!$A:$A,[1]Detalhamento!$E:$E)," - ")</f>
        <v>364573</v>
      </c>
      <c r="J105" s="1109">
        <f>_xlfn.XLOOKUP(B105,[1]Detalhamento!$A:$A,[1]Detalhamento!$O:$O)</f>
        <v>46204</v>
      </c>
      <c r="K105" s="1111">
        <v>12</v>
      </c>
      <c r="L105" s="1076"/>
      <c r="M105" s="1072"/>
      <c r="N105" s="1055"/>
      <c r="O105" s="1042" t="s">
        <v>83</v>
      </c>
      <c r="P105" s="1042"/>
      <c r="Q105" s="1064"/>
      <c r="R105" s="96" t="s">
        <v>106</v>
      </c>
      <c r="S105" s="96">
        <f>_xlfn.XLOOKUP(B105,[1]Detalhamento!$A:$A,[1]Detalhamento!$M:$M)</f>
        <v>0.45238095238095238</v>
      </c>
      <c r="T105" s="532">
        <f>IFERROR(IF(AND(T$30&gt;=EOMONTH($J105,-1)+1,T$30&lt;=EOMONTH(EOMONTH($J105,-1)+1,$K105-1)),IF(NOT(ISBLANK($N105)),$N105/$K105,$I105/$K105),0),0)</f>
        <v>0</v>
      </c>
      <c r="U105" s="532">
        <f>IFERROR(IF(AND(U$30&gt;=EOMONTH($J105,-1)+1,U$30&lt;=EOMONTH(EOMONTH($J105,-1)+1,$K105-1)),IF(NOT(ISBLANK($N105)),$N105/$K105,$I105/$K105),0),0)</f>
        <v>0</v>
      </c>
      <c r="V105" s="532">
        <f>IFERROR(IF(AND(V$30&gt;=EOMONTH($J105,-1)+1,V$30&lt;=EOMONTH(EOMONTH($J105,-1)+1,$K105-1)),IF(NOT(ISBLANK($N105)),$N105/$K105,$I105/$K105),0),0)</f>
        <v>0</v>
      </c>
      <c r="W105" s="469">
        <f t="shared" si="28"/>
        <v>0</v>
      </c>
      <c r="X105" s="532">
        <f>IFERROR(IF(AND(X$30&gt;=EOMONTH($J105,-1)+1,X$30&lt;=EOMONTH(EOMONTH($J105,-1)+1,$K105-1)),IF(NOT(ISBLANK($N105)),$N105/$K105,$I105/$K105),0),0)</f>
        <v>0</v>
      </c>
      <c r="Y105" s="532">
        <f>IFERROR(IF(AND(Y$30&gt;=EOMONTH($J105,-1)+1,Y$30&lt;=EOMONTH(EOMONTH($J105,-1)+1,$K105-1)),IF(NOT(ISBLANK($N105)),$N105/$K105,$I105/$K105),0),0)</f>
        <v>0</v>
      </c>
      <c r="Z105" s="532">
        <f>IFERROR(IF(AND(Z$30&gt;=EOMONTH($J105,-1)+1,Z$30&lt;=EOMONTH(EOMONTH($J105,-1)+1,$K105-1)),IF(NOT(ISBLANK($N105)),$N105/$K105,$I105/$K105),0),0)</f>
        <v>0</v>
      </c>
      <c r="AA105" s="469">
        <f t="shared" si="26"/>
        <v>0</v>
      </c>
      <c r="AB105" s="532">
        <f>IFERROR(IF(AND(AB$30&gt;=EOMONTH($J105,-1)+1,AB$30&lt;=EOMONTH(EOMONTH($J105,-1)+1,$K105-1)),IF(NOT(ISBLANK($N105)),$N105/$K105,$I105/$K105),0),0)</f>
        <v>30381.083333333332</v>
      </c>
      <c r="AC105" s="532">
        <f>IFERROR(IF(AND(AC$30&gt;=EOMONTH($J105,-1)+1,AC$30&lt;=EOMONTH(EOMONTH($J105,-1)+1,$K105-1)),IF(NOT(ISBLANK($N105)),$N105/$K105,$I105/$K105),0),0)</f>
        <v>30381.083333333332</v>
      </c>
      <c r="AD105" s="532">
        <f>IFERROR(IF(AND(AD$30&gt;=EOMONTH($J105,-1)+1,AD$30&lt;=EOMONTH(EOMONTH($J105,-1)+1,$K105-1)),IF(NOT(ISBLANK($N105)),$N105/$K105,$I105/$K105),0),0)</f>
        <v>30381.083333333332</v>
      </c>
      <c r="AE105" s="469">
        <f t="shared" si="27"/>
        <v>91143.25</v>
      </c>
      <c r="AF105" s="532">
        <f>IFERROR(IF(AND(AF$30&gt;=EOMONTH($J105,-1)+1,AF$30&lt;=EOMONTH(EOMONTH($J105,-1)+1,$K105-1)),IF(NOT(ISBLANK($N105)),$N105/$K105,$I105/$K105),0),0)</f>
        <v>30381.083333333332</v>
      </c>
      <c r="AG105" s="532">
        <f>IFERROR(IF(AND(AG$30&gt;=EOMONTH($J105,-1)+1,AG$30&lt;=EOMONTH(EOMONTH($J105,-1)+1,$K105-1)),IF(NOT(ISBLANK($N105)),$N105/$K105,$I105/$K105),0),0)</f>
        <v>30381.083333333332</v>
      </c>
      <c r="AH105" s="532">
        <f>IFERROR(IF(AND(AH$30&gt;=EOMONTH($J105,-1)+1,AH$30&lt;=EOMONTH(EOMONTH($J105,-1)+1,$K105-1)),IF(NOT(ISBLANK($N105)),$N105/$K105,$I105/$K105),0),0)</f>
        <v>30381.083333333332</v>
      </c>
      <c r="AI105" s="469">
        <f t="shared" si="24"/>
        <v>91143.25</v>
      </c>
      <c r="AJ105" s="94">
        <f t="shared" si="25"/>
        <v>182286.5</v>
      </c>
      <c r="AK105" s="1038"/>
      <c r="AL105" s="1038"/>
      <c r="AM105" s="1042"/>
      <c r="AN105" s="1044">
        <f>I105*AM105</f>
        <v>0</v>
      </c>
      <c r="AO105" s="595" t="str">
        <f>D105</f>
        <v>Projeto DANA - Fornecimento MTL</v>
      </c>
      <c r="AP105" s="62" t="s">
        <v>289</v>
      </c>
      <c r="AQ105" s="543" t="str" cm="1">
        <f t="array" aca="1" ref="AQ105" ca="1">IF(OR(AO105="",AO105=0),"",IF(SUMPRODUCT(($D$31:$D$146=AO105)*($R$31:$R$146="Previsto")*($T$30:$AH$30&lt;EOMONTH(TODAY(),-1)+1)*($T$31:$AH$146))=0,"",SUMPRODUCT(($D$31:$D$146=AO105)*($R$31:$R$146="Previsto")*($T$30:$AH$30&lt;EOMONTH(TODAY(),-1)+1)*($T$31:$AH$146))))</f>
        <v/>
      </c>
    </row>
    <row r="106" spans="1:43" ht="29.1" customHeight="1" x14ac:dyDescent="0.3">
      <c r="A106" s="1094"/>
      <c r="B106" s="1096"/>
      <c r="C106" s="1039"/>
      <c r="D106" s="1098"/>
      <c r="E106" s="1082"/>
      <c r="F106" s="1100"/>
      <c r="G106" s="1151"/>
      <c r="H106" s="1151"/>
      <c r="I106" s="1151"/>
      <c r="J106" s="1110"/>
      <c r="K106" s="1112"/>
      <c r="L106" s="1077"/>
      <c r="M106" s="1073"/>
      <c r="N106" s="1056"/>
      <c r="O106" s="1043"/>
      <c r="P106" s="1043"/>
      <c r="Q106" s="1065"/>
      <c r="R106" s="96" t="s">
        <v>107</v>
      </c>
      <c r="S106" s="482">
        <f>_xlfn.XLOOKUP(B105,[1]Detalhamento!$A:$A,[1]Detalhamento!$N:$N)</f>
        <v>0.46666666666666662</v>
      </c>
      <c r="T106" s="532"/>
      <c r="U106" s="532"/>
      <c r="V106" s="532"/>
      <c r="W106" s="469">
        <f t="shared" si="28"/>
        <v>0</v>
      </c>
      <c r="X106" s="532"/>
      <c r="Y106" s="532"/>
      <c r="Z106" s="532"/>
      <c r="AA106" s="469">
        <f t="shared" si="26"/>
        <v>0</v>
      </c>
      <c r="AB106" s="532"/>
      <c r="AC106" s="532"/>
      <c r="AD106" s="532"/>
      <c r="AE106" s="469">
        <f t="shared" si="27"/>
        <v>0</v>
      </c>
      <c r="AF106" s="532"/>
      <c r="AG106" s="532"/>
      <c r="AH106" s="532"/>
      <c r="AI106" s="469">
        <f t="shared" si="24"/>
        <v>0</v>
      </c>
      <c r="AJ106" s="94">
        <f t="shared" si="25"/>
        <v>0</v>
      </c>
      <c r="AK106" s="1039"/>
      <c r="AL106" s="1039"/>
      <c r="AM106" s="1043"/>
      <c r="AN106" s="1045"/>
      <c r="AO106" s="596" t="str">
        <f>D105</f>
        <v>Projeto DANA - Fornecimento MTL</v>
      </c>
      <c r="AP106" s="62" t="s">
        <v>291</v>
      </c>
      <c r="AQ106" s="543" t="str" cm="1">
        <f t="array" aca="1" ref="AQ106" ca="1">IF(OR(AO106="",AO106=0),"",IF(SUMPRODUCT(($D$31:$D$146=AO106)*(ISNUMBER(SEARCH("Real",$R$32:$R$147)))*($T$30:$AH$30&lt;EOMONTH(TODAY(),-1)+1)*($T$32:$AH$147))=0,"",SUMPRODUCT(($D$31:$D$146=AO106)*(ISNUMBER(SEARCH("Real",$R$32:$R$147)))*($T$30:$AH$30&lt;EOMONTH(TODAY(),-1)+1)*($T$32:$AH$147))))</f>
        <v/>
      </c>
    </row>
    <row r="107" spans="1:43" ht="29.1" customHeight="1" x14ac:dyDescent="0.3">
      <c r="A107" s="1036" t="s">
        <v>79</v>
      </c>
      <c r="B107" s="1113" t="s">
        <v>2484</v>
      </c>
      <c r="C107" s="1036" t="s">
        <v>94</v>
      </c>
      <c r="D107" s="1115" t="s">
        <v>2485</v>
      </c>
      <c r="E107" s="1081" t="s">
        <v>2486</v>
      </c>
      <c r="F107" s="1040" t="s">
        <v>2383</v>
      </c>
      <c r="G107" s="1117">
        <f>_xlfn.XLOOKUP(B107,[1]Detalhamento!$A:$A,[1]Detalhamento!$I:$I)</f>
        <v>46054</v>
      </c>
      <c r="H107" s="1117">
        <f>_xlfn.XLOOKUP(B107,[1]Detalhamento!$A:$A,[1]Detalhamento!$J:$J)</f>
        <v>46142</v>
      </c>
      <c r="I107" s="1074">
        <f>IFERROR(_xlfn.XLOOKUP(B107,[1]Detalhamento!$A:$A,[1]Detalhamento!$E:$E)," - ")</f>
        <v>63045.48</v>
      </c>
      <c r="J107" s="1158">
        <f>_xlfn.XLOOKUP(B107,[1]Detalhamento!$A:$A,[1]Detalhamento!$O:$O)</f>
        <v>46143</v>
      </c>
      <c r="K107" s="1121">
        <v>12</v>
      </c>
      <c r="L107" s="1074"/>
      <c r="M107" s="1119"/>
      <c r="N107" s="1053"/>
      <c r="O107" s="1057" t="s">
        <v>77</v>
      </c>
      <c r="P107" s="1057"/>
      <c r="Q107" s="1062"/>
      <c r="R107" s="91" t="s">
        <v>106</v>
      </c>
      <c r="S107" s="91">
        <f>_xlfn.XLOOKUP(B107,[1]Detalhamento!$A:$A,[1]Detalhamento!$M:$M)</f>
        <v>0.98333333333333339</v>
      </c>
      <c r="T107" s="309">
        <f>IFERROR(IF(AND(T$30&gt;=EOMONTH($J107,-1)+1,T$30&lt;=EOMONTH(EOMONTH($J107,-1)+1,$K107-1)),IF(NOT(ISBLANK($N107)),$N107/$K107,$I107/$K107),0),0)</f>
        <v>0</v>
      </c>
      <c r="U107" s="309">
        <f>IFERROR(IF(AND(U$30&gt;=EOMONTH($J107,-1)+1,U$30&lt;=EOMONTH(EOMONTH($J107,-1)+1,$K107-1)),IF(NOT(ISBLANK($N107)),$N107/$K107,$I107/$K107),0),0)</f>
        <v>0</v>
      </c>
      <c r="V107" s="309">
        <f>IFERROR(IF(AND(V$30&gt;=EOMONTH($J107,-1)+1,V$30&lt;=EOMONTH(EOMONTH($J107,-1)+1,$K107-1)),IF(NOT(ISBLANK($N107)),$N107/$K107,$I107/$K107),0),0)</f>
        <v>0</v>
      </c>
      <c r="W107" s="469">
        <f t="shared" si="28"/>
        <v>0</v>
      </c>
      <c r="X107" s="309">
        <f>IFERROR(IF(AND(X$30&gt;=EOMONTH($J107,-1)+1,X$30&lt;=EOMONTH(EOMONTH($J107,-1)+1,$K107-1)),IF(NOT(ISBLANK($N107)),$N107/$K107,$I107/$K107),0),0)</f>
        <v>0</v>
      </c>
      <c r="Y107" s="309">
        <f>IFERROR(IF(AND(Y$30&gt;=EOMONTH($J107,-1)+1,Y$30&lt;=EOMONTH(EOMONTH($J107,-1)+1,$K107-1)),IF(NOT(ISBLANK($N107)),$N107/$K107,$I107/$K107),0),0)</f>
        <v>5253.79</v>
      </c>
      <c r="Z107" s="309">
        <f>IFERROR(IF(AND(Z$30&gt;=EOMONTH($J107,-1)+1,Z$30&lt;=EOMONTH(EOMONTH($J107,-1)+1,$K107-1)),IF(NOT(ISBLANK($N107)),$N107/$K107,$I107/$K107),0),0)</f>
        <v>5253.79</v>
      </c>
      <c r="AA107" s="469">
        <f t="shared" si="26"/>
        <v>10507.58</v>
      </c>
      <c r="AB107" s="309">
        <f>IFERROR(IF(AND(AB$30&gt;=EOMONTH($J107,-1)+1,AB$30&lt;=EOMONTH(EOMONTH($J107,-1)+1,$K107-1)),IF(NOT(ISBLANK($N107)),$N107/$K107,$I107/$K107),0),0)</f>
        <v>5253.79</v>
      </c>
      <c r="AC107" s="309">
        <f>IFERROR(IF(AND(AC$30&gt;=EOMONTH($J107,-1)+1,AC$30&lt;=EOMONTH(EOMONTH($J107,-1)+1,$K107-1)),IF(NOT(ISBLANK($N107)),$N107/$K107,$I107/$K107),0),0)</f>
        <v>5253.79</v>
      </c>
      <c r="AD107" s="309">
        <f>IFERROR(IF(AND(AD$30&gt;=EOMONTH($J107,-1)+1,AD$30&lt;=EOMONTH(EOMONTH($J107,-1)+1,$K107-1)),IF(NOT(ISBLANK($N107)),$N107/$K107,$I107/$K107),0),0)</f>
        <v>5253.79</v>
      </c>
      <c r="AE107" s="469">
        <f t="shared" si="27"/>
        <v>15761.369999999999</v>
      </c>
      <c r="AF107" s="309">
        <f>IFERROR(IF(AND(AF$30&gt;=EOMONTH($J107,-1)+1,AF$30&lt;=EOMONTH(EOMONTH($J107,-1)+1,$K107-1)),IF(NOT(ISBLANK($N107)),$N107/$K107,$I107/$K107),0),0)</f>
        <v>5253.79</v>
      </c>
      <c r="AG107" s="309">
        <f>IFERROR(IF(AND(AG$30&gt;=EOMONTH($J107,-1)+1,AG$30&lt;=EOMONTH(EOMONTH($J107,-1)+1,$K107-1)),IF(NOT(ISBLANK($N107)),$N107/$K107,$I107/$K107),0),0)</f>
        <v>5253.79</v>
      </c>
      <c r="AH107" s="309">
        <f>IFERROR(IF(AND(AH$30&gt;=EOMONTH($J107,-1)+1,AH$30&lt;=EOMONTH(EOMONTH($J107,-1)+1,$K107-1)),IF(NOT(ISBLANK($N107)),$N107/$K107,$I107/$K107),0),0)</f>
        <v>5253.79</v>
      </c>
      <c r="AI107" s="469">
        <f t="shared" si="24"/>
        <v>15761.369999999999</v>
      </c>
      <c r="AJ107" s="116">
        <f t="shared" si="25"/>
        <v>42030.32</v>
      </c>
      <c r="AK107" s="1038"/>
      <c r="AL107" s="1038"/>
      <c r="AM107" s="1042"/>
      <c r="AN107" s="1044">
        <f>I107*AM107</f>
        <v>0</v>
      </c>
      <c r="AO107" s="595" t="str">
        <f>D107</f>
        <v>Destinação Borra Plasma Ferraz</v>
      </c>
      <c r="AP107" s="62" t="s">
        <v>289</v>
      </c>
      <c r="AQ107" s="543" cm="1">
        <f t="array" aca="1" ref="AQ107" ca="1">IF(OR(AO107="",AO107=0),"",IF(SUMPRODUCT(($D$31:$D$146=AO107)*($R$31:$R$146="Previsto")*($T$30:$AH$30&lt;EOMONTH(TODAY(),-1)+1)*($T$31:$AH$146))=0,"",SUMPRODUCT(($D$31:$D$146=AO107)*($R$31:$R$146="Previsto")*($T$30:$AH$30&lt;EOMONTH(TODAY(),-1)+1)*($T$31:$AH$146))))</f>
        <v>5253.79</v>
      </c>
    </row>
    <row r="108" spans="1:43" ht="29.1" customHeight="1" x14ac:dyDescent="0.3">
      <c r="A108" s="1037"/>
      <c r="B108" s="1114"/>
      <c r="C108" s="1037"/>
      <c r="D108" s="1116"/>
      <c r="E108" s="1082"/>
      <c r="F108" s="1041"/>
      <c r="G108" s="1118"/>
      <c r="H108" s="1118"/>
      <c r="I108" s="1075"/>
      <c r="J108" s="1159"/>
      <c r="K108" s="1122"/>
      <c r="L108" s="1075"/>
      <c r="M108" s="1120"/>
      <c r="N108" s="1054"/>
      <c r="O108" s="1058"/>
      <c r="P108" s="1058"/>
      <c r="Q108" s="1063"/>
      <c r="R108" s="91" t="s">
        <v>107</v>
      </c>
      <c r="S108" s="481">
        <f>_xlfn.XLOOKUP(B107,[1]Detalhamento!$A:$A,[1]Detalhamento!$N:$N)</f>
        <v>1</v>
      </c>
      <c r="T108" s="309"/>
      <c r="U108" s="309"/>
      <c r="V108" s="309"/>
      <c r="W108" s="469">
        <f t="shared" si="28"/>
        <v>0</v>
      </c>
      <c r="X108" s="309"/>
      <c r="Y108" s="309"/>
      <c r="Z108" s="309"/>
      <c r="AA108" s="469">
        <f t="shared" si="26"/>
        <v>0</v>
      </c>
      <c r="AB108" s="309"/>
      <c r="AC108" s="309"/>
      <c r="AD108" s="309"/>
      <c r="AE108" s="469">
        <f t="shared" si="27"/>
        <v>0</v>
      </c>
      <c r="AF108" s="309"/>
      <c r="AG108" s="309"/>
      <c r="AH108" s="309"/>
      <c r="AI108" s="469">
        <f t="shared" si="24"/>
        <v>0</v>
      </c>
      <c r="AJ108" s="483">
        <f t="shared" si="25"/>
        <v>0</v>
      </c>
      <c r="AK108" s="1039"/>
      <c r="AL108" s="1039"/>
      <c r="AM108" s="1043"/>
      <c r="AN108" s="1045"/>
      <c r="AO108" s="596" t="str">
        <f>D107</f>
        <v>Destinação Borra Plasma Ferraz</v>
      </c>
      <c r="AP108" s="62" t="s">
        <v>291</v>
      </c>
      <c r="AQ108" s="543" t="str" cm="1">
        <f t="array" aca="1" ref="AQ108" ca="1">IF(OR(AO108="",AO108=0),"",IF(SUMPRODUCT(($D$31:$D$146=AO108)*(ISNUMBER(SEARCH("Real",$R$32:$R$147)))*($T$30:$AH$30&lt;EOMONTH(TODAY(),-1)+1)*($T$32:$AH$147))=0,"",SUMPRODUCT(($D$31:$D$146=AO108)*(ISNUMBER(SEARCH("Real",$R$32:$R$147)))*($T$30:$AH$30&lt;EOMONTH(TODAY(),-1)+1)*($T$32:$AH$147))))</f>
        <v/>
      </c>
    </row>
    <row r="109" spans="1:43" ht="29.1" customHeight="1" x14ac:dyDescent="0.3">
      <c r="A109" s="1093" t="s">
        <v>79</v>
      </c>
      <c r="B109" s="1095" t="s">
        <v>2487</v>
      </c>
      <c r="C109" s="1038" t="s">
        <v>94</v>
      </c>
      <c r="D109" s="1097" t="s">
        <v>2488</v>
      </c>
      <c r="E109" s="1081" t="s">
        <v>2489</v>
      </c>
      <c r="F109" s="1099" t="s">
        <v>2490</v>
      </c>
      <c r="G109" s="1150">
        <f>_xlfn.XLOOKUP(B109,[1]Detalhamento!$A:$A,[1]Detalhamento!$I:$I)</f>
        <v>46097</v>
      </c>
      <c r="H109" s="1150">
        <f>_xlfn.XLOOKUP(B109,[1]Detalhamento!$A:$A,[1]Detalhamento!$J:$J)</f>
        <v>46311</v>
      </c>
      <c r="I109" s="1152">
        <f>IFERROR(_xlfn.XLOOKUP(B109,[1]Detalhamento!$A:$A,[1]Detalhamento!$E:$E)," - ")</f>
        <v>1138260</v>
      </c>
      <c r="J109" s="1109">
        <f>_xlfn.XLOOKUP(B109,[1]Detalhamento!$A:$A,[1]Detalhamento!$O:$O)</f>
        <v>46311</v>
      </c>
      <c r="K109" s="1111">
        <v>12</v>
      </c>
      <c r="L109" s="1076"/>
      <c r="M109" s="1072"/>
      <c r="N109" s="1055"/>
      <c r="O109" s="1042" t="s">
        <v>80</v>
      </c>
      <c r="P109" s="1042"/>
      <c r="Q109" s="1064"/>
      <c r="R109" s="96" t="s">
        <v>106</v>
      </c>
      <c r="S109" s="96">
        <f>_xlfn.XLOOKUP(B109,[1]Detalhamento!$A:$A,[1]Detalhamento!$M:$M)</f>
        <v>0.45185185185185184</v>
      </c>
      <c r="T109" s="532">
        <f>IFERROR(IF(AND(T$30&gt;=EOMONTH($J109,-1)+1,T$30&lt;=EOMONTH(EOMONTH($J109,-1)+1,$K109-1)),IF(NOT(ISBLANK($N109)),$N109/$K109,$I109/$K109),0),0)</f>
        <v>0</v>
      </c>
      <c r="U109" s="532">
        <f>IFERROR(IF(AND(U$30&gt;=EOMONTH($J109,-1)+1,U$30&lt;=EOMONTH(EOMONTH($J109,-1)+1,$K109-1)),IF(NOT(ISBLANK($N109)),$N109/$K109,$I109/$K109),0),0)</f>
        <v>0</v>
      </c>
      <c r="V109" s="532">
        <f>IFERROR(IF(AND(V$30&gt;=EOMONTH($J109,-1)+1,V$30&lt;=EOMONTH(EOMONTH($J109,-1)+1,$K109-1)),IF(NOT(ISBLANK($N109)),$N109/$K109,$I109/$K109),0),0)</f>
        <v>0</v>
      </c>
      <c r="W109" s="469">
        <f t="shared" si="28"/>
        <v>0</v>
      </c>
      <c r="X109" s="532">
        <f>IFERROR(IF(AND(X$30&gt;=EOMONTH($J109,-1)+1,X$30&lt;=EOMONTH(EOMONTH($J109,-1)+1,$K109-1)),IF(NOT(ISBLANK($N109)),$N109/$K109,$I109/$K109),0),0)</f>
        <v>0</v>
      </c>
      <c r="Y109" s="532">
        <f>IFERROR(IF(AND(Y$30&gt;=EOMONTH($J109,-1)+1,Y$30&lt;=EOMONTH(EOMONTH($J109,-1)+1,$K109-1)),IF(NOT(ISBLANK($N109)),$N109/$K109,$I109/$K109),0),0)</f>
        <v>0</v>
      </c>
      <c r="Z109" s="532">
        <f>IFERROR(IF(AND(Z$30&gt;=EOMONTH($J109,-1)+1,Z$30&lt;=EOMONTH(EOMONTH($J109,-1)+1,$K109-1)),IF(NOT(ISBLANK($N109)),$N109/$K109,$I109/$K109),0),0)</f>
        <v>0</v>
      </c>
      <c r="AA109" s="469">
        <f t="shared" si="26"/>
        <v>0</v>
      </c>
      <c r="AB109" s="532">
        <f>IFERROR(IF(AND(AB$30&gt;=EOMONTH($J109,-1)+1,AB$30&lt;=EOMONTH(EOMONTH($J109,-1)+1,$K109-1)),IF(NOT(ISBLANK($N109)),$N109/$K109,$I109/$K109),0),0)</f>
        <v>0</v>
      </c>
      <c r="AC109" s="532">
        <f>IFERROR(IF(AND(AC$30&gt;=EOMONTH($J109,-1)+1,AC$30&lt;=EOMONTH(EOMONTH($J109,-1)+1,$K109-1)),IF(NOT(ISBLANK($N109)),$N109/$K109,$I109/$K109),0),0)</f>
        <v>0</v>
      </c>
      <c r="AD109" s="532">
        <f>IFERROR(IF(AND(AD$30&gt;=EOMONTH($J109,-1)+1,AD$30&lt;=EOMONTH(EOMONTH($J109,-1)+1,$K109-1)),IF(NOT(ISBLANK($N109)),$N109/$K109,$I109/$K109),0),0)</f>
        <v>0</v>
      </c>
      <c r="AE109" s="469">
        <f t="shared" si="27"/>
        <v>0</v>
      </c>
      <c r="AF109" s="532">
        <f>IFERROR(IF(AND(AF$30&gt;=EOMONTH($J109,-1)+1,AF$30&lt;=EOMONTH(EOMONTH($J109,-1)+1,$K109-1)),IF(NOT(ISBLANK($N109)),$N109/$K109,$I109/$K109),0),0)</f>
        <v>94855</v>
      </c>
      <c r="AG109" s="532">
        <f>IFERROR(IF(AND(AG$30&gt;=EOMONTH($J109,-1)+1,AG$30&lt;=EOMONTH(EOMONTH($J109,-1)+1,$K109-1)),IF(NOT(ISBLANK($N109)),$N109/$K109,$I109/$K109),0),0)</f>
        <v>94855</v>
      </c>
      <c r="AH109" s="532">
        <f>IFERROR(IF(AND(AH$30&gt;=EOMONTH($J109,-1)+1,AH$30&lt;=EOMONTH(EOMONTH($J109,-1)+1,$K109-1)),IF(NOT(ISBLANK($N109)),$N109/$K109,$I109/$K109),0),0)</f>
        <v>94855</v>
      </c>
      <c r="AI109" s="469">
        <f t="shared" si="24"/>
        <v>284565</v>
      </c>
      <c r="AJ109" s="94">
        <f t="shared" si="25"/>
        <v>284565</v>
      </c>
      <c r="AK109" s="1038"/>
      <c r="AL109" s="1038"/>
      <c r="AM109" s="1042"/>
      <c r="AN109" s="1044">
        <f>I109*AM109</f>
        <v>0</v>
      </c>
      <c r="AO109" s="595" t="str">
        <f>D109</f>
        <v>Ex Tarifário Transfer Norda</v>
      </c>
      <c r="AP109" s="62" t="s">
        <v>289</v>
      </c>
      <c r="AQ109" s="543" t="str" cm="1">
        <f t="array" aca="1" ref="AQ109" ca="1">IF(OR(AO109="",AO109=0),"",IF(SUMPRODUCT(($D$31:$D$146=AO109)*($R$31:$R$146="Previsto")*($T$30:$AH$30&lt;EOMONTH(TODAY(),-1)+1)*($T$31:$AH$146))=0,"",SUMPRODUCT(($D$31:$D$146=AO109)*($R$31:$R$146="Previsto")*($T$30:$AH$30&lt;EOMONTH(TODAY(),-1)+1)*($T$31:$AH$146))))</f>
        <v/>
      </c>
    </row>
    <row r="110" spans="1:43" ht="29.1" customHeight="1" x14ac:dyDescent="0.3">
      <c r="A110" s="1094"/>
      <c r="B110" s="1096"/>
      <c r="C110" s="1039"/>
      <c r="D110" s="1098"/>
      <c r="E110" s="1082"/>
      <c r="F110" s="1100"/>
      <c r="G110" s="1151"/>
      <c r="H110" s="1151"/>
      <c r="I110" s="1151"/>
      <c r="J110" s="1110"/>
      <c r="K110" s="1112"/>
      <c r="L110" s="1077"/>
      <c r="M110" s="1073"/>
      <c r="N110" s="1056"/>
      <c r="O110" s="1043"/>
      <c r="P110" s="1043"/>
      <c r="Q110" s="1065"/>
      <c r="R110" s="96" t="s">
        <v>107</v>
      </c>
      <c r="S110" s="482">
        <f>_xlfn.XLOOKUP(B109,[1]Detalhamento!$A:$A,[1]Detalhamento!$N:$N)</f>
        <v>0.53500000000000003</v>
      </c>
      <c r="T110" s="532"/>
      <c r="U110" s="532"/>
      <c r="V110" s="532"/>
      <c r="W110" s="469">
        <f t="shared" si="28"/>
        <v>0</v>
      </c>
      <c r="X110" s="532"/>
      <c r="Y110" s="532"/>
      <c r="Z110" s="532"/>
      <c r="AA110" s="469">
        <f t="shared" si="26"/>
        <v>0</v>
      </c>
      <c r="AB110" s="532"/>
      <c r="AC110" s="532"/>
      <c r="AD110" s="532"/>
      <c r="AE110" s="469">
        <f t="shared" si="27"/>
        <v>0</v>
      </c>
      <c r="AF110" s="532"/>
      <c r="AG110" s="532"/>
      <c r="AH110" s="532"/>
      <c r="AI110" s="469">
        <f t="shared" si="24"/>
        <v>0</v>
      </c>
      <c r="AJ110" s="94">
        <f t="shared" si="25"/>
        <v>0</v>
      </c>
      <c r="AK110" s="1039"/>
      <c r="AL110" s="1039"/>
      <c r="AM110" s="1043"/>
      <c r="AN110" s="1045"/>
      <c r="AO110" s="596" t="str">
        <f>D109</f>
        <v>Ex Tarifário Transfer Norda</v>
      </c>
      <c r="AP110" s="62" t="s">
        <v>291</v>
      </c>
      <c r="AQ110" s="543" t="str" cm="1">
        <f t="array" aca="1" ref="AQ110" ca="1">IF(OR(AO110="",AO110=0),"",IF(SUMPRODUCT(($D$31:$D$146=AO110)*(ISNUMBER(SEARCH("Real",$R$32:$R$147)))*($T$30:$AH$30&lt;EOMONTH(TODAY(),-1)+1)*($T$32:$AH$147))=0,"",SUMPRODUCT(($D$31:$D$146=AO110)*(ISNUMBER(SEARCH("Real",$R$32:$R$147)))*($T$30:$AH$30&lt;EOMONTH(TODAY(),-1)+1)*($T$32:$AH$147))))</f>
        <v/>
      </c>
    </row>
    <row r="111" spans="1:43" ht="29.1" customHeight="1" x14ac:dyDescent="0.3">
      <c r="A111" s="1036" t="s">
        <v>79</v>
      </c>
      <c r="B111" s="1113" t="s">
        <v>2491</v>
      </c>
      <c r="C111" s="1036" t="s">
        <v>90</v>
      </c>
      <c r="D111" s="1115" t="s">
        <v>2492</v>
      </c>
      <c r="E111" s="1081" t="s">
        <v>2493</v>
      </c>
      <c r="F111" s="1040" t="s">
        <v>2432</v>
      </c>
      <c r="G111" s="1117">
        <f>_xlfn.XLOOKUP(B111,[1]Detalhamento!$A:$A,[1]Detalhamento!$I:$I)</f>
        <v>46083</v>
      </c>
      <c r="H111" s="1117">
        <f>_xlfn.XLOOKUP(B111,[1]Lucas!$A:$A,[1]Lucas!$J:$J)</f>
        <v>46127</v>
      </c>
      <c r="I111" s="1074">
        <f>IFERROR(_xlfn.XLOOKUP(B111,[1]Detalhamento!$A:$A,[1]Detalhamento!$E:$E)," - ")</f>
        <v>214329</v>
      </c>
      <c r="J111" s="1158">
        <f>_xlfn.XLOOKUP(B111,[1]Detalhamento!$A:$A,[1]Detalhamento!$O:$O)</f>
        <v>46113</v>
      </c>
      <c r="K111" s="1121">
        <v>12</v>
      </c>
      <c r="L111" s="1074"/>
      <c r="M111" s="1119"/>
      <c r="N111" s="1053"/>
      <c r="O111" s="1057" t="s">
        <v>80</v>
      </c>
      <c r="P111" s="1057"/>
      <c r="Q111" s="1062"/>
      <c r="R111" s="91" t="s">
        <v>106</v>
      </c>
      <c r="S111" s="91">
        <f>_xlfn.XLOOKUP(B111,[1]Detalhamento!$A:$A,[1]Detalhamento!$M:$M)</f>
        <v>1</v>
      </c>
      <c r="T111" s="309">
        <f>IFERROR(IF(AND(T$30&gt;=EOMONTH($J111,-1)+1,T$30&lt;=EOMONTH(EOMONTH($J111,-1)+1,$K111-1)),IF(NOT(ISBLANK($N111)),$N111/$K111,$I111/$K111),0),0)</f>
        <v>0</v>
      </c>
      <c r="U111" s="309">
        <f>IFERROR(IF(AND(U$30&gt;=EOMONTH($J111,-1)+1,U$30&lt;=EOMONTH(EOMONTH($J111,-1)+1,$K111-1)),IF(NOT(ISBLANK($N111)),$N111/$K111,$I111/$K111),0),0)</f>
        <v>0</v>
      </c>
      <c r="V111" s="309">
        <f>IFERROR(IF(AND(V$30&gt;=EOMONTH($J111,-1)+1,V$30&lt;=EOMONTH(EOMONTH($J111,-1)+1,$K111-1)),IF(NOT(ISBLANK($N111)),$N111/$K111,$I111/$K111),0),0)</f>
        <v>0</v>
      </c>
      <c r="W111" s="469">
        <f t="shared" si="28"/>
        <v>0</v>
      </c>
      <c r="X111" s="642">
        <f>IFERROR(IF(AND(X$30&gt;=EOMONTH($J111,-1)+1,X$30&lt;=EOMONTH(EOMONTH($J111,-1)+1,$K111-1)),IF(NOT(ISBLANK($N111)),$N111/$K111,$I111/$K111),0),0)</f>
        <v>17860.75</v>
      </c>
      <c r="Y111" s="309">
        <f>IFERROR(IF(AND(Y$30&gt;=EOMONTH($J111,-1)+1,Y$30&lt;=EOMONTH(EOMONTH($J111,-1)+1,$K111-1)),IF(NOT(ISBLANK($N111)),$N111/$K111,$I111/$K111),0),0)</f>
        <v>17860.75</v>
      </c>
      <c r="Z111" s="309">
        <f>IFERROR(IF(AND(Z$30&gt;=EOMONTH($J111,-1)+1,Z$30&lt;=EOMONTH(EOMONTH($J111,-1)+1,$K111-1)),IF(NOT(ISBLANK($N111)),$N111/$K111,$I111/$K111),0),0)</f>
        <v>17860.75</v>
      </c>
      <c r="AA111" s="469">
        <f t="shared" si="26"/>
        <v>53582.25</v>
      </c>
      <c r="AB111" s="309">
        <f>IFERROR(IF(AND(AB$30&gt;=EOMONTH($J111,-1)+1,AB$30&lt;=EOMONTH(EOMONTH($J111,-1)+1,$K111-1)),IF(NOT(ISBLANK($N111)),$N111/$K111,$I111/$K111),0),0)</f>
        <v>17860.75</v>
      </c>
      <c r="AC111" s="309">
        <f>IFERROR(IF(AND(AC$30&gt;=EOMONTH($J111,-1)+1,AC$30&lt;=EOMONTH(EOMONTH($J111,-1)+1,$K111-1)),IF(NOT(ISBLANK($N111)),$N111/$K111,$I111/$K111),0),0)</f>
        <v>17860.75</v>
      </c>
      <c r="AD111" s="309">
        <f>IFERROR(IF(AND(AD$30&gt;=EOMONTH($J111,-1)+1,AD$30&lt;=EOMONTH(EOMONTH($J111,-1)+1,$K111-1)),IF(NOT(ISBLANK($N111)),$N111/$K111,$I111/$K111),0),0)</f>
        <v>17860.75</v>
      </c>
      <c r="AE111" s="469">
        <f t="shared" si="27"/>
        <v>53582.25</v>
      </c>
      <c r="AF111" s="309">
        <f>IFERROR(IF(AND(AF$30&gt;=EOMONTH($J111,-1)+1,AF$30&lt;=EOMONTH(EOMONTH($J111,-1)+1,$K111-1)),IF(NOT(ISBLANK($N111)),$N111/$K111,$I111/$K111),0),0)</f>
        <v>17860.75</v>
      </c>
      <c r="AG111" s="309">
        <f>IFERROR(IF(AND(AG$30&gt;=EOMONTH($J111,-1)+1,AG$30&lt;=EOMONTH(EOMONTH($J111,-1)+1,$K111-1)),IF(NOT(ISBLANK($N111)),$N111/$K111,$I111/$K111),0),0)</f>
        <v>17860.75</v>
      </c>
      <c r="AH111" s="309">
        <f>IFERROR(IF(AND(AH$30&gt;=EOMONTH($J111,-1)+1,AH$30&lt;=EOMONTH(EOMONTH($J111,-1)+1,$K111-1)),IF(NOT(ISBLANK($N111)),$N111/$K111,$I111/$K111),0),0)</f>
        <v>17860.75</v>
      </c>
      <c r="AI111" s="469">
        <f t="shared" si="24"/>
        <v>53582.25</v>
      </c>
      <c r="AJ111" s="116">
        <f t="shared" si="25"/>
        <v>160746.75</v>
      </c>
      <c r="AK111" s="1038"/>
      <c r="AL111" s="1038"/>
      <c r="AM111" s="1042"/>
      <c r="AN111" s="1044">
        <f>I111*AM111</f>
        <v>0</v>
      </c>
      <c r="AO111" s="595" t="str">
        <f>D111</f>
        <v>Redução Itens Mercedes</v>
      </c>
      <c r="AP111" s="62" t="s">
        <v>289</v>
      </c>
      <c r="AQ111" s="543" cm="1">
        <f t="array" aca="1" ref="AQ111" ca="1">IF(OR(AO111="",AO111=0),"",IF(SUMPRODUCT(($D$31:$D$146=AO111)*($R$31:$R$146="Previsto")*($T$30:$AH$30&lt;EOMONTH(TODAY(),-1)+1)*($T$31:$AH$146))=0,"",SUMPRODUCT(($D$31:$D$146=AO111)*($R$31:$R$146="Previsto")*($T$30:$AH$30&lt;EOMONTH(TODAY(),-1)+1)*($T$31:$AH$146))))</f>
        <v>35721.5</v>
      </c>
    </row>
    <row r="112" spans="1:43" ht="29.1" customHeight="1" x14ac:dyDescent="0.3">
      <c r="A112" s="1037"/>
      <c r="B112" s="1114"/>
      <c r="C112" s="1037"/>
      <c r="D112" s="1116"/>
      <c r="E112" s="1082"/>
      <c r="F112" s="1041"/>
      <c r="G112" s="1118"/>
      <c r="H112" s="1118"/>
      <c r="I112" s="1075"/>
      <c r="J112" s="1159"/>
      <c r="K112" s="1122"/>
      <c r="L112" s="1075"/>
      <c r="M112" s="1120"/>
      <c r="N112" s="1054"/>
      <c r="O112" s="1058"/>
      <c r="P112" s="1058"/>
      <c r="Q112" s="1063"/>
      <c r="R112" s="91" t="s">
        <v>107</v>
      </c>
      <c r="S112" s="481">
        <f>_xlfn.XLOOKUP(B111,[1]Detalhamento!$A:$A,[1]Detalhamento!$N:$N)</f>
        <v>1</v>
      </c>
      <c r="T112" s="309"/>
      <c r="U112" s="309"/>
      <c r="V112" s="309"/>
      <c r="W112" s="469">
        <f t="shared" si="28"/>
        <v>0</v>
      </c>
      <c r="X112" s="309"/>
      <c r="Y112" s="309"/>
      <c r="Z112" s="309"/>
      <c r="AA112" s="469">
        <f t="shared" si="26"/>
        <v>0</v>
      </c>
      <c r="AB112" s="309"/>
      <c r="AC112" s="309"/>
      <c r="AD112" s="309"/>
      <c r="AE112" s="469">
        <f t="shared" si="27"/>
        <v>0</v>
      </c>
      <c r="AF112" s="309"/>
      <c r="AG112" s="309"/>
      <c r="AH112" s="309"/>
      <c r="AI112" s="469">
        <f t="shared" si="24"/>
        <v>0</v>
      </c>
      <c r="AJ112" s="483">
        <f t="shared" si="25"/>
        <v>0</v>
      </c>
      <c r="AK112" s="1039"/>
      <c r="AL112" s="1039"/>
      <c r="AM112" s="1043"/>
      <c r="AN112" s="1045"/>
      <c r="AO112" s="596" t="str">
        <f>D111</f>
        <v>Redução Itens Mercedes</v>
      </c>
      <c r="AP112" s="62" t="s">
        <v>291</v>
      </c>
      <c r="AQ112" s="543" t="str" cm="1">
        <f t="array" aca="1" ref="AQ112" ca="1">IF(OR(AO112="",AO112=0),"",IF(SUMPRODUCT(($D$31:$D$146=AO112)*(ISNUMBER(SEARCH("Real",$R$32:$R$147)))*($T$30:$AH$30&lt;EOMONTH(TODAY(),-1)+1)*($T$32:$AH$147))=0,"",SUMPRODUCT(($D$31:$D$146=AO112)*(ISNUMBER(SEARCH("Real",$R$32:$R$147)))*($T$30:$AH$30&lt;EOMONTH(TODAY(),-1)+1)*($T$32:$AH$147))))</f>
        <v/>
      </c>
    </row>
    <row r="113" spans="1:43" ht="29.1" customHeight="1" x14ac:dyDescent="0.3">
      <c r="A113" s="1036" t="s">
        <v>79</v>
      </c>
      <c r="B113" s="1113" t="s">
        <v>2494</v>
      </c>
      <c r="C113" s="1036" t="s">
        <v>94</v>
      </c>
      <c r="D113" s="1115" t="s">
        <v>2495</v>
      </c>
      <c r="E113" s="1081" t="s">
        <v>2496</v>
      </c>
      <c r="F113" s="1040" t="s">
        <v>2370</v>
      </c>
      <c r="G113" s="1117">
        <f>_xlfn.XLOOKUP(B113,[1]Detalhamento!$A:$A,[1]Detalhamento!$I:$I)</f>
        <v>46045</v>
      </c>
      <c r="H113" s="1117">
        <f>_xlfn.XLOOKUP(B113,[1]Detalhamento!$A:$A,[1]Detalhamento!$J:$J)</f>
        <v>46148</v>
      </c>
      <c r="I113" s="1074">
        <f>IFERROR(_xlfn.XLOOKUP(B113,[1]Detalhamento!$A:$A,[1]Detalhamento!$E:$E)," - ")</f>
        <v>49053</v>
      </c>
      <c r="J113" s="1158">
        <f>_xlfn.XLOOKUP(B113,[1]Detalhamento!$A:$A,[1]Detalhamento!$O:$O)</f>
        <v>46148</v>
      </c>
      <c r="K113" s="1121">
        <v>12</v>
      </c>
      <c r="L113" s="1074"/>
      <c r="M113" s="1119"/>
      <c r="N113" s="1053"/>
      <c r="O113" s="1057" t="s">
        <v>77</v>
      </c>
      <c r="P113" s="1057"/>
      <c r="Q113" s="1062"/>
      <c r="R113" s="91" t="s">
        <v>106</v>
      </c>
      <c r="S113" s="91">
        <f>_xlfn.XLOOKUP(B113,[1]Detalhamento!$A:$A,[1]Detalhamento!$M:$M)</f>
        <v>0.88</v>
      </c>
      <c r="T113" s="802">
        <f>IFERROR(IF(AND(T$30&gt;=EOMONTH($J113,-1)+1,T$30&lt;=EOMONTH(EOMONTH($J113,-1)+1,$K113-1)),IF(NOT(ISBLANK($N113)),$N113/$K113,$I113/$K113),0),0)</f>
        <v>0</v>
      </c>
      <c r="U113" s="802">
        <f>IFERROR(IF(AND(U$30&gt;=EOMONTH($J113,-1)+1,U$30&lt;=EOMONTH(EOMONTH($J113,-1)+1,$K113-1)),IF(NOT(ISBLANK($N113)),$N113/$K113,$I113/$K113),0),0)</f>
        <v>0</v>
      </c>
      <c r="V113" s="802">
        <f>IFERROR(IF(AND(V$30&gt;=EOMONTH($J113,-1)+1,V$30&lt;=EOMONTH(EOMONTH($J113,-1)+1,$K113-1)),IF(NOT(ISBLANK($N113)),$N113/$K113,$I113/$K113),0),0)</f>
        <v>0</v>
      </c>
      <c r="W113" s="469">
        <f t="shared" si="28"/>
        <v>0</v>
      </c>
      <c r="X113" s="802">
        <f>IFERROR(IF(AND(X$30&gt;=EOMONTH($J113,-1)+1,X$30&lt;=EOMONTH(EOMONTH($J113,-1)+1,$K113-1)),IF(NOT(ISBLANK($N113)),$N113/$K113,$I113/$K113),0),0)</f>
        <v>0</v>
      </c>
      <c r="Y113" s="802">
        <f>IFERROR(IF(AND(Y$30&gt;=EOMONTH($J113,-1)+1,Y$30&lt;=EOMONTH(EOMONTH($J113,-1)+1,$K113-1)),IF(NOT(ISBLANK($N113)),$N113/$K113,$I113/$K113),0),0)</f>
        <v>4087.75</v>
      </c>
      <c r="Z113" s="802">
        <f>IFERROR(IF(AND(Z$30&gt;=EOMONTH($J113,-1)+1,Z$30&lt;=EOMONTH(EOMONTH($J113,-1)+1,$K113-1)),IF(NOT(ISBLANK($N113)),$N113/$K113,$I113/$K113),0),0)</f>
        <v>4087.75</v>
      </c>
      <c r="AA113" s="469">
        <f t="shared" si="26"/>
        <v>8175.5</v>
      </c>
      <c r="AB113" s="802">
        <f>IFERROR(IF(AND(AB$30&gt;=EOMONTH($J113,-1)+1,AB$30&lt;=EOMONTH(EOMONTH($J113,-1)+1,$K113-1)),IF(NOT(ISBLANK($N113)),$N113/$K113,$I113/$K113),0),0)</f>
        <v>4087.75</v>
      </c>
      <c r="AC113" s="802">
        <f>IFERROR(IF(AND(AC$30&gt;=EOMONTH($J113,-1)+1,AC$30&lt;=EOMONTH(EOMONTH($J113,-1)+1,$K113-1)),IF(NOT(ISBLANK($N113)),$N113/$K113,$I113/$K113),0),0)</f>
        <v>4087.75</v>
      </c>
      <c r="AD113" s="802">
        <f>IFERROR(IF(AND(AD$30&gt;=EOMONTH($J113,-1)+1,AD$30&lt;=EOMONTH(EOMONTH($J113,-1)+1,$K113-1)),IF(NOT(ISBLANK($N113)),$N113/$K113,$I113/$K113),0),0)</f>
        <v>4087.75</v>
      </c>
      <c r="AE113" s="469">
        <f t="shared" si="27"/>
        <v>12263.25</v>
      </c>
      <c r="AF113" s="802">
        <f>IFERROR(IF(AND(AF$30&gt;=EOMONTH($J113,-1)+1,AF$30&lt;=EOMONTH(EOMONTH($J113,-1)+1,$K113-1)),IF(NOT(ISBLANK($N113)),$N113/$K113,$I113/$K113),0),0)</f>
        <v>4087.75</v>
      </c>
      <c r="AG113" s="802">
        <f>IFERROR(IF(AND(AG$30&gt;=EOMONTH($J113,-1)+1,AG$30&lt;=EOMONTH(EOMONTH($J113,-1)+1,$K113-1)),IF(NOT(ISBLANK($N113)),$N113/$K113,$I113/$K113),0),0)</f>
        <v>4087.75</v>
      </c>
      <c r="AH113" s="802">
        <f>IFERROR(IF(AND(AH$30&gt;=EOMONTH($J113,-1)+1,AH$30&lt;=EOMONTH(EOMONTH($J113,-1)+1,$K113-1)),IF(NOT(ISBLANK($N113)),$N113/$K113,$I113/$K113),0),0)</f>
        <v>4087.75</v>
      </c>
      <c r="AI113" s="469">
        <f t="shared" si="24"/>
        <v>12263.25</v>
      </c>
      <c r="AJ113" s="116">
        <f t="shared" si="25"/>
        <v>32702</v>
      </c>
      <c r="AK113" s="1038"/>
      <c r="AL113" s="1038"/>
      <c r="AM113" s="1042"/>
      <c r="AN113" s="1044">
        <f>I113*AM113</f>
        <v>0</v>
      </c>
      <c r="AO113" s="595" t="str">
        <f>D113</f>
        <v>Negociação TCC00690/691</v>
      </c>
      <c r="AP113" s="62" t="s">
        <v>289</v>
      </c>
      <c r="AQ113" s="543" cm="1">
        <f t="array" aca="1" ref="AQ113" ca="1">IF(OR(AO113="",AO113=0),"",IF(SUMPRODUCT(($D$31:$D$146=AO113)*($R$31:$R$146="Previsto")*($T$30:$AH$30&lt;EOMONTH(TODAY(),-1)+1)*($T$31:$AH$146))=0,"",SUMPRODUCT(($D$31:$D$146=AO113)*($R$31:$R$146="Previsto")*($T$30:$AH$30&lt;EOMONTH(TODAY(),-1)+1)*($T$31:$AH$146))))</f>
        <v>4087.75</v>
      </c>
    </row>
    <row r="114" spans="1:43" ht="29.1" customHeight="1" x14ac:dyDescent="0.3">
      <c r="A114" s="1037"/>
      <c r="B114" s="1114"/>
      <c r="C114" s="1037"/>
      <c r="D114" s="1116"/>
      <c r="E114" s="1082"/>
      <c r="F114" s="1041"/>
      <c r="G114" s="1118"/>
      <c r="H114" s="1118"/>
      <c r="I114" s="1075"/>
      <c r="J114" s="1159"/>
      <c r="K114" s="1122"/>
      <c r="L114" s="1075"/>
      <c r="M114" s="1120"/>
      <c r="N114" s="1054"/>
      <c r="O114" s="1058"/>
      <c r="P114" s="1058"/>
      <c r="Q114" s="1063"/>
      <c r="R114" s="91" t="s">
        <v>107</v>
      </c>
      <c r="S114" s="481">
        <f>_xlfn.XLOOKUP(B113,[1]Detalhamento!$A:$A,[1]Detalhamento!$N:$N)</f>
        <v>0.88</v>
      </c>
      <c r="T114" s="802"/>
      <c r="U114" s="802"/>
      <c r="V114" s="802"/>
      <c r="W114" s="469">
        <f t="shared" si="28"/>
        <v>0</v>
      </c>
      <c r="X114" s="802"/>
      <c r="Y114" s="802"/>
      <c r="Z114" s="802"/>
      <c r="AA114" s="469">
        <f t="shared" si="26"/>
        <v>0</v>
      </c>
      <c r="AB114" s="802"/>
      <c r="AC114" s="802"/>
      <c r="AD114" s="802"/>
      <c r="AE114" s="469">
        <f t="shared" si="27"/>
        <v>0</v>
      </c>
      <c r="AF114" s="802"/>
      <c r="AG114" s="802"/>
      <c r="AH114" s="802"/>
      <c r="AI114" s="469">
        <f t="shared" si="24"/>
        <v>0</v>
      </c>
      <c r="AJ114" s="483">
        <f t="shared" si="25"/>
        <v>0</v>
      </c>
      <c r="AK114" s="1039"/>
      <c r="AL114" s="1039"/>
      <c r="AM114" s="1043"/>
      <c r="AN114" s="1045"/>
      <c r="AO114" s="596" t="str">
        <f>D113</f>
        <v>Negociação TCC00690/691</v>
      </c>
      <c r="AP114" s="62" t="s">
        <v>291</v>
      </c>
      <c r="AQ114" s="543" t="str" cm="1">
        <f t="array" aca="1" ref="AQ114" ca="1">IF(OR(AO114="",AO114=0),"",IF(SUMPRODUCT(($D$31:$D$146=AO114)*(ISNUMBER(SEARCH("Real",$R$32:$R$147)))*($T$30:$AH$30&lt;EOMONTH(TODAY(),-1)+1)*($T$32:$AH$147))=0,"",SUMPRODUCT(($D$31:$D$146=AO114)*(ISNUMBER(SEARCH("Real",$R$32:$R$147)))*($T$30:$AH$30&lt;EOMONTH(TODAY(),-1)+1)*($T$32:$AH$147))))</f>
        <v/>
      </c>
    </row>
    <row r="115" spans="1:43" ht="29.1" customHeight="1" x14ac:dyDescent="0.3">
      <c r="A115" s="1093" t="s">
        <v>79</v>
      </c>
      <c r="B115" s="1138" t="s">
        <v>2497</v>
      </c>
      <c r="C115" s="1038" t="s">
        <v>91</v>
      </c>
      <c r="D115" s="1140" t="s">
        <v>2498</v>
      </c>
      <c r="E115" s="1153" t="s">
        <v>2499</v>
      </c>
      <c r="F115" s="1142" t="s">
        <v>2490</v>
      </c>
      <c r="G115" s="1144">
        <f>_xlfn.XLOOKUP(B115,[1]Detalhamento!$A:$A,[1]Detalhamento!$I:$I)</f>
        <v>46125</v>
      </c>
      <c r="H115" s="1144">
        <f>_xlfn.XLOOKUP(B115,[1]Detalhamento!$A:$A,[1]Detalhamento!$J:$J)</f>
        <v>46222</v>
      </c>
      <c r="I115" s="1076">
        <f>IFERROR(_xlfn.XLOOKUP(B115,[1]Detalhamento!$A:$A,[1]Detalhamento!$E:$E)," - ")</f>
        <v>99600</v>
      </c>
      <c r="J115" s="1154">
        <f>_xlfn.XLOOKUP(B115,[1]Detalhamento!$A:$A,[1]Detalhamento!$O:$O)</f>
        <v>46174</v>
      </c>
      <c r="K115" s="1111">
        <v>12</v>
      </c>
      <c r="L115" s="1076"/>
      <c r="M115" s="1072"/>
      <c r="N115" s="1055"/>
      <c r="O115" s="1042" t="s">
        <v>80</v>
      </c>
      <c r="P115" s="1042"/>
      <c r="Q115" s="1064"/>
      <c r="R115" s="96" t="s">
        <v>106</v>
      </c>
      <c r="S115" s="96">
        <f>_xlfn.XLOOKUP(B115,[1]Detalhamento!$A:$A,[1]Detalhamento!$M:$M)</f>
        <v>0.80952380952380953</v>
      </c>
      <c r="T115" s="589">
        <f>IFERROR(IF(AND(T$30&gt;=EOMONTH($J115,-1)+1,T$30&lt;=EOMONTH(EOMONTH($J115,-1)+1,$K115-1)),IF(NOT(ISBLANK($N115)),$N115/$K115,$I115/$K115),0),0)</f>
        <v>0</v>
      </c>
      <c r="U115" s="589">
        <f>IFERROR(IF(AND(U$30&gt;=EOMONTH($J115,-1)+1,U$30&lt;=EOMONTH(EOMONTH($J115,-1)+1,$K115-1)),IF(NOT(ISBLANK($N115)),$N115/$K115,$I115/$K115),0),0)</f>
        <v>0</v>
      </c>
      <c r="V115" s="589">
        <f>IFERROR(IF(AND(V$30&gt;=EOMONTH($J115,-1)+1,V$30&lt;=EOMONTH(EOMONTH($J115,-1)+1,$K115-1)),IF(NOT(ISBLANK($N115)),$N115/$K115,$I115/$K115),0),0)</f>
        <v>0</v>
      </c>
      <c r="W115" s="469">
        <f t="shared" si="28"/>
        <v>0</v>
      </c>
      <c r="X115" s="589">
        <f>IFERROR(IF(AND(X$30&gt;=EOMONTH($J115,-1)+1,X$30&lt;=EOMONTH(EOMONTH($J115,-1)+1,$K115-1)),IF(NOT(ISBLANK($N115)),$N115/$K115,$I115/$K115),0),0)</f>
        <v>0</v>
      </c>
      <c r="Y115" s="589">
        <f>IFERROR(IF(AND(Y$30&gt;=EOMONTH($J115,-1)+1,Y$30&lt;=EOMONTH(EOMONTH($J115,-1)+1,$K115-1)),IF(NOT(ISBLANK($N115)),$N115/$K115,$I115/$K115),0),0)</f>
        <v>0</v>
      </c>
      <c r="Z115" s="589">
        <f>IFERROR(IF(AND(Z$30&gt;=EOMONTH($J115,-1)+1,Z$30&lt;=EOMONTH(EOMONTH($J115,-1)+1,$K115-1)),IF(NOT(ISBLANK($N115)),$N115/$K115,$I115/$K115),0),0)</f>
        <v>8300</v>
      </c>
      <c r="AA115" s="469">
        <f t="shared" si="26"/>
        <v>8300</v>
      </c>
      <c r="AB115" s="589">
        <f>IFERROR(IF(AND(AB$30&gt;=EOMONTH($J115,-1)+1,AB$30&lt;=EOMONTH(EOMONTH($J115,-1)+1,$K115-1)),IF(NOT(ISBLANK($N115)),$N115/$K115,$I115/$K115),0),0)</f>
        <v>8300</v>
      </c>
      <c r="AC115" s="589">
        <f>IFERROR(IF(AND(AC$30&gt;=EOMONTH($J115,-1)+1,AC$30&lt;=EOMONTH(EOMONTH($J115,-1)+1,$K115-1)),IF(NOT(ISBLANK($N115)),$N115/$K115,$I115/$K115),0),0)</f>
        <v>8300</v>
      </c>
      <c r="AD115" s="589">
        <f>IFERROR(IF(AND(AD$30&gt;=EOMONTH($J115,-1)+1,AD$30&lt;=EOMONTH(EOMONTH($J115,-1)+1,$K115-1)),IF(NOT(ISBLANK($N115)),$N115/$K115,$I115/$K115),0),0)</f>
        <v>8300</v>
      </c>
      <c r="AE115" s="469">
        <f t="shared" si="27"/>
        <v>24900</v>
      </c>
      <c r="AF115" s="589">
        <f>IFERROR(IF(AND(AF$30&gt;=EOMONTH($J115,-1)+1,AF$30&lt;=EOMONTH(EOMONTH($J115,-1)+1,$K115-1)),IF(NOT(ISBLANK($N115)),$N115/$K115,$I115/$K115),0),0)</f>
        <v>8300</v>
      </c>
      <c r="AG115" s="589">
        <f>IFERROR(IF(AND(AG$30&gt;=EOMONTH($J115,-1)+1,AG$30&lt;=EOMONTH(EOMONTH($J115,-1)+1,$K115-1)),IF(NOT(ISBLANK($N115)),$N115/$K115,$I115/$K115),0),0)</f>
        <v>8300</v>
      </c>
      <c r="AH115" s="589">
        <f>IFERROR(IF(AND(AH$30&gt;=EOMONTH($J115,-1)+1,AH$30&lt;=EOMONTH(EOMONTH($J115,-1)+1,$K115-1)),IF(NOT(ISBLANK($N115)),$N115/$K115,$I115/$K115),0),0)</f>
        <v>8300</v>
      </c>
      <c r="AI115" s="469">
        <f t="shared" si="24"/>
        <v>24900</v>
      </c>
      <c r="AJ115" s="94">
        <f t="shared" si="25"/>
        <v>58100</v>
      </c>
      <c r="AK115" s="1038"/>
      <c r="AL115" s="1038"/>
      <c r="AM115" s="1042"/>
      <c r="AN115" s="1044">
        <f>I115*AM115</f>
        <v>0</v>
      </c>
      <c r="AO115" s="595" t="str">
        <f>D115</f>
        <v>Locação de Compressores</v>
      </c>
      <c r="AP115" s="62" t="s">
        <v>289</v>
      </c>
      <c r="AQ115" s="543" t="str" cm="1">
        <f t="array" aca="1" ref="AQ115" ca="1">IF(OR(AO115="",AO115=0),"",IF(SUMPRODUCT(($D$31:$D$146=AO115)*($R$31:$R$146="Previsto")*($T$30:$AH$30&lt;EOMONTH(TODAY(),-1)+1)*($T$31:$AH$146))=0,"",SUMPRODUCT(($D$31:$D$146=AO115)*($R$31:$R$146="Previsto")*($T$30:$AH$30&lt;EOMONTH(TODAY(),-1)+1)*($T$31:$AH$146))))</f>
        <v/>
      </c>
    </row>
    <row r="116" spans="1:43" ht="29.1" customHeight="1" x14ac:dyDescent="0.3">
      <c r="A116" s="1094"/>
      <c r="B116" s="1139"/>
      <c r="C116" s="1039"/>
      <c r="D116" s="1141"/>
      <c r="E116" s="1148"/>
      <c r="F116" s="1143"/>
      <c r="G116" s="1145"/>
      <c r="H116" s="1145"/>
      <c r="I116" s="1077"/>
      <c r="J116" s="1155"/>
      <c r="K116" s="1112"/>
      <c r="L116" s="1077"/>
      <c r="M116" s="1073"/>
      <c r="N116" s="1056"/>
      <c r="O116" s="1043"/>
      <c r="P116" s="1043"/>
      <c r="Q116" s="1065"/>
      <c r="R116" s="96" t="s">
        <v>107</v>
      </c>
      <c r="S116" s="482">
        <f>_xlfn.XLOOKUP(B115,[1]Detalhamento!$A:$A,[1]Detalhamento!$N:$N)</f>
        <v>0.7142857142857143</v>
      </c>
      <c r="T116" s="589"/>
      <c r="U116" s="589"/>
      <c r="V116" s="589"/>
      <c r="W116" s="469">
        <f t="shared" si="28"/>
        <v>0</v>
      </c>
      <c r="X116" s="589"/>
      <c r="Y116" s="589"/>
      <c r="Z116" s="589"/>
      <c r="AA116" s="469">
        <f t="shared" si="26"/>
        <v>0</v>
      </c>
      <c r="AB116" s="589"/>
      <c r="AC116" s="589"/>
      <c r="AD116" s="589"/>
      <c r="AE116" s="469">
        <f t="shared" si="27"/>
        <v>0</v>
      </c>
      <c r="AF116" s="589"/>
      <c r="AG116" s="589"/>
      <c r="AH116" s="589"/>
      <c r="AI116" s="469">
        <f t="shared" si="24"/>
        <v>0</v>
      </c>
      <c r="AJ116" s="94">
        <f t="shared" si="25"/>
        <v>0</v>
      </c>
      <c r="AK116" s="1039"/>
      <c r="AL116" s="1039"/>
      <c r="AM116" s="1043"/>
      <c r="AN116" s="1045"/>
      <c r="AO116" s="596" t="str">
        <f>D115</f>
        <v>Locação de Compressores</v>
      </c>
      <c r="AP116" s="62" t="s">
        <v>291</v>
      </c>
      <c r="AQ116" s="543" t="str" cm="1">
        <f t="array" aca="1" ref="AQ116" ca="1">IF(OR(AO116="",AO116=0),"",IF(SUMPRODUCT(($D$31:$D$146=AO116)*(ISNUMBER(SEARCH("Real",$R$32:$R$147)))*($T$30:$AH$30&lt;EOMONTH(TODAY(),-1)+1)*($T$32:$AH$147))=0,"",SUMPRODUCT(($D$31:$D$146=AO116)*(ISNUMBER(SEARCH("Real",$R$32:$R$147)))*($T$30:$AH$30&lt;EOMONTH(TODAY(),-1)+1)*($T$32:$AH$147))))</f>
        <v/>
      </c>
    </row>
    <row r="117" spans="1:43" ht="29.1" customHeight="1" x14ac:dyDescent="0.3">
      <c r="A117" s="1036" t="s">
        <v>79</v>
      </c>
      <c r="B117" s="1113" t="s">
        <v>2500</v>
      </c>
      <c r="C117" s="1036" t="s">
        <v>94</v>
      </c>
      <c r="D117" s="1115" t="s">
        <v>2501</v>
      </c>
      <c r="E117" s="1081" t="s">
        <v>2502</v>
      </c>
      <c r="F117" s="1040" t="s">
        <v>2370</v>
      </c>
      <c r="G117" s="1117">
        <f>_xlfn.XLOOKUP(B117,[1]Detalhamento!$A:$A,[1]Detalhamento!$I:$I)</f>
        <v>46027</v>
      </c>
      <c r="H117" s="1117">
        <f>_xlfn.XLOOKUP(B117,[1]Detalhamento!$A:$A,[1]Detalhamento!$J:$J)</f>
        <v>46264</v>
      </c>
      <c r="I117" s="1074">
        <f>IFERROR(_xlfn.XLOOKUP(B117,[1]Detalhamento!$A:$A,[1]Detalhamento!$E:$E)," - ")</f>
        <v>150000</v>
      </c>
      <c r="J117" s="1158">
        <f>_xlfn.XLOOKUP(B117,[1]Detalhamento!$A:$A,[1]Detalhamento!$O:$O)</f>
        <v>46293</v>
      </c>
      <c r="K117" s="1121">
        <v>12</v>
      </c>
      <c r="L117" s="1074"/>
      <c r="M117" s="1119"/>
      <c r="N117" s="1053"/>
      <c r="O117" s="1057" t="s">
        <v>80</v>
      </c>
      <c r="P117" s="1057"/>
      <c r="Q117" s="1062"/>
      <c r="R117" s="91" t="s">
        <v>106</v>
      </c>
      <c r="S117" s="91">
        <f>_xlfn.XLOOKUP(B117,[1]Detalhamento!$A:$A,[1]Detalhamento!$M:$M)</f>
        <v>0.61538461538461542</v>
      </c>
      <c r="T117" s="802">
        <f>IFERROR(IF(AND(T$30&gt;=EOMONTH($J117,-1)+1,T$30&lt;=EOMONTH(EOMONTH($J117,-1)+1,$K117-1)),IF(NOT(ISBLANK($N117)),$N117/$K117,$I117/$K117),0),0)</f>
        <v>0</v>
      </c>
      <c r="U117" s="802">
        <f>IFERROR(IF(AND(U$30&gt;=EOMONTH($J117,-1)+1,U$30&lt;=EOMONTH(EOMONTH($J117,-1)+1,$K117-1)),IF(NOT(ISBLANK($N117)),$N117/$K117,$I117/$K117),0),0)</f>
        <v>0</v>
      </c>
      <c r="V117" s="802">
        <f>IFERROR(IF(AND(V$30&gt;=EOMONTH($J117,-1)+1,V$30&lt;=EOMONTH(EOMONTH($J117,-1)+1,$K117-1)),IF(NOT(ISBLANK($N117)),$N117/$K117,$I117/$K117),0),0)</f>
        <v>0</v>
      </c>
      <c r="W117" s="469">
        <f t="shared" si="28"/>
        <v>0</v>
      </c>
      <c r="X117" s="802">
        <f>IFERROR(IF(AND(X$30&gt;=EOMONTH($J117,-1)+1,X$30&lt;=EOMONTH(EOMONTH($J117,-1)+1,$K117-1)),IF(NOT(ISBLANK($N117)),$N117/$K117,$I117/$K117),0),0)</f>
        <v>0</v>
      </c>
      <c r="Y117" s="802">
        <f>IFERROR(IF(AND(Y$30&gt;=EOMONTH($J117,-1)+1,Y$30&lt;=EOMONTH(EOMONTH($J117,-1)+1,$K117-1)),IF(NOT(ISBLANK($N117)),$N117/$K117,$I117/$K117),0),0)</f>
        <v>0</v>
      </c>
      <c r="Z117" s="802">
        <f>IFERROR(IF(AND(Z$30&gt;=EOMONTH($J117,-1)+1,Z$30&lt;=EOMONTH(EOMONTH($J117,-1)+1,$K117-1)),IF(NOT(ISBLANK($N117)),$N117/$K117,$I117/$K117),0),0)</f>
        <v>0</v>
      </c>
      <c r="AA117" s="469">
        <f t="shared" si="26"/>
        <v>0</v>
      </c>
      <c r="AB117" s="802">
        <f>IFERROR(IF(AND(AB$30&gt;=EOMONTH($J117,-1)+1,AB$30&lt;=EOMONTH(EOMONTH($J117,-1)+1,$K117-1)),IF(NOT(ISBLANK($N117)),$N117/$K117,$I117/$K117),0),0)</f>
        <v>0</v>
      </c>
      <c r="AC117" s="802">
        <f>IFERROR(IF(AND(AC$30&gt;=EOMONTH($J117,-1)+1,AC$30&lt;=EOMONTH(EOMONTH($J117,-1)+1,$K117-1)),IF(NOT(ISBLANK($N117)),$N117/$K117,$I117/$K117),0),0)</f>
        <v>0</v>
      </c>
      <c r="AD117" s="802">
        <f>IFERROR(IF(AND(AD$30&gt;=EOMONTH($J117,-1)+1,AD$30&lt;=EOMONTH(EOMONTH($J117,-1)+1,$K117-1)),IF(NOT(ISBLANK($N117)),$N117/$K117,$I117/$K117),0),0)</f>
        <v>12500</v>
      </c>
      <c r="AE117" s="469">
        <f t="shared" si="27"/>
        <v>12500</v>
      </c>
      <c r="AF117" s="802">
        <f>IFERROR(IF(AND(AF$30&gt;=EOMONTH($J117,-1)+1,AF$30&lt;=EOMONTH(EOMONTH($J117,-1)+1,$K117-1)),IF(NOT(ISBLANK($N117)),$N117/$K117,$I117/$K117),0),0)</f>
        <v>12500</v>
      </c>
      <c r="AG117" s="802">
        <f>IFERROR(IF(AND(AG$30&gt;=EOMONTH($J117,-1)+1,AG$30&lt;=EOMONTH(EOMONTH($J117,-1)+1,$K117-1)),IF(NOT(ISBLANK($N117)),$N117/$K117,$I117/$K117),0),0)</f>
        <v>12500</v>
      </c>
      <c r="AH117" s="802">
        <f>IFERROR(IF(AND(AH$30&gt;=EOMONTH($J117,-1)+1,AH$30&lt;=EOMONTH(EOMONTH($J117,-1)+1,$K117-1)),IF(NOT(ISBLANK($N117)),$N117/$K117,$I117/$K117),0),0)</f>
        <v>12500</v>
      </c>
      <c r="AI117" s="469">
        <f t="shared" si="24"/>
        <v>37500</v>
      </c>
      <c r="AJ117" s="116">
        <f t="shared" si="25"/>
        <v>50000</v>
      </c>
      <c r="AK117" s="1038"/>
      <c r="AL117" s="1038"/>
      <c r="AM117" s="1042"/>
      <c r="AN117" s="1044">
        <f>I117*AM117</f>
        <v>0</v>
      </c>
      <c r="AO117" s="595" t="str">
        <f>D117</f>
        <v>Negociação Mercante (Laser)</v>
      </c>
      <c r="AP117" s="62" t="s">
        <v>289</v>
      </c>
      <c r="AQ117" s="543" t="str" cm="1">
        <f t="array" aca="1" ref="AQ117" ca="1">IF(OR(AO117="",AO117=0),"",IF(SUMPRODUCT(($D$31:$D$146=AO117)*($R$31:$R$146="Previsto")*($T$30:$AH$30&lt;EOMONTH(TODAY(),-1)+1)*($T$31:$AH$146))=0,"",SUMPRODUCT(($D$31:$D$146=AO117)*($R$31:$R$146="Previsto")*($T$30:$AH$30&lt;EOMONTH(TODAY(),-1)+1)*($T$31:$AH$146))))</f>
        <v/>
      </c>
    </row>
    <row r="118" spans="1:43" ht="29.1" customHeight="1" x14ac:dyDescent="0.3">
      <c r="A118" s="1037"/>
      <c r="B118" s="1114"/>
      <c r="C118" s="1037"/>
      <c r="D118" s="1116"/>
      <c r="E118" s="1082"/>
      <c r="F118" s="1041"/>
      <c r="G118" s="1118"/>
      <c r="H118" s="1118"/>
      <c r="I118" s="1075"/>
      <c r="J118" s="1159"/>
      <c r="K118" s="1122"/>
      <c r="L118" s="1075"/>
      <c r="M118" s="1120"/>
      <c r="N118" s="1054"/>
      <c r="O118" s="1058"/>
      <c r="P118" s="1058"/>
      <c r="Q118" s="1063"/>
      <c r="R118" s="91" t="s">
        <v>107</v>
      </c>
      <c r="S118" s="481">
        <f>_xlfn.XLOOKUP(B117,[1]Detalhamento!$A:$A,[1]Detalhamento!$N:$N)</f>
        <v>0.61538461538461542</v>
      </c>
      <c r="T118" s="802"/>
      <c r="U118" s="802"/>
      <c r="V118" s="802"/>
      <c r="W118" s="469">
        <f t="shared" si="28"/>
        <v>0</v>
      </c>
      <c r="X118" s="802"/>
      <c r="Y118" s="802"/>
      <c r="Z118" s="802"/>
      <c r="AA118" s="469">
        <f t="shared" si="26"/>
        <v>0</v>
      </c>
      <c r="AB118" s="802"/>
      <c r="AC118" s="802"/>
      <c r="AD118" s="802"/>
      <c r="AE118" s="469">
        <f t="shared" si="27"/>
        <v>0</v>
      </c>
      <c r="AF118" s="802"/>
      <c r="AG118" s="802"/>
      <c r="AH118" s="802"/>
      <c r="AI118" s="469">
        <f t="shared" si="24"/>
        <v>0</v>
      </c>
      <c r="AJ118" s="483">
        <f t="shared" si="25"/>
        <v>0</v>
      </c>
      <c r="AK118" s="1039"/>
      <c r="AL118" s="1039"/>
      <c r="AM118" s="1043"/>
      <c r="AN118" s="1045"/>
      <c r="AO118" s="596" t="str">
        <f>D117</f>
        <v>Negociação Mercante (Laser)</v>
      </c>
      <c r="AP118" s="62" t="s">
        <v>291</v>
      </c>
      <c r="AQ118" s="543" t="str" cm="1">
        <f t="array" aca="1" ref="AQ118" ca="1">IF(OR(AO118="",AO118=0),"",IF(SUMPRODUCT(($D$31:$D$146=AO118)*(ISNUMBER(SEARCH("Real",$R$32:$R$147)))*($T$30:$AH$30&lt;EOMONTH(TODAY(),-1)+1)*($T$32:$AH$147))=0,"",SUMPRODUCT(($D$31:$D$146=AO118)*(ISNUMBER(SEARCH("Real",$R$32:$R$147)))*($T$30:$AH$30&lt;EOMONTH(TODAY(),-1)+1)*($T$32:$AH$147))))</f>
        <v/>
      </c>
    </row>
    <row r="119" spans="1:43" ht="29.1" customHeight="1" x14ac:dyDescent="0.3">
      <c r="A119" s="1093" t="s">
        <v>79</v>
      </c>
      <c r="B119" s="1095" t="s">
        <v>2503</v>
      </c>
      <c r="C119" s="1038" t="s">
        <v>94</v>
      </c>
      <c r="D119" s="1097" t="s">
        <v>2504</v>
      </c>
      <c r="E119" s="1153" t="s">
        <v>2505</v>
      </c>
      <c r="F119" s="1142" t="s">
        <v>2366</v>
      </c>
      <c r="G119" s="1144">
        <f>_xlfn.XLOOKUP(B119,[1]Detalhamento!$A:$A,[1]Detalhamento!$I:$I)</f>
        <v>46056</v>
      </c>
      <c r="H119" s="1144">
        <f>_xlfn.XLOOKUP(B119,[1]Detalhamento!$A:$A,[1]Detalhamento!$J:$J)</f>
        <v>46101</v>
      </c>
      <c r="I119" s="1076">
        <f>IFERROR(_xlfn.XLOOKUP(B119,[1]Detalhamento!$A:$A,[1]Detalhamento!$E:$E)," - ")</f>
        <v>38087</v>
      </c>
      <c r="J119" s="1154">
        <f>_xlfn.XLOOKUP(B119,[1]Detalhamento!$A:$A,[1]Detalhamento!$O:$O)</f>
        <v>46098</v>
      </c>
      <c r="K119" s="1111">
        <v>12</v>
      </c>
      <c r="L119" s="1076"/>
      <c r="M119" s="1072"/>
      <c r="N119" s="1055"/>
      <c r="O119" s="1042" t="s">
        <v>77</v>
      </c>
      <c r="P119" s="1042"/>
      <c r="Q119" s="1064" t="s">
        <v>25</v>
      </c>
      <c r="R119" s="96" t="s">
        <v>106</v>
      </c>
      <c r="S119" s="96">
        <f>_xlfn.XLOOKUP(B119,[1]Detalhamento!$A:$A,[1]Detalhamento!$M:$M)</f>
        <v>1</v>
      </c>
      <c r="T119" s="589">
        <f>IFERROR(IF(AND(T$30&gt;=EOMONTH($J119,-1)+1,T$30&lt;=EOMONTH(EOMONTH($J119,-1)+1,$K119-1)),IF(NOT(ISBLANK($N119)),$N119/$K119,$I119/$K119),0),0)</f>
        <v>0</v>
      </c>
      <c r="U119" s="589">
        <f>IFERROR(IF(AND(U$30&gt;=EOMONTH($J119,-1)+1,U$30&lt;=EOMONTH(EOMONTH($J119,-1)+1,$K119-1)),IF(NOT(ISBLANK($N119)),$N119/$K119,$I119/$K119),0),0)</f>
        <v>0</v>
      </c>
      <c r="V119" s="877">
        <f>IFERROR(IF(AND(V$30&gt;=EOMONTH($J119,-1)+1,V$30&lt;=EOMONTH(EOMONTH($J119,-1)+1,$K119-1)),IF(NOT(ISBLANK($N119)),$N119/$K119,$I119/$K119),0),0)</f>
        <v>3173.9166666666665</v>
      </c>
      <c r="W119" s="469">
        <f t="shared" si="28"/>
        <v>3173.9166666666665</v>
      </c>
      <c r="X119" s="877">
        <f>IFERROR(IF(AND(X$30&gt;=EOMONTH($J119,-1)+1,X$30&lt;=EOMONTH(EOMONTH($J119,-1)+1,$K119-1)),IF(NOT(ISBLANK($N119)),$N119/$K119,$I119/$K119),0),0)</f>
        <v>3173.9166666666665</v>
      </c>
      <c r="Y119" s="589">
        <f>IFERROR(IF(AND(Y$30&gt;=EOMONTH($J119,-1)+1,Y$30&lt;=EOMONTH(EOMONTH($J119,-1)+1,$K119-1)),IF(NOT(ISBLANK($N119)),$N119/$K119,$I119/$K119),0),0)</f>
        <v>3173.9166666666665</v>
      </c>
      <c r="Z119" s="589">
        <f>IFERROR(IF(AND(Z$30&gt;=EOMONTH($J119,-1)+1,Z$30&lt;=EOMONTH(EOMONTH($J119,-1)+1,$K119-1)),IF(NOT(ISBLANK($N119)),$N119/$K119,$I119/$K119),0),0)</f>
        <v>3173.9166666666665</v>
      </c>
      <c r="AA119" s="469">
        <f t="shared" si="26"/>
        <v>9521.75</v>
      </c>
      <c r="AB119" s="589">
        <f>IFERROR(IF(AND(AB$30&gt;=EOMONTH($J119,-1)+1,AB$30&lt;=EOMONTH(EOMONTH($J119,-1)+1,$K119-1)),IF(NOT(ISBLANK($N119)),$N119/$K119,$I119/$K119),0),0)</f>
        <v>3173.9166666666665</v>
      </c>
      <c r="AC119" s="589">
        <f>IFERROR(IF(AND(AC$30&gt;=EOMONTH($J119,-1)+1,AC$30&lt;=EOMONTH(EOMONTH($J119,-1)+1,$K119-1)),IF(NOT(ISBLANK($N119)),$N119/$K119,$I119/$K119),0),0)</f>
        <v>3173.9166666666665</v>
      </c>
      <c r="AD119" s="589">
        <f>IFERROR(IF(AND(AD$30&gt;=EOMONTH($J119,-1)+1,AD$30&lt;=EOMONTH(EOMONTH($J119,-1)+1,$K119-1)),IF(NOT(ISBLANK($N119)),$N119/$K119,$I119/$K119),0),0)</f>
        <v>3173.9166666666665</v>
      </c>
      <c r="AE119" s="469">
        <f t="shared" si="27"/>
        <v>9521.75</v>
      </c>
      <c r="AF119" s="589">
        <f>IFERROR(IF(AND(AF$30&gt;=EOMONTH($J119,-1)+1,AF$30&lt;=EOMONTH(EOMONTH($J119,-1)+1,$K119-1)),IF(NOT(ISBLANK($N119)),$N119/$K119,$I119/$K119),0),0)</f>
        <v>3173.9166666666665</v>
      </c>
      <c r="AG119" s="589">
        <f>IFERROR(IF(AND(AG$30&gt;=EOMONTH($J119,-1)+1,AG$30&lt;=EOMONTH(EOMONTH($J119,-1)+1,$K119-1)),IF(NOT(ISBLANK($N119)),$N119/$K119,$I119/$K119),0),0)</f>
        <v>3173.9166666666665</v>
      </c>
      <c r="AH119" s="589">
        <f>IFERROR(IF(AND(AH$30&gt;=EOMONTH($J119,-1)+1,AH$30&lt;=EOMONTH(EOMONTH($J119,-1)+1,$K119-1)),IF(NOT(ISBLANK($N119)),$N119/$K119,$I119/$K119),0),0)</f>
        <v>3173.9166666666665</v>
      </c>
      <c r="AI119" s="469">
        <f t="shared" si="24"/>
        <v>9521.75</v>
      </c>
      <c r="AJ119" s="94">
        <f t="shared" si="25"/>
        <v>31739.166666666672</v>
      </c>
      <c r="AK119" s="1038"/>
      <c r="AL119" s="1038"/>
      <c r="AM119" s="1042"/>
      <c r="AN119" s="1044">
        <f>I119*AM119</f>
        <v>0</v>
      </c>
      <c r="AO119" s="595" t="str">
        <f>D119</f>
        <v>BID Fita Alta Temp 3M + Anti-Slip 3M</v>
      </c>
      <c r="AP119" s="62" t="s">
        <v>289</v>
      </c>
      <c r="AQ119" s="543" cm="1">
        <f t="array" aca="1" ref="AQ119" ca="1">IF(OR(AO119="",AO119=0),"",IF(SUMPRODUCT(($D$31:$D$146=AO119)*($R$31:$R$146="Previsto")*($T$30:$AH$30&lt;EOMONTH(TODAY(),-1)+1)*($T$31:$AH$146))=0,"",SUMPRODUCT(($D$31:$D$146=AO119)*($R$31:$R$146="Previsto")*($T$30:$AH$30&lt;EOMONTH(TODAY(),-1)+1)*($T$31:$AH$146))))</f>
        <v>9521.75</v>
      </c>
    </row>
    <row r="120" spans="1:43" ht="29.1" customHeight="1" x14ac:dyDescent="0.3">
      <c r="A120" s="1094"/>
      <c r="B120" s="1096"/>
      <c r="C120" s="1039"/>
      <c r="D120" s="1098"/>
      <c r="E120" s="1148"/>
      <c r="F120" s="1143"/>
      <c r="G120" s="1145"/>
      <c r="H120" s="1145"/>
      <c r="I120" s="1077"/>
      <c r="J120" s="1155"/>
      <c r="K120" s="1112"/>
      <c r="L120" s="1077"/>
      <c r="M120" s="1073"/>
      <c r="N120" s="1056"/>
      <c r="O120" s="1043"/>
      <c r="P120" s="1043"/>
      <c r="Q120" s="1065"/>
      <c r="R120" s="96" t="s">
        <v>107</v>
      </c>
      <c r="S120" s="482">
        <f>_xlfn.XLOOKUP(B119,[1]Detalhamento!$A:$A,[1]Detalhamento!$N:$N)</f>
        <v>1</v>
      </c>
      <c r="T120" s="589"/>
      <c r="U120" s="589"/>
      <c r="V120" s="589"/>
      <c r="W120" s="469">
        <f t="shared" si="28"/>
        <v>0</v>
      </c>
      <c r="X120" s="589"/>
      <c r="Y120" s="589"/>
      <c r="Z120" s="589"/>
      <c r="AA120" s="469">
        <f t="shared" si="26"/>
        <v>0</v>
      </c>
      <c r="AB120" s="589"/>
      <c r="AC120" s="589"/>
      <c r="AD120" s="589"/>
      <c r="AE120" s="469">
        <f t="shared" si="27"/>
        <v>0</v>
      </c>
      <c r="AF120" s="589"/>
      <c r="AG120" s="589"/>
      <c r="AH120" s="589"/>
      <c r="AI120" s="469">
        <f t="shared" si="24"/>
        <v>0</v>
      </c>
      <c r="AJ120" s="94">
        <f t="shared" si="25"/>
        <v>0</v>
      </c>
      <c r="AK120" s="1039"/>
      <c r="AL120" s="1039"/>
      <c r="AM120" s="1043"/>
      <c r="AN120" s="1045"/>
      <c r="AO120" s="596" t="str">
        <f>D119</f>
        <v>BID Fita Alta Temp 3M + Anti-Slip 3M</v>
      </c>
      <c r="AP120" s="62" t="s">
        <v>291</v>
      </c>
      <c r="AQ120" s="543" t="str" cm="1">
        <f t="array" aca="1" ref="AQ120" ca="1">IF(OR(AO120="",AO120=0),"",IF(SUMPRODUCT(($D$31:$D$146=AO120)*(ISNUMBER(SEARCH("Real",$R$32:$R$147)))*($T$30:$AH$30&lt;EOMONTH(TODAY(),-1)+1)*($T$32:$AH$147))=0,"",SUMPRODUCT(($D$31:$D$146=AO120)*(ISNUMBER(SEARCH("Real",$R$32:$R$147)))*($T$30:$AH$30&lt;EOMONTH(TODAY(),-1)+1)*($T$32:$AH$147))))</f>
        <v/>
      </c>
    </row>
    <row r="121" spans="1:43" ht="29.1" customHeight="1" x14ac:dyDescent="0.3">
      <c r="A121" s="1036" t="s">
        <v>79</v>
      </c>
      <c r="B121" s="1113" t="s">
        <v>2506</v>
      </c>
      <c r="C121" s="1036" t="s">
        <v>93</v>
      </c>
      <c r="D121" s="1115" t="s">
        <v>2507</v>
      </c>
      <c r="E121" s="1081" t="s">
        <v>2508</v>
      </c>
      <c r="F121" s="1040" t="s">
        <v>2366</v>
      </c>
      <c r="G121" s="1117">
        <f>_xlfn.XLOOKUP(B121,[1]Detalhamento!$A:$A,[1]Detalhamento!$I:$I)</f>
        <v>46163</v>
      </c>
      <c r="H121" s="1117">
        <f>_xlfn.XLOOKUP(B121,[1]Detalhamento!$A:$A,[1]Detalhamento!$J:$J)</f>
        <v>46199</v>
      </c>
      <c r="I121" s="1074">
        <f>IFERROR(_xlfn.XLOOKUP(B121,[1]Detalhamento!$A:$A,[1]Detalhamento!$E:$E)," - ")</f>
        <v>83880.740000000005</v>
      </c>
      <c r="J121" s="1158">
        <f>_xlfn.XLOOKUP(B121,[2]Detalhamento!$A:$A,[2]Detalhamento!$O:$O)</f>
        <v>46266</v>
      </c>
      <c r="K121" s="1121">
        <v>12</v>
      </c>
      <c r="L121" s="1074"/>
      <c r="M121" s="1119"/>
      <c r="N121" s="1053"/>
      <c r="O121" s="1057" t="s">
        <v>80</v>
      </c>
      <c r="P121" s="1057"/>
      <c r="Q121" s="1062" t="s">
        <v>25</v>
      </c>
      <c r="R121" s="91" t="s">
        <v>106</v>
      </c>
      <c r="S121" s="91">
        <f>_xlfn.XLOOKUP(B121,[1]Detalhamento!$A:$A,[1]Detalhamento!$M:$M)</f>
        <v>0.875</v>
      </c>
      <c r="T121" s="802">
        <f>IFERROR(IF(AND(T$30&gt;=EOMONTH($J121,-1)+1,T$30&lt;=EOMONTH(EOMONTH($J121,-1)+1,$K121-1)),IF(NOT(ISBLANK($N121)),$N121/$K121,$I121/$K121),0),0)</f>
        <v>0</v>
      </c>
      <c r="U121" s="802">
        <f>IFERROR(IF(AND(U$30&gt;=EOMONTH($J121,-1)+1,U$30&lt;=EOMONTH(EOMONTH($J121,-1)+1,$K121-1)),IF(NOT(ISBLANK($N121)),$N121/$K121,$I121/$K121),0),0)</f>
        <v>0</v>
      </c>
      <c r="V121" s="802">
        <f>IFERROR(IF(AND(V$30&gt;=EOMONTH($J121,-1)+1,V$30&lt;=EOMONTH(EOMONTH($J121,-1)+1,$K121-1)),IF(NOT(ISBLANK($N121)),$N121/$K121,$I121/$K121),0),0)</f>
        <v>0</v>
      </c>
      <c r="W121" s="469">
        <f t="shared" si="28"/>
        <v>0</v>
      </c>
      <c r="X121" s="802">
        <f>IFERROR(IF(AND(X$30&gt;=EOMONTH($J121,-1)+1,X$30&lt;=EOMONTH(EOMONTH($J121,-1)+1,$K121-1)),IF(NOT(ISBLANK($N121)),$N121/$K121,$I121/$K121),0),0)</f>
        <v>0</v>
      </c>
      <c r="Y121" s="802">
        <f>IFERROR(IF(AND(Y$30&gt;=EOMONTH($J121,-1)+1,Y$30&lt;=EOMONTH(EOMONTH($J121,-1)+1,$K121-1)),IF(NOT(ISBLANK($N121)),$N121/$K121,$I121/$K121),0),0)</f>
        <v>0</v>
      </c>
      <c r="Z121" s="802">
        <f>IFERROR(IF(AND(Z$30&gt;=EOMONTH($J121,-1)+1,Z$30&lt;=EOMONTH(EOMONTH($J121,-1)+1,$K121-1)),IF(NOT(ISBLANK($N121)),$N121/$K121,$I121/$K121),0),0)</f>
        <v>0</v>
      </c>
      <c r="AA121" s="469">
        <f t="shared" si="26"/>
        <v>0</v>
      </c>
      <c r="AB121" s="802">
        <f>IFERROR(IF(AND(AB$30&gt;=EOMONTH($J121,-1)+1,AB$30&lt;=EOMONTH(EOMONTH($J121,-1)+1,$K121-1)),IF(NOT(ISBLANK($N121)),$N121/$K121,$I121/$K121),0),0)</f>
        <v>0</v>
      </c>
      <c r="AC121" s="802">
        <f>IFERROR(IF(AND(AC$30&gt;=EOMONTH($J121,-1)+1,AC$30&lt;=EOMONTH(EOMONTH($J121,-1)+1,$K121-1)),IF(NOT(ISBLANK($N121)),$N121/$K121,$I121/$K121),0),0)</f>
        <v>0</v>
      </c>
      <c r="AD121" s="802">
        <f>IFERROR(IF(AND(AD$30&gt;=EOMONTH($J121,-1)+1,AD$30&lt;=EOMONTH(EOMONTH($J121,-1)+1,$K121-1)),IF(NOT(ISBLANK($N121)),$N121/$K121,$I121/$K121),0),0)</f>
        <v>6990.0616666666674</v>
      </c>
      <c r="AE121" s="469">
        <f t="shared" si="27"/>
        <v>6990.0616666666674</v>
      </c>
      <c r="AF121" s="802">
        <f>IFERROR(IF(AND(AF$30&gt;=EOMONTH($J121,-1)+1,AF$30&lt;=EOMONTH(EOMONTH($J121,-1)+1,$K121-1)),IF(NOT(ISBLANK($N121)),$N121/$K121,$I121/$K121),0),0)</f>
        <v>6990.0616666666674</v>
      </c>
      <c r="AG121" s="802">
        <f>IFERROR(IF(AND(AG$30&gt;=EOMONTH($J121,-1)+1,AG$30&lt;=EOMONTH(EOMONTH($J121,-1)+1,$K121-1)),IF(NOT(ISBLANK($N121)),$N121/$K121,$I121/$K121),0),0)</f>
        <v>6990.0616666666674</v>
      </c>
      <c r="AH121" s="802">
        <f>IFERROR(IF(AND(AH$30&gt;=EOMONTH($J121,-1)+1,AH$30&lt;=EOMONTH(EOMONTH($J121,-1)+1,$K121-1)),IF(NOT(ISBLANK($N121)),$N121/$K121,$I121/$K121),0),0)</f>
        <v>6990.0616666666674</v>
      </c>
      <c r="AI121" s="469">
        <f t="shared" si="24"/>
        <v>20970.185000000001</v>
      </c>
      <c r="AJ121" s="116">
        <f t="shared" si="25"/>
        <v>27960.24666666667</v>
      </c>
      <c r="AK121" s="1038"/>
      <c r="AL121" s="1038"/>
      <c r="AM121" s="1042"/>
      <c r="AN121" s="1044">
        <f>I121*AM121</f>
        <v>0</v>
      </c>
      <c r="AO121" s="595" t="str">
        <f>D121</f>
        <v>BID Poliuretano Expansivo</v>
      </c>
      <c r="AP121" s="62" t="s">
        <v>289</v>
      </c>
      <c r="AQ121" s="543" t="str" cm="1">
        <f t="array" aca="1" ref="AQ121" ca="1">IF(OR(AO121="",AO121=0),"",IF(SUMPRODUCT(($D$31:$D$146=AO121)*($R$31:$R$146="Previsto")*($T$30:$AH$30&lt;EOMONTH(TODAY(),-1)+1)*($T$31:$AH$146))=0,"",SUMPRODUCT(($D$31:$D$146=AO121)*($R$31:$R$146="Previsto")*($T$30:$AH$30&lt;EOMONTH(TODAY(),-1)+1)*($T$31:$AH$146))))</f>
        <v/>
      </c>
    </row>
    <row r="122" spans="1:43" ht="29.1" customHeight="1" x14ac:dyDescent="0.3">
      <c r="A122" s="1037"/>
      <c r="B122" s="1114"/>
      <c r="C122" s="1037"/>
      <c r="D122" s="1116"/>
      <c r="E122" s="1082"/>
      <c r="F122" s="1041"/>
      <c r="G122" s="1118"/>
      <c r="H122" s="1118"/>
      <c r="I122" s="1075"/>
      <c r="J122" s="1159"/>
      <c r="K122" s="1122"/>
      <c r="L122" s="1075"/>
      <c r="M122" s="1120"/>
      <c r="N122" s="1054"/>
      <c r="O122" s="1058"/>
      <c r="P122" s="1058"/>
      <c r="Q122" s="1063"/>
      <c r="R122" s="91" t="s">
        <v>107</v>
      </c>
      <c r="S122" s="481">
        <f>_xlfn.XLOOKUP(B121,[1]Detalhamento!$A:$A,[1]Detalhamento!$N:$N)</f>
        <v>1</v>
      </c>
      <c r="T122" s="802"/>
      <c r="U122" s="802"/>
      <c r="V122" s="802"/>
      <c r="W122" s="469">
        <f t="shared" si="28"/>
        <v>0</v>
      </c>
      <c r="X122" s="802"/>
      <c r="Y122" s="802"/>
      <c r="Z122" s="802"/>
      <c r="AA122" s="469">
        <f t="shared" si="26"/>
        <v>0</v>
      </c>
      <c r="AB122" s="802"/>
      <c r="AC122" s="802"/>
      <c r="AD122" s="802"/>
      <c r="AE122" s="469">
        <f t="shared" si="27"/>
        <v>0</v>
      </c>
      <c r="AF122" s="802"/>
      <c r="AG122" s="802"/>
      <c r="AH122" s="802"/>
      <c r="AI122" s="469">
        <f t="shared" si="24"/>
        <v>0</v>
      </c>
      <c r="AJ122" s="483">
        <f t="shared" si="25"/>
        <v>0</v>
      </c>
      <c r="AK122" s="1039"/>
      <c r="AL122" s="1039"/>
      <c r="AM122" s="1043"/>
      <c r="AN122" s="1045"/>
      <c r="AO122" s="596" t="str">
        <f>D121</f>
        <v>BID Poliuretano Expansivo</v>
      </c>
      <c r="AP122" s="62" t="s">
        <v>291</v>
      </c>
      <c r="AQ122" s="543" t="str" cm="1">
        <f t="array" aca="1" ref="AQ122" ca="1">IF(OR(AO122="",AO122=0),"",IF(SUMPRODUCT(($D$31:$D$146=AO122)*(ISNUMBER(SEARCH("Real",$R$32:$R$147)))*($T$30:$AH$30&lt;EOMONTH(TODAY(),-1)+1)*($T$32:$AH$147))=0,"",SUMPRODUCT(($D$31:$D$146=AO122)*(ISNUMBER(SEARCH("Real",$R$32:$R$147)))*($T$30:$AH$30&lt;EOMONTH(TODAY(),-1)+1)*($T$32:$AH$147))))</f>
        <v/>
      </c>
    </row>
    <row r="123" spans="1:43" ht="29.1" customHeight="1" x14ac:dyDescent="0.3">
      <c r="A123" s="1093" t="s">
        <v>79</v>
      </c>
      <c r="B123" s="1095" t="s">
        <v>2509</v>
      </c>
      <c r="C123" s="1038" t="s">
        <v>94</v>
      </c>
      <c r="D123" s="1097" t="s">
        <v>2510</v>
      </c>
      <c r="E123" s="1153" t="s">
        <v>2511</v>
      </c>
      <c r="F123" s="1099" t="s">
        <v>2370</v>
      </c>
      <c r="G123" s="1144">
        <f>_xlfn.XLOOKUP(B123,[1]Detalhamento!$A:$A,[1]Detalhamento!$I:$I)</f>
        <v>46146</v>
      </c>
      <c r="H123" s="1144">
        <f>_xlfn.XLOOKUP(B123,[1]Detalhamento!$A:$A,[1]Detalhamento!$J:$J)</f>
        <v>46366</v>
      </c>
      <c r="I123" s="1076">
        <f>IFERROR(_xlfn.XLOOKUP(B123,[1]Detalhamento!$A:$A,[1]Detalhamento!$E:$E)," - ")</f>
        <v>624848</v>
      </c>
      <c r="J123" s="1154">
        <f>_xlfn.XLOOKUP(B123,[1]Detalhamento!$A:$A,[1]Detalhamento!$O:$O)</f>
        <v>46371</v>
      </c>
      <c r="K123" s="1111">
        <v>12</v>
      </c>
      <c r="L123" s="1076"/>
      <c r="M123" s="1072"/>
      <c r="N123" s="1055"/>
      <c r="O123" s="1042" t="s">
        <v>80</v>
      </c>
      <c r="P123" s="1042"/>
      <c r="Q123" s="1064"/>
      <c r="R123" s="96" t="s">
        <v>106</v>
      </c>
      <c r="S123" s="96">
        <f>_xlfn.XLOOKUP(B123,[1]Detalhamento!$A:$A,[1]Detalhamento!$M:$M)</f>
        <v>0.65217391304347827</v>
      </c>
      <c r="T123" s="589">
        <f>IFERROR(IF(AND(T$30&gt;=EOMONTH($J123,-1)+1,T$30&lt;=EOMONTH(EOMONTH($J123,-1)+1,$K123-1)),IF(NOT(ISBLANK($N123)),$N123/$K123,$I123/$K123),0),0)</f>
        <v>0</v>
      </c>
      <c r="U123" s="589">
        <f>IFERROR(IF(AND(U$30&gt;=EOMONTH($J123,-1)+1,U$30&lt;=EOMONTH(EOMONTH($J123,-1)+1,$K123-1)),IF(NOT(ISBLANK($N123)),$N123/$K123,$I123/$K123),0),0)</f>
        <v>0</v>
      </c>
      <c r="V123" s="589">
        <f>IFERROR(IF(AND(V$30&gt;=EOMONTH($J123,-1)+1,V$30&lt;=EOMONTH(EOMONTH($J123,-1)+1,$K123-1)),IF(NOT(ISBLANK($N123)),$N123/$K123,$I123/$K123),0),0)</f>
        <v>0</v>
      </c>
      <c r="W123" s="469">
        <f t="shared" si="28"/>
        <v>0</v>
      </c>
      <c r="X123" s="589">
        <f>IFERROR(IF(AND(X$30&gt;=EOMONTH($J123,-1)+1,X$30&lt;=EOMONTH(EOMONTH($J123,-1)+1,$K123-1)),IF(NOT(ISBLANK($N123)),$N123/$K123,$I123/$K123),0),0)</f>
        <v>0</v>
      </c>
      <c r="Y123" s="589">
        <f>IFERROR(IF(AND(Y$30&gt;=EOMONTH($J123,-1)+1,Y$30&lt;=EOMONTH(EOMONTH($J123,-1)+1,$K123-1)),IF(NOT(ISBLANK($N123)),$N123/$K123,$I123/$K123),0),0)</f>
        <v>0</v>
      </c>
      <c r="Z123" s="589">
        <f>IFERROR(IF(AND(Z$30&gt;=EOMONTH($J123,-1)+1,Z$30&lt;=EOMONTH(EOMONTH($J123,-1)+1,$K123-1)),IF(NOT(ISBLANK($N123)),$N123/$K123,$I123/$K123),0),0)</f>
        <v>0</v>
      </c>
      <c r="AA123" s="469">
        <f t="shared" si="26"/>
        <v>0</v>
      </c>
      <c r="AB123" s="589">
        <f>IFERROR(IF(AND(AB$30&gt;=EOMONTH($J123,-1)+1,AB$30&lt;=EOMONTH(EOMONTH($J123,-1)+1,$K123-1)),IF(NOT(ISBLANK($N123)),$N123/$K123,$I123/$K123),0),0)</f>
        <v>0</v>
      </c>
      <c r="AC123" s="589">
        <f>IFERROR(IF(AND(AC$30&gt;=EOMONTH($J123,-1)+1,AC$30&lt;=EOMONTH(EOMONTH($J123,-1)+1,$K123-1)),IF(NOT(ISBLANK($N123)),$N123/$K123,$I123/$K123),0),0)</f>
        <v>0</v>
      </c>
      <c r="AD123" s="589">
        <f>IFERROR(IF(AND(AD$30&gt;=EOMONTH($J123,-1)+1,AD$30&lt;=EOMONTH(EOMONTH($J123,-1)+1,$K123-1)),IF(NOT(ISBLANK($N123)),$N123/$K123,$I123/$K123),0),0)</f>
        <v>0</v>
      </c>
      <c r="AE123" s="469">
        <f t="shared" si="27"/>
        <v>0</v>
      </c>
      <c r="AF123" s="589">
        <f>IFERROR(IF(AND(AF$30&gt;=EOMONTH($J123,-1)+1,AF$30&lt;=EOMONTH(EOMONTH($J123,-1)+1,$K123-1)),IF(NOT(ISBLANK($N123)),$N123/$K123,$I123/$K123),0),0)</f>
        <v>0</v>
      </c>
      <c r="AG123" s="589">
        <f>IFERROR(IF(AND(AG$30&gt;=EOMONTH($J123,-1)+1,AG$30&lt;=EOMONTH(EOMONTH($J123,-1)+1,$K123-1)),IF(NOT(ISBLANK($N123)),$N123/$K123,$I123/$K123),0),0)</f>
        <v>0</v>
      </c>
      <c r="AH123" s="589">
        <f>IFERROR(IF(AND(AH$30&gt;=EOMONTH($J123,-1)+1,AH$30&lt;=EOMONTH(EOMONTH($J123,-1)+1,$K123-1)),IF(NOT(ISBLANK($N123)),$N123/$K123,$I123/$K123),0),0)</f>
        <v>52070.666666666664</v>
      </c>
      <c r="AI123" s="469">
        <f t="shared" si="24"/>
        <v>52070.666666666664</v>
      </c>
      <c r="AJ123" s="94">
        <f t="shared" si="25"/>
        <v>52070.666666666664</v>
      </c>
      <c r="AK123" s="1038"/>
      <c r="AL123" s="1038"/>
      <c r="AM123" s="1042"/>
      <c r="AN123" s="1044">
        <f>I123*AM123</f>
        <v>0</v>
      </c>
      <c r="AO123" s="595" t="str">
        <f>D123</f>
        <v>Nacionalização RIBE - 
Item 75640 (Pino Rebite M6 x 16)</v>
      </c>
      <c r="AP123" s="62" t="s">
        <v>289</v>
      </c>
      <c r="AQ123" s="543" t="str" cm="1">
        <f t="array" aca="1" ref="AQ123" ca="1">IF(OR(AO123="",AO123=0),"",IF(SUMPRODUCT(($D$31:$D$146=AO123)*($R$31:$R$146="Previsto")*($T$30:$AH$30&lt;EOMONTH(TODAY(),-1)+1)*($T$31:$AH$146))=0,"",SUMPRODUCT(($D$31:$D$146=AO123)*($R$31:$R$146="Previsto")*($T$30:$AH$30&lt;EOMONTH(TODAY(),-1)+1)*($T$31:$AH$146))))</f>
        <v/>
      </c>
    </row>
    <row r="124" spans="1:43" ht="29.1" customHeight="1" x14ac:dyDescent="0.3">
      <c r="A124" s="1094"/>
      <c r="B124" s="1096"/>
      <c r="C124" s="1039"/>
      <c r="D124" s="1098"/>
      <c r="E124" s="1148"/>
      <c r="F124" s="1100"/>
      <c r="G124" s="1145"/>
      <c r="H124" s="1145"/>
      <c r="I124" s="1077"/>
      <c r="J124" s="1155"/>
      <c r="K124" s="1112"/>
      <c r="L124" s="1077"/>
      <c r="M124" s="1073"/>
      <c r="N124" s="1056"/>
      <c r="O124" s="1043"/>
      <c r="P124" s="1043"/>
      <c r="Q124" s="1065"/>
      <c r="R124" s="96" t="s">
        <v>107</v>
      </c>
      <c r="S124" s="482">
        <f>_xlfn.XLOOKUP(B123,[1]Detalhamento!$A:$A,[1]Detalhamento!$N:$N)</f>
        <v>0.65217391304347827</v>
      </c>
      <c r="T124" s="589"/>
      <c r="U124" s="589"/>
      <c r="V124" s="589"/>
      <c r="W124" s="469">
        <f t="shared" si="28"/>
        <v>0</v>
      </c>
      <c r="X124" s="589"/>
      <c r="Y124" s="589"/>
      <c r="Z124" s="589"/>
      <c r="AA124" s="469">
        <f t="shared" si="26"/>
        <v>0</v>
      </c>
      <c r="AB124" s="589"/>
      <c r="AC124" s="589"/>
      <c r="AD124" s="589"/>
      <c r="AE124" s="469">
        <f t="shared" si="27"/>
        <v>0</v>
      </c>
      <c r="AF124" s="589"/>
      <c r="AG124" s="589"/>
      <c r="AH124" s="589"/>
      <c r="AI124" s="469">
        <f t="shared" si="24"/>
        <v>0</v>
      </c>
      <c r="AJ124" s="94">
        <f t="shared" si="25"/>
        <v>0</v>
      </c>
      <c r="AK124" s="1039"/>
      <c r="AL124" s="1039"/>
      <c r="AM124" s="1043"/>
      <c r="AN124" s="1045"/>
      <c r="AO124" s="596" t="str">
        <f>D123</f>
        <v>Nacionalização RIBE - 
Item 75640 (Pino Rebite M6 x 16)</v>
      </c>
      <c r="AP124" s="62" t="s">
        <v>291</v>
      </c>
      <c r="AQ124" s="543" t="str" cm="1">
        <f t="array" aca="1" ref="AQ124" ca="1">IF(OR(AO124="",AO124=0),"",IF(SUMPRODUCT(($D$31:$D$146=AO124)*(ISNUMBER(SEARCH("Real",$R$32:$R$147)))*($T$30:$AH$30&lt;EOMONTH(TODAY(),-1)+1)*($T$32:$AH$147))=0,"",SUMPRODUCT(($D$31:$D$146=AO124)*(ISNUMBER(SEARCH("Real",$R$32:$R$147)))*($T$30:$AH$30&lt;EOMONTH(TODAY(),-1)+1)*($T$32:$AH$147))))</f>
        <v/>
      </c>
    </row>
    <row r="125" spans="1:43" ht="29.1" customHeight="1" x14ac:dyDescent="0.3">
      <c r="A125" s="1036" t="s">
        <v>79</v>
      </c>
      <c r="B125" s="1113" t="s">
        <v>2512</v>
      </c>
      <c r="C125" s="1036" t="s">
        <v>94</v>
      </c>
      <c r="D125" s="1115" t="s">
        <v>2513</v>
      </c>
      <c r="E125" s="1081" t="s">
        <v>2514</v>
      </c>
      <c r="F125" s="1040" t="s">
        <v>2490</v>
      </c>
      <c r="G125" s="1117">
        <f>_xlfn.XLOOKUP(B125,[1]Detalhamento!$A:$A,[1]Detalhamento!$I:$I)</f>
        <v>46160</v>
      </c>
      <c r="H125" s="1117">
        <f>_xlfn.XLOOKUP(B125,[1]Detalhamento!$A:$A,[1]Detalhamento!$J:$J)</f>
        <v>46223</v>
      </c>
      <c r="I125" s="1074">
        <f>_xlfn.XLOOKUP(B125,[1]Detalhamento!$A:$A,[1]Detalhamento!$E:$E)</f>
        <v>4008000</v>
      </c>
      <c r="J125" s="1158">
        <f>_xlfn.XLOOKUP(B125,[1]Detalhamento!$A:$A,[1]Detalhamento!$O:$O)</f>
        <v>46357</v>
      </c>
      <c r="K125" s="1121">
        <v>12</v>
      </c>
      <c r="L125" s="1074"/>
      <c r="M125" s="1119"/>
      <c r="N125" s="1053"/>
      <c r="O125" s="1057" t="s">
        <v>80</v>
      </c>
      <c r="P125" s="1057"/>
      <c r="Q125" s="1062"/>
      <c r="R125" s="91" t="s">
        <v>106</v>
      </c>
      <c r="S125" s="91">
        <f>_xlfn.XLOOKUP(B125,[1]Detalhamento!$A:$A,[1]Detalhamento!$M:$M)</f>
        <v>0.5</v>
      </c>
      <c r="T125" s="802">
        <f>IFERROR(IF(AND(T$30&gt;=EOMONTH($J125,-1)+1,T$30&lt;=EOMONTH(EOMONTH($J125,-1)+1,$K125-1)),IF(NOT(ISBLANK($N125)),$N125/$K125,$I125/$K125),0),0)</f>
        <v>0</v>
      </c>
      <c r="U125" s="802">
        <f>IFERROR(IF(AND(U$30&gt;=EOMONTH($J125,-1)+1,U$30&lt;=EOMONTH(EOMONTH($J125,-1)+1,$K125-1)),IF(NOT(ISBLANK($N125)),$N125/$K125,$I125/$K125),0),0)</f>
        <v>0</v>
      </c>
      <c r="V125" s="802">
        <f>IFERROR(IF(AND(V$30&gt;=EOMONTH($J125,-1)+1,V$30&lt;=EOMONTH(EOMONTH($J125,-1)+1,$K125-1)),IF(NOT(ISBLANK($N125)),$N125/$K125,$I125/$K125),0),0)</f>
        <v>0</v>
      </c>
      <c r="W125" s="469">
        <f t="shared" si="28"/>
        <v>0</v>
      </c>
      <c r="X125" s="802">
        <f>IFERROR(IF(AND(X$30&gt;=EOMONTH($J125,-1)+1,X$30&lt;=EOMONTH(EOMONTH($J125,-1)+1,$K125-1)),IF(NOT(ISBLANK($N125)),$N125/$K125,$I125/$K125),0),0)</f>
        <v>0</v>
      </c>
      <c r="Y125" s="802">
        <f>IFERROR(IF(AND(Y$30&gt;=EOMONTH($J125,-1)+1,Y$30&lt;=EOMONTH(EOMONTH($J125,-1)+1,$K125-1)),IF(NOT(ISBLANK($N125)),$N125/$K125,$I125/$K125),0),0)</f>
        <v>0</v>
      </c>
      <c r="Z125" s="802">
        <f>IFERROR(IF(AND(Z$30&gt;=EOMONTH($J125,-1)+1,Z$30&lt;=EOMONTH(EOMONTH($J125,-1)+1,$K125-1)),IF(NOT(ISBLANK($N125)),$N125/$K125,$I125/$K125),0),0)</f>
        <v>0</v>
      </c>
      <c r="AA125" s="469">
        <f t="shared" si="26"/>
        <v>0</v>
      </c>
      <c r="AB125" s="802">
        <f>IFERROR(IF(AND(AB$30&gt;=EOMONTH($J125,-1)+1,AB$30&lt;=EOMONTH(EOMONTH($J125,-1)+1,$K125-1)),IF(NOT(ISBLANK($N125)),$N125/$K125,$I125/$K125),0),0)</f>
        <v>0</v>
      </c>
      <c r="AC125" s="802">
        <f>IFERROR(IF(AND(AC$30&gt;=EOMONTH($J125,-1)+1,AC$30&lt;=EOMONTH(EOMONTH($J125,-1)+1,$K125-1)),IF(NOT(ISBLANK($N125)),$N125/$K125,$I125/$K125),0),0)</f>
        <v>0</v>
      </c>
      <c r="AD125" s="802">
        <f>IFERROR(IF(AND(AD$30&gt;=EOMONTH($J125,-1)+1,AD$30&lt;=EOMONTH(EOMONTH($J125,-1)+1,$K125-1)),IF(NOT(ISBLANK($N125)),$N125/$K125,$I125/$K125),0),0)</f>
        <v>0</v>
      </c>
      <c r="AE125" s="469">
        <f t="shared" si="27"/>
        <v>0</v>
      </c>
      <c r="AF125" s="802">
        <f>IFERROR(IF(AND(AF$30&gt;=EOMONTH($J125,-1)+1,AF$30&lt;=EOMONTH(EOMONTH($J125,-1)+1,$K125-1)),IF(NOT(ISBLANK($N125)),$N125/$K125,$I125/$K125),0),0)</f>
        <v>0</v>
      </c>
      <c r="AG125" s="802">
        <f>IFERROR(IF(AND(AG$30&gt;=EOMONTH($J125,-1)+1,AG$30&lt;=EOMONTH(EOMONTH($J125,-1)+1,$K125-1)),IF(NOT(ISBLANK($N125)),$N125/$K125,$I125/$K125),0),0)</f>
        <v>0</v>
      </c>
      <c r="AH125" s="802">
        <f>IFERROR(IF(AND(AH$30&gt;=EOMONTH($J125,-1)+1,AH$30&lt;=EOMONTH(EOMONTH($J125,-1)+1,$K125-1)),IF(NOT(ISBLANK($N125)),$N125/$K125,$I125/$K125),0),0)</f>
        <v>334000</v>
      </c>
      <c r="AI125" s="469">
        <f t="shared" si="24"/>
        <v>334000</v>
      </c>
      <c r="AJ125" s="116">
        <f t="shared" si="25"/>
        <v>334000</v>
      </c>
      <c r="AK125" s="1038"/>
      <c r="AL125" s="1038"/>
      <c r="AM125" s="1042"/>
      <c r="AN125" s="1044">
        <f>I125*AM125</f>
        <v>0</v>
      </c>
      <c r="AO125" s="595" t="str">
        <f>D125</f>
        <v>Venda de Equipamentos</v>
      </c>
      <c r="AP125" s="62" t="s">
        <v>289</v>
      </c>
      <c r="AQ125" s="543" t="str" cm="1">
        <f t="array" aca="1" ref="AQ125" ca="1">IF(OR(AO125="",AO125=0),"",IF(SUMPRODUCT(($D$31:$D$146=AO125)*($R$31:$R$146="Previsto")*($T$30:$AH$30&lt;EOMONTH(TODAY(),-1)+1)*($T$31:$AH$146))=0,"",SUMPRODUCT(($D$31:$D$146=AO125)*($R$31:$R$146="Previsto")*($T$30:$AH$30&lt;EOMONTH(TODAY(),-1)+1)*($T$31:$AH$146))))</f>
        <v/>
      </c>
    </row>
    <row r="126" spans="1:43" ht="29.1" customHeight="1" x14ac:dyDescent="0.3">
      <c r="A126" s="1037"/>
      <c r="B126" s="1114"/>
      <c r="C126" s="1037"/>
      <c r="D126" s="1116"/>
      <c r="E126" s="1082"/>
      <c r="F126" s="1041"/>
      <c r="G126" s="1118"/>
      <c r="H126" s="1118"/>
      <c r="I126" s="1075"/>
      <c r="J126" s="1159"/>
      <c r="K126" s="1122"/>
      <c r="L126" s="1075"/>
      <c r="M126" s="1120"/>
      <c r="N126" s="1054"/>
      <c r="O126" s="1058"/>
      <c r="P126" s="1058"/>
      <c r="Q126" s="1063"/>
      <c r="R126" s="91" t="s">
        <v>107</v>
      </c>
      <c r="S126" s="481">
        <f>_xlfn.XLOOKUP(B125,[1]Detalhamento!$A:$A,[1]Detalhamento!$N:$N)</f>
        <v>0.7142857142857143</v>
      </c>
      <c r="T126" s="802"/>
      <c r="U126" s="802"/>
      <c r="V126" s="802"/>
      <c r="W126" s="469">
        <f t="shared" si="28"/>
        <v>0</v>
      </c>
      <c r="X126" s="802"/>
      <c r="Y126" s="802"/>
      <c r="Z126" s="802"/>
      <c r="AA126" s="469">
        <f t="shared" si="26"/>
        <v>0</v>
      </c>
      <c r="AB126" s="802"/>
      <c r="AC126" s="802"/>
      <c r="AD126" s="802"/>
      <c r="AE126" s="469">
        <f t="shared" si="27"/>
        <v>0</v>
      </c>
      <c r="AF126" s="802"/>
      <c r="AG126" s="802"/>
      <c r="AH126" s="802"/>
      <c r="AI126" s="469">
        <f t="shared" si="24"/>
        <v>0</v>
      </c>
      <c r="AJ126" s="483">
        <f t="shared" si="25"/>
        <v>0</v>
      </c>
      <c r="AK126" s="1039"/>
      <c r="AL126" s="1039"/>
      <c r="AM126" s="1043"/>
      <c r="AN126" s="1045"/>
      <c r="AO126" s="596" t="str">
        <f>D125</f>
        <v>Venda de Equipamentos</v>
      </c>
      <c r="AP126" s="62" t="s">
        <v>291</v>
      </c>
      <c r="AQ126" s="543" t="str" cm="1">
        <f t="array" aca="1" ref="AQ126" ca="1">IF(OR(AO126="",AO126=0),"",IF(SUMPRODUCT(($D$31:$D$146=AO126)*(ISNUMBER(SEARCH("Real",$R$32:$R$147)))*($T$30:$AH$30&lt;EOMONTH(TODAY(),-1)+1)*($T$32:$AH$147))=0,"",SUMPRODUCT(($D$31:$D$146=AO126)*(ISNUMBER(SEARCH("Real",$R$32:$R$147)))*($T$30:$AH$30&lt;EOMONTH(TODAY(),-1)+1)*($T$32:$AH$147))))</f>
        <v/>
      </c>
    </row>
    <row r="127" spans="1:43" ht="29.1" customHeight="1" x14ac:dyDescent="0.3">
      <c r="A127" s="1093" t="s">
        <v>79</v>
      </c>
      <c r="B127" s="1095" t="s">
        <v>2515</v>
      </c>
      <c r="C127" s="1038" t="s">
        <v>94</v>
      </c>
      <c r="D127" s="1097" t="s">
        <v>2516</v>
      </c>
      <c r="E127" s="1153" t="s">
        <v>2517</v>
      </c>
      <c r="F127" s="1099" t="s">
        <v>2490</v>
      </c>
      <c r="G127" s="1144">
        <f>_xlfn.XLOOKUP(B127,[1]Detalhamento!$A:$A,[1]Detalhamento!$I:$I)</f>
        <v>46136</v>
      </c>
      <c r="H127" s="1144">
        <f>_xlfn.XLOOKUP(B127,[1]Detalhamento!$A:$A,[1]Detalhamento!$J:$J)</f>
        <v>46213</v>
      </c>
      <c r="I127" s="1076">
        <f>IFERROR(_xlfn.XLOOKUP(B127,[1]Detalhamento!$A:$A,[1]Detalhamento!$E:$E)," - ")</f>
        <v>8339</v>
      </c>
      <c r="J127" s="1154">
        <f>_xlfn.XLOOKUP(B127,[1]Detalhamento!$A:$A,[1]Detalhamento!$O:$O)</f>
        <v>46237</v>
      </c>
      <c r="K127" s="1111">
        <v>12</v>
      </c>
      <c r="L127" s="1076"/>
      <c r="M127" s="1072"/>
      <c r="N127" s="1055"/>
      <c r="O127" s="1042" t="s">
        <v>80</v>
      </c>
      <c r="P127" s="1042"/>
      <c r="Q127" s="1064"/>
      <c r="R127" s="96" t="s">
        <v>106</v>
      </c>
      <c r="S127" s="96">
        <f>_xlfn.XLOOKUP(B127,[1]Detalhamento!$A:$A,[1]Detalhamento!$M:$M)</f>
        <v>0.37662337662337658</v>
      </c>
      <c r="T127" s="589">
        <f>IFERROR(IF(AND(T$30&gt;=EOMONTH($J127,-1)+1,T$30&lt;=EOMONTH(EOMONTH($J127,-1)+1,$K127-1)),IF(NOT(ISBLANK($N127)),$N127/$K127,$I127/$K127),0),0)</f>
        <v>0</v>
      </c>
      <c r="U127" s="589">
        <f>IFERROR(IF(AND(U$30&gt;=EOMONTH($J127,-1)+1,U$30&lt;=EOMONTH(EOMONTH($J127,-1)+1,$K127-1)),IF(NOT(ISBLANK($N127)),$N127/$K127,$I127/$K127),0),0)</f>
        <v>0</v>
      </c>
      <c r="V127" s="589">
        <f>IFERROR(IF(AND(V$30&gt;=EOMONTH($J127,-1)+1,V$30&lt;=EOMONTH(EOMONTH($J127,-1)+1,$K127-1)),IF(NOT(ISBLANK($N127)),$N127/$K127,$I127/$K127),0),0)</f>
        <v>0</v>
      </c>
      <c r="W127" s="469">
        <f t="shared" si="28"/>
        <v>0</v>
      </c>
      <c r="X127" s="589">
        <f>IFERROR(IF(AND(X$30&gt;=EOMONTH($J127,-1)+1,X$30&lt;=EOMONTH(EOMONTH($J127,-1)+1,$K127-1)),IF(NOT(ISBLANK($N127)),$N127/$K127,$I127/$K127),0),0)</f>
        <v>0</v>
      </c>
      <c r="Y127" s="589">
        <f>IFERROR(IF(AND(Y$30&gt;=EOMONTH($J127,-1)+1,Y$30&lt;=EOMONTH(EOMONTH($J127,-1)+1,$K127-1)),IF(NOT(ISBLANK($N127)),$N127/$K127,$I127/$K127),0),0)</f>
        <v>0</v>
      </c>
      <c r="Z127" s="589">
        <f>IFERROR(IF(AND(Z$30&gt;=EOMONTH($J127,-1)+1,Z$30&lt;=EOMONTH(EOMONTH($J127,-1)+1,$K127-1)),IF(NOT(ISBLANK($N127)),$N127/$K127,$I127/$K127),0),0)</f>
        <v>0</v>
      </c>
      <c r="AA127" s="469">
        <f t="shared" si="26"/>
        <v>0</v>
      </c>
      <c r="AB127" s="589">
        <f>IFERROR(IF(AND(AB$30&gt;=EOMONTH($J127,-1)+1,AB$30&lt;=EOMONTH(EOMONTH($J127,-1)+1,$K127-1)),IF(NOT(ISBLANK($N127)),$N127/$K127,$I127/$K127),0),0)</f>
        <v>0</v>
      </c>
      <c r="AC127" s="589">
        <f>IFERROR(IF(AND(AC$30&gt;=EOMONTH($J127,-1)+1,AC$30&lt;=EOMONTH(EOMONTH($J127,-1)+1,$K127-1)),IF(NOT(ISBLANK($N127)),$N127/$K127,$I127/$K127),0),0)</f>
        <v>694.91666666666663</v>
      </c>
      <c r="AD127" s="589">
        <f>IFERROR(IF(AND(AD$30&gt;=EOMONTH($J127,-1)+1,AD$30&lt;=EOMONTH(EOMONTH($J127,-1)+1,$K127-1)),IF(NOT(ISBLANK($N127)),$N127/$K127,$I127/$K127),0),0)</f>
        <v>694.91666666666663</v>
      </c>
      <c r="AE127" s="469">
        <f t="shared" si="27"/>
        <v>1389.8333333333333</v>
      </c>
      <c r="AF127" s="589">
        <f>IFERROR(IF(AND(AF$30&gt;=EOMONTH($J127,-1)+1,AF$30&lt;=EOMONTH(EOMONTH($J127,-1)+1,$K127-1)),IF(NOT(ISBLANK($N127)),$N127/$K127,$I127/$K127),0),0)</f>
        <v>694.91666666666663</v>
      </c>
      <c r="AG127" s="589">
        <f>IFERROR(IF(AND(AG$30&gt;=EOMONTH($J127,-1)+1,AG$30&lt;=EOMONTH(EOMONTH($J127,-1)+1,$K127-1)),IF(NOT(ISBLANK($N127)),$N127/$K127,$I127/$K127),0),0)</f>
        <v>694.91666666666663</v>
      </c>
      <c r="AH127" s="589">
        <f>IFERROR(IF(AND(AH$30&gt;=EOMONTH($J127,-1)+1,AH$30&lt;=EOMONTH(EOMONTH($J127,-1)+1,$K127-1)),IF(NOT(ISBLANK($N127)),$N127/$K127,$I127/$K127),0),0)</f>
        <v>694.91666666666663</v>
      </c>
      <c r="AI127" s="469">
        <f t="shared" ref="AI127:AI144" si="29">SUM(AF127:AH127)</f>
        <v>2084.75</v>
      </c>
      <c r="AJ127" s="94">
        <f t="shared" si="25"/>
        <v>3474.583333333333</v>
      </c>
      <c r="AK127" s="1038"/>
      <c r="AL127" s="1038"/>
      <c r="AM127" s="1042"/>
      <c r="AN127" s="1044">
        <f>I127*AM127</f>
        <v>0</v>
      </c>
      <c r="AO127" s="595" t="str">
        <f>D127</f>
        <v>ULTRASOM</v>
      </c>
      <c r="AP127" s="62" t="s">
        <v>289</v>
      </c>
      <c r="AQ127" s="543" t="str" cm="1">
        <f t="array" aca="1" ref="AQ127" ca="1">IF(OR(AO127="",AO127=0),"",IF(SUMPRODUCT(($D$31:$D$146=AO127)*($R$31:$R$146="Previsto")*($T$30:$AH$30&lt;EOMONTH(TODAY(),-1)+1)*($T$31:$AH$146))=0,"",SUMPRODUCT(($D$31:$D$146=AO127)*($R$31:$R$146="Previsto")*($T$30:$AH$30&lt;EOMONTH(TODAY(),-1)+1)*($T$31:$AH$146))))</f>
        <v/>
      </c>
    </row>
    <row r="128" spans="1:43" ht="29.1" customHeight="1" x14ac:dyDescent="0.3">
      <c r="A128" s="1094"/>
      <c r="B128" s="1096"/>
      <c r="C128" s="1039"/>
      <c r="D128" s="1098"/>
      <c r="E128" s="1148"/>
      <c r="F128" s="1100"/>
      <c r="G128" s="1145"/>
      <c r="H128" s="1145"/>
      <c r="I128" s="1077"/>
      <c r="J128" s="1155"/>
      <c r="K128" s="1112"/>
      <c r="L128" s="1077"/>
      <c r="M128" s="1073"/>
      <c r="N128" s="1056"/>
      <c r="O128" s="1043"/>
      <c r="P128" s="1043"/>
      <c r="Q128" s="1065"/>
      <c r="R128" s="96" t="s">
        <v>107</v>
      </c>
      <c r="S128" s="482">
        <f>_xlfn.XLOOKUP(B127,[1]Detalhamento!$A:$A,[1]Detalhamento!$N:$N)</f>
        <v>0.7142857142857143</v>
      </c>
      <c r="T128" s="589"/>
      <c r="U128" s="589"/>
      <c r="V128" s="589"/>
      <c r="W128" s="469">
        <f t="shared" si="28"/>
        <v>0</v>
      </c>
      <c r="X128" s="589"/>
      <c r="Y128" s="589"/>
      <c r="Z128" s="589"/>
      <c r="AA128" s="469">
        <f t="shared" si="26"/>
        <v>0</v>
      </c>
      <c r="AB128" s="589"/>
      <c r="AC128" s="589"/>
      <c r="AD128" s="589"/>
      <c r="AE128" s="469">
        <f t="shared" si="27"/>
        <v>0</v>
      </c>
      <c r="AF128" s="589"/>
      <c r="AG128" s="589"/>
      <c r="AH128" s="589"/>
      <c r="AI128" s="469">
        <f t="shared" si="29"/>
        <v>0</v>
      </c>
      <c r="AJ128" s="94">
        <f t="shared" ref="AJ128:AJ129" si="30">SUM(T128:V128,X128:Z128,AB128:AD128,AF128:AH128)</f>
        <v>0</v>
      </c>
      <c r="AK128" s="1039"/>
      <c r="AL128" s="1039"/>
      <c r="AM128" s="1043"/>
      <c r="AN128" s="1045"/>
      <c r="AO128" s="596" t="str">
        <f>D127</f>
        <v>ULTRASOM</v>
      </c>
      <c r="AP128" s="62" t="s">
        <v>291</v>
      </c>
      <c r="AQ128" s="543" t="str" cm="1">
        <f t="array" aca="1" ref="AQ128" ca="1">IF(OR(AO128="",AO128=0),"",IF(SUMPRODUCT(($D$31:$D$146=AO128)*(ISNUMBER(SEARCH("Real",$R$32:$R$147)))*($T$30:$AH$30&lt;EOMONTH(TODAY(),-1)+1)*($T$32:$AH$147))=0,"",SUMPRODUCT(($D$31:$D$146=AO128)*(ISNUMBER(SEARCH("Real",$R$32:$R$147)))*($T$30:$AH$30&lt;EOMONTH(TODAY(),-1)+1)*($T$32:$AH$147))))</f>
        <v/>
      </c>
    </row>
    <row r="129" spans="1:43" ht="29.1" customHeight="1" x14ac:dyDescent="0.3">
      <c r="A129" s="1036" t="s">
        <v>79</v>
      </c>
      <c r="B129" s="1113" t="s">
        <v>2587</v>
      </c>
      <c r="C129" s="1036" t="s">
        <v>94</v>
      </c>
      <c r="D129" s="1115" t="s">
        <v>2589</v>
      </c>
      <c r="E129" s="1081" t="s">
        <v>2591</v>
      </c>
      <c r="F129" s="1040" t="s">
        <v>2432</v>
      </c>
      <c r="G129" s="1117">
        <f>_xlfn.XLOOKUP(B129,[1]Detalhamento!$A:$A,[1]Detalhamento!$I:$I)</f>
        <v>45599</v>
      </c>
      <c r="H129" s="1117">
        <f>_xlfn.XLOOKUP(B129,[1]Detalhamento!$A:$A,[1]Detalhamento!$J:$J)</f>
        <v>46154</v>
      </c>
      <c r="I129" s="1074">
        <f>_xlfn.XLOOKUP(B129,[1]Detalhamento!$A:$A,[1]Detalhamento!$E:$E)</f>
        <v>130308</v>
      </c>
      <c r="J129" s="1158">
        <f>_xlfn.XLOOKUP(B129,[1]Detalhamento!$A:$A,[1]Detalhamento!$O:$O)</f>
        <v>46235</v>
      </c>
      <c r="K129" s="1121">
        <v>12</v>
      </c>
      <c r="L129" s="1074"/>
      <c r="M129" s="1119"/>
      <c r="N129" s="1053"/>
      <c r="O129" s="1057" t="s">
        <v>80</v>
      </c>
      <c r="P129" s="1057"/>
      <c r="Q129" s="1062"/>
      <c r="R129" s="91" t="s">
        <v>106</v>
      </c>
      <c r="S129" s="91">
        <f>_xlfn.XLOOKUP(B129,[1]Detalhamento!$A:$A,[1]Detalhamento!$M:$M)</f>
        <v>1</v>
      </c>
      <c r="T129" s="802">
        <f>IFERROR(IF(AND(T$30&gt;=EOMONTH($J129,-1)+1,T$30&lt;=EOMONTH(EOMONTH($J129,-1)+1,$K129-1)),IF(NOT(ISBLANK($N129)),$N129/$K129,$I129/$K129),0),0)</f>
        <v>0</v>
      </c>
      <c r="U129" s="802">
        <f>IFERROR(IF(AND(U$30&gt;=EOMONTH($J129,-1)+1,U$30&lt;=EOMONTH(EOMONTH($J129,-1)+1,$K129-1)),IF(NOT(ISBLANK($N129)),$N129/$K129,$I129/$K129),0),0)</f>
        <v>0</v>
      </c>
      <c r="V129" s="802">
        <f>IFERROR(IF(AND(V$30&gt;=EOMONTH($J129,-1)+1,V$30&lt;=EOMONTH(EOMONTH($J129,-1)+1,$K129-1)),IF(NOT(ISBLANK($N129)),$N129/$K129,$I129/$K129),0),0)</f>
        <v>0</v>
      </c>
      <c r="W129" s="469">
        <f t="shared" si="28"/>
        <v>0</v>
      </c>
      <c r="X129" s="802">
        <f>IFERROR(IF(AND(X$30&gt;=EOMONTH($J129,-1)+1,X$30&lt;=EOMONTH(EOMONTH($J129,-1)+1,$K129-1)),IF(NOT(ISBLANK($N129)),$N129/$K129,$I129/$K129),0),0)</f>
        <v>0</v>
      </c>
      <c r="Y129" s="802">
        <f>IFERROR(IF(AND(Y$30&gt;=EOMONTH($J129,-1)+1,Y$30&lt;=EOMONTH(EOMONTH($J129,-1)+1,$K129-1)),IF(NOT(ISBLANK($N129)),$N129/$K129,$I129/$K129),0),0)</f>
        <v>0</v>
      </c>
      <c r="Z129" s="802">
        <f>IFERROR(IF(AND(Z$30&gt;=EOMONTH($J129,-1)+1,Z$30&lt;=EOMONTH(EOMONTH($J129,-1)+1,$K129-1)),IF(NOT(ISBLANK($N129)),$N129/$K129,$I129/$K129),0),0)</f>
        <v>0</v>
      </c>
      <c r="AA129" s="469">
        <f t="shared" si="26"/>
        <v>0</v>
      </c>
      <c r="AB129" s="802">
        <f>IFERROR(IF(AND(AB$30&gt;=EOMONTH($J129,-1)+1,AB$30&lt;=EOMONTH(EOMONTH($J129,-1)+1,$K129-1)),IF(NOT(ISBLANK($N129)),$N129/$K129,$I129/$K129),0),0)</f>
        <v>0</v>
      </c>
      <c r="AC129" s="802">
        <f>IFERROR(IF(AND(AC$30&gt;=EOMONTH($J129,-1)+1,AC$30&lt;=EOMONTH(EOMONTH($J129,-1)+1,$K129-1)),IF(NOT(ISBLANK($N129)),$N129/$K129,$I129/$K129),0),0)</f>
        <v>10859</v>
      </c>
      <c r="AD129" s="802">
        <f>IFERROR(IF(AND(AD$30&gt;=EOMONTH($J129,-1)+1,AD$30&lt;=EOMONTH(EOMONTH($J129,-1)+1,$K129-1)),IF(NOT(ISBLANK($N129)),$N129/$K129,$I129/$K129),0),0)</f>
        <v>10859</v>
      </c>
      <c r="AE129" s="469">
        <f t="shared" si="27"/>
        <v>21718</v>
      </c>
      <c r="AF129" s="802">
        <f>IFERROR(IF(AND(AF$30&gt;=EOMONTH($J129,-1)+1,AF$30&lt;=EOMONTH(EOMONTH($J129,-1)+1,$K129-1)),IF(NOT(ISBLANK($N129)),$N129/$K129,$I129/$K129),0),0)</f>
        <v>10859</v>
      </c>
      <c r="AG129" s="802">
        <f>IFERROR(IF(AND(AG$30&gt;=EOMONTH($J129,-1)+1,AG$30&lt;=EOMONTH(EOMONTH($J129,-1)+1,$K129-1)),IF(NOT(ISBLANK($N129)),$N129/$K129,$I129/$K129),0),0)</f>
        <v>10859</v>
      </c>
      <c r="AH129" s="802">
        <f>IFERROR(IF(AND(AH$30&gt;=EOMONTH($J129,-1)+1,AH$30&lt;=EOMONTH(EOMONTH($J129,-1)+1,$K129-1)),IF(NOT(ISBLANK($N129)),$N129/$K129,$I129/$K129),0),0)</f>
        <v>10859</v>
      </c>
      <c r="AI129" s="469">
        <f t="shared" si="29"/>
        <v>32577</v>
      </c>
      <c r="AJ129" s="116">
        <f t="shared" si="30"/>
        <v>54295</v>
      </c>
      <c r="AK129" s="1038"/>
      <c r="AL129" s="1038"/>
      <c r="AM129" s="1042"/>
      <c r="AN129" s="1044">
        <f>I129*AM129</f>
        <v>0</v>
      </c>
      <c r="AO129" s="595" t="str">
        <f>D129</f>
        <v>MIGRAÇÃO ITENS USIMINAS PARA ARCELOR</v>
      </c>
      <c r="AP129" s="62" t="s">
        <v>289</v>
      </c>
      <c r="AQ129" s="543" t="str" cm="1">
        <f t="array" aca="1" ref="AQ129" ca="1">IF(OR(AO129="",AO129=0),"",IF(SUMPRODUCT(($D$31:$D$146=AO129)*($R$31:$R$146="Previsto")*($T$30:$AH$30&lt;EOMONTH(TODAY(),-1)+1)*($T$31:$AH$146))=0,"",SUMPRODUCT(($D$31:$D$146=AO129)*($R$31:$R$146="Previsto")*($T$30:$AH$30&lt;EOMONTH(TODAY(),-1)+1)*($T$31:$AH$146))))</f>
        <v/>
      </c>
    </row>
    <row r="130" spans="1:43" ht="29.1" customHeight="1" x14ac:dyDescent="0.3">
      <c r="A130" s="1037"/>
      <c r="B130" s="1114"/>
      <c r="C130" s="1037"/>
      <c r="D130" s="1116"/>
      <c r="E130" s="1082"/>
      <c r="F130" s="1041"/>
      <c r="G130" s="1118"/>
      <c r="H130" s="1118"/>
      <c r="I130" s="1075"/>
      <c r="J130" s="1159"/>
      <c r="K130" s="1122"/>
      <c r="L130" s="1075"/>
      <c r="M130" s="1120"/>
      <c r="N130" s="1054"/>
      <c r="O130" s="1058"/>
      <c r="P130" s="1058"/>
      <c r="Q130" s="1063"/>
      <c r="R130" s="91" t="s">
        <v>107</v>
      </c>
      <c r="S130" s="481">
        <f>_xlfn.XLOOKUP(B129,[1]Detalhamento!$A:$A,[1]Detalhamento!$N:$N)</f>
        <v>1</v>
      </c>
      <c r="T130" s="802"/>
      <c r="U130" s="802"/>
      <c r="V130" s="802"/>
      <c r="W130" s="469">
        <f>SUM(T130:V130)</f>
        <v>0</v>
      </c>
      <c r="X130" s="802"/>
      <c r="Y130" s="802"/>
      <c r="Z130" s="802"/>
      <c r="AA130" s="469">
        <f t="shared" si="26"/>
        <v>0</v>
      </c>
      <c r="AB130" s="802"/>
      <c r="AC130" s="802"/>
      <c r="AD130" s="802"/>
      <c r="AE130" s="469">
        <f t="shared" si="27"/>
        <v>0</v>
      </c>
      <c r="AF130" s="802"/>
      <c r="AG130" s="802"/>
      <c r="AH130" s="802"/>
      <c r="AI130" s="469">
        <f t="shared" si="29"/>
        <v>0</v>
      </c>
      <c r="AJ130" s="483">
        <f>SUM(T130:V130,X130:Z130,AB130:AD130,AF130:AH130)</f>
        <v>0</v>
      </c>
      <c r="AK130" s="1039"/>
      <c r="AL130" s="1039"/>
      <c r="AM130" s="1043"/>
      <c r="AN130" s="1045"/>
      <c r="AO130" s="596" t="str">
        <f>D129</f>
        <v>MIGRAÇÃO ITENS USIMINAS PARA ARCELOR</v>
      </c>
      <c r="AP130" s="62" t="s">
        <v>291</v>
      </c>
      <c r="AQ130" s="543" t="str" cm="1">
        <f t="array" aca="1" ref="AQ130" ca="1">IF(OR(AO130="",AO130=0),"",IF(SUMPRODUCT(($D$31:$D$146=AO130)*(ISNUMBER(SEARCH("Real",$R$32:$R$147)))*($T$30:$AH$30&lt;EOMONTH(TODAY(),-1)+1)*($T$32:$AH$147))=0,"",SUMPRODUCT(($D$31:$D$146=AO130)*(ISNUMBER(SEARCH("Real",$R$32:$R$147)))*($T$30:$AH$30&lt;EOMONTH(TODAY(),-1)+1)*($T$32:$AH$147))))</f>
        <v/>
      </c>
    </row>
    <row r="131" spans="1:43" ht="29.1" customHeight="1" x14ac:dyDescent="0.3">
      <c r="A131" s="1093" t="s">
        <v>79</v>
      </c>
      <c r="B131" s="1095" t="s">
        <v>2588</v>
      </c>
      <c r="C131" s="1038" t="s">
        <v>94</v>
      </c>
      <c r="D131" s="1097" t="s">
        <v>2590</v>
      </c>
      <c r="E131" s="1153" t="s">
        <v>2592</v>
      </c>
      <c r="F131" s="1099" t="s">
        <v>2432</v>
      </c>
      <c r="G131" s="1144">
        <f>_xlfn.XLOOKUP(B131,[1]Detalhamento!$A:$A,[1]Detalhamento!$I:$I)</f>
        <v>45595</v>
      </c>
      <c r="H131" s="1144">
        <f>_xlfn.XLOOKUP(B131,[1]Detalhamento!$A:$A,[1]Detalhamento!$J:$J)</f>
        <v>46150</v>
      </c>
      <c r="I131" s="1076">
        <f>IFERROR(_xlfn.XLOOKUP(B131,[1]Detalhamento!$A:$A,[1]Detalhamento!$E:$E)," - ")</f>
        <v>0</v>
      </c>
      <c r="J131" s="1154" t="str">
        <f>_xlfn.XLOOKUP(B131,[1]Detalhamento!$A:$A,[1]Detalhamento!$O:$O)</f>
        <v>-</v>
      </c>
      <c r="K131" s="1111">
        <v>12</v>
      </c>
      <c r="L131" s="1076"/>
      <c r="M131" s="1072"/>
      <c r="N131" s="1055"/>
      <c r="O131" s="1042" t="s">
        <v>80</v>
      </c>
      <c r="P131" s="1042"/>
      <c r="Q131" s="1064"/>
      <c r="R131" s="96" t="s">
        <v>106</v>
      </c>
      <c r="S131" s="96">
        <f>_xlfn.XLOOKUP(B131,[1]Detalhamento!$A:$A,[1]Detalhamento!$M:$M)</f>
        <v>1</v>
      </c>
      <c r="T131" s="589">
        <f>IFERROR(IF(AND(T$30&gt;=EOMONTH($J131,-1)+1,T$30&lt;=EOMONTH(EOMONTH($J131,-1)+1,$K131-1)),IF(NOT(ISBLANK($N131)),$N131/$K131,$I131/$K131),0),0)</f>
        <v>0</v>
      </c>
      <c r="U131" s="589">
        <f>IFERROR(IF(AND(U$30&gt;=EOMONTH($J131,-1)+1,U$30&lt;=EOMONTH(EOMONTH($J131,-1)+1,$K131-1)),IF(NOT(ISBLANK($N131)),$N131/$K131,$I131/$K131),0),0)</f>
        <v>0</v>
      </c>
      <c r="V131" s="589">
        <f>IFERROR(IF(AND(V$30&gt;=EOMONTH($J131,-1)+1,V$30&lt;=EOMONTH(EOMONTH($J131,-1)+1,$K131-1)),IF(NOT(ISBLANK($N131)),$N131/$K131,$I131/$K131),0),0)</f>
        <v>0</v>
      </c>
      <c r="W131" s="469">
        <f t="shared" ref="W131:W144" si="31">SUM(T131:V131)</f>
        <v>0</v>
      </c>
      <c r="X131" s="589">
        <f>IFERROR(IF(AND(X$30&gt;=EOMONTH($J131,-1)+1,X$30&lt;=EOMONTH(EOMONTH($J131,-1)+1,$K131-1)),IF(NOT(ISBLANK($N131)),$N131/$K131,$I131/$K131),0),0)</f>
        <v>0</v>
      </c>
      <c r="Y131" s="589">
        <f>IFERROR(IF(AND(Y$30&gt;=EOMONTH($J131,-1)+1,Y$30&lt;=EOMONTH(EOMONTH($J131,-1)+1,$K131-1)),IF(NOT(ISBLANK($N131)),$N131/$K131,$I131/$K131),0),0)</f>
        <v>0</v>
      </c>
      <c r="Z131" s="589">
        <f>IFERROR(IF(AND(Z$30&gt;=EOMONTH($J131,-1)+1,Z$30&lt;=EOMONTH(EOMONTH($J131,-1)+1,$K131-1)),IF(NOT(ISBLANK($N131)),$N131/$K131,$I131/$K131),0),0)</f>
        <v>0</v>
      </c>
      <c r="AA131" s="469">
        <f t="shared" si="26"/>
        <v>0</v>
      </c>
      <c r="AB131" s="589">
        <f>IFERROR(IF(AND(AB$30&gt;=EOMONTH($J131,-1)+1,AB$30&lt;=EOMONTH(EOMONTH($J131,-1)+1,$K131-1)),IF(NOT(ISBLANK($N131)),$N131/$K131,$I131/$K131),0),0)</f>
        <v>0</v>
      </c>
      <c r="AC131" s="589">
        <f>IFERROR(IF(AND(AC$30&gt;=EOMONTH($J131,-1)+1,AC$30&lt;=EOMONTH(EOMONTH($J131,-1)+1,$K131-1)),IF(NOT(ISBLANK($N131)),$N131/$K131,$I131/$K131),0),0)</f>
        <v>0</v>
      </c>
      <c r="AD131" s="589">
        <f>IFERROR(IF(AND(AD$30&gt;=EOMONTH($J131,-1)+1,AD$30&lt;=EOMONTH(EOMONTH($J131,-1)+1,$K131-1)),IF(NOT(ISBLANK($N131)),$N131/$K131,$I131/$K131),0),0)</f>
        <v>0</v>
      </c>
      <c r="AE131" s="469">
        <f t="shared" si="27"/>
        <v>0</v>
      </c>
      <c r="AF131" s="589">
        <f>IFERROR(IF(AND(AF$30&gt;=EOMONTH($J131,-1)+1,AF$30&lt;=EOMONTH(EOMONTH($J131,-1)+1,$K131-1)),IF(NOT(ISBLANK($N131)),$N131/$K131,$I131/$K131),0),0)</f>
        <v>0</v>
      </c>
      <c r="AG131" s="589">
        <f>IFERROR(IF(AND(AG$30&gt;=EOMONTH($J131,-1)+1,AG$30&lt;=EOMONTH(EOMONTH($J131,-1)+1,$K131-1)),IF(NOT(ISBLANK($N131)),$N131/$K131,$I131/$K131),0),0)</f>
        <v>0</v>
      </c>
      <c r="AH131" s="589">
        <f>IFERROR(IF(AND(AH$30&gt;=EOMONTH($J131,-1)+1,AH$30&lt;=EOMONTH(EOMONTH($J131,-1)+1,$K131-1)),IF(NOT(ISBLANK($N131)),$N131/$K131,$I131/$K131),0),0)</f>
        <v>0</v>
      </c>
      <c r="AI131" s="469">
        <f t="shared" si="29"/>
        <v>0</v>
      </c>
      <c r="AJ131" s="94">
        <f t="shared" ref="AJ131:AJ144" si="32">SUM(T131:V131,X131:Z131,AB131:AD131,AF131:AH131)</f>
        <v>0</v>
      </c>
      <c r="AK131" s="1038"/>
      <c r="AL131" s="1038"/>
      <c r="AM131" s="1042"/>
      <c r="AN131" s="1044">
        <f>I131*AM131</f>
        <v>0</v>
      </c>
      <c r="AO131" s="595" t="str">
        <f>D131</f>
        <v>MIGRAÇÃO ITENS CSN/USIMINAS PARA GERDAU</v>
      </c>
      <c r="AP131" s="62" t="s">
        <v>289</v>
      </c>
      <c r="AQ131" s="543" t="str" cm="1">
        <f t="array" aca="1" ref="AQ131" ca="1">IF(OR(AO131="",AO131=0),"",IF(SUMPRODUCT(($D$31:$D$146=AO131)*($R$31:$R$146="Previsto")*($T$30:$AH$30&lt;EOMONTH(TODAY(),-1)+1)*($T$31:$AH$146))=0,"",SUMPRODUCT(($D$31:$D$146=AO131)*($R$31:$R$146="Previsto")*($T$30:$AH$30&lt;EOMONTH(TODAY(),-1)+1)*($T$31:$AH$146))))</f>
        <v/>
      </c>
    </row>
    <row r="132" spans="1:43" ht="29.1" customHeight="1" x14ac:dyDescent="0.3">
      <c r="A132" s="1094"/>
      <c r="B132" s="1096"/>
      <c r="C132" s="1039"/>
      <c r="D132" s="1098"/>
      <c r="E132" s="1148"/>
      <c r="F132" s="1100"/>
      <c r="G132" s="1145"/>
      <c r="H132" s="1145"/>
      <c r="I132" s="1077"/>
      <c r="J132" s="1155"/>
      <c r="K132" s="1112"/>
      <c r="L132" s="1077"/>
      <c r="M132" s="1073"/>
      <c r="N132" s="1056"/>
      <c r="O132" s="1043"/>
      <c r="P132" s="1043"/>
      <c r="Q132" s="1065"/>
      <c r="R132" s="96" t="s">
        <v>107</v>
      </c>
      <c r="S132" s="482">
        <f>_xlfn.XLOOKUP(B131,[1]Detalhamento!$A:$A,[1]Detalhamento!$N:$N)</f>
        <v>0.36</v>
      </c>
      <c r="T132" s="589"/>
      <c r="U132" s="589"/>
      <c r="V132" s="589"/>
      <c r="W132" s="469">
        <f t="shared" si="31"/>
        <v>0</v>
      </c>
      <c r="X132" s="589"/>
      <c r="Y132" s="589"/>
      <c r="Z132" s="589"/>
      <c r="AA132" s="469">
        <f t="shared" si="26"/>
        <v>0</v>
      </c>
      <c r="AB132" s="589"/>
      <c r="AC132" s="589"/>
      <c r="AD132" s="589"/>
      <c r="AE132" s="469">
        <f t="shared" si="27"/>
        <v>0</v>
      </c>
      <c r="AF132" s="589"/>
      <c r="AG132" s="589"/>
      <c r="AH132" s="589"/>
      <c r="AI132" s="469">
        <f t="shared" si="29"/>
        <v>0</v>
      </c>
      <c r="AJ132" s="94">
        <f t="shared" si="32"/>
        <v>0</v>
      </c>
      <c r="AK132" s="1039"/>
      <c r="AL132" s="1039"/>
      <c r="AM132" s="1043"/>
      <c r="AN132" s="1045"/>
      <c r="AO132" s="596" t="str">
        <f>D131</f>
        <v>MIGRAÇÃO ITENS CSN/USIMINAS PARA GERDAU</v>
      </c>
      <c r="AP132" s="62" t="s">
        <v>291</v>
      </c>
      <c r="AQ132" s="543" t="str" cm="1">
        <f t="array" aca="1" ref="AQ132" ca="1">IF(OR(AO132="",AO132=0),"",IF(SUMPRODUCT(($D$31:$D$146=AO132)*(ISNUMBER(SEARCH("Real",$R$32:$R$147)))*($T$30:$AH$30&lt;EOMONTH(TODAY(),-1)+1)*($T$32:$AH$147))=0,"",SUMPRODUCT(($D$31:$D$146=AO132)*(ISNUMBER(SEARCH("Real",$R$32:$R$147)))*($T$30:$AH$30&lt;EOMONTH(TODAY(),-1)+1)*($T$32:$AH$147))))</f>
        <v/>
      </c>
    </row>
    <row r="133" spans="1:43" ht="29.1" customHeight="1" x14ac:dyDescent="0.3">
      <c r="A133" s="1036"/>
      <c r="B133" s="1113"/>
      <c r="C133" s="1036"/>
      <c r="D133" s="1115"/>
      <c r="E133" s="1081"/>
      <c r="F133" s="1040"/>
      <c r="G133" s="1117"/>
      <c r="H133" s="1117"/>
      <c r="I133" s="1074"/>
      <c r="J133" s="1158"/>
      <c r="K133" s="1121"/>
      <c r="L133" s="1074"/>
      <c r="M133" s="1119"/>
      <c r="N133" s="1053"/>
      <c r="O133" s="1057"/>
      <c r="P133" s="1057"/>
      <c r="Q133" s="1062"/>
      <c r="R133" s="91" t="s">
        <v>106</v>
      </c>
      <c r="S133" s="91">
        <f>_xlfn.XLOOKUP(B133,[1]Detalhamento!$A:$A,[1]Detalhamento!$M:$M)</f>
        <v>0</v>
      </c>
      <c r="T133" s="802">
        <f>IFERROR(IF(AND(T$30&gt;=EOMONTH($J133,-1)+1,T$30&lt;=EOMONTH(EOMONTH($J133,-1)+1,$K133-1)),IF(NOT(ISBLANK($N133)),$N133/$K133,$I133/$K133),0),0)</f>
        <v>0</v>
      </c>
      <c r="U133" s="802">
        <f>IFERROR(IF(AND(U$30&gt;=EOMONTH($J133,-1)+1,U$30&lt;=EOMONTH(EOMONTH($J133,-1)+1,$K133-1)),IF(NOT(ISBLANK($N133)),$N133/$K133,$I133/$K133),0),0)</f>
        <v>0</v>
      </c>
      <c r="V133" s="802">
        <f>IFERROR(IF(AND(V$30&gt;=EOMONTH($J133,-1)+1,V$30&lt;=EOMONTH(EOMONTH($J133,-1)+1,$K133-1)),IF(NOT(ISBLANK($N133)),$N133/$K133,$I133/$K133),0),0)</f>
        <v>0</v>
      </c>
      <c r="W133" s="469">
        <f t="shared" si="31"/>
        <v>0</v>
      </c>
      <c r="X133" s="802">
        <f>IFERROR(IF(AND(X$30&gt;=EOMONTH($J133,-1)+1,X$30&lt;=EOMONTH(EOMONTH($J133,-1)+1,$K133-1)),IF(NOT(ISBLANK($N133)),$N133/$K133,$I133/$K133),0),0)</f>
        <v>0</v>
      </c>
      <c r="Y133" s="802">
        <f>IFERROR(IF(AND(Y$30&gt;=EOMONTH($J133,-1)+1,Y$30&lt;=EOMONTH(EOMONTH($J133,-1)+1,$K133-1)),IF(NOT(ISBLANK($N133)),$N133/$K133,$I133/$K133),0),0)</f>
        <v>0</v>
      </c>
      <c r="Z133" s="802">
        <f>IFERROR(IF(AND(Z$30&gt;=EOMONTH($J133,-1)+1,Z$30&lt;=EOMONTH(EOMONTH($J133,-1)+1,$K133-1)),IF(NOT(ISBLANK($N133)),$N133/$K133,$I133/$K133),0),0)</f>
        <v>0</v>
      </c>
      <c r="AA133" s="469">
        <f t="shared" ref="AA133:AA144" si="33">SUM(X133:Z133)</f>
        <v>0</v>
      </c>
      <c r="AB133" s="802">
        <f>IFERROR(IF(AND(AB$30&gt;=EOMONTH($J133,-1)+1,AB$30&lt;=EOMONTH(EOMONTH($J133,-1)+1,$K133-1)),IF(NOT(ISBLANK($N133)),$N133/$K133,$I133/$K133),0),0)</f>
        <v>0</v>
      </c>
      <c r="AC133" s="802">
        <f>IFERROR(IF(AND(AC$30&gt;=EOMONTH($J133,-1)+1,AC$30&lt;=EOMONTH(EOMONTH($J133,-1)+1,$K133-1)),IF(NOT(ISBLANK($N133)),$N133/$K133,$I133/$K133),0),0)</f>
        <v>0</v>
      </c>
      <c r="AD133" s="802">
        <f>IFERROR(IF(AND(AD$30&gt;=EOMONTH($J133,-1)+1,AD$30&lt;=EOMONTH(EOMONTH($J133,-1)+1,$K133-1)),IF(NOT(ISBLANK($N133)),$N133/$K133,$I133/$K133),0),0)</f>
        <v>0</v>
      </c>
      <c r="AE133" s="469">
        <f t="shared" ref="AE133:AE144" si="34">SUM(AB133:AD133)</f>
        <v>0</v>
      </c>
      <c r="AF133" s="802">
        <f>IFERROR(IF(AND(AF$30&gt;=EOMONTH($J133,-1)+1,AF$30&lt;=EOMONTH(EOMONTH($J133,-1)+1,$K133-1)),IF(NOT(ISBLANK($N133)),$N133/$K133,$I133/$K133),0),0)</f>
        <v>0</v>
      </c>
      <c r="AG133" s="802">
        <f>IFERROR(IF(AND(AG$30&gt;=EOMONTH($J133,-1)+1,AG$30&lt;=EOMONTH(EOMONTH($J133,-1)+1,$K133-1)),IF(NOT(ISBLANK($N133)),$N133/$K133,$I133/$K133),0),0)</f>
        <v>0</v>
      </c>
      <c r="AH133" s="802">
        <f>IFERROR(IF(AND(AH$30&gt;=EOMONTH($J133,-1)+1,AH$30&lt;=EOMONTH(EOMONTH($J133,-1)+1,$K133-1)),IF(NOT(ISBLANK($N133)),$N133/$K133,$I133/$K133),0),0)</f>
        <v>0</v>
      </c>
      <c r="AI133" s="469">
        <f t="shared" si="29"/>
        <v>0</v>
      </c>
      <c r="AJ133" s="116">
        <f t="shared" si="32"/>
        <v>0</v>
      </c>
      <c r="AK133" s="1038"/>
      <c r="AL133" s="1038"/>
      <c r="AM133" s="1042"/>
      <c r="AN133" s="1044">
        <f>I133*AM133</f>
        <v>0</v>
      </c>
      <c r="AO133" s="595">
        <f>D133</f>
        <v>0</v>
      </c>
      <c r="AP133" s="62" t="s">
        <v>289</v>
      </c>
      <c r="AQ133" s="543" t="str" cm="1">
        <f t="array" aca="1" ref="AQ133" ca="1">IF(OR(AO133="",AO133=0),"",IF(SUMPRODUCT(($D$31:$D$146=AO133)*($R$31:$R$146="Previsto")*($T$30:$AH$30&lt;EOMONTH(TODAY(),-1)+1)*($T$31:$AH$146))=0,"",SUMPRODUCT(($D$31:$D$146=AO133)*($R$31:$R$146="Previsto")*($T$30:$AH$30&lt;EOMONTH(TODAY(),-1)+1)*($T$31:$AH$146))))</f>
        <v/>
      </c>
    </row>
    <row r="134" spans="1:43" ht="29.1" customHeight="1" x14ac:dyDescent="0.3">
      <c r="A134" s="1037"/>
      <c r="B134" s="1114"/>
      <c r="C134" s="1037"/>
      <c r="D134" s="1116"/>
      <c r="E134" s="1082"/>
      <c r="F134" s="1041"/>
      <c r="G134" s="1118"/>
      <c r="H134" s="1118"/>
      <c r="I134" s="1075"/>
      <c r="J134" s="1159"/>
      <c r="K134" s="1122"/>
      <c r="L134" s="1075"/>
      <c r="M134" s="1120"/>
      <c r="N134" s="1054"/>
      <c r="O134" s="1058"/>
      <c r="P134" s="1058"/>
      <c r="Q134" s="1063"/>
      <c r="R134" s="91" t="s">
        <v>107</v>
      </c>
      <c r="S134" s="481">
        <f>_xlfn.XLOOKUP(B133,[1]Detalhamento!$A:$A,[1]Detalhamento!$N:$N)</f>
        <v>0</v>
      </c>
      <c r="T134" s="802"/>
      <c r="U134" s="802"/>
      <c r="V134" s="802"/>
      <c r="W134" s="469">
        <f t="shared" si="31"/>
        <v>0</v>
      </c>
      <c r="X134" s="802"/>
      <c r="Y134" s="802"/>
      <c r="Z134" s="802"/>
      <c r="AA134" s="469">
        <f t="shared" si="33"/>
        <v>0</v>
      </c>
      <c r="AB134" s="802"/>
      <c r="AC134" s="802"/>
      <c r="AD134" s="802"/>
      <c r="AE134" s="469">
        <f t="shared" si="34"/>
        <v>0</v>
      </c>
      <c r="AF134" s="802"/>
      <c r="AG134" s="802"/>
      <c r="AH134" s="802"/>
      <c r="AI134" s="469">
        <f t="shared" si="29"/>
        <v>0</v>
      </c>
      <c r="AJ134" s="483">
        <f t="shared" si="32"/>
        <v>0</v>
      </c>
      <c r="AK134" s="1039"/>
      <c r="AL134" s="1039"/>
      <c r="AM134" s="1043"/>
      <c r="AN134" s="1045"/>
      <c r="AO134" s="596">
        <f>D133</f>
        <v>0</v>
      </c>
      <c r="AP134" s="62" t="s">
        <v>291</v>
      </c>
      <c r="AQ134" s="543" t="str" cm="1">
        <f t="array" aca="1" ref="AQ134" ca="1">IF(OR(AO134="",AO134=0),"",IF(SUMPRODUCT(($D$31:$D$146=AO134)*(ISNUMBER(SEARCH("Real",$R$32:$R$147)))*($T$30:$AH$30&lt;EOMONTH(TODAY(),-1)+1)*($T$32:$AH$147))=0,"",SUMPRODUCT(($D$31:$D$146=AO134)*(ISNUMBER(SEARCH("Real",$R$32:$R$147)))*($T$30:$AH$30&lt;EOMONTH(TODAY(),-1)+1)*($T$32:$AH$147))))</f>
        <v/>
      </c>
    </row>
    <row r="135" spans="1:43" ht="29.1" customHeight="1" x14ac:dyDescent="0.3">
      <c r="A135" s="1093"/>
      <c r="B135" s="1095"/>
      <c r="C135" s="1038"/>
      <c r="D135" s="1097"/>
      <c r="E135" s="1083"/>
      <c r="F135" s="1099"/>
      <c r="G135" s="1150"/>
      <c r="H135" s="1150"/>
      <c r="I135" s="1152"/>
      <c r="J135" s="1109"/>
      <c r="K135" s="1109"/>
      <c r="L135" s="1076"/>
      <c r="M135" s="1072"/>
      <c r="N135" s="1055"/>
      <c r="O135" s="1042"/>
      <c r="P135" s="1042"/>
      <c r="Q135" s="1064"/>
      <c r="R135" s="96" t="s">
        <v>106</v>
      </c>
      <c r="S135" s="96">
        <f>_xlfn.XLOOKUP(B135,[1]Detalhamento!$A:$A,[1]Detalhamento!$M:$M)</f>
        <v>0</v>
      </c>
      <c r="T135" s="589">
        <f>IFERROR(IF(AND(T$30&gt;=EOMONTH($J135,-1)+1,T$30&lt;=EOMONTH(EOMONTH($J135,-1)+1,$K135-1)),IF(NOT(ISBLANK($N135)),$N135/$K135,$I135/$K135),0),0)</f>
        <v>0</v>
      </c>
      <c r="U135" s="589">
        <f>IFERROR(IF(AND(U$30&gt;=EOMONTH($J135,-1)+1,U$30&lt;=EOMONTH(EOMONTH($J135,-1)+1,$K135-1)),IF(NOT(ISBLANK($N135)),$N135/$K135,$I135/$K135),0),0)</f>
        <v>0</v>
      </c>
      <c r="V135" s="589">
        <f>IFERROR(IF(AND(V$30&gt;=EOMONTH($J135,-1)+1,V$30&lt;=EOMONTH(EOMONTH($J135,-1)+1,$K135-1)),IF(NOT(ISBLANK($N135)),$N135/$K135,$I135/$K135),0),0)</f>
        <v>0</v>
      </c>
      <c r="W135" s="469">
        <f t="shared" si="31"/>
        <v>0</v>
      </c>
      <c r="X135" s="589">
        <f>IFERROR(IF(AND(X$30&gt;=EOMONTH($J135,-1)+1,X$30&lt;=EOMONTH(EOMONTH($J135,-1)+1,$K135-1)),IF(NOT(ISBLANK($N135)),$N135/$K135,$I135/$K135),0),0)</f>
        <v>0</v>
      </c>
      <c r="Y135" s="589">
        <f>IFERROR(IF(AND(Y$30&gt;=EOMONTH($J135,-1)+1,Y$30&lt;=EOMONTH(EOMONTH($J135,-1)+1,$K135-1)),IF(NOT(ISBLANK($N135)),$N135/$K135,$I135/$K135),0),0)</f>
        <v>0</v>
      </c>
      <c r="Z135" s="589">
        <f>IFERROR(IF(AND(Z$30&gt;=EOMONTH($J135,-1)+1,Z$30&lt;=EOMONTH(EOMONTH($J135,-1)+1,$K135-1)),IF(NOT(ISBLANK($N135)),$N135/$K135,$I135/$K135),0),0)</f>
        <v>0</v>
      </c>
      <c r="AA135" s="469">
        <f t="shared" si="33"/>
        <v>0</v>
      </c>
      <c r="AB135" s="589">
        <f>IFERROR(IF(AND(AB$30&gt;=EOMONTH($J135,-1)+1,AB$30&lt;=EOMONTH(EOMONTH($J135,-1)+1,$K135-1)),IF(NOT(ISBLANK($N135)),$N135/$K135,$I135/$K135),0),0)</f>
        <v>0</v>
      </c>
      <c r="AC135" s="589">
        <f>IFERROR(IF(AND(AC$30&gt;=EOMONTH($J135,-1)+1,AC$30&lt;=EOMONTH(EOMONTH($J135,-1)+1,$K135-1)),IF(NOT(ISBLANK($N135)),$N135/$K135,$I135/$K135),0),0)</f>
        <v>0</v>
      </c>
      <c r="AD135" s="589">
        <f>IFERROR(IF(AND(AD$30&gt;=EOMONTH($J135,-1)+1,AD$30&lt;=EOMONTH(EOMONTH($J135,-1)+1,$K135-1)),IF(NOT(ISBLANK($N135)),$N135/$K135,$I135/$K135),0),0)</f>
        <v>0</v>
      </c>
      <c r="AE135" s="469">
        <f t="shared" si="34"/>
        <v>0</v>
      </c>
      <c r="AF135" s="589">
        <f>IFERROR(IF(AND(AF$30&gt;=EOMONTH($J135,-1)+1,AF$30&lt;=EOMONTH(EOMONTH($J135,-1)+1,$K135-1)),IF(NOT(ISBLANK($N135)),$N135/$K135,$I135/$K135),0),0)</f>
        <v>0</v>
      </c>
      <c r="AG135" s="589">
        <f>IFERROR(IF(AND(AG$30&gt;=EOMONTH($J135,-1)+1,AG$30&lt;=EOMONTH(EOMONTH($J135,-1)+1,$K135-1)),IF(NOT(ISBLANK($N135)),$N135/$K135,$I135/$K135),0),0)</f>
        <v>0</v>
      </c>
      <c r="AH135" s="589">
        <f>IFERROR(IF(AND(AH$30&gt;=EOMONTH($J135,-1)+1,AH$30&lt;=EOMONTH(EOMONTH($J135,-1)+1,$K135-1)),IF(NOT(ISBLANK($N135)),$N135/$K135,$I135/$K135),0),0)</f>
        <v>0</v>
      </c>
      <c r="AI135" s="469">
        <f t="shared" si="29"/>
        <v>0</v>
      </c>
      <c r="AJ135" s="94">
        <f t="shared" si="32"/>
        <v>0</v>
      </c>
      <c r="AK135" s="1038"/>
      <c r="AL135" s="1038"/>
      <c r="AM135" s="1042"/>
      <c r="AN135" s="1044">
        <f>I135*AM135</f>
        <v>0</v>
      </c>
      <c r="AO135" s="595">
        <f>D135</f>
        <v>0</v>
      </c>
      <c r="AP135" s="62" t="s">
        <v>289</v>
      </c>
      <c r="AQ135" s="543" t="str" cm="1">
        <f t="array" aca="1" ref="AQ135" ca="1">IF(OR(AO135="",AO135=0),"",IF(SUMPRODUCT(($D$31:$D$146=AO135)*($R$31:$R$146="Previsto")*($T$30:$AH$30&lt;EOMONTH(TODAY(),-1)+1)*($T$31:$AH$146))=0,"",SUMPRODUCT(($D$31:$D$146=AO135)*($R$31:$R$146="Previsto")*($T$30:$AH$30&lt;EOMONTH(TODAY(),-1)+1)*($T$31:$AH$146))))</f>
        <v/>
      </c>
    </row>
    <row r="136" spans="1:43" ht="29.1" customHeight="1" x14ac:dyDescent="0.3">
      <c r="A136" s="1094"/>
      <c r="B136" s="1096"/>
      <c r="C136" s="1039"/>
      <c r="D136" s="1098"/>
      <c r="E136" s="1084"/>
      <c r="F136" s="1100"/>
      <c r="G136" s="1151"/>
      <c r="H136" s="1151"/>
      <c r="I136" s="1151"/>
      <c r="J136" s="1110"/>
      <c r="K136" s="1110"/>
      <c r="L136" s="1077"/>
      <c r="M136" s="1073"/>
      <c r="N136" s="1056"/>
      <c r="O136" s="1043"/>
      <c r="P136" s="1043"/>
      <c r="Q136" s="1065"/>
      <c r="R136" s="96" t="s">
        <v>107</v>
      </c>
      <c r="S136" s="482">
        <f>_xlfn.XLOOKUP(B135,[1]Detalhamento!$A:$A,[1]Detalhamento!$N:$N)</f>
        <v>0</v>
      </c>
      <c r="T136" s="589"/>
      <c r="U136" s="589"/>
      <c r="V136" s="589"/>
      <c r="W136" s="469">
        <f t="shared" si="31"/>
        <v>0</v>
      </c>
      <c r="X136" s="589"/>
      <c r="Y136" s="589"/>
      <c r="Z136" s="589"/>
      <c r="AA136" s="469">
        <f t="shared" si="33"/>
        <v>0</v>
      </c>
      <c r="AB136" s="589"/>
      <c r="AC136" s="589"/>
      <c r="AD136" s="589"/>
      <c r="AE136" s="469">
        <f t="shared" si="34"/>
        <v>0</v>
      </c>
      <c r="AF136" s="589"/>
      <c r="AG136" s="589"/>
      <c r="AH136" s="589"/>
      <c r="AI136" s="469">
        <f t="shared" si="29"/>
        <v>0</v>
      </c>
      <c r="AJ136" s="94">
        <f t="shared" si="32"/>
        <v>0</v>
      </c>
      <c r="AK136" s="1039"/>
      <c r="AL136" s="1039"/>
      <c r="AM136" s="1043"/>
      <c r="AN136" s="1045"/>
      <c r="AO136" s="596">
        <f>D135</f>
        <v>0</v>
      </c>
      <c r="AP136" s="62" t="s">
        <v>291</v>
      </c>
      <c r="AQ136" s="543" t="str" cm="1">
        <f t="array" aca="1" ref="AQ136" ca="1">IF(OR(AO136="",AO136=0),"",IF(SUMPRODUCT(($D$31:$D$146=AO136)*(ISNUMBER(SEARCH("Real",$R$32:$R$147)))*($T$30:$AH$30&lt;EOMONTH(TODAY(),-1)+1)*($T$32:$AH$147))=0,"",SUMPRODUCT(($D$31:$D$146=AO136)*(ISNUMBER(SEARCH("Real",$R$32:$R$147)))*($T$30:$AH$30&lt;EOMONTH(TODAY(),-1)+1)*($T$32:$AH$147))))</f>
        <v/>
      </c>
    </row>
    <row r="137" spans="1:43" ht="29.1" customHeight="1" x14ac:dyDescent="0.3">
      <c r="A137" s="1036"/>
      <c r="B137" s="1113"/>
      <c r="C137" s="1036"/>
      <c r="D137" s="1115"/>
      <c r="E137" s="1081"/>
      <c r="F137" s="1040"/>
      <c r="G137" s="1117"/>
      <c r="H137" s="1117"/>
      <c r="I137" s="1074"/>
      <c r="J137" s="1158"/>
      <c r="K137" s="1121"/>
      <c r="L137" s="1074"/>
      <c r="M137" s="1119"/>
      <c r="N137" s="1053"/>
      <c r="O137" s="1057"/>
      <c r="P137" s="1057"/>
      <c r="Q137" s="1062"/>
      <c r="R137" s="91" t="s">
        <v>106</v>
      </c>
      <c r="S137" s="91">
        <f>_xlfn.XLOOKUP(B137,[1]Detalhamento!$A:$A,[1]Detalhamento!$M:$M)</f>
        <v>0</v>
      </c>
      <c r="T137" s="802">
        <f>IFERROR(IF(AND(T$30&gt;=EOMONTH($J137,-1)+1,T$30&lt;=EOMONTH(EOMONTH($J137,-1)+1,$K137-1)),IF(NOT(ISBLANK($N137)),$N137/$K137,$I137/$K137),0),0)</f>
        <v>0</v>
      </c>
      <c r="U137" s="802">
        <f>IFERROR(IF(AND(U$30&gt;=EOMONTH($J137,-1)+1,U$30&lt;=EOMONTH(EOMONTH($J137,-1)+1,$K137-1)),IF(NOT(ISBLANK($N137)),$N137/$K137,$I137/$K137),0),0)</f>
        <v>0</v>
      </c>
      <c r="V137" s="802">
        <f>IFERROR(IF(AND(V$30&gt;=EOMONTH($J137,-1)+1,V$30&lt;=EOMONTH(EOMONTH($J137,-1)+1,$K137-1)),IF(NOT(ISBLANK($N137)),$N137/$K137,$I137/$K137),0),0)</f>
        <v>0</v>
      </c>
      <c r="W137" s="469">
        <f t="shared" si="31"/>
        <v>0</v>
      </c>
      <c r="X137" s="802">
        <f>IFERROR(IF(AND(X$30&gt;=EOMONTH($J137,-1)+1,X$30&lt;=EOMONTH(EOMONTH($J137,-1)+1,$K137-1)),IF(NOT(ISBLANK($N137)),$N137/$K137,$I137/$K137),0),0)</f>
        <v>0</v>
      </c>
      <c r="Y137" s="802">
        <f>IFERROR(IF(AND(Y$30&gt;=EOMONTH($J137,-1)+1,Y$30&lt;=EOMONTH(EOMONTH($J137,-1)+1,$K137-1)),IF(NOT(ISBLANK($N137)),$N137/$K137,$I137/$K137),0),0)</f>
        <v>0</v>
      </c>
      <c r="Z137" s="802">
        <f>IFERROR(IF(AND(Z$30&gt;=EOMONTH($J137,-1)+1,Z$30&lt;=EOMONTH(EOMONTH($J137,-1)+1,$K137-1)),IF(NOT(ISBLANK($N137)),$N137/$K137,$I137/$K137),0),0)</f>
        <v>0</v>
      </c>
      <c r="AA137" s="469">
        <f t="shared" si="33"/>
        <v>0</v>
      </c>
      <c r="AB137" s="802">
        <f>IFERROR(IF(AND(AB$30&gt;=EOMONTH($J137,-1)+1,AB$30&lt;=EOMONTH(EOMONTH($J137,-1)+1,$K137-1)),IF(NOT(ISBLANK($N137)),$N137/$K137,$I137/$K137),0),0)</f>
        <v>0</v>
      </c>
      <c r="AC137" s="802">
        <f>IFERROR(IF(AND(AC$30&gt;=EOMONTH($J137,-1)+1,AC$30&lt;=EOMONTH(EOMONTH($J137,-1)+1,$K137-1)),IF(NOT(ISBLANK($N137)),$N137/$K137,$I137/$K137),0),0)</f>
        <v>0</v>
      </c>
      <c r="AD137" s="802">
        <f>IFERROR(IF(AND(AD$30&gt;=EOMONTH($J137,-1)+1,AD$30&lt;=EOMONTH(EOMONTH($J137,-1)+1,$K137-1)),IF(NOT(ISBLANK($N137)),$N137/$K137,$I137/$K137),0),0)</f>
        <v>0</v>
      </c>
      <c r="AE137" s="469">
        <f t="shared" si="34"/>
        <v>0</v>
      </c>
      <c r="AF137" s="802">
        <f>IFERROR(IF(AND(AF$30&gt;=EOMONTH($J137,-1)+1,AF$30&lt;=EOMONTH(EOMONTH($J137,-1)+1,$K137-1)),IF(NOT(ISBLANK($N137)),$N137/$K137,$I137/$K137),0),0)</f>
        <v>0</v>
      </c>
      <c r="AG137" s="802">
        <f>IFERROR(IF(AND(AG$30&gt;=EOMONTH($J137,-1)+1,AG$30&lt;=EOMONTH(EOMONTH($J137,-1)+1,$K137-1)),IF(NOT(ISBLANK($N137)),$N137/$K137,$I137/$K137),0),0)</f>
        <v>0</v>
      </c>
      <c r="AH137" s="802">
        <f>IFERROR(IF(AND(AH$30&gt;=EOMONTH($J137,-1)+1,AH$30&lt;=EOMONTH(EOMONTH($J137,-1)+1,$K137-1)),IF(NOT(ISBLANK($N137)),$N137/$K137,$I137/$K137),0),0)</f>
        <v>0</v>
      </c>
      <c r="AI137" s="469">
        <f t="shared" si="29"/>
        <v>0</v>
      </c>
      <c r="AJ137" s="116">
        <f t="shared" si="32"/>
        <v>0</v>
      </c>
      <c r="AK137" s="1038"/>
      <c r="AL137" s="1038"/>
      <c r="AM137" s="1042"/>
      <c r="AN137" s="1044">
        <f>I137*AM137</f>
        <v>0</v>
      </c>
      <c r="AO137" s="595">
        <f>D137</f>
        <v>0</v>
      </c>
      <c r="AP137" s="62" t="s">
        <v>289</v>
      </c>
      <c r="AQ137" s="543" t="str" cm="1">
        <f t="array" aca="1" ref="AQ137" ca="1">IF(OR(AO137="",AO137=0),"",IF(SUMPRODUCT(($D$31:$D$146=AO137)*($R$31:$R$146="Previsto")*($T$30:$AH$30&lt;EOMONTH(TODAY(),-1)+1)*($T$31:$AH$146))=0,"",SUMPRODUCT(($D$31:$D$146=AO137)*($R$31:$R$146="Previsto")*($T$30:$AH$30&lt;EOMONTH(TODAY(),-1)+1)*($T$31:$AH$146))))</f>
        <v/>
      </c>
    </row>
    <row r="138" spans="1:43" ht="29.1" customHeight="1" x14ac:dyDescent="0.3">
      <c r="A138" s="1037"/>
      <c r="B138" s="1114"/>
      <c r="C138" s="1037"/>
      <c r="D138" s="1116"/>
      <c r="E138" s="1082"/>
      <c r="F138" s="1041"/>
      <c r="G138" s="1118"/>
      <c r="H138" s="1118"/>
      <c r="I138" s="1075"/>
      <c r="J138" s="1159"/>
      <c r="K138" s="1122"/>
      <c r="L138" s="1075"/>
      <c r="M138" s="1120"/>
      <c r="N138" s="1054"/>
      <c r="O138" s="1058"/>
      <c r="P138" s="1058"/>
      <c r="Q138" s="1063"/>
      <c r="R138" s="91" t="s">
        <v>107</v>
      </c>
      <c r="S138" s="481">
        <f>_xlfn.XLOOKUP(B137,[1]Detalhamento!$A:$A,[1]Detalhamento!$N:$N)</f>
        <v>0</v>
      </c>
      <c r="T138" s="802"/>
      <c r="U138" s="802"/>
      <c r="V138" s="802"/>
      <c r="W138" s="469">
        <f t="shared" si="31"/>
        <v>0</v>
      </c>
      <c r="X138" s="802"/>
      <c r="Y138" s="802"/>
      <c r="Z138" s="802"/>
      <c r="AA138" s="469">
        <f t="shared" si="33"/>
        <v>0</v>
      </c>
      <c r="AB138" s="802"/>
      <c r="AC138" s="802"/>
      <c r="AD138" s="802"/>
      <c r="AE138" s="469">
        <f t="shared" si="34"/>
        <v>0</v>
      </c>
      <c r="AF138" s="802"/>
      <c r="AG138" s="802"/>
      <c r="AH138" s="802"/>
      <c r="AI138" s="469">
        <f t="shared" si="29"/>
        <v>0</v>
      </c>
      <c r="AJ138" s="483">
        <f t="shared" si="32"/>
        <v>0</v>
      </c>
      <c r="AK138" s="1039"/>
      <c r="AL138" s="1039"/>
      <c r="AM138" s="1043"/>
      <c r="AN138" s="1045"/>
      <c r="AO138" s="596">
        <f>D137</f>
        <v>0</v>
      </c>
      <c r="AP138" s="62" t="s">
        <v>291</v>
      </c>
      <c r="AQ138" s="543" t="str" cm="1">
        <f t="array" aca="1" ref="AQ138" ca="1">IF(OR(AO138="",AO138=0),"",IF(SUMPRODUCT(($D$31:$D$146=AO138)*(ISNUMBER(SEARCH("Real",$R$32:$R$147)))*($T$30:$AH$30&lt;EOMONTH(TODAY(),-1)+1)*($T$32:$AH$147))=0,"",SUMPRODUCT(($D$31:$D$146=AO138)*(ISNUMBER(SEARCH("Real",$R$32:$R$147)))*($T$30:$AH$30&lt;EOMONTH(TODAY(),-1)+1)*($T$32:$AH$147))))</f>
        <v/>
      </c>
    </row>
    <row r="139" spans="1:43" ht="29.1" customHeight="1" x14ac:dyDescent="0.3">
      <c r="A139" s="1093"/>
      <c r="B139" s="1095"/>
      <c r="C139" s="1038"/>
      <c r="D139" s="1097"/>
      <c r="E139" s="1083"/>
      <c r="F139" s="1099"/>
      <c r="G139" s="1150"/>
      <c r="H139" s="1150"/>
      <c r="I139" s="1152"/>
      <c r="J139" s="1109"/>
      <c r="K139" s="1109"/>
      <c r="L139" s="1076"/>
      <c r="M139" s="1072"/>
      <c r="N139" s="1055"/>
      <c r="O139" s="1042"/>
      <c r="P139" s="1042"/>
      <c r="Q139" s="1064"/>
      <c r="R139" s="96" t="s">
        <v>106</v>
      </c>
      <c r="S139" s="96">
        <f>_xlfn.XLOOKUP(B139,[1]Detalhamento!$A:$A,[1]Detalhamento!$M:$M)</f>
        <v>0</v>
      </c>
      <c r="T139" s="589">
        <f>IFERROR(IF(AND(T$30&gt;=EOMONTH($J139,-1)+1,T$30&lt;=EOMONTH(EOMONTH($J139,-1)+1,$K139-1)),IF(NOT(ISBLANK($N139)),$N139/$K139,$I139/$K139),0),0)</f>
        <v>0</v>
      </c>
      <c r="U139" s="589">
        <f>IFERROR(IF(AND(U$30&gt;=EOMONTH($J139,-1)+1,U$30&lt;=EOMONTH(EOMONTH($J139,-1)+1,$K139-1)),IF(NOT(ISBLANK($N139)),$N139/$K139,$I139/$K139),0),0)</f>
        <v>0</v>
      </c>
      <c r="V139" s="589">
        <f>IFERROR(IF(AND(V$30&gt;=EOMONTH($J139,-1)+1,V$30&lt;=EOMONTH(EOMONTH($J139,-1)+1,$K139-1)),IF(NOT(ISBLANK($N139)),$N139/$K139,$I139/$K139),0),0)</f>
        <v>0</v>
      </c>
      <c r="W139" s="469">
        <f t="shared" si="31"/>
        <v>0</v>
      </c>
      <c r="X139" s="589">
        <f>IFERROR(IF(AND(X$30&gt;=EOMONTH($J139,-1)+1,X$30&lt;=EOMONTH(EOMONTH($J139,-1)+1,$K139-1)),IF(NOT(ISBLANK($N139)),$N139/$K139,$I139/$K139),0),0)</f>
        <v>0</v>
      </c>
      <c r="Y139" s="589">
        <f>IFERROR(IF(AND(Y$30&gt;=EOMONTH($J139,-1)+1,Y$30&lt;=EOMONTH(EOMONTH($J139,-1)+1,$K139-1)),IF(NOT(ISBLANK($N139)),$N139/$K139,$I139/$K139),0),0)</f>
        <v>0</v>
      </c>
      <c r="Z139" s="589">
        <f>IFERROR(IF(AND(Z$30&gt;=EOMONTH($J139,-1)+1,Z$30&lt;=EOMONTH(EOMONTH($J139,-1)+1,$K139-1)),IF(NOT(ISBLANK($N139)),$N139/$K139,$I139/$K139),0),0)</f>
        <v>0</v>
      </c>
      <c r="AA139" s="469">
        <f t="shared" si="33"/>
        <v>0</v>
      </c>
      <c r="AB139" s="589">
        <f>IFERROR(IF(AND(AB$30&gt;=EOMONTH($J139,-1)+1,AB$30&lt;=EOMONTH(EOMONTH($J139,-1)+1,$K139-1)),IF(NOT(ISBLANK($N139)),$N139/$K139,$I139/$K139),0),0)</f>
        <v>0</v>
      </c>
      <c r="AC139" s="589">
        <f>IFERROR(IF(AND(AC$30&gt;=EOMONTH($J139,-1)+1,AC$30&lt;=EOMONTH(EOMONTH($J139,-1)+1,$K139-1)),IF(NOT(ISBLANK($N139)),$N139/$K139,$I139/$K139),0),0)</f>
        <v>0</v>
      </c>
      <c r="AD139" s="589">
        <f>IFERROR(IF(AND(AD$30&gt;=EOMONTH($J139,-1)+1,AD$30&lt;=EOMONTH(EOMONTH($J139,-1)+1,$K139-1)),IF(NOT(ISBLANK($N139)),$N139/$K139,$I139/$K139),0),0)</f>
        <v>0</v>
      </c>
      <c r="AE139" s="469">
        <f t="shared" si="34"/>
        <v>0</v>
      </c>
      <c r="AF139" s="589">
        <f>IFERROR(IF(AND(AF$30&gt;=EOMONTH($J139,-1)+1,AF$30&lt;=EOMONTH(EOMONTH($J139,-1)+1,$K139-1)),IF(NOT(ISBLANK($N139)),$N139/$K139,$I139/$K139),0),0)</f>
        <v>0</v>
      </c>
      <c r="AG139" s="589">
        <f>IFERROR(IF(AND(AG$30&gt;=EOMONTH($J139,-1)+1,AG$30&lt;=EOMONTH(EOMONTH($J139,-1)+1,$K139-1)),IF(NOT(ISBLANK($N139)),$N139/$K139,$I139/$K139),0),0)</f>
        <v>0</v>
      </c>
      <c r="AH139" s="589">
        <f>IFERROR(IF(AND(AH$30&gt;=EOMONTH($J139,-1)+1,AH$30&lt;=EOMONTH(EOMONTH($J139,-1)+1,$K139-1)),IF(NOT(ISBLANK($N139)),$N139/$K139,$I139/$K139),0),0)</f>
        <v>0</v>
      </c>
      <c r="AI139" s="469">
        <f t="shared" si="29"/>
        <v>0</v>
      </c>
      <c r="AJ139" s="94">
        <f t="shared" si="32"/>
        <v>0</v>
      </c>
      <c r="AK139" s="1038"/>
      <c r="AL139" s="1038"/>
      <c r="AM139" s="1042"/>
      <c r="AN139" s="1044">
        <f>I139*AM139</f>
        <v>0</v>
      </c>
      <c r="AO139" s="595">
        <f>D139</f>
        <v>0</v>
      </c>
      <c r="AP139" s="62" t="s">
        <v>289</v>
      </c>
      <c r="AQ139" s="543" t="str" cm="1">
        <f t="array" aca="1" ref="AQ139" ca="1">IF(OR(AO139="",AO139=0),"",IF(SUMPRODUCT(($D$31:$D$146=AO139)*($R$31:$R$146="Previsto")*($T$30:$AH$30&lt;EOMONTH(TODAY(),-1)+1)*($T$31:$AH$146))=0,"",SUMPRODUCT(($D$31:$D$146=AO139)*($R$31:$R$146="Previsto")*($T$30:$AH$30&lt;EOMONTH(TODAY(),-1)+1)*($T$31:$AH$146))))</f>
        <v/>
      </c>
    </row>
    <row r="140" spans="1:43" ht="29.1" customHeight="1" x14ac:dyDescent="0.3">
      <c r="A140" s="1094"/>
      <c r="B140" s="1096"/>
      <c r="C140" s="1039"/>
      <c r="D140" s="1098"/>
      <c r="E140" s="1084"/>
      <c r="F140" s="1100"/>
      <c r="G140" s="1151"/>
      <c r="H140" s="1151"/>
      <c r="I140" s="1151"/>
      <c r="J140" s="1110"/>
      <c r="K140" s="1110"/>
      <c r="L140" s="1077"/>
      <c r="M140" s="1073"/>
      <c r="N140" s="1056"/>
      <c r="O140" s="1043"/>
      <c r="P140" s="1043"/>
      <c r="Q140" s="1065"/>
      <c r="R140" s="96" t="s">
        <v>107</v>
      </c>
      <c r="S140" s="482">
        <f>_xlfn.XLOOKUP(B139,[1]Detalhamento!$A:$A,[1]Detalhamento!$N:$N)</f>
        <v>0</v>
      </c>
      <c r="T140" s="589"/>
      <c r="U140" s="589"/>
      <c r="V140" s="589"/>
      <c r="W140" s="469">
        <f t="shared" si="31"/>
        <v>0</v>
      </c>
      <c r="X140" s="589"/>
      <c r="Y140" s="589"/>
      <c r="Z140" s="589"/>
      <c r="AA140" s="469">
        <f t="shared" si="33"/>
        <v>0</v>
      </c>
      <c r="AB140" s="589"/>
      <c r="AC140" s="589"/>
      <c r="AD140" s="589"/>
      <c r="AE140" s="469">
        <f t="shared" si="34"/>
        <v>0</v>
      </c>
      <c r="AF140" s="589"/>
      <c r="AG140" s="589"/>
      <c r="AH140" s="589"/>
      <c r="AI140" s="469">
        <f t="shared" si="29"/>
        <v>0</v>
      </c>
      <c r="AJ140" s="94">
        <f t="shared" si="32"/>
        <v>0</v>
      </c>
      <c r="AK140" s="1039"/>
      <c r="AL140" s="1039"/>
      <c r="AM140" s="1043"/>
      <c r="AN140" s="1045"/>
      <c r="AO140" s="596">
        <f>D139</f>
        <v>0</v>
      </c>
      <c r="AP140" s="62" t="s">
        <v>291</v>
      </c>
      <c r="AQ140" s="543" t="str" cm="1">
        <f t="array" aca="1" ref="AQ140" ca="1">IF(OR(AO140="",AO140=0),"",IF(SUMPRODUCT(($D$31:$D$146=AO140)*(ISNUMBER(SEARCH("Real",$R$32:$R$147)))*($T$30:$AH$30&lt;EOMONTH(TODAY(),-1)+1)*($T$32:$AH$147))=0,"",SUMPRODUCT(($D$31:$D$146=AO140)*(ISNUMBER(SEARCH("Real",$R$32:$R$147)))*($T$30:$AH$30&lt;EOMONTH(TODAY(),-1)+1)*($T$32:$AH$147))))</f>
        <v/>
      </c>
    </row>
    <row r="141" spans="1:43" ht="29.1" customHeight="1" x14ac:dyDescent="0.3">
      <c r="A141" s="1036"/>
      <c r="B141" s="1113"/>
      <c r="C141" s="1036"/>
      <c r="D141" s="1115"/>
      <c r="E141" s="1081"/>
      <c r="F141" s="1040"/>
      <c r="G141" s="1117"/>
      <c r="H141" s="1117"/>
      <c r="I141" s="1074"/>
      <c r="J141" s="1158"/>
      <c r="K141" s="1121"/>
      <c r="L141" s="1074"/>
      <c r="M141" s="1119"/>
      <c r="N141" s="1053"/>
      <c r="O141" s="1057"/>
      <c r="P141" s="1057"/>
      <c r="Q141" s="1062"/>
      <c r="R141" s="91" t="s">
        <v>106</v>
      </c>
      <c r="S141" s="91">
        <f>_xlfn.XLOOKUP(B141,[1]Detalhamento!$A:$A,[1]Detalhamento!$M:$M)</f>
        <v>0</v>
      </c>
      <c r="T141" s="802">
        <f>IFERROR(IF(AND(T$30&gt;=EOMONTH($J141,-1)+1,T$30&lt;=EOMONTH(EOMONTH($J141,-1)+1,$K141-1)),IF(NOT(ISBLANK($N141)),$N141/$K141,$I141/$K141),0),0)</f>
        <v>0</v>
      </c>
      <c r="U141" s="802">
        <f>IFERROR(IF(AND(U$30&gt;=EOMONTH($J141,-1)+1,U$30&lt;=EOMONTH(EOMONTH($J141,-1)+1,$K141-1)),IF(NOT(ISBLANK($N141)),$N141/$K141,$I141/$K141),0),0)</f>
        <v>0</v>
      </c>
      <c r="V141" s="802">
        <f>IFERROR(IF(AND(V$30&gt;=EOMONTH($J141,-1)+1,V$30&lt;=EOMONTH(EOMONTH($J141,-1)+1,$K141-1)),IF(NOT(ISBLANK($N141)),$N141/$K141,$I141/$K141),0),0)</f>
        <v>0</v>
      </c>
      <c r="W141" s="469">
        <f t="shared" si="31"/>
        <v>0</v>
      </c>
      <c r="X141" s="802">
        <f>IFERROR(IF(AND(X$30&gt;=EOMONTH($J141,-1)+1,X$30&lt;=EOMONTH(EOMONTH($J141,-1)+1,$K141-1)),IF(NOT(ISBLANK($N141)),$N141/$K141,$I141/$K141),0),0)</f>
        <v>0</v>
      </c>
      <c r="Y141" s="802">
        <f>IFERROR(IF(AND(Y$30&gt;=EOMONTH($J141,-1)+1,Y$30&lt;=EOMONTH(EOMONTH($J141,-1)+1,$K141-1)),IF(NOT(ISBLANK($N141)),$N141/$K141,$I141/$K141),0),0)</f>
        <v>0</v>
      </c>
      <c r="Z141" s="802">
        <f>IFERROR(IF(AND(Z$30&gt;=EOMONTH($J141,-1)+1,Z$30&lt;=EOMONTH(EOMONTH($J141,-1)+1,$K141-1)),IF(NOT(ISBLANK($N141)),$N141/$K141,$I141/$K141),0),0)</f>
        <v>0</v>
      </c>
      <c r="AA141" s="469">
        <f t="shared" si="33"/>
        <v>0</v>
      </c>
      <c r="AB141" s="802">
        <f>IFERROR(IF(AND(AB$30&gt;=EOMONTH($J141,-1)+1,AB$30&lt;=EOMONTH(EOMONTH($J141,-1)+1,$K141-1)),IF(NOT(ISBLANK($N141)),$N141/$K141,$I141/$K141),0),0)</f>
        <v>0</v>
      </c>
      <c r="AC141" s="802">
        <f>IFERROR(IF(AND(AC$30&gt;=EOMONTH($J141,-1)+1,AC$30&lt;=EOMONTH(EOMONTH($J141,-1)+1,$K141-1)),IF(NOT(ISBLANK($N141)),$N141/$K141,$I141/$K141),0),0)</f>
        <v>0</v>
      </c>
      <c r="AD141" s="802">
        <f>IFERROR(IF(AND(AD$30&gt;=EOMONTH($J141,-1)+1,AD$30&lt;=EOMONTH(EOMONTH($J141,-1)+1,$K141-1)),IF(NOT(ISBLANK($N141)),$N141/$K141,$I141/$K141),0),0)</f>
        <v>0</v>
      </c>
      <c r="AE141" s="469">
        <f t="shared" si="34"/>
        <v>0</v>
      </c>
      <c r="AF141" s="802">
        <f>IFERROR(IF(AND(AF$30&gt;=EOMONTH($J141,-1)+1,AF$30&lt;=EOMONTH(EOMONTH($J141,-1)+1,$K141-1)),IF(NOT(ISBLANK($N141)),$N141/$K141,$I141/$K141),0),0)</f>
        <v>0</v>
      </c>
      <c r="AG141" s="802">
        <f>IFERROR(IF(AND(AG$30&gt;=EOMONTH($J141,-1)+1,AG$30&lt;=EOMONTH(EOMONTH($J141,-1)+1,$K141-1)),IF(NOT(ISBLANK($N141)),$N141/$K141,$I141/$K141),0),0)</f>
        <v>0</v>
      </c>
      <c r="AH141" s="802">
        <f>IFERROR(IF(AND(AH$30&gt;=EOMONTH($J141,-1)+1,AH$30&lt;=EOMONTH(EOMONTH($J141,-1)+1,$K141-1)),IF(NOT(ISBLANK($N141)),$N141/$K141,$I141/$K141),0),0)</f>
        <v>0</v>
      </c>
      <c r="AI141" s="469">
        <f t="shared" si="29"/>
        <v>0</v>
      </c>
      <c r="AJ141" s="116">
        <f t="shared" si="32"/>
        <v>0</v>
      </c>
      <c r="AK141" s="1038"/>
      <c r="AL141" s="1038"/>
      <c r="AM141" s="1042"/>
      <c r="AN141" s="1044">
        <f>I141*AM141</f>
        <v>0</v>
      </c>
      <c r="AO141" s="595">
        <f>D141</f>
        <v>0</v>
      </c>
      <c r="AP141" s="62" t="s">
        <v>289</v>
      </c>
      <c r="AQ141" s="543" t="str" cm="1">
        <f t="array" aca="1" ref="AQ141" ca="1">IF(OR(AO141="",AO141=0),"",IF(SUMPRODUCT(($D$31:$D$146=AO141)*($R$31:$R$146="Previsto")*($T$30:$AH$30&lt;EOMONTH(TODAY(),-1)+1)*($T$31:$AH$146))=0,"",SUMPRODUCT(($D$31:$D$146=AO141)*($R$31:$R$146="Previsto")*($T$30:$AH$30&lt;EOMONTH(TODAY(),-1)+1)*($T$31:$AH$146))))</f>
        <v/>
      </c>
    </row>
    <row r="142" spans="1:43" ht="29.1" customHeight="1" x14ac:dyDescent="0.3">
      <c r="A142" s="1037"/>
      <c r="B142" s="1114"/>
      <c r="C142" s="1037"/>
      <c r="D142" s="1116"/>
      <c r="E142" s="1082"/>
      <c r="F142" s="1041"/>
      <c r="G142" s="1118"/>
      <c r="H142" s="1118"/>
      <c r="I142" s="1075"/>
      <c r="J142" s="1159"/>
      <c r="K142" s="1122"/>
      <c r="L142" s="1075"/>
      <c r="M142" s="1120"/>
      <c r="N142" s="1054"/>
      <c r="O142" s="1058"/>
      <c r="P142" s="1058"/>
      <c r="Q142" s="1063"/>
      <c r="R142" s="91" t="s">
        <v>107</v>
      </c>
      <c r="S142" s="481">
        <f>_xlfn.XLOOKUP(B141,[1]Detalhamento!$A:$A,[1]Detalhamento!$N:$N)</f>
        <v>0</v>
      </c>
      <c r="T142" s="802"/>
      <c r="U142" s="802"/>
      <c r="V142" s="802"/>
      <c r="W142" s="469">
        <f t="shared" si="31"/>
        <v>0</v>
      </c>
      <c r="X142" s="802"/>
      <c r="Y142" s="802"/>
      <c r="Z142" s="802"/>
      <c r="AA142" s="469">
        <f t="shared" si="33"/>
        <v>0</v>
      </c>
      <c r="AB142" s="802"/>
      <c r="AC142" s="802"/>
      <c r="AD142" s="802"/>
      <c r="AE142" s="469">
        <f t="shared" si="34"/>
        <v>0</v>
      </c>
      <c r="AF142" s="802"/>
      <c r="AG142" s="802"/>
      <c r="AH142" s="802"/>
      <c r="AI142" s="469">
        <f t="shared" si="29"/>
        <v>0</v>
      </c>
      <c r="AJ142" s="483">
        <f t="shared" si="32"/>
        <v>0</v>
      </c>
      <c r="AK142" s="1039"/>
      <c r="AL142" s="1039"/>
      <c r="AM142" s="1043"/>
      <c r="AN142" s="1045"/>
      <c r="AO142" s="596">
        <f>D141</f>
        <v>0</v>
      </c>
      <c r="AP142" s="62" t="s">
        <v>291</v>
      </c>
      <c r="AQ142" s="543" t="str" cm="1">
        <f t="array" aca="1" ref="AQ142" ca="1">IF(OR(AO142="",AO142=0),"",IF(SUMPRODUCT(($D$31:$D$146=AO142)*(ISNUMBER(SEARCH("Real",$R$32:$R$147)))*($T$30:$AH$30&lt;EOMONTH(TODAY(),-1)+1)*($T$32:$AH$147))=0,"",SUMPRODUCT(($D$31:$D$146=AO142)*(ISNUMBER(SEARCH("Real",$R$32:$R$147)))*($T$30:$AH$30&lt;EOMONTH(TODAY(),-1)+1)*($T$32:$AH$147))))</f>
        <v/>
      </c>
    </row>
    <row r="143" spans="1:43" ht="29.1" customHeight="1" x14ac:dyDescent="0.3">
      <c r="A143" s="1093"/>
      <c r="B143" s="1113"/>
      <c r="C143" s="1038"/>
      <c r="D143" s="1115"/>
      <c r="E143" s="1081"/>
      <c r="F143" s="1040"/>
      <c r="G143" s="1117"/>
      <c r="H143" s="1117"/>
      <c r="I143" s="1074"/>
      <c r="J143" s="1158"/>
      <c r="K143" s="1121"/>
      <c r="L143" s="1074"/>
      <c r="M143" s="1119"/>
      <c r="N143" s="1053"/>
      <c r="O143" s="1057"/>
      <c r="P143" s="1057"/>
      <c r="Q143" s="1062"/>
      <c r="R143" s="91" t="s">
        <v>106</v>
      </c>
      <c r="S143" s="91">
        <f>_xlfn.XLOOKUP(B143,[1]Detalhamento!$A:$A,[1]Detalhamento!$M:$M)</f>
        <v>0</v>
      </c>
      <c r="T143" s="309">
        <f>IFERROR(IF(AND(T$30&gt;=EOMONTH($J143,-1)+1,T$30&lt;=EOMONTH(EOMONTH($J143,-1)+1,$K143-1)),IF(NOT(ISBLANK($N143)),$N143/$K143,$I143/$K143),0),0)</f>
        <v>0</v>
      </c>
      <c r="U143" s="309">
        <f>IFERROR(IF(AND(U$30&gt;=EOMONTH($J143,-1)+1,U$30&lt;=EOMONTH(EOMONTH($J143,-1)+1,$K143-1)),IF(NOT(ISBLANK($N143)),$N143/$K143,$I143/$K143),0),0)</f>
        <v>0</v>
      </c>
      <c r="V143" s="309">
        <f>IFERROR(IF(AND(V$30&gt;=EOMONTH($J143,-1)+1,V$30&lt;=EOMONTH(EOMONTH($J143,-1)+1,$K143-1)),IF(NOT(ISBLANK($N143)),$N143/$K143,$I143/$K143),0),0)</f>
        <v>0</v>
      </c>
      <c r="W143" s="469">
        <f t="shared" si="31"/>
        <v>0</v>
      </c>
      <c r="X143" s="309">
        <f>IFERROR(IF(AND(X$30&gt;=EOMONTH($J143,-1)+1,X$30&lt;=EOMONTH(EOMONTH($J143,-1)+1,$K143-1)),IF(NOT(ISBLANK($N143)),$N143/$K143,$I143/$K143),0),0)</f>
        <v>0</v>
      </c>
      <c r="Y143" s="309">
        <f>IFERROR(IF(AND(Y$30&gt;=EOMONTH($J143,-1)+1,Y$30&lt;=EOMONTH(EOMONTH($J143,-1)+1,$K143-1)),IF(NOT(ISBLANK($N143)),$N143/$K143,$I143/$K143),0),0)</f>
        <v>0</v>
      </c>
      <c r="Z143" s="309">
        <f>IFERROR(IF(AND(Z$30&gt;=EOMONTH($J143,-1)+1,Z$30&lt;=EOMONTH(EOMONTH($J143,-1)+1,$K143-1)),IF(NOT(ISBLANK($N143)),$N143/$K143,$I143/$K143),0),0)</f>
        <v>0</v>
      </c>
      <c r="AA143" s="469">
        <f t="shared" si="33"/>
        <v>0</v>
      </c>
      <c r="AB143" s="309">
        <f>IFERROR(IF(AND(AB$30&gt;=EOMONTH($J143,-1)+1,AB$30&lt;=EOMONTH(EOMONTH($J143,-1)+1,$K143-1)),IF(NOT(ISBLANK($N143)),$N143/$K143,$I143/$K143),0),0)</f>
        <v>0</v>
      </c>
      <c r="AC143" s="309">
        <f>IFERROR(IF(AND(AC$30&gt;=EOMONTH($J143,-1)+1,AC$30&lt;=EOMONTH(EOMONTH($J143,-1)+1,$K143-1)),IF(NOT(ISBLANK($N143)),$N143/$K143,$I143/$K143),0),0)</f>
        <v>0</v>
      </c>
      <c r="AD143" s="309">
        <f>IFERROR(IF(AND(AD$30&gt;=EOMONTH($J143,-1)+1,AD$30&lt;=EOMONTH(EOMONTH($J143,-1)+1,$K143-1)),IF(NOT(ISBLANK($N143)),$N143/$K143,$I143/$K143),0),0)</f>
        <v>0</v>
      </c>
      <c r="AE143" s="469">
        <f t="shared" si="34"/>
        <v>0</v>
      </c>
      <c r="AF143" s="309">
        <f>IFERROR(IF(AND(AF$30&gt;=EOMONTH($J143,-1)+1,AF$30&lt;=EOMONTH(EOMONTH($J143,-1)+1,$K143-1)),IF(NOT(ISBLANK($N143)),$N143/$K143,$I143/$K143),0),0)</f>
        <v>0</v>
      </c>
      <c r="AG143" s="309">
        <f>IFERROR(IF(AND(AG$30&gt;=EOMONTH($J143,-1)+1,AG$30&lt;=EOMONTH(EOMONTH($J143,-1)+1,$K143-1)),IF(NOT(ISBLANK($N143)),$N143/$K143,$I143/$K143),0),0)</f>
        <v>0</v>
      </c>
      <c r="AH143" s="309">
        <f>IFERROR(IF(AND(AH$30&gt;=EOMONTH($J143,-1)+1,AH$30&lt;=EOMONTH(EOMONTH($J143,-1)+1,$K143-1)),IF(NOT(ISBLANK($N143)),$N143/$K143,$I143/$K143),0),0)</f>
        <v>0</v>
      </c>
      <c r="AI143" s="469">
        <f t="shared" si="29"/>
        <v>0</v>
      </c>
      <c r="AJ143" s="116">
        <f t="shared" si="32"/>
        <v>0</v>
      </c>
      <c r="AK143" s="1038"/>
      <c r="AL143" s="1038"/>
      <c r="AM143" s="1042"/>
      <c r="AN143" s="1044">
        <f>I143*AM143</f>
        <v>0</v>
      </c>
      <c r="AO143" s="595">
        <f>D143</f>
        <v>0</v>
      </c>
      <c r="AP143" s="62" t="s">
        <v>289</v>
      </c>
      <c r="AQ143" s="543" t="str" cm="1">
        <f t="array" aca="1" ref="AQ143" ca="1">IF(OR(AO143="",AO143=0),"",IF(SUMPRODUCT(($D$31:$D$146=AO143)*($R$31:$R$146="Previsto")*($T$30:$AH$30&lt;EOMONTH(TODAY(),-1)+1)*($T$31:$AH$146))=0,"",SUMPRODUCT(($D$31:$D$146=AO143)*($R$31:$R$146="Previsto")*($T$30:$AH$30&lt;EOMONTH(TODAY(),-1)+1)*($T$31:$AH$146))))</f>
        <v/>
      </c>
    </row>
    <row r="144" spans="1:43" ht="29.1" customHeight="1" x14ac:dyDescent="0.3">
      <c r="A144" s="1094"/>
      <c r="B144" s="1114"/>
      <c r="C144" s="1039"/>
      <c r="D144" s="1116"/>
      <c r="E144" s="1082"/>
      <c r="F144" s="1041"/>
      <c r="G144" s="1118"/>
      <c r="H144" s="1118"/>
      <c r="I144" s="1075"/>
      <c r="J144" s="1159"/>
      <c r="K144" s="1122"/>
      <c r="L144" s="1075"/>
      <c r="M144" s="1120"/>
      <c r="N144" s="1054"/>
      <c r="O144" s="1058"/>
      <c r="P144" s="1058"/>
      <c r="Q144" s="1063"/>
      <c r="R144" s="91" t="s">
        <v>107</v>
      </c>
      <c r="S144" s="481">
        <f>_xlfn.XLOOKUP(B143,[1]Detalhamento!$A:$A,[1]Detalhamento!$N:$N)</f>
        <v>0</v>
      </c>
      <c r="T144" s="309"/>
      <c r="U144" s="309"/>
      <c r="V144" s="309"/>
      <c r="W144" s="469">
        <f t="shared" si="31"/>
        <v>0</v>
      </c>
      <c r="X144" s="309"/>
      <c r="Y144" s="309"/>
      <c r="Z144" s="309"/>
      <c r="AA144" s="469">
        <f t="shared" si="33"/>
        <v>0</v>
      </c>
      <c r="AB144" s="309"/>
      <c r="AC144" s="309"/>
      <c r="AD144" s="309"/>
      <c r="AE144" s="469">
        <f t="shared" si="34"/>
        <v>0</v>
      </c>
      <c r="AF144" s="309"/>
      <c r="AG144" s="309"/>
      <c r="AH144" s="309"/>
      <c r="AI144" s="469">
        <f t="shared" si="29"/>
        <v>0</v>
      </c>
      <c r="AJ144" s="483">
        <f t="shared" si="32"/>
        <v>0</v>
      </c>
      <c r="AK144" s="1039"/>
      <c r="AL144" s="1039"/>
      <c r="AM144" s="1043"/>
      <c r="AN144" s="1045"/>
      <c r="AO144" s="596">
        <f>D143</f>
        <v>0</v>
      </c>
      <c r="AP144" s="62" t="s">
        <v>291</v>
      </c>
      <c r="AQ144" s="543" t="str" cm="1">
        <f t="array" aca="1" ref="AQ144" ca="1">IF(OR(AO144="",AO144=0),"",IF(SUMPRODUCT(($D$31:$D$146=AO144)*(ISNUMBER(SEARCH("Real",$R$32:$R$147)))*($T$30:$AH$30&lt;EOMONTH(TODAY(),-1)+1)*($T$32:$AH$147))=0,"",SUMPRODUCT(($D$31:$D$146=AO144)*(ISNUMBER(SEARCH("Real",$R$32:$R$147)))*($T$30:$AH$30&lt;EOMONTH(TODAY(),-1)+1)*($T$32:$AH$147))))</f>
        <v/>
      </c>
    </row>
    <row r="145" spans="1:43" ht="29.1" customHeight="1" x14ac:dyDescent="0.3">
      <c r="A145" s="1036"/>
      <c r="B145" s="1095"/>
      <c r="C145" s="1036"/>
      <c r="D145" s="1097"/>
      <c r="E145" s="1083"/>
      <c r="F145" s="1099"/>
      <c r="G145" s="1150"/>
      <c r="H145" s="1150"/>
      <c r="I145" s="1152"/>
      <c r="J145" s="1109"/>
      <c r="K145" s="1109"/>
      <c r="L145" s="1076"/>
      <c r="M145" s="1072"/>
      <c r="N145" s="1055"/>
      <c r="O145" s="1042"/>
      <c r="P145" s="1042"/>
      <c r="Q145" s="1064"/>
      <c r="R145" s="96" t="s">
        <v>106</v>
      </c>
      <c r="S145" s="96">
        <f>_xlfn.XLOOKUP(B145,[1]Detalhamento!$A:$A,[1]Detalhamento!$M:$M)</f>
        <v>0</v>
      </c>
      <c r="T145" s="532">
        <f>IFERROR(IF(AND(T$30&gt;=EOMONTH($J145,-1)+1,T$30&lt;=EOMONTH(EOMONTH($J145,-1)+1,$K145-1)),IF(NOT(ISBLANK($N145)),$N145/$K145,$I145/$K145),0),0)</f>
        <v>0</v>
      </c>
      <c r="U145" s="532">
        <f>IFERROR(IF(AND(U$30&gt;=EOMONTH($J145,-1)+1,U$30&lt;=EOMONTH(EOMONTH($J145,-1)+1,$K145-1)),IF(NOT(ISBLANK($N145)),$N145/$K145,$I145/$K145),0),0)</f>
        <v>0</v>
      </c>
      <c r="V145" s="532">
        <f>IFERROR(IF(AND(V$30&gt;=EOMONTH($J145,-1)+1,V$30&lt;=EOMONTH(EOMONTH($J145,-1)+1,$K145-1)),IF(NOT(ISBLANK($N145)),$N145/$K145,$I145/$K145),0),0)</f>
        <v>0</v>
      </c>
      <c r="W145" s="469">
        <f t="shared" si="28"/>
        <v>0</v>
      </c>
      <c r="X145" s="532">
        <f>IFERROR(IF(AND(X$30&gt;=EOMONTH($J145,-1)+1,X$30&lt;=EOMONTH(EOMONTH($J145,-1)+1,$K145-1)),IF(NOT(ISBLANK($N145)),$N145/$K145,$I145/$K145),0),0)</f>
        <v>0</v>
      </c>
      <c r="Y145" s="532">
        <f>IFERROR(IF(AND(Y$30&gt;=EOMONTH($J145,-1)+1,Y$30&lt;=EOMONTH(EOMONTH($J145,-1)+1,$K145-1)),IF(NOT(ISBLANK($N145)),$N145/$K145,$I145/$K145),0),0)</f>
        <v>0</v>
      </c>
      <c r="Z145" s="532">
        <f>IFERROR(IF(AND(Z$30&gt;=EOMONTH($J145,-1)+1,Z$30&lt;=EOMONTH(EOMONTH($J145,-1)+1,$K145-1)),IF(NOT(ISBLANK($N145)),$N145/$K145,$I145/$K145),0),0)</f>
        <v>0</v>
      </c>
      <c r="AA145" s="469">
        <f t="shared" si="26"/>
        <v>0</v>
      </c>
      <c r="AB145" s="532">
        <f>IFERROR(IF(AND(AB$30&gt;=EOMONTH($J145,-1)+1,AB$30&lt;=EOMONTH(EOMONTH($J145,-1)+1,$K145-1)),IF(NOT(ISBLANK($N145)),$N145/$K145,$I145/$K145),0),0)</f>
        <v>0</v>
      </c>
      <c r="AC145" s="532">
        <f>IFERROR(IF(AND(AC$30&gt;=EOMONTH($J145,-1)+1,AC$30&lt;=EOMONTH(EOMONTH($J145,-1)+1,$K145-1)),IF(NOT(ISBLANK($N145)),$N145/$K145,$I145/$K145),0),0)</f>
        <v>0</v>
      </c>
      <c r="AD145" s="532">
        <f>IFERROR(IF(AND(AD$30&gt;=EOMONTH($J145,-1)+1,AD$30&lt;=EOMONTH(EOMONTH($J145,-1)+1,$K145-1)),IF(NOT(ISBLANK($N145)),$N145/$K145,$I145/$K145),0),0)</f>
        <v>0</v>
      </c>
      <c r="AE145" s="469">
        <f t="shared" si="27"/>
        <v>0</v>
      </c>
      <c r="AF145" s="532">
        <f>IFERROR(IF(AND(AF$30&gt;=EOMONTH($J145,-1)+1,AF$30&lt;=EOMONTH(EOMONTH($J145,-1)+1,$K145-1)),IF(NOT(ISBLANK($N145)),$N145/$K145,$I145/$K145),0),0)</f>
        <v>0</v>
      </c>
      <c r="AG145" s="532">
        <f>IFERROR(IF(AND(AG$30&gt;=EOMONTH($J145,-1)+1,AG$30&lt;=EOMONTH(EOMONTH($J145,-1)+1,$K145-1)),IF(NOT(ISBLANK($N145)),$N145/$K145,$I145/$K145),0),0)</f>
        <v>0</v>
      </c>
      <c r="AH145" s="532">
        <f>IFERROR(IF(AND(AH$30&gt;=EOMONTH($J145,-1)+1,AH$30&lt;=EOMONTH(EOMONTH($J145,-1)+1,$K145-1)),IF(NOT(ISBLANK($N145)),$N145/$K145,$I145/$K145),0),0)</f>
        <v>0</v>
      </c>
      <c r="AI145" s="469">
        <f t="shared" si="24"/>
        <v>0</v>
      </c>
      <c r="AJ145" s="94">
        <f t="shared" si="25"/>
        <v>0</v>
      </c>
      <c r="AK145" s="1038"/>
      <c r="AL145" s="1038"/>
      <c r="AM145" s="1042"/>
      <c r="AN145" s="1044">
        <f>I145*AM145</f>
        <v>0</v>
      </c>
      <c r="AO145" s="595">
        <f>D145</f>
        <v>0</v>
      </c>
      <c r="AP145" s="62" t="s">
        <v>289</v>
      </c>
      <c r="AQ145" s="543" t="str" cm="1">
        <f t="array" aca="1" ref="AQ145" ca="1">IF(OR(AO145="",AO145=0),"",IF(SUMPRODUCT(($D$31:$D$146=AO145)*($R$31:$R$146="Previsto")*($T$30:$AH$30&lt;EOMONTH(TODAY(),-1)+1)*($T$31:$AH$146))=0,"",SUMPRODUCT(($D$31:$D$146=AO145)*($R$31:$R$146="Previsto")*($T$30:$AH$30&lt;EOMONTH(TODAY(),-1)+1)*($T$31:$AH$146))))</f>
        <v/>
      </c>
    </row>
    <row r="146" spans="1:43" ht="29.1" customHeight="1" x14ac:dyDescent="0.3">
      <c r="A146" s="1037"/>
      <c r="B146" s="1096"/>
      <c r="C146" s="1037"/>
      <c r="D146" s="1098"/>
      <c r="E146" s="1084"/>
      <c r="F146" s="1100"/>
      <c r="G146" s="1151"/>
      <c r="H146" s="1151"/>
      <c r="I146" s="1151"/>
      <c r="J146" s="1110"/>
      <c r="K146" s="1110"/>
      <c r="L146" s="1077"/>
      <c r="M146" s="1073"/>
      <c r="N146" s="1056"/>
      <c r="O146" s="1043"/>
      <c r="P146" s="1043"/>
      <c r="Q146" s="1065"/>
      <c r="R146" s="96" t="s">
        <v>107</v>
      </c>
      <c r="S146" s="482">
        <f>_xlfn.XLOOKUP(B145,[1]Detalhamento!$A:$A,[1]Detalhamento!$N:$N)</f>
        <v>0</v>
      </c>
      <c r="T146" s="532"/>
      <c r="U146" s="532"/>
      <c r="V146" s="532"/>
      <c r="W146" s="469">
        <f t="shared" si="28"/>
        <v>0</v>
      </c>
      <c r="X146" s="532"/>
      <c r="Y146" s="532"/>
      <c r="Z146" s="532"/>
      <c r="AA146" s="469">
        <f t="shared" si="26"/>
        <v>0</v>
      </c>
      <c r="AB146" s="532"/>
      <c r="AC146" s="532"/>
      <c r="AD146" s="532"/>
      <c r="AE146" s="469">
        <f t="shared" si="27"/>
        <v>0</v>
      </c>
      <c r="AF146" s="532"/>
      <c r="AG146" s="532"/>
      <c r="AH146" s="532"/>
      <c r="AI146" s="469">
        <f t="shared" si="24"/>
        <v>0</v>
      </c>
      <c r="AJ146" s="94">
        <f t="shared" si="25"/>
        <v>0</v>
      </c>
      <c r="AK146" s="1039"/>
      <c r="AL146" s="1039"/>
      <c r="AM146" s="1043"/>
      <c r="AN146" s="1045"/>
      <c r="AO146" s="596">
        <f>D145</f>
        <v>0</v>
      </c>
      <c r="AP146" s="62" t="s">
        <v>291</v>
      </c>
      <c r="AQ146" s="543" t="str" cm="1">
        <f t="array" aca="1" ref="AQ146" ca="1">IF(OR(AO146="",AO146=0),"",IF(SUMPRODUCT(($D$31:$D$146=AO146)*(ISNUMBER(SEARCH("Real",$R$32:$R$147)))*($T$30:$AH$30&lt;EOMONTH(TODAY(),-1)+1)*($T$32:$AH$147))=0,"",SUMPRODUCT(($D$31:$D$146=AO146)*(ISNUMBER(SEARCH("Real",$R$32:$R$147)))*($T$30:$AH$30&lt;EOMONTH(TODAY(),-1)+1)*($T$32:$AH$147))))</f>
        <v/>
      </c>
    </row>
    <row r="147" spans="1:43" s="120" customFormat="1" ht="20.85" customHeight="1" x14ac:dyDescent="0.3"/>
    <row r="148" spans="1:43" x14ac:dyDescent="0.3">
      <c r="O148" s="151"/>
      <c r="P148" s="151">
        <v>46023</v>
      </c>
      <c r="Q148" s="151">
        <v>46054</v>
      </c>
      <c r="R148" s="151">
        <v>46082</v>
      </c>
      <c r="S148" s="151">
        <v>46113</v>
      </c>
      <c r="T148" s="151">
        <v>46143</v>
      </c>
      <c r="U148" s="151">
        <v>46174</v>
      </c>
      <c r="V148" s="151">
        <v>46204</v>
      </c>
      <c r="W148" s="151">
        <v>46235</v>
      </c>
      <c r="X148" s="151">
        <v>46266</v>
      </c>
      <c r="Y148" s="151">
        <v>46296</v>
      </c>
      <c r="Z148" s="151">
        <v>46327</v>
      </c>
      <c r="AA148" s="151">
        <v>46357</v>
      </c>
      <c r="AB148" s="151" t="s">
        <v>550</v>
      </c>
    </row>
    <row r="149" spans="1:43" x14ac:dyDescent="0.3">
      <c r="O149" s="504" t="s">
        <v>106</v>
      </c>
      <c r="P149" s="152">
        <f>SUMIF($R$31:$R$146,$O$149,T31:T146)</f>
        <v>225981.45916666664</v>
      </c>
      <c r="Q149" s="152">
        <f>SUMIF($R$31:$R$146,$O$149,U31:U146)</f>
        <v>267628.9425</v>
      </c>
      <c r="R149" s="152">
        <f>SUMIF($R$31:$R$146,$O$149,V31:V146)</f>
        <v>327267.29750000004</v>
      </c>
      <c r="S149" s="152">
        <f>SUMIF($R$31:$R$146,$O$149,X31:X146)</f>
        <v>367940.71416666673</v>
      </c>
      <c r="T149" s="152">
        <f>SUMIF($R$31:$R$146,$O$149,Y31:Y146)</f>
        <v>377282.25416666671</v>
      </c>
      <c r="U149" s="152">
        <f>SUMIF($R$31:$R$146,$O$149,Z31:Z146)</f>
        <v>598058.64833333332</v>
      </c>
      <c r="V149" s="152">
        <f>SUMIF($R$31:$R$146,$O$149,AB31:AB146)</f>
        <v>729249.23166666669</v>
      </c>
      <c r="W149" s="152">
        <f>SUMIF($R$31:$R$146,$O$149,AC31:AC146)</f>
        <v>743908.68916666671</v>
      </c>
      <c r="X149" s="152">
        <f>SUMIF($R$31:$R$146,$O$149,AD31:AD146)</f>
        <v>771732.0842416666</v>
      </c>
      <c r="Y149" s="152">
        <f>SUMIF($R$31:$R$146,$O$149,AF31:AF146)</f>
        <v>875920.41757499997</v>
      </c>
      <c r="Z149" s="152">
        <f>SUMIF($R$31:$R$146,$O$149,AG31:AG146)</f>
        <v>917587.0842416666</v>
      </c>
      <c r="AA149" s="152">
        <f>SUMIF($R$31:$R$146,$O$149,AH31:AH146)</f>
        <v>1115137.0575750002</v>
      </c>
      <c r="AB149" s="152">
        <f>SUM(P149:AA149)</f>
        <v>7317693.8803000012</v>
      </c>
    </row>
    <row r="150" spans="1:43" x14ac:dyDescent="0.3">
      <c r="O150" s="505" t="s">
        <v>107</v>
      </c>
      <c r="P150" s="154">
        <f>SUMIF($R$31:$R$146,$O$150,T31:T146)</f>
        <v>212117.82</v>
      </c>
      <c r="Q150" s="154">
        <f>SUMIF($R$31:$R$146,$O$150,U31:U146)</f>
        <v>212475.94120944</v>
      </c>
      <c r="R150" s="154">
        <f>SUMIF($R$31:$R$146,$O$150,V31:V146)</f>
        <v>172509.70954820001</v>
      </c>
      <c r="S150" s="154">
        <f>SUMIF($R$31:$R$146,$O$150,X31:X146)</f>
        <v>0</v>
      </c>
      <c r="T150" s="154">
        <f>SUMIF($R$31:$R$146,$O$150,Y31:Y146)</f>
        <v>0</v>
      </c>
      <c r="U150" s="154">
        <f>SUMIF($R$31:$R$146,$O$150,Z31:Z146)</f>
        <v>0</v>
      </c>
      <c r="V150" s="154">
        <f>SUMIF($R$31:$R$146,$O$150,AB31:AB146)</f>
        <v>0</v>
      </c>
      <c r="W150" s="154">
        <f>SUMIF($R$31:$R$146,$O$150,AC31:AC146)</f>
        <v>0</v>
      </c>
      <c r="X150" s="154">
        <f>SUMIF($R$31:$R$146,$O$150,AD31:AD146)</f>
        <v>0</v>
      </c>
      <c r="Y150" s="154">
        <f>SUMIF($R$31:$R$146,$O$150,AF31:AF146)</f>
        <v>0</v>
      </c>
      <c r="Z150" s="154">
        <f>SUMIF($R$31:$R$146,$O$150,AG31:AG146)</f>
        <v>0</v>
      </c>
      <c r="AA150" s="154">
        <f>SUMIF($R$31:$R$146,$O$150,AH31:AH146)</f>
        <v>0</v>
      </c>
      <c r="AB150" s="154">
        <f>SUM(P150:AA150)</f>
        <v>597103.47075763997</v>
      </c>
    </row>
    <row r="151" spans="1:43" x14ac:dyDescent="0.3">
      <c r="O151" s="506" t="s">
        <v>566</v>
      </c>
      <c r="P151" s="160" cm="1">
        <f t="array" ref="P151">SUMPRODUCT(($G$31:$G$146&lt;&gt;"")*($G$31:$G$146&lt;=P$148)*(($H$31:$H$146="")+($H$31:$H$146&gt;=P$148)))</f>
        <v>21</v>
      </c>
      <c r="Q151" s="160" cm="1">
        <f t="array" ref="Q151">SUMPRODUCT(($G$31:$G$146&lt;&gt;"")*($G$31:$G$146&lt;=Q$148)*(($H$31:$H$146="")+($H$31:$H$146&gt;=Q$148)))</f>
        <v>30</v>
      </c>
      <c r="R151" s="160" cm="1">
        <f t="array" ref="R151">SUMPRODUCT(($G$31:$G$146&lt;&gt;"")*($G$31:$G$146&lt;=R$148)*(($H$31:$H$146="")+($H$31:$H$146&gt;=R$148)))</f>
        <v>32</v>
      </c>
      <c r="S151" s="160" cm="1">
        <f t="array" ref="S151">SUMPRODUCT(($G$31:$G$146&lt;&gt;"")*($G$31:$G$146&lt;=S$148)*(($H$31:$H$146="")+($H$31:$H$146&gt;=S$148)))</f>
        <v>28</v>
      </c>
      <c r="T151" s="160" cm="1">
        <f t="array" ref="T151">SUMPRODUCT(($G$31:$G$146&lt;&gt;"")*($G$31:$G$146&lt;=T$148)*(($H$31:$H$146="")+($H$31:$H$146&gt;=T$148)))</f>
        <v>25</v>
      </c>
      <c r="U151" s="160" cm="1">
        <f t="array" ref="U151">SUMPRODUCT(($G$31:$G$146&lt;&gt;"")*($G$31:$G$146&lt;=U$148)*(($H$31:$H$146="")+($H$31:$H$146&gt;=U$148)))</f>
        <v>19</v>
      </c>
      <c r="V151" s="160" cm="1">
        <f t="array" ref="V151">SUMPRODUCT(($G$31:$G$146&lt;&gt;"")*($G$31:$G$146&lt;=V$148)*(($H$31:$H$146="")+($H$31:$H$146&gt;=V$148)))</f>
        <v>16</v>
      </c>
      <c r="W151" s="160" cm="1">
        <f t="array" ref="W151">SUMPRODUCT(($G$31:$G$146&lt;&gt;"")*($G$31:$G$146&lt;=W$148)*(($H$31:$H$146="")+($H$31:$H$146&gt;=W$148)))</f>
        <v>11</v>
      </c>
      <c r="X151" s="160" cm="1">
        <f t="array" ref="X151">SUMPRODUCT(($G$31:$G$146&lt;&gt;"")*($G$31:$G$146&lt;=X$148)*(($H$31:$H$146="")+($H$31:$H$146&gt;=X$148)))</f>
        <v>7</v>
      </c>
      <c r="Y151" s="160" cm="1">
        <f t="array" ref="Y151">SUMPRODUCT(($G$31:$G$146&lt;&gt;"")*($G$31:$G$146&lt;=Y$148)*(($H$31:$H$146="")+($H$31:$H$146&gt;=Y$148)))</f>
        <v>6</v>
      </c>
      <c r="Z151" s="160" cm="1">
        <f t="array" ref="Z151">SUMPRODUCT(($G$31:$G$146&lt;&gt;"")*($G$31:$G$146&lt;=Z$148)*(($H$31:$H$146="")+($H$31:$H$146&gt;=Z$148)))</f>
        <v>5</v>
      </c>
      <c r="AA151" s="160" cm="1">
        <f t="array" ref="AA151">SUMPRODUCT(($G$31:$G$146&lt;&gt;"")*($G$31:$G$146&lt;=AA$148)*(($H$31:$H$146="")+($H$31:$H$146&gt;=AA$148)))</f>
        <v>5</v>
      </c>
      <c r="AB151" s="160"/>
    </row>
    <row r="152" spans="1:43" x14ac:dyDescent="0.3">
      <c r="J152" s="529"/>
      <c r="O152" s="505" t="s">
        <v>570</v>
      </c>
      <c r="P152" s="154">
        <f>P149</f>
        <v>225981.45916666664</v>
      </c>
      <c r="Q152" s="154">
        <f>P152+Q149</f>
        <v>493610.40166666661</v>
      </c>
      <c r="R152" s="154">
        <f t="shared" ref="R152:AA153" si="35">Q152+R149</f>
        <v>820877.69916666672</v>
      </c>
      <c r="S152" s="154">
        <f t="shared" si="35"/>
        <v>1188818.4133333336</v>
      </c>
      <c r="T152" s="154">
        <f t="shared" si="35"/>
        <v>1566100.6675000002</v>
      </c>
      <c r="U152" s="154">
        <f t="shared" si="35"/>
        <v>2164159.3158333334</v>
      </c>
      <c r="V152" s="154">
        <f t="shared" si="35"/>
        <v>2893408.5475000003</v>
      </c>
      <c r="W152" s="154">
        <f t="shared" si="35"/>
        <v>3637317.2366666673</v>
      </c>
      <c r="X152" s="154">
        <f t="shared" si="35"/>
        <v>4409049.3209083341</v>
      </c>
      <c r="Y152" s="154">
        <f t="shared" si="35"/>
        <v>5284969.738483334</v>
      </c>
      <c r="Z152" s="154">
        <f t="shared" si="35"/>
        <v>6202556.8227250008</v>
      </c>
      <c r="AA152" s="154">
        <f t="shared" si="35"/>
        <v>7317693.8803000012</v>
      </c>
      <c r="AB152" s="154"/>
    </row>
    <row r="153" spans="1:43" x14ac:dyDescent="0.3">
      <c r="O153" s="506" t="s">
        <v>574</v>
      </c>
      <c r="P153" s="507">
        <f>P150</f>
        <v>212117.82</v>
      </c>
      <c r="Q153" s="507">
        <f>P153+Q150</f>
        <v>424593.76120944001</v>
      </c>
      <c r="R153" s="507">
        <f t="shared" si="35"/>
        <v>597103.47075763997</v>
      </c>
      <c r="S153" s="507">
        <f t="shared" si="35"/>
        <v>597103.47075763997</v>
      </c>
      <c r="T153" s="507">
        <f t="shared" si="35"/>
        <v>597103.47075763997</v>
      </c>
      <c r="U153" s="507">
        <f t="shared" si="35"/>
        <v>597103.47075763997</v>
      </c>
      <c r="V153" s="507">
        <f t="shared" si="35"/>
        <v>597103.47075763997</v>
      </c>
      <c r="W153" s="507">
        <f t="shared" si="35"/>
        <v>597103.47075763997</v>
      </c>
      <c r="X153" s="507">
        <f t="shared" si="35"/>
        <v>597103.47075763997</v>
      </c>
      <c r="Y153" s="507">
        <f t="shared" si="35"/>
        <v>597103.47075763997</v>
      </c>
      <c r="Z153" s="507">
        <f t="shared" si="35"/>
        <v>597103.47075763997</v>
      </c>
      <c r="AA153" s="507">
        <f t="shared" si="35"/>
        <v>597103.47075763997</v>
      </c>
      <c r="AB153" s="507"/>
    </row>
    <row r="154" spans="1:43" x14ac:dyDescent="0.3">
      <c r="O154" s="505" t="s">
        <v>578</v>
      </c>
      <c r="P154" s="154">
        <f>P153</f>
        <v>212117.82</v>
      </c>
      <c r="Q154" s="154">
        <f>IF(AND(ISNUMBER(Q150),Q150&lt;&gt;0), Q153, P154 + (($A$5 - MAX($P$153:$AG$153)) / COUNTIF($P$150:$AG$150,0)))</f>
        <v>424593.76120944001</v>
      </c>
      <c r="R154" s="154">
        <f t="shared" ref="R154:AA154" si="36">IF(AND(ISNUMBER(R150),R150&lt;&gt;0), R153, Q154 + (($A$5 - MAX($P$153:$AG$153)) / COUNTIF($P$150:$AG$150,0)))</f>
        <v>597103.47075763997</v>
      </c>
      <c r="S154" s="154">
        <f t="shared" si="36"/>
        <v>1308536.4184512356</v>
      </c>
      <c r="T154" s="154">
        <f t="shared" si="36"/>
        <v>2019969.3661448313</v>
      </c>
      <c r="U154" s="154">
        <f t="shared" si="36"/>
        <v>2731402.313838427</v>
      </c>
      <c r="V154" s="154">
        <f t="shared" si="36"/>
        <v>3442835.2615320226</v>
      </c>
      <c r="W154" s="154">
        <f t="shared" si="36"/>
        <v>4154268.2092256183</v>
      </c>
      <c r="X154" s="154">
        <f t="shared" si="36"/>
        <v>4865701.1569192139</v>
      </c>
      <c r="Y154" s="154">
        <f t="shared" si="36"/>
        <v>5577134.1046128096</v>
      </c>
      <c r="Z154" s="154">
        <f t="shared" si="36"/>
        <v>6288567.0523064053</v>
      </c>
      <c r="AA154" s="154">
        <f t="shared" si="36"/>
        <v>7000000.0000000009</v>
      </c>
      <c r="AB154" s="154"/>
    </row>
  </sheetData>
  <sheetProtection formatCells="0" formatColumns="0" formatRows="0" insertHyperlinks="0"/>
  <autoFilter ref="A30:AP146" xr:uid="{5DE51545-8593-4605-A1AD-B24552488CB1}"/>
  <mergeCells count="1265">
    <mergeCell ref="A141:A142"/>
    <mergeCell ref="L137:L138"/>
    <mergeCell ref="AM141:AM142"/>
    <mergeCell ref="AN141:AN142"/>
    <mergeCell ref="A143:A144"/>
    <mergeCell ref="B143:B144"/>
    <mergeCell ref="D143:D144"/>
    <mergeCell ref="E143:E144"/>
    <mergeCell ref="F143:F144"/>
    <mergeCell ref="G143:G144"/>
    <mergeCell ref="H143:H144"/>
    <mergeCell ref="I143:I144"/>
    <mergeCell ref="J143:J144"/>
    <mergeCell ref="K143:K144"/>
    <mergeCell ref="L143:L144"/>
    <mergeCell ref="M143:M144"/>
    <mergeCell ref="N143:N144"/>
    <mergeCell ref="O143:O144"/>
    <mergeCell ref="P143:P144"/>
    <mergeCell ref="Q143:Q144"/>
    <mergeCell ref="AK143:AK144"/>
    <mergeCell ref="AL143:AL144"/>
    <mergeCell ref="AM143:AM144"/>
    <mergeCell ref="AN143:AN144"/>
    <mergeCell ref="K141:K142"/>
    <mergeCell ref="L141:L142"/>
    <mergeCell ref="M141:M142"/>
    <mergeCell ref="N141:N142"/>
    <mergeCell ref="O141:O142"/>
    <mergeCell ref="P141:P142"/>
    <mergeCell ref="Q141:Q142"/>
    <mergeCell ref="AK141:AK142"/>
    <mergeCell ref="AL141:AL142"/>
    <mergeCell ref="J133:J134"/>
    <mergeCell ref="B141:B142"/>
    <mergeCell ref="D141:D142"/>
    <mergeCell ref="E141:E142"/>
    <mergeCell ref="F141:F142"/>
    <mergeCell ref="G141:G142"/>
    <mergeCell ref="H141:H142"/>
    <mergeCell ref="I141:I142"/>
    <mergeCell ref="J141:J142"/>
    <mergeCell ref="AM137:AM138"/>
    <mergeCell ref="AN137:AN138"/>
    <mergeCell ref="A139:A140"/>
    <mergeCell ref="B139:B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Q139:Q140"/>
    <mergeCell ref="AK139:AK140"/>
    <mergeCell ref="AL139:AL140"/>
    <mergeCell ref="AM139:AM140"/>
    <mergeCell ref="AN139:AN140"/>
    <mergeCell ref="K137:K138"/>
    <mergeCell ref="L133:L134"/>
    <mergeCell ref="M133:M134"/>
    <mergeCell ref="N133:N134"/>
    <mergeCell ref="O133:O134"/>
    <mergeCell ref="P133:P134"/>
    <mergeCell ref="Q133:Q134"/>
    <mergeCell ref="AK133:AK134"/>
    <mergeCell ref="AL133:AL134"/>
    <mergeCell ref="A133:A134"/>
    <mergeCell ref="B133:B134"/>
    <mergeCell ref="M137:M138"/>
    <mergeCell ref="N137:N138"/>
    <mergeCell ref="O137:O138"/>
    <mergeCell ref="P137:P138"/>
    <mergeCell ref="Q137:Q138"/>
    <mergeCell ref="AK137:AK138"/>
    <mergeCell ref="AL137:AL138"/>
    <mergeCell ref="A137:A138"/>
    <mergeCell ref="B137:B138"/>
    <mergeCell ref="D137:D138"/>
    <mergeCell ref="E137:E138"/>
    <mergeCell ref="F137:F138"/>
    <mergeCell ref="G137:G138"/>
    <mergeCell ref="H137:H138"/>
    <mergeCell ref="I137:I138"/>
    <mergeCell ref="J137:J138"/>
    <mergeCell ref="D133:D134"/>
    <mergeCell ref="E133:E134"/>
    <mergeCell ref="F133:F134"/>
    <mergeCell ref="G133:G134"/>
    <mergeCell ref="H133:H134"/>
    <mergeCell ref="AL129:AL130"/>
    <mergeCell ref="A129:A130"/>
    <mergeCell ref="AN133:AN134"/>
    <mergeCell ref="A135:A136"/>
    <mergeCell ref="B135:B136"/>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Q135:Q136"/>
    <mergeCell ref="AK135:AK136"/>
    <mergeCell ref="AL135:AL136"/>
    <mergeCell ref="AM135:AM136"/>
    <mergeCell ref="AN135:AN136"/>
    <mergeCell ref="K133:K134"/>
    <mergeCell ref="A131:A132"/>
    <mergeCell ref="B131:B132"/>
    <mergeCell ref="D131:D132"/>
    <mergeCell ref="E131:E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I133:I134"/>
    <mergeCell ref="B129:B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Q129:Q130"/>
    <mergeCell ref="AM125:AM126"/>
    <mergeCell ref="AN125:AN126"/>
    <mergeCell ref="A127:A128"/>
    <mergeCell ref="B127:B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Q127:Q128"/>
    <mergeCell ref="AK127:AK128"/>
    <mergeCell ref="AL127:AL128"/>
    <mergeCell ref="AM127:AM128"/>
    <mergeCell ref="AN127:AN128"/>
    <mergeCell ref="K125:K126"/>
    <mergeCell ref="L125:L126"/>
    <mergeCell ref="B121:B122"/>
    <mergeCell ref="M125:M126"/>
    <mergeCell ref="N125:N126"/>
    <mergeCell ref="O125:O126"/>
    <mergeCell ref="P125:P126"/>
    <mergeCell ref="Q125:Q126"/>
    <mergeCell ref="AK125:AK126"/>
    <mergeCell ref="AL125:AL126"/>
    <mergeCell ref="A125:A126"/>
    <mergeCell ref="B125:B126"/>
    <mergeCell ref="D125:D126"/>
    <mergeCell ref="E125:E126"/>
    <mergeCell ref="F125:F126"/>
    <mergeCell ref="G125:G126"/>
    <mergeCell ref="H125:H126"/>
    <mergeCell ref="I125:I126"/>
    <mergeCell ref="J125:J126"/>
    <mergeCell ref="D121:D122"/>
    <mergeCell ref="E121:E122"/>
    <mergeCell ref="F121:F122"/>
    <mergeCell ref="G121:G122"/>
    <mergeCell ref="H121:H122"/>
    <mergeCell ref="I121:I122"/>
    <mergeCell ref="J121:J122"/>
    <mergeCell ref="A117:A118"/>
    <mergeCell ref="AN121:AN122"/>
    <mergeCell ref="A123:A124"/>
    <mergeCell ref="B123:B124"/>
    <mergeCell ref="D123:D124"/>
    <mergeCell ref="E123:E124"/>
    <mergeCell ref="F123:F124"/>
    <mergeCell ref="G123:G124"/>
    <mergeCell ref="H123:H124"/>
    <mergeCell ref="I123:I124"/>
    <mergeCell ref="J123:J124"/>
    <mergeCell ref="K123:K124"/>
    <mergeCell ref="L123:L124"/>
    <mergeCell ref="M123:M124"/>
    <mergeCell ref="N123:N124"/>
    <mergeCell ref="O123:O124"/>
    <mergeCell ref="P123:P124"/>
    <mergeCell ref="Q123:Q124"/>
    <mergeCell ref="AK123:AK124"/>
    <mergeCell ref="AL123:AL124"/>
    <mergeCell ref="AM123:AM124"/>
    <mergeCell ref="AN123:AN124"/>
    <mergeCell ref="K121:K122"/>
    <mergeCell ref="L121:L122"/>
    <mergeCell ref="M121:M122"/>
    <mergeCell ref="N121:N122"/>
    <mergeCell ref="O121:O122"/>
    <mergeCell ref="P121:P122"/>
    <mergeCell ref="Q121:Q122"/>
    <mergeCell ref="AK121:AK122"/>
    <mergeCell ref="AL121:AL122"/>
    <mergeCell ref="A121:A122"/>
    <mergeCell ref="O115:O116"/>
    <mergeCell ref="P115:P116"/>
    <mergeCell ref="Q115:Q116"/>
    <mergeCell ref="K119:K120"/>
    <mergeCell ref="L119:L120"/>
    <mergeCell ref="M119:M120"/>
    <mergeCell ref="N119:N120"/>
    <mergeCell ref="O119:O120"/>
    <mergeCell ref="P119:P120"/>
    <mergeCell ref="Q119:Q120"/>
    <mergeCell ref="AK119:AK120"/>
    <mergeCell ref="AL119:AL120"/>
    <mergeCell ref="AM119:AM120"/>
    <mergeCell ref="AN119:AN120"/>
    <mergeCell ref="K117:K118"/>
    <mergeCell ref="L117:L118"/>
    <mergeCell ref="M117:M118"/>
    <mergeCell ref="N117:N118"/>
    <mergeCell ref="O117:O118"/>
    <mergeCell ref="P117:P118"/>
    <mergeCell ref="Q117:Q118"/>
    <mergeCell ref="AK117:AK118"/>
    <mergeCell ref="AL117:AL118"/>
    <mergeCell ref="E107:E108"/>
    <mergeCell ref="M103:M104"/>
    <mergeCell ref="N103:N104"/>
    <mergeCell ref="O103:O104"/>
    <mergeCell ref="Q83:Q84"/>
    <mergeCell ref="Q85:Q86"/>
    <mergeCell ref="Q87:Q88"/>
    <mergeCell ref="Q89:Q90"/>
    <mergeCell ref="Q91:Q92"/>
    <mergeCell ref="O83:O84"/>
    <mergeCell ref="P83:P84"/>
    <mergeCell ref="P85:P86"/>
    <mergeCell ref="B117:B118"/>
    <mergeCell ref="D117:D118"/>
    <mergeCell ref="E117:E118"/>
    <mergeCell ref="F117:F118"/>
    <mergeCell ref="G117:G118"/>
    <mergeCell ref="H117:H118"/>
    <mergeCell ref="I117:I118"/>
    <mergeCell ref="J117:J118"/>
    <mergeCell ref="B115:B116"/>
    <mergeCell ref="D115:D116"/>
    <mergeCell ref="E115:E116"/>
    <mergeCell ref="F115:F116"/>
    <mergeCell ref="G115:G116"/>
    <mergeCell ref="H115:H116"/>
    <mergeCell ref="I115:I116"/>
    <mergeCell ref="J115:J116"/>
    <mergeCell ref="K115:K116"/>
    <mergeCell ref="L115:L116"/>
    <mergeCell ref="M115:M116"/>
    <mergeCell ref="N115:N116"/>
    <mergeCell ref="Q93:Q94"/>
    <mergeCell ref="Q95:Q96"/>
    <mergeCell ref="Q97:Q98"/>
    <mergeCell ref="P101:P102"/>
    <mergeCell ref="Q99:Q100"/>
    <mergeCell ref="M113:M114"/>
    <mergeCell ref="N113:N114"/>
    <mergeCell ref="O113:O114"/>
    <mergeCell ref="P113:P114"/>
    <mergeCell ref="Q113:Q114"/>
    <mergeCell ref="AK113:AK114"/>
    <mergeCell ref="AL113:AL114"/>
    <mergeCell ref="A113:A114"/>
    <mergeCell ref="B113:B114"/>
    <mergeCell ref="D113:D114"/>
    <mergeCell ref="E113:E114"/>
    <mergeCell ref="F113:F114"/>
    <mergeCell ref="G113:G114"/>
    <mergeCell ref="H113:H114"/>
    <mergeCell ref="I113:I114"/>
    <mergeCell ref="J113:J114"/>
    <mergeCell ref="J105:J106"/>
    <mergeCell ref="J107:J108"/>
    <mergeCell ref="J109:J110"/>
    <mergeCell ref="J111:J112"/>
    <mergeCell ref="Q101:Q102"/>
    <mergeCell ref="AK105:AK106"/>
    <mergeCell ref="K113:K114"/>
    <mergeCell ref="L113:L114"/>
    <mergeCell ref="J101:J102"/>
    <mergeCell ref="H99:H100"/>
    <mergeCell ref="I99:I100"/>
    <mergeCell ref="K111:K112"/>
    <mergeCell ref="K73:K74"/>
    <mergeCell ref="K75:K76"/>
    <mergeCell ref="K77:K78"/>
    <mergeCell ref="K79:K80"/>
    <mergeCell ref="K81:K82"/>
    <mergeCell ref="K83:K84"/>
    <mergeCell ref="K85:K86"/>
    <mergeCell ref="K87:K88"/>
    <mergeCell ref="K89:K90"/>
    <mergeCell ref="K95:K96"/>
    <mergeCell ref="K97:K98"/>
    <mergeCell ref="K99:K100"/>
    <mergeCell ref="K101:K102"/>
    <mergeCell ref="K103:K104"/>
    <mergeCell ref="K105:K106"/>
    <mergeCell ref="K107:K108"/>
    <mergeCell ref="J145:J146"/>
    <mergeCell ref="K31:K32"/>
    <mergeCell ref="K33:K34"/>
    <mergeCell ref="K35:K36"/>
    <mergeCell ref="K37:K38"/>
    <mergeCell ref="K39:K40"/>
    <mergeCell ref="K41:K42"/>
    <mergeCell ref="K43:K44"/>
    <mergeCell ref="K45:K46"/>
    <mergeCell ref="K47:K48"/>
    <mergeCell ref="K49:K50"/>
    <mergeCell ref="K51:K52"/>
    <mergeCell ref="K53:K54"/>
    <mergeCell ref="K55:K56"/>
    <mergeCell ref="K57:K58"/>
    <mergeCell ref="K59:K60"/>
    <mergeCell ref="K61:K62"/>
    <mergeCell ref="K63:K64"/>
    <mergeCell ref="K65:K66"/>
    <mergeCell ref="K67:K68"/>
    <mergeCell ref="J75:J76"/>
    <mergeCell ref="J77:J78"/>
    <mergeCell ref="J79:J80"/>
    <mergeCell ref="J81:J82"/>
    <mergeCell ref="J83:J84"/>
    <mergeCell ref="J85:J86"/>
    <mergeCell ref="J87:J88"/>
    <mergeCell ref="J89:J90"/>
    <mergeCell ref="J91:J92"/>
    <mergeCell ref="J53:J54"/>
    <mergeCell ref="J55:J56"/>
    <mergeCell ref="K109:K110"/>
    <mergeCell ref="P87:P88"/>
    <mergeCell ref="P89:P90"/>
    <mergeCell ref="P91:P92"/>
    <mergeCell ref="O87:O88"/>
    <mergeCell ref="O91:O92"/>
    <mergeCell ref="AK83:AK84"/>
    <mergeCell ref="L85:L86"/>
    <mergeCell ref="L103:L104"/>
    <mergeCell ref="N105:N106"/>
    <mergeCell ref="AL93:AL94"/>
    <mergeCell ref="AL101:AL102"/>
    <mergeCell ref="M99:M100"/>
    <mergeCell ref="N99:N100"/>
    <mergeCell ref="O145:O146"/>
    <mergeCell ref="P103:P104"/>
    <mergeCell ref="P105:P106"/>
    <mergeCell ref="P107:P108"/>
    <mergeCell ref="P109:P110"/>
    <mergeCell ref="P111:P112"/>
    <mergeCell ref="P145:P146"/>
    <mergeCell ref="Q103:Q104"/>
    <mergeCell ref="Q105:Q106"/>
    <mergeCell ref="Q109:Q110"/>
    <mergeCell ref="Q111:Q112"/>
    <mergeCell ref="Q145:Q146"/>
    <mergeCell ref="Q107:Q108"/>
    <mergeCell ref="P95:P96"/>
    <mergeCell ref="O93:O94"/>
    <mergeCell ref="P93:P94"/>
    <mergeCell ref="P97:P98"/>
    <mergeCell ref="P99:P100"/>
    <mergeCell ref="L105:L106"/>
    <mergeCell ref="Q63:Q64"/>
    <mergeCell ref="Q65:Q66"/>
    <mergeCell ref="Q67:Q68"/>
    <mergeCell ref="Q69:Q70"/>
    <mergeCell ref="Q71:Q72"/>
    <mergeCell ref="AL65:AL66"/>
    <mergeCell ref="AM65:AM66"/>
    <mergeCell ref="AN65:AN66"/>
    <mergeCell ref="AL63:AL64"/>
    <mergeCell ref="AM63:AM64"/>
    <mergeCell ref="M101:M102"/>
    <mergeCell ref="N101:N102"/>
    <mergeCell ref="O101:O102"/>
    <mergeCell ref="M97:M98"/>
    <mergeCell ref="N97:N98"/>
    <mergeCell ref="O97:O98"/>
    <mergeCell ref="M95:M96"/>
    <mergeCell ref="Q73:Q74"/>
    <mergeCell ref="Q75:Q76"/>
    <mergeCell ref="Q77:Q78"/>
    <mergeCell ref="Q79:Q80"/>
    <mergeCell ref="Q81:Q82"/>
    <mergeCell ref="O79:O80"/>
    <mergeCell ref="P73:P74"/>
    <mergeCell ref="N95:N96"/>
    <mergeCell ref="N85:N86"/>
    <mergeCell ref="N89:N90"/>
    <mergeCell ref="M81:M82"/>
    <mergeCell ref="M85:M86"/>
    <mergeCell ref="N79:N80"/>
    <mergeCell ref="N83:N84"/>
    <mergeCell ref="N87:N88"/>
    <mergeCell ref="Q59:Q60"/>
    <mergeCell ref="Q61:Q62"/>
    <mergeCell ref="AL59:AL60"/>
    <mergeCell ref="AM59:AM60"/>
    <mergeCell ref="AN59:AN60"/>
    <mergeCell ref="AL61:AL62"/>
    <mergeCell ref="AM61:AM62"/>
    <mergeCell ref="AN61:AN62"/>
    <mergeCell ref="AK59:AK60"/>
    <mergeCell ref="AK61:AK62"/>
    <mergeCell ref="L75:L76"/>
    <mergeCell ref="L77:L78"/>
    <mergeCell ref="L79:L80"/>
    <mergeCell ref="L81:L82"/>
    <mergeCell ref="P75:P76"/>
    <mergeCell ref="P77:P78"/>
    <mergeCell ref="P79:P80"/>
    <mergeCell ref="P81:P82"/>
    <mergeCell ref="N81:N82"/>
    <mergeCell ref="P59:P60"/>
    <mergeCell ref="P61:P62"/>
    <mergeCell ref="AN75:AN76"/>
    <mergeCell ref="AL77:AL78"/>
    <mergeCell ref="L65:L66"/>
    <mergeCell ref="L67:L68"/>
    <mergeCell ref="L69:L70"/>
    <mergeCell ref="L71:L72"/>
    <mergeCell ref="P63:P64"/>
    <mergeCell ref="P65:P66"/>
    <mergeCell ref="P67:P68"/>
    <mergeCell ref="P69:P70"/>
    <mergeCell ref="P71:P72"/>
    <mergeCell ref="Q53:Q54"/>
    <mergeCell ref="Q55:Q56"/>
    <mergeCell ref="Q57:Q58"/>
    <mergeCell ref="AL55:AL56"/>
    <mergeCell ref="AM55:AM56"/>
    <mergeCell ref="P53:P54"/>
    <mergeCell ref="P55:P56"/>
    <mergeCell ref="P57:P58"/>
    <mergeCell ref="P49:P50"/>
    <mergeCell ref="P51:P52"/>
    <mergeCell ref="O43:O44"/>
    <mergeCell ref="Q47:Q48"/>
    <mergeCell ref="Q49:Q50"/>
    <mergeCell ref="Q51:Q52"/>
    <mergeCell ref="AL43:AL44"/>
    <mergeCell ref="AM43:AM44"/>
    <mergeCell ref="AL45:AL46"/>
    <mergeCell ref="AL49:AL50"/>
    <mergeCell ref="O57:O58"/>
    <mergeCell ref="AL57:AL58"/>
    <mergeCell ref="AM57:AM58"/>
    <mergeCell ref="AL53:AL54"/>
    <mergeCell ref="AM53:AM54"/>
    <mergeCell ref="AM49:AM50"/>
    <mergeCell ref="P43:P44"/>
    <mergeCell ref="Q43:Q44"/>
    <mergeCell ref="Q45:Q46"/>
    <mergeCell ref="AM45:AM46"/>
    <mergeCell ref="O51:O52"/>
    <mergeCell ref="O49:O50"/>
    <mergeCell ref="O53:O54"/>
    <mergeCell ref="O55:O56"/>
    <mergeCell ref="E31:E32"/>
    <mergeCell ref="E5:F5"/>
    <mergeCell ref="E33:E34"/>
    <mergeCell ref="X5:AB5"/>
    <mergeCell ref="X16:AB16"/>
    <mergeCell ref="X17:AB17"/>
    <mergeCell ref="I33:I34"/>
    <mergeCell ref="AM39:AM40"/>
    <mergeCell ref="AN39:AN40"/>
    <mergeCell ref="P39:P40"/>
    <mergeCell ref="P41:P42"/>
    <mergeCell ref="AN43:AN44"/>
    <mergeCell ref="Q39:Q40"/>
    <mergeCell ref="Q41:Q42"/>
    <mergeCell ref="O1:AB1"/>
    <mergeCell ref="O2:AB2"/>
    <mergeCell ref="X18:AB18"/>
    <mergeCell ref="X19:AB19"/>
    <mergeCell ref="X20:AB20"/>
    <mergeCell ref="X21:AB21"/>
    <mergeCell ref="AL21:AM21"/>
    <mergeCell ref="AL29:AN29"/>
    <mergeCell ref="AL31:AL32"/>
    <mergeCell ref="AM31:AM32"/>
    <mergeCell ref="AN31:AN32"/>
    <mergeCell ref="AL33:AL34"/>
    <mergeCell ref="AM33:AM34"/>
    <mergeCell ref="AN33:AN34"/>
    <mergeCell ref="AL35:AL36"/>
    <mergeCell ref="AM35:AM36"/>
    <mergeCell ref="AN35:AN36"/>
    <mergeCell ref="AL37:AL38"/>
    <mergeCell ref="F35:F36"/>
    <mergeCell ref="G35:G36"/>
    <mergeCell ref="E35:E36"/>
    <mergeCell ref="H35:H36"/>
    <mergeCell ref="I35:I36"/>
    <mergeCell ref="M35:M36"/>
    <mergeCell ref="I37:I38"/>
    <mergeCell ref="M37:M38"/>
    <mergeCell ref="A1:N1"/>
    <mergeCell ref="A2:N2"/>
    <mergeCell ref="A4:B4"/>
    <mergeCell ref="C4:D4"/>
    <mergeCell ref="G4:H4"/>
    <mergeCell ref="I4:K4"/>
    <mergeCell ref="L4:N4"/>
    <mergeCell ref="O4:P4"/>
    <mergeCell ref="R4:AI4"/>
    <mergeCell ref="E4:F4"/>
    <mergeCell ref="AC1:AM1"/>
    <mergeCell ref="AC2:AM2"/>
    <mergeCell ref="G7:I7"/>
    <mergeCell ref="A5:B5"/>
    <mergeCell ref="F33:F34"/>
    <mergeCell ref="G33:G34"/>
    <mergeCell ref="H33:H34"/>
    <mergeCell ref="A31:A32"/>
    <mergeCell ref="B31:B32"/>
    <mergeCell ref="D31:D32"/>
    <mergeCell ref="F31:F32"/>
    <mergeCell ref="G31:G32"/>
    <mergeCell ref="C5:D5"/>
    <mergeCell ref="G5:H5"/>
    <mergeCell ref="H37:H38"/>
    <mergeCell ref="H43:H44"/>
    <mergeCell ref="J37:J38"/>
    <mergeCell ref="J39:J40"/>
    <mergeCell ref="J41:J42"/>
    <mergeCell ref="J43:J44"/>
    <mergeCell ref="L37:L38"/>
    <mergeCell ref="L39:L40"/>
    <mergeCell ref="L41:L42"/>
    <mergeCell ref="J31:J32"/>
    <mergeCell ref="J33:J34"/>
    <mergeCell ref="J35:J36"/>
    <mergeCell ref="H31:H32"/>
    <mergeCell ref="I31:I32"/>
    <mergeCell ref="M31:M32"/>
    <mergeCell ref="L35:L36"/>
    <mergeCell ref="A39:A40"/>
    <mergeCell ref="B39:B40"/>
    <mergeCell ref="D39:D40"/>
    <mergeCell ref="F39:F40"/>
    <mergeCell ref="G39:G40"/>
    <mergeCell ref="A37:A38"/>
    <mergeCell ref="B37:B38"/>
    <mergeCell ref="D37:D38"/>
    <mergeCell ref="F37:F38"/>
    <mergeCell ref="G37:G38"/>
    <mergeCell ref="A35:A36"/>
    <mergeCell ref="B35:B36"/>
    <mergeCell ref="D35:D36"/>
    <mergeCell ref="A33:A34"/>
    <mergeCell ref="B33:B34"/>
    <mergeCell ref="D33:D34"/>
    <mergeCell ref="B43:B44"/>
    <mergeCell ref="D43:D44"/>
    <mergeCell ref="F43:F44"/>
    <mergeCell ref="G43:G44"/>
    <mergeCell ref="A41:A42"/>
    <mergeCell ref="B41:B42"/>
    <mergeCell ref="D41:D42"/>
    <mergeCell ref="F41:F42"/>
    <mergeCell ref="G41:G42"/>
    <mergeCell ref="A43:A44"/>
    <mergeCell ref="A47:A48"/>
    <mergeCell ref="B47:B48"/>
    <mergeCell ref="D47:D48"/>
    <mergeCell ref="F47:F48"/>
    <mergeCell ref="G47:G48"/>
    <mergeCell ref="A45:A46"/>
    <mergeCell ref="B45:B46"/>
    <mergeCell ref="D45:D46"/>
    <mergeCell ref="F45:F46"/>
    <mergeCell ref="G45:G46"/>
    <mergeCell ref="H47:H48"/>
    <mergeCell ref="I47:I48"/>
    <mergeCell ref="M47:M48"/>
    <mergeCell ref="M39:M40"/>
    <mergeCell ref="N47:N48"/>
    <mergeCell ref="I45:I46"/>
    <mergeCell ref="M45:M46"/>
    <mergeCell ref="N45:N46"/>
    <mergeCell ref="H45:H46"/>
    <mergeCell ref="P47:P48"/>
    <mergeCell ref="O45:O46"/>
    <mergeCell ref="O47:O48"/>
    <mergeCell ref="L45:L46"/>
    <mergeCell ref="L47:L48"/>
    <mergeCell ref="P45:P46"/>
    <mergeCell ref="J45:J46"/>
    <mergeCell ref="J47:J48"/>
    <mergeCell ref="N39:N40"/>
    <mergeCell ref="O39:O40"/>
    <mergeCell ref="O41:O42"/>
    <mergeCell ref="H39:H40"/>
    <mergeCell ref="I39:I40"/>
    <mergeCell ref="I43:I44"/>
    <mergeCell ref="M43:M44"/>
    <mergeCell ref="N43:N44"/>
    <mergeCell ref="I41:I42"/>
    <mergeCell ref="M41:M42"/>
    <mergeCell ref="N41:N42"/>
    <mergeCell ref="H41:H42"/>
    <mergeCell ref="L43:L44"/>
    <mergeCell ref="D51:D52"/>
    <mergeCell ref="F51:F52"/>
    <mergeCell ref="G51:G52"/>
    <mergeCell ref="A49:A50"/>
    <mergeCell ref="B49:B50"/>
    <mergeCell ref="D49:D50"/>
    <mergeCell ref="F49:F50"/>
    <mergeCell ref="G49:G50"/>
    <mergeCell ref="E51:E52"/>
    <mergeCell ref="H51:H52"/>
    <mergeCell ref="I51:I52"/>
    <mergeCell ref="M51:M52"/>
    <mergeCell ref="N51:N52"/>
    <mergeCell ref="I49:I50"/>
    <mergeCell ref="M49:M50"/>
    <mergeCell ref="N49:N50"/>
    <mergeCell ref="H49:H50"/>
    <mergeCell ref="L49:L50"/>
    <mergeCell ref="L51:L52"/>
    <mergeCell ref="J49:J50"/>
    <mergeCell ref="J51:J52"/>
    <mergeCell ref="A51:A52"/>
    <mergeCell ref="B51:B52"/>
    <mergeCell ref="A55:A56"/>
    <mergeCell ref="B55:B56"/>
    <mergeCell ref="D55:D56"/>
    <mergeCell ref="F55:F56"/>
    <mergeCell ref="G55:G56"/>
    <mergeCell ref="A53:A54"/>
    <mergeCell ref="B53:B54"/>
    <mergeCell ref="D53:D54"/>
    <mergeCell ref="F53:F54"/>
    <mergeCell ref="G53:G54"/>
    <mergeCell ref="E53:E54"/>
    <mergeCell ref="E55:E56"/>
    <mergeCell ref="H55:H56"/>
    <mergeCell ref="I55:I56"/>
    <mergeCell ref="M55:M56"/>
    <mergeCell ref="N55:N56"/>
    <mergeCell ref="I53:I54"/>
    <mergeCell ref="M53:M54"/>
    <mergeCell ref="N53:N54"/>
    <mergeCell ref="H53:H54"/>
    <mergeCell ref="L53:L54"/>
    <mergeCell ref="L55:L56"/>
    <mergeCell ref="B59:B60"/>
    <mergeCell ref="D59:D60"/>
    <mergeCell ref="F59:F60"/>
    <mergeCell ref="G59:G60"/>
    <mergeCell ref="A57:A58"/>
    <mergeCell ref="B57:B58"/>
    <mergeCell ref="D57:D58"/>
    <mergeCell ref="F57:F58"/>
    <mergeCell ref="G57:G58"/>
    <mergeCell ref="E57:E58"/>
    <mergeCell ref="E59:E60"/>
    <mergeCell ref="H59:H60"/>
    <mergeCell ref="I59:I60"/>
    <mergeCell ref="M59:M60"/>
    <mergeCell ref="N59:N60"/>
    <mergeCell ref="I57:I58"/>
    <mergeCell ref="M57:M58"/>
    <mergeCell ref="N57:N58"/>
    <mergeCell ref="H57:H58"/>
    <mergeCell ref="O59:O60"/>
    <mergeCell ref="J57:J58"/>
    <mergeCell ref="J59:J60"/>
    <mergeCell ref="L57:L58"/>
    <mergeCell ref="L59:L60"/>
    <mergeCell ref="A63:A64"/>
    <mergeCell ref="B63:B64"/>
    <mergeCell ref="D63:D64"/>
    <mergeCell ref="F63:F64"/>
    <mergeCell ref="G63:G64"/>
    <mergeCell ref="A61:A62"/>
    <mergeCell ref="B61:B62"/>
    <mergeCell ref="D61:D62"/>
    <mergeCell ref="F61:F62"/>
    <mergeCell ref="G61:G62"/>
    <mergeCell ref="E61:E62"/>
    <mergeCell ref="E63:E64"/>
    <mergeCell ref="H63:H64"/>
    <mergeCell ref="I63:I64"/>
    <mergeCell ref="M63:M64"/>
    <mergeCell ref="N63:N64"/>
    <mergeCell ref="I61:I62"/>
    <mergeCell ref="M61:M62"/>
    <mergeCell ref="N61:N62"/>
    <mergeCell ref="H61:H62"/>
    <mergeCell ref="O61:O62"/>
    <mergeCell ref="O63:O64"/>
    <mergeCell ref="L63:L64"/>
    <mergeCell ref="J61:J62"/>
    <mergeCell ref="J63:J64"/>
    <mergeCell ref="L61:L62"/>
    <mergeCell ref="A59:A60"/>
    <mergeCell ref="D67:D68"/>
    <mergeCell ref="F67:F68"/>
    <mergeCell ref="G67:G68"/>
    <mergeCell ref="A65:A66"/>
    <mergeCell ref="B65:B66"/>
    <mergeCell ref="D65:D66"/>
    <mergeCell ref="F65:F66"/>
    <mergeCell ref="G65:G66"/>
    <mergeCell ref="E65:E66"/>
    <mergeCell ref="E67:E68"/>
    <mergeCell ref="H67:H68"/>
    <mergeCell ref="I67:I68"/>
    <mergeCell ref="M67:M68"/>
    <mergeCell ref="N67:N68"/>
    <mergeCell ref="I65:I66"/>
    <mergeCell ref="M65:M66"/>
    <mergeCell ref="N65:N66"/>
    <mergeCell ref="H65:H66"/>
    <mergeCell ref="C65:C66"/>
    <mergeCell ref="C67:C68"/>
    <mergeCell ref="O65:O66"/>
    <mergeCell ref="O67:O68"/>
    <mergeCell ref="J65:J66"/>
    <mergeCell ref="J67:J68"/>
    <mergeCell ref="A71:A72"/>
    <mergeCell ref="B71:B72"/>
    <mergeCell ref="D71:D72"/>
    <mergeCell ref="F71:F72"/>
    <mergeCell ref="G71:G72"/>
    <mergeCell ref="A69:A70"/>
    <mergeCell ref="B69:B70"/>
    <mergeCell ref="D69:D70"/>
    <mergeCell ref="F69:F70"/>
    <mergeCell ref="G69:G70"/>
    <mergeCell ref="E69:E70"/>
    <mergeCell ref="E71:E72"/>
    <mergeCell ref="I71:I72"/>
    <mergeCell ref="M71:M72"/>
    <mergeCell ref="N71:N72"/>
    <mergeCell ref="I69:I70"/>
    <mergeCell ref="M69:M70"/>
    <mergeCell ref="N69:N70"/>
    <mergeCell ref="H69:H70"/>
    <mergeCell ref="O69:O70"/>
    <mergeCell ref="O71:O72"/>
    <mergeCell ref="H71:H72"/>
    <mergeCell ref="J69:J70"/>
    <mergeCell ref="J71:J72"/>
    <mergeCell ref="K69:K70"/>
    <mergeCell ref="K71:K72"/>
    <mergeCell ref="A67:A68"/>
    <mergeCell ref="B67:B68"/>
    <mergeCell ref="I73:I74"/>
    <mergeCell ref="M73:M74"/>
    <mergeCell ref="N73:N74"/>
    <mergeCell ref="H73:H74"/>
    <mergeCell ref="O73:O74"/>
    <mergeCell ref="O75:O76"/>
    <mergeCell ref="A75:A76"/>
    <mergeCell ref="B75:B76"/>
    <mergeCell ref="D75:D76"/>
    <mergeCell ref="F75:F76"/>
    <mergeCell ref="G75:G76"/>
    <mergeCell ref="A73:A74"/>
    <mergeCell ref="B73:B74"/>
    <mergeCell ref="D73:D74"/>
    <mergeCell ref="F73:F74"/>
    <mergeCell ref="G73:G74"/>
    <mergeCell ref="E73:E74"/>
    <mergeCell ref="E75:E76"/>
    <mergeCell ref="L73:L74"/>
    <mergeCell ref="H75:H76"/>
    <mergeCell ref="I75:I76"/>
    <mergeCell ref="M75:M76"/>
    <mergeCell ref="N75:N76"/>
    <mergeCell ref="J73:J74"/>
    <mergeCell ref="A77:A78"/>
    <mergeCell ref="B77:B78"/>
    <mergeCell ref="D77:D78"/>
    <mergeCell ref="F77:F78"/>
    <mergeCell ref="G77:G78"/>
    <mergeCell ref="A107:A108"/>
    <mergeCell ref="B107:B108"/>
    <mergeCell ref="D107:D108"/>
    <mergeCell ref="F107:F108"/>
    <mergeCell ref="G107:G108"/>
    <mergeCell ref="A109:A110"/>
    <mergeCell ref="B109:B110"/>
    <mergeCell ref="D109:D110"/>
    <mergeCell ref="F109:F110"/>
    <mergeCell ref="G109:G110"/>
    <mergeCell ref="A103:A104"/>
    <mergeCell ref="B103:B104"/>
    <mergeCell ref="D103:D104"/>
    <mergeCell ref="F103:F104"/>
    <mergeCell ref="B101:B102"/>
    <mergeCell ref="D101:D102"/>
    <mergeCell ref="F101:F102"/>
    <mergeCell ref="G101:G102"/>
    <mergeCell ref="A99:A100"/>
    <mergeCell ref="B99:B100"/>
    <mergeCell ref="D99:D100"/>
    <mergeCell ref="F99:F100"/>
    <mergeCell ref="G99:G100"/>
    <mergeCell ref="E105:E106"/>
    <mergeCell ref="A105:A106"/>
    <mergeCell ref="B105:B106"/>
    <mergeCell ref="A95:A96"/>
    <mergeCell ref="I77:I78"/>
    <mergeCell ref="M77:M78"/>
    <mergeCell ref="N77:N78"/>
    <mergeCell ref="H77:H78"/>
    <mergeCell ref="O77:O78"/>
    <mergeCell ref="O111:O112"/>
    <mergeCell ref="H107:H108"/>
    <mergeCell ref="I107:I108"/>
    <mergeCell ref="M107:M108"/>
    <mergeCell ref="N107:N108"/>
    <mergeCell ref="O107:O108"/>
    <mergeCell ref="H109:H110"/>
    <mergeCell ref="I109:I110"/>
    <mergeCell ref="M109:M110"/>
    <mergeCell ref="N109:N110"/>
    <mergeCell ref="O109:O110"/>
    <mergeCell ref="O105:O106"/>
    <mergeCell ref="O81:O82"/>
    <mergeCell ref="O85:O86"/>
    <mergeCell ref="O89:O90"/>
    <mergeCell ref="L107:L108"/>
    <mergeCell ref="L109:L110"/>
    <mergeCell ref="L111:L112"/>
    <mergeCell ref="M105:M106"/>
    <mergeCell ref="J103:J104"/>
    <mergeCell ref="L95:L96"/>
    <mergeCell ref="L97:L98"/>
    <mergeCell ref="L99:L100"/>
    <mergeCell ref="L101:L102"/>
    <mergeCell ref="J95:J96"/>
    <mergeCell ref="J97:J98"/>
    <mergeCell ref="J99:J100"/>
    <mergeCell ref="I145:I146"/>
    <mergeCell ref="M145:M146"/>
    <mergeCell ref="N145:N146"/>
    <mergeCell ref="A145:A146"/>
    <mergeCell ref="B145:B146"/>
    <mergeCell ref="D145:D146"/>
    <mergeCell ref="F145:F146"/>
    <mergeCell ref="G145:G146"/>
    <mergeCell ref="H145:H146"/>
    <mergeCell ref="L145:L146"/>
    <mergeCell ref="K145:K146"/>
    <mergeCell ref="H111:H112"/>
    <mergeCell ref="I111:I112"/>
    <mergeCell ref="M111:M112"/>
    <mergeCell ref="N111:N112"/>
    <mergeCell ref="A111:A112"/>
    <mergeCell ref="B111:B112"/>
    <mergeCell ref="D111:D112"/>
    <mergeCell ref="F111:F112"/>
    <mergeCell ref="E111:E112"/>
    <mergeCell ref="E145:E146"/>
    <mergeCell ref="G111:G112"/>
    <mergeCell ref="A115:A116"/>
    <mergeCell ref="A119:A120"/>
    <mergeCell ref="B119:B120"/>
    <mergeCell ref="D119:D120"/>
    <mergeCell ref="E119:E120"/>
    <mergeCell ref="F119:F120"/>
    <mergeCell ref="G119:G120"/>
    <mergeCell ref="H119:H120"/>
    <mergeCell ref="I119:I120"/>
    <mergeCell ref="J119:J120"/>
    <mergeCell ref="B95:B96"/>
    <mergeCell ref="D95:D96"/>
    <mergeCell ref="F95:F96"/>
    <mergeCell ref="G95:G96"/>
    <mergeCell ref="H95:H96"/>
    <mergeCell ref="I95:I96"/>
    <mergeCell ref="A97:A98"/>
    <mergeCell ref="B97:B98"/>
    <mergeCell ref="D97:D98"/>
    <mergeCell ref="F97:F98"/>
    <mergeCell ref="G97:G98"/>
    <mergeCell ref="H97:H98"/>
    <mergeCell ref="I97:I98"/>
    <mergeCell ref="E103:E104"/>
    <mergeCell ref="D105:D106"/>
    <mergeCell ref="F105:F106"/>
    <mergeCell ref="G105:G106"/>
    <mergeCell ref="H105:H106"/>
    <mergeCell ref="I105:I106"/>
    <mergeCell ref="A101:A102"/>
    <mergeCell ref="H101:H102"/>
    <mergeCell ref="I101:I102"/>
    <mergeCell ref="E99:E100"/>
    <mergeCell ref="E101:E102"/>
    <mergeCell ref="G103:G104"/>
    <mergeCell ref="H103:H104"/>
    <mergeCell ref="I103:I104"/>
    <mergeCell ref="C103:C104"/>
    <mergeCell ref="C105:C106"/>
    <mergeCell ref="F81:F82"/>
    <mergeCell ref="G81:G82"/>
    <mergeCell ref="H81:H82"/>
    <mergeCell ref="I81:I82"/>
    <mergeCell ref="E81:E82"/>
    <mergeCell ref="A85:A86"/>
    <mergeCell ref="B85:B86"/>
    <mergeCell ref="D85:D86"/>
    <mergeCell ref="F85:F86"/>
    <mergeCell ref="G85:G86"/>
    <mergeCell ref="H85:H86"/>
    <mergeCell ref="I85:I86"/>
    <mergeCell ref="A89:A90"/>
    <mergeCell ref="B89:B90"/>
    <mergeCell ref="D89:D90"/>
    <mergeCell ref="F89:F90"/>
    <mergeCell ref="G89:G90"/>
    <mergeCell ref="H89:H90"/>
    <mergeCell ref="E85:E86"/>
    <mergeCell ref="I89:I90"/>
    <mergeCell ref="E89:E90"/>
    <mergeCell ref="L89:L90"/>
    <mergeCell ref="A87:A88"/>
    <mergeCell ref="B87:B88"/>
    <mergeCell ref="D87:D88"/>
    <mergeCell ref="F87:F88"/>
    <mergeCell ref="G87:G88"/>
    <mergeCell ref="A79:A80"/>
    <mergeCell ref="B79:B80"/>
    <mergeCell ref="D79:D80"/>
    <mergeCell ref="F79:F80"/>
    <mergeCell ref="G79:G80"/>
    <mergeCell ref="H79:H80"/>
    <mergeCell ref="I79:I80"/>
    <mergeCell ref="M79:M80"/>
    <mergeCell ref="A83:A84"/>
    <mergeCell ref="B83:B84"/>
    <mergeCell ref="D83:D84"/>
    <mergeCell ref="F83:F84"/>
    <mergeCell ref="G83:G84"/>
    <mergeCell ref="H83:H84"/>
    <mergeCell ref="I83:I84"/>
    <mergeCell ref="M83:M84"/>
    <mergeCell ref="E83:E84"/>
    <mergeCell ref="L83:L84"/>
    <mergeCell ref="H87:H88"/>
    <mergeCell ref="I87:I88"/>
    <mergeCell ref="M87:M88"/>
    <mergeCell ref="E87:E88"/>
    <mergeCell ref="L87:L88"/>
    <mergeCell ref="A81:A82"/>
    <mergeCell ref="B81:B82"/>
    <mergeCell ref="D81:D82"/>
    <mergeCell ref="A93:A94"/>
    <mergeCell ref="B93:B94"/>
    <mergeCell ref="D93:D94"/>
    <mergeCell ref="F93:F94"/>
    <mergeCell ref="G93:G94"/>
    <mergeCell ref="H93:H94"/>
    <mergeCell ref="I93:I94"/>
    <mergeCell ref="M93:M94"/>
    <mergeCell ref="N93:N94"/>
    <mergeCell ref="E93:E94"/>
    <mergeCell ref="L93:L94"/>
    <mergeCell ref="J93:J94"/>
    <mergeCell ref="K93:K94"/>
    <mergeCell ref="A91:A92"/>
    <mergeCell ref="B91:B92"/>
    <mergeCell ref="D91:D92"/>
    <mergeCell ref="F91:F92"/>
    <mergeCell ref="G91:G92"/>
    <mergeCell ref="H91:H92"/>
    <mergeCell ref="I91:I92"/>
    <mergeCell ref="M91:M92"/>
    <mergeCell ref="N91:N92"/>
    <mergeCell ref="E91:E92"/>
    <mergeCell ref="K91:K92"/>
    <mergeCell ref="L91:L92"/>
    <mergeCell ref="O95:O96"/>
    <mergeCell ref="O99:O100"/>
    <mergeCell ref="X6:AB6"/>
    <mergeCell ref="X23:AB23"/>
    <mergeCell ref="X24:AB24"/>
    <mergeCell ref="X25:AB25"/>
    <mergeCell ref="X11:AB11"/>
    <mergeCell ref="X12:AB12"/>
    <mergeCell ref="R26:S26"/>
    <mergeCell ref="E109:E110"/>
    <mergeCell ref="E37:E38"/>
    <mergeCell ref="E39:E40"/>
    <mergeCell ref="E41:E42"/>
    <mergeCell ref="E43:E44"/>
    <mergeCell ref="E45:E46"/>
    <mergeCell ref="E47:E48"/>
    <mergeCell ref="E49:E50"/>
    <mergeCell ref="E77:E78"/>
    <mergeCell ref="E79:E80"/>
    <mergeCell ref="E95:E96"/>
    <mergeCell ref="E97:E98"/>
    <mergeCell ref="X22:AB22"/>
    <mergeCell ref="X13:AB13"/>
    <mergeCell ref="X14:AB14"/>
    <mergeCell ref="X15:AB15"/>
    <mergeCell ref="N31:N32"/>
    <mergeCell ref="P31:P32"/>
    <mergeCell ref="P33:P34"/>
    <mergeCell ref="P35:P36"/>
    <mergeCell ref="P37:P38"/>
    <mergeCell ref="O31:O32"/>
    <mergeCell ref="M89:M90"/>
    <mergeCell ref="L5:N5"/>
    <mergeCell ref="N35:N36"/>
    <mergeCell ref="N33:N34"/>
    <mergeCell ref="O33:O34"/>
    <mergeCell ref="O35:O36"/>
    <mergeCell ref="K7:M7"/>
    <mergeCell ref="O5:P5"/>
    <mergeCell ref="O37:O38"/>
    <mergeCell ref="Q31:Q32"/>
    <mergeCell ref="Q33:Q34"/>
    <mergeCell ref="Q35:Q36"/>
    <mergeCell ref="Q37:Q38"/>
    <mergeCell ref="AK31:AK32"/>
    <mergeCell ref="AK33:AK34"/>
    <mergeCell ref="AK35:AK36"/>
    <mergeCell ref="X7:AB7"/>
    <mergeCell ref="X8:AB8"/>
    <mergeCell ref="X9:AB9"/>
    <mergeCell ref="X10:AB10"/>
    <mergeCell ref="AK37:AK38"/>
    <mergeCell ref="M33:M34"/>
    <mergeCell ref="L31:L32"/>
    <mergeCell ref="L33:L34"/>
    <mergeCell ref="N37:N38"/>
    <mergeCell ref="I5:K5"/>
    <mergeCell ref="AK47:AK48"/>
    <mergeCell ref="AK49:AK50"/>
    <mergeCell ref="AK51:AK52"/>
    <mergeCell ref="AK53:AK54"/>
    <mergeCell ref="AK63:AK64"/>
    <mergeCell ref="AK65:AK66"/>
    <mergeCell ref="AK67:AK68"/>
    <mergeCell ref="AK69:AK70"/>
    <mergeCell ref="AN37:AN38"/>
    <mergeCell ref="AL39:AL40"/>
    <mergeCell ref="AL41:AL42"/>
    <mergeCell ref="AM41:AM42"/>
    <mergeCell ref="AN41:AN42"/>
    <mergeCell ref="AN63:AN64"/>
    <mergeCell ref="AN55:AN56"/>
    <mergeCell ref="AN53:AN54"/>
    <mergeCell ref="AN57:AN58"/>
    <mergeCell ref="AN49:AN50"/>
    <mergeCell ref="AL51:AL52"/>
    <mergeCell ref="AM51:AM52"/>
    <mergeCell ref="AN51:AN52"/>
    <mergeCell ref="AL47:AL48"/>
    <mergeCell ref="AM47:AM48"/>
    <mergeCell ref="AN47:AN48"/>
    <mergeCell ref="AM37:AM38"/>
    <mergeCell ref="AK55:AK56"/>
    <mergeCell ref="AK57:AK58"/>
    <mergeCell ref="AN45:AN46"/>
    <mergeCell ref="AK39:AK40"/>
    <mergeCell ref="AK41:AK42"/>
    <mergeCell ref="AK43:AK44"/>
    <mergeCell ref="AK45:AK46"/>
    <mergeCell ref="AL71:AL72"/>
    <mergeCell ref="AM71:AM72"/>
    <mergeCell ref="AN71:AN72"/>
    <mergeCell ref="AL73:AL74"/>
    <mergeCell ref="AM73:AM74"/>
    <mergeCell ref="AN73:AN74"/>
    <mergeCell ref="AL67:AL68"/>
    <mergeCell ref="AM67:AM68"/>
    <mergeCell ref="AN77:AN78"/>
    <mergeCell ref="AM77:AM78"/>
    <mergeCell ref="AL75:AL76"/>
    <mergeCell ref="AM75:AM76"/>
    <mergeCell ref="AM97:AM98"/>
    <mergeCell ref="AN97:AN98"/>
    <mergeCell ref="AL99:AL100"/>
    <mergeCell ref="AM99:AM100"/>
    <mergeCell ref="AN99:AN100"/>
    <mergeCell ref="AL97:AL98"/>
    <mergeCell ref="AN67:AN68"/>
    <mergeCell ref="AL69:AL70"/>
    <mergeCell ref="AM69:AM70"/>
    <mergeCell ref="AN69:AN70"/>
    <mergeCell ref="AM101:AM102"/>
    <mergeCell ref="AN101:AN102"/>
    <mergeCell ref="AN79:AN80"/>
    <mergeCell ref="AL81:AL82"/>
    <mergeCell ref="AM81:AM82"/>
    <mergeCell ref="AN81:AN82"/>
    <mergeCell ref="AL83:AL84"/>
    <mergeCell ref="AM83:AM84"/>
    <mergeCell ref="AN83:AN84"/>
    <mergeCell ref="AN85:AN86"/>
    <mergeCell ref="AL87:AL88"/>
    <mergeCell ref="AM87:AM88"/>
    <mergeCell ref="AN87:AN88"/>
    <mergeCell ref="AL85:AL86"/>
    <mergeCell ref="AM85:AM86"/>
    <mergeCell ref="AL79:AL80"/>
    <mergeCell ref="AM79:AM80"/>
    <mergeCell ref="AL89:AL90"/>
    <mergeCell ref="AM89:AM90"/>
    <mergeCell ref="AN89:AN90"/>
    <mergeCell ref="AL91:AL92"/>
    <mergeCell ref="AM91:AM92"/>
    <mergeCell ref="AN91:AN92"/>
    <mergeCell ref="AM93:AM94"/>
    <mergeCell ref="AN93:AN94"/>
    <mergeCell ref="AL95:AL96"/>
    <mergeCell ref="AM95:AM96"/>
    <mergeCell ref="AN95:AN96"/>
    <mergeCell ref="AM103:AM104"/>
    <mergeCell ref="AN103:AN104"/>
    <mergeCell ref="AL109:AL110"/>
    <mergeCell ref="AM109:AM110"/>
    <mergeCell ref="AN109:AN110"/>
    <mergeCell ref="AL111:AL112"/>
    <mergeCell ref="AM111:AM112"/>
    <mergeCell ref="AN111:AN112"/>
    <mergeCell ref="AM105:AM106"/>
    <mergeCell ref="AN105:AN106"/>
    <mergeCell ref="AL107:AL108"/>
    <mergeCell ref="AM107:AM108"/>
    <mergeCell ref="AN107:AN108"/>
    <mergeCell ref="AL105:AL106"/>
    <mergeCell ref="AL145:AL146"/>
    <mergeCell ref="AM145:AM146"/>
    <mergeCell ref="AN145:AN146"/>
    <mergeCell ref="AL103:AL104"/>
    <mergeCell ref="AN113:AN114"/>
    <mergeCell ref="AL115:AL116"/>
    <mergeCell ref="AM115:AM116"/>
    <mergeCell ref="AN115:AN116"/>
    <mergeCell ref="AM117:AM118"/>
    <mergeCell ref="AN117:AN118"/>
    <mergeCell ref="AM121:AM122"/>
    <mergeCell ref="AM129:AM130"/>
    <mergeCell ref="AN129:AN130"/>
    <mergeCell ref="AL131:AL132"/>
    <mergeCell ref="AM131:AM132"/>
    <mergeCell ref="AN131:AN132"/>
    <mergeCell ref="AM133:AM134"/>
    <mergeCell ref="AM113:AM114"/>
    <mergeCell ref="AK71:AK72"/>
    <mergeCell ref="AK73:AK74"/>
    <mergeCell ref="AK75:AK76"/>
    <mergeCell ref="AK77:AK78"/>
    <mergeCell ref="AK79:AK80"/>
    <mergeCell ref="AK85:AK86"/>
    <mergeCell ref="AK87:AK88"/>
    <mergeCell ref="AK89:AK90"/>
    <mergeCell ref="AK109:AK110"/>
    <mergeCell ref="AK107:AK108"/>
    <mergeCell ref="AK81:AK82"/>
    <mergeCell ref="AK111:AK112"/>
    <mergeCell ref="AK145:AK146"/>
    <mergeCell ref="AK91:AK92"/>
    <mergeCell ref="AK93:AK94"/>
    <mergeCell ref="AK95:AK96"/>
    <mergeCell ref="AK97:AK98"/>
    <mergeCell ref="AK99:AK100"/>
    <mergeCell ref="AK101:AK102"/>
    <mergeCell ref="AK103:AK104"/>
    <mergeCell ref="AK115:AK116"/>
    <mergeCell ref="AK131:AK132"/>
    <mergeCell ref="AK129:AK1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41:C142"/>
    <mergeCell ref="C143:C144"/>
    <mergeCell ref="C145:C146"/>
    <mergeCell ref="C107:C108"/>
    <mergeCell ref="C109:C110"/>
    <mergeCell ref="C111:C112"/>
    <mergeCell ref="C113:C114"/>
    <mergeCell ref="C115:C116"/>
    <mergeCell ref="C117:C118"/>
    <mergeCell ref="C119:C120"/>
    <mergeCell ref="C121:C122"/>
    <mergeCell ref="C123:C124"/>
    <mergeCell ref="C125:C126"/>
    <mergeCell ref="C127:C128"/>
    <mergeCell ref="C129:C130"/>
    <mergeCell ref="C131:C132"/>
    <mergeCell ref="C133:C134"/>
    <mergeCell ref="C135:C136"/>
    <mergeCell ref="C137:C138"/>
    <mergeCell ref="C139:C140"/>
  </mergeCells>
  <conditionalFormatting sqref="F9:F12">
    <cfRule type="dataBar" priority="1">
      <dataBar showValue="0">
        <cfvo type="num" val="0"/>
        <cfvo type="num" val="1"/>
        <color rgb="FF00B050"/>
      </dataBar>
      <extLst>
        <ext xmlns:x14="http://schemas.microsoft.com/office/spreadsheetml/2009/9/main" uri="{B025F937-C7B1-47D3-B67F-A62EFF666E3E}">
          <x14:id>{90D61470-E847-4D75-A5F6-6A0B3920CAB2}</x14:id>
        </ext>
      </extLst>
    </cfRule>
  </conditionalFormatting>
  <conditionalFormatting sqref="U6:U25">
    <cfRule type="cellIs" dxfId="41" priority="13" operator="between">
      <formula>$S$6</formula>
      <formula>0.01</formula>
    </cfRule>
    <cfRule type="cellIs" dxfId="40" priority="14" operator="greaterThanOrEqual">
      <formula>$S$6</formula>
    </cfRule>
    <cfRule type="cellIs" dxfId="39" priority="15" operator="equal">
      <formula>0</formula>
    </cfRule>
  </conditionalFormatting>
  <conditionalFormatting sqref="W6:W25">
    <cfRule type="cellIs" dxfId="38" priority="4" operator="lessThan">
      <formula>0</formula>
    </cfRule>
  </conditionalFormatting>
  <conditionalFormatting sqref="AD6:AD25">
    <cfRule type="cellIs" dxfId="37" priority="31" operator="lessThanOrEqual">
      <formula>0.81</formula>
    </cfRule>
  </conditionalFormatting>
  <conditionalFormatting sqref="AG6:AG25">
    <cfRule type="containsText" dxfId="36" priority="7" operator="containsText" text="ADIANTADO">
      <formula>NOT(ISERROR(SEARCH("ADIANTADO",AG6)))</formula>
    </cfRule>
    <cfRule type="containsText" dxfId="35" priority="8" operator="containsText" text="FALTA DE ACOMPANHAMENTO">
      <formula>NOT(ISERROR(SEARCH("FALTA DE ACOMPANHAMENTO",AG6)))</formula>
    </cfRule>
    <cfRule type="containsText" dxfId="34" priority="9" operator="containsText" text="Concluído">
      <formula>NOT(ISERROR(SEARCH("Concluído",AG6)))</formula>
    </cfRule>
    <cfRule type="containsText" dxfId="33" priority="10" operator="containsText" text="Conforme Planejado">
      <formula>NOT(ISERROR(SEARCH("Conforme Planejado",AG6)))</formula>
    </cfRule>
    <cfRule type="containsText" dxfId="32" priority="11" operator="containsText" text="PROJETO NÃO INICIADO">
      <formula>NOT(ISERROR(SEARCH("PROJETO NÃO INICIADO",AG6)))</formula>
    </cfRule>
    <cfRule type="containsText" dxfId="31" priority="12" operator="containsText" text="Atraso">
      <formula>NOT(ISERROR(SEARCH("Atraso",AG6)))</formula>
    </cfRule>
  </conditionalFormatting>
  <conditionalFormatting sqref="AI6:AI25">
    <cfRule type="containsText" dxfId="30" priority="16" operator="containsText" text="Concluído">
      <formula>NOT(ISERROR(SEARCH("Concluído",AI6)))</formula>
    </cfRule>
    <cfRule type="containsText" dxfId="29" priority="17" operator="containsText" text="Conforme Planejado">
      <formula>NOT(ISERROR(SEARCH("Conforme Planejado",AI6)))</formula>
    </cfRule>
    <cfRule type="containsText" dxfId="28" priority="18" operator="containsText" text="FALTA PLANEJAMENTO">
      <formula>NOT(ISERROR(SEARCH("FALTA PLANEJAMENTO",AI6)))</formula>
    </cfRule>
    <cfRule type="containsText" dxfId="27" priority="19" operator="containsText" text="Atraso">
      <formula>NOT(ISERROR(SEARCH("Atraso",AI6)))</formula>
    </cfRule>
  </conditionalFormatting>
  <conditionalFormatting sqref="AQ31:AQ146">
    <cfRule type="cellIs" dxfId="26" priority="2" operator="lessThan">
      <formula>0</formula>
    </cfRule>
  </conditionalFormatting>
  <dataValidations count="5">
    <dataValidation type="list" allowBlank="1" showInputMessage="1" showErrorMessage="1" sqref="Q31 Q33 Q35:Q146" xr:uid="{57F8332D-2BC6-4E67-BEE9-5061A52D60B4}">
      <formula1>"Diadema,Jarinu,Ferraz,Anchieta,São Leopoldo, Multi Unidades"</formula1>
    </dataValidation>
    <dataValidation type="list" allowBlank="1" showInputMessage="1" showErrorMessage="1" sqref="AK31:AL146" xr:uid="{1D6015C2-CF67-4920-9278-04396DFB6E30}">
      <formula1>$AK$47:$AK$51</formula1>
    </dataValidation>
    <dataValidation type="list" allowBlank="1" showInputMessage="1" showErrorMessage="1" sqref="A101:A102 A33:A98" xr:uid="{8D763D36-6D12-4DA2-B39E-84AF80DCD39C}">
      <formula1>"Kaizen, Redução de Custos, BSW, Estratégia Comercial"</formula1>
    </dataValidation>
    <dataValidation type="list" allowBlank="1" showInputMessage="1" showErrorMessage="1" sqref="A31:A32 A99:A100 A103:A146" xr:uid="{0D083F69-B464-4595-92BE-F9D23A64D127}">
      <formula1>"Kaizen, Redução de Custo, BSW, Estratégia Comercial"</formula1>
    </dataValidation>
    <dataValidation type="list" allowBlank="1" showInputMessage="1" showErrorMessage="1" sqref="C31:C115 C117:C119 C121:C123 C125:C127 C145:C146 C133:C135 C137:C139 C141:C143 C129:C131" xr:uid="{A8E1F639-A111-43A2-81F9-782043555CE1}">
      <formula1>"VA,GGF,MA,Outros"</formula1>
    </dataValidation>
  </dataValidations>
  <hyperlinks>
    <hyperlink ref="E31" r:id="rId1" xr:uid="{6179A913-68F3-4FAB-8587-3D61FA94AEE9}"/>
    <hyperlink ref="E53" r:id="rId2" display="\\DDSRVFILE\Rede_Geral\Deptos\Compras\GESTAO DEPARTAMENTO SUPRIMENTOS\27-PROJETOS\JE0825\JE0825 - Arame de Solda.xlsx" xr:uid="{E25885D7-42AD-4F35-BD96-D921B851418A}"/>
    <hyperlink ref="E33" r:id="rId3" display="\\DDSRVFILE\Rede_Geral\Deptos\Compras\GESTAO DEPARTAMENTO SUPRIMENTOS\27-PROJETOS\DN0825\DN825 - PORCA 73189.xlsx" xr:uid="{A8811153-8CC9-4E88-86F9-33063A9F7856}"/>
    <hyperlink ref="E47" r:id="rId4" display="\\DDSRVFILE\Rede_Geral\Deptos\Compras\GESTAO DEPARTAMENTO SUPRIMENTOS\27-PROJETOS\EF0426\Projetos_EF0426_ Agua recuperação de valores.xlsx" xr:uid="{63D35A80-8221-42FF-AA54-E429CCAADAD7}"/>
    <hyperlink ref="E51" r:id="rId5" display="\\DDSRVFILE\Rede_Geral\Deptos\Compras\GESTAO DEPARTAMENTO SUPRIMENTOS\27-PROJETOS\DN1525\DN1525 - Resourcing Tubos Mercante para Cartec.xlsx" xr:uid="{132A8D1B-B16B-48F8-9E9A-5F45B83581FD}"/>
    <hyperlink ref="E63" r:id="rId6" display="\\DDSRVFILE\Rede_Geral\Deptos\Compras\GESTAO DEPARTAMENTO SUPRIMENTOS\27-PROJETOS\VH0125\VH0125-Gonvarri itens Usiminas.xlsx" xr:uid="{00F08AD0-C74F-4A26-9829-080EC9AED1C1}"/>
    <hyperlink ref="E37" r:id="rId7" display="\\DDSRVFILE\Rede_Geral\Deptos\Compras\GESTAO DEPARTAMENTO SUPRIMENTOS\27-PROJETOS\DN0625\DN625 - RESOURCING ITENS PARA WURTH.xlsx" xr:uid="{4DA253B3-8403-489A-AE3D-70AEA14A5AD6}"/>
    <hyperlink ref="E75" r:id="rId8" display="\\DDSRVFILE\Rede_Geral\Deptos\Compras\GESTAO DEPARTAMENTO SUPRIMENTOS\27-PROJETOS\JE0125\JE0125-Fita Zebrada e Etiqueta Litografada.xlsx" xr:uid="{4359D608-9DEE-4A4C-BD96-82E5E3E983A1}"/>
    <hyperlink ref="E61" r:id="rId9" display="\\DDSRVFILE\Rede_Geral\Deptos\Compras\GESTAO DEPARTAMENTO SUPRIMENTOS\27-PROJETOS\VH1325\VH1325-Viabilizar material alternativo Carcaça Scania.xlsx" xr:uid="{8F8449B6-B1C8-4629-9EE6-76951D107303}"/>
    <hyperlink ref="E55" r:id="rId10" display="\\DDSRVFILE\Rede_Geral\Deptos\Compras\GESTAO DEPARTAMENTO SUPRIMENTOS\27-PROJETOS\JE0126\JE0126 - Troca fornecedor usinagem.xlsx" xr:uid="{173D79DD-1FB4-4331-9F34-BE800D341E48}"/>
    <hyperlink ref="E89" r:id="rId11" display="\\DDSRVFILE\Rede_Geral\Deptos\Compras\GESTAO DEPARTAMENTO SUPRIMENTOS\27-PROJETOS\JE0326\JE0326 - Troca fornecedor decapagem gancheiras.xlsx" xr:uid="{7388691E-6B78-4F48-BCF1-979F0152CAEA}"/>
    <hyperlink ref="E39" r:id="rId12" display="\\DDSRVFILE\Rede_Geral\Deptos\Compras\GESTAO DEPARTAMENTO SUPRIMENTOS\27-PROJETOS\JE0325\JE0325 - Abrasivos Curva A Ferraz.xlsx" xr:uid="{986D91A9-D745-4D6A-8D2B-04F949549402}"/>
    <hyperlink ref="E43" r:id="rId13" display="\\192.168.0.20\departamentos\Compras\GESTAO DEPARTAMENTO SUPRIMENTOS\27-PROJETOS\EF0226\EF00226_ MO.xlsx" xr:uid="{C1B62380-8AED-4035-BD90-87BD8781C90F}"/>
    <hyperlink ref="E59" r:id="rId14" display="\\DDSRVFILE\Rede_Geral\Deptos\Compras\GESTAO DEPARTAMENTO SUPRIMENTOS\27-PROJETOS\EF0526\Projetos_EF0526_ Mod Tarifária.xlsx" xr:uid="{C7735DAC-EEE2-4102-B404-1822E848F753}"/>
    <hyperlink ref="E49" r:id="rId15" display="\\DDSRVFILE\Rede_Geral\Deptos\Compras\GESTAO DEPARTAMENTO SUPRIMENTOS\27-PROJETOS\DN1125\DN1125 - Resourcing Pino Esférico GM.xlsx" xr:uid="{5622B004-20B8-4B62-BD93-B882D94A3F7A}"/>
    <hyperlink ref="E69" r:id="rId16" display="\\DDSRVFILE\Rede_Geral\Deptos\Compras\GESTAO DEPARTAMENTO SUPRIMENTOS\27-PROJETOS\AG0225\AG0225-Lixadeiras.xlsx" xr:uid="{8E4BFC56-2375-4A60-849C-2ABC99D1F2ED}"/>
    <hyperlink ref="E41" r:id="rId17" display="\\DDSRVFILE\Rede_Geral\Deptos\Compras\GESTAO DEPARTAMENTO SUPRIMENTOS\27-PROJETOS\EF0126\EF0126_Substituição Plano Médico -DSL.xlsx" xr:uid="{04B59D61-75E8-47DD-A9C4-4354FA4FC120}"/>
    <hyperlink ref="E35" r:id="rId18" display="\\192.168.0.20\departamentos\Compras\GESTAO DEPARTAMENTO SUPRIMENTOS\27-PROJETOS\DN0126\DN0126 - SRM Componentes.xlsx" xr:uid="{F1CEF2E0-AC2B-40C3-9887-424261075857}"/>
    <hyperlink ref="E57" r:id="rId19" display="\\DDSRVFILE\Rede_Geral\Deptos\Compras\GESTAO DEPARTAMENTO SUPRIMENTOS\27-PROJETOS\ES0126\ES0126 - LOCAÇÃO GERADOR.xlsx" xr:uid="{D84E8FB0-3425-4D70-892F-AA46F3D2EDE2}"/>
    <hyperlink ref="E65" r:id="rId20" display="\\DDSRVFILE\Rede_Geral\Deptos\Compras\GESTAO DEPARTAMENTO SUPRIMENTOS\27-PROJETOS\AG0125\AG0125-Compressores.xlsx" xr:uid="{BF860C31-1039-41D1-A8C2-723EF88FCF0A}"/>
    <hyperlink ref="E67" r:id="rId21" display="\\DDSRVFILE\Rede_Geral\Deptos\Compras\GESTAO DEPARTAMENTO SUPRIMENTOS\27-PROJETOS\EF0325\EF0325_Novos Modelos Planos Médicos.xlsx" xr:uid="{B95881FC-212F-4F80-B2F2-E535F0D278FB}"/>
    <hyperlink ref="E91" r:id="rId22" display="\\DDSRVFILE\Rede_Geral\Deptos\Compras\GESTAO DEPARTAMENTO SUPRIMENTOS\27-PROJETOS\JE0426\JE0426 - Fornecimento arame de solda China.xlsx" xr:uid="{B60CBD33-9A4A-4B2D-B0F6-68B4D9B94D37}"/>
    <hyperlink ref="E77" r:id="rId23" display="\\DDSRVFILE\Rede_Geral\Deptos\Compras\GESTAO DEPARTAMENTO SUPRIMENTOS\27-PROJETOS\JE0625\JE0625 - Unificação óleos de processo.xlsx" xr:uid="{9A50430F-E63E-4D5D-9604-06CED77542D2}"/>
    <hyperlink ref="E79" r:id="rId24" display="\\DDSRVFILE\Rede_Geral\Deptos\Compras\GESTAO DEPARTAMENTO SUPRIMENTOS\27-PROJETOS\JE0725\JE0725 - PR Carimbos.xlsx" xr:uid="{E804C05E-D6C9-4957-B0EB-E2DF70FFD6BE}"/>
    <hyperlink ref="E81" r:id="rId25" display="\\DDSRVFILE\Rede_Geral\Deptos\Compras\GESTAO DEPARTAMENTO SUPRIMENTOS\27-PROJETOS\JE0925\JE0925 - Eletrodos.xlsx" xr:uid="{E277E7B0-BC87-4C5C-A294-32306EA170E6}"/>
    <hyperlink ref="E83" r:id="rId26" display="\\DDSRVFILE\Rede_Geral\Deptos\Compras\GESTAO DEPARTAMENTO SUPRIMENTOS\27-PROJETOS\JE1125\JE1125 - Punções Jarinu.xlsx" xr:uid="{9AE8F9BD-5F4D-4ACB-91A5-97435FF90A1B}"/>
    <hyperlink ref="E85" r:id="rId27" display="\\DDSRVFILE\Rede_Geral\Deptos\Compras\GESTAO DEPARTAMENTO SUPRIMENTOS\27-PROJETOS\JE1225\JE1225 - BID Tampões Pintura Anchieta.xlsx" xr:uid="{9DFF23EA-540F-478F-AC07-1D050E470A6F}"/>
    <hyperlink ref="E87" r:id="rId28" display="\\DDSRVFILE\Rede_Geral\Deptos\Compras\GESTAO DEPARTAMENTO SUPRIMENTOS\27-PROJETOS\JE0226\JE0226 - BID Consumíveis Laser.xlsx" xr:uid="{9F80287C-1C7A-4AF9-81E2-1C443D419CBB}"/>
    <hyperlink ref="E71" r:id="rId29" xr:uid="{5B3B7880-F361-4DE4-8E4B-986E48B0BB6B}"/>
    <hyperlink ref="E93" r:id="rId30" xr:uid="{E35C4700-BCD8-4ABA-AA30-AB852A5329D6}"/>
    <hyperlink ref="E95" r:id="rId31" xr:uid="{2BD9258F-D483-487F-BF69-40AF4438B45A}"/>
    <hyperlink ref="E97" r:id="rId32" xr:uid="{AC7DA255-2057-4663-9117-705B53D5F2D9}"/>
    <hyperlink ref="E45" r:id="rId33" xr:uid="{9B0C056A-CFE7-4EA8-A5DF-2A58EF7D826E}"/>
    <hyperlink ref="E99" r:id="rId34" xr:uid="{6D28995C-BCCC-4F58-94AB-EFFC8E5E538D}"/>
    <hyperlink ref="E101" r:id="rId35" xr:uid="{952DFB40-822D-4E40-A830-906DA1449F2B}"/>
    <hyperlink ref="E103" r:id="rId36" xr:uid="{FE9C8EFF-B0EE-4A6F-9FE7-5E095B825799}"/>
    <hyperlink ref="E105:E106" r:id="rId37" display="R:\Deptos\Compras\GESTAO DEPARTAMENTO SUPRIMENTOS\27-PROJETOS\LJ0226\LJ0226 - PROJETO DANA - FORNECIMENTO MTL.xlsx" xr:uid="{BC523DB3-764B-464A-91B1-92213F2E7018}"/>
    <hyperlink ref="E73:E74" r:id="rId38" display="R:\Deptos\Compras\GESTAO DEPARTAMENTO SUPRIMENTOS\27-PROJETOS\DN0526\DN0526 - NEGOCIAÇÃO 85290 (BOELLHOFF).xlsx" xr:uid="{D669E639-A49A-4B62-9D39-E33570833E68}"/>
    <hyperlink ref="E107:E108" r:id="rId39" display="R:\Deptos\Compras\GESTAO DEPARTAMENTO SUPRIMENTOS\27-PROJETOS\EF0626\Projetos_EF0626_ Borra Plasma Ferraz.xlsx" xr:uid="{685A1884-58A9-481E-9BFE-67ADE0163505}"/>
    <hyperlink ref="E109:E110" r:id="rId40" display="R:\Deptos\Compras\GESTAO DEPARTAMENTO SUPRIMENTOS\27-PROJETOS\TS0126\TS0126-Ex-tarifário - Transfer.xlsx" xr:uid="{40C7A699-F058-48AF-8476-C43B3092B62F}"/>
    <hyperlink ref="E111:E112" r:id="rId41" display="R:\Deptos\Compras\GESTAO DEPARTAMENTO SUPRIMENTOS\27-PROJETOS\LJ0726\LJ0127 - USIMINAS - REDUÇÃO DE ITENS MBB.xlsx" xr:uid="{2AB480BA-D2FD-4E98-80FF-B0EA549A87FC}"/>
    <hyperlink ref="E113:E114" r:id="rId42" display="\\DDSRVFILE01\Departamentos\Compras\GESTAO DEPARTAMENTO SUPRIMENTOS\27-PROJETOS\DN0726\DN0726 -Negociação TCC00690-691.xlsx" xr:uid="{847F1EC1-1281-44D1-80EA-70C3F8D93C0D}"/>
    <hyperlink ref="E115:E116" r:id="rId43" display="\\DDSRVFILE01\Departamentos\Compras\GESTAO DEPARTAMENTO SUPRIMENTOS\27-PROJETOS\TS0226\TS0226-Compressores.xlsx" xr:uid="{B5C848D0-9B6A-4DCC-87A1-8689F23CADC7}"/>
    <hyperlink ref="E117:E118" r:id="rId44" display="R:\Deptos\Compras\GESTAO DEPARTAMENTO SUPRIMENTOS\27-PROJETOS\DN0226\DN0226 - Negociação Mercante (Corte a Laser).xlsx" xr:uid="{2D0F42F4-480D-4C1A-950C-C6DD8A0B76DD}"/>
    <hyperlink ref="E119:E120" r:id="rId45" display="R:\Deptos\Compras\GESTAO DEPARTAMENTO SUPRIMENTOS\27-PROJETOS\JE0526\JE0526 - BID Fita Alta Temp 3M + Anti-Slip 3M.xlsx" xr:uid="{05578C06-E6B6-49B7-8D8E-C9FAA464739D}"/>
    <hyperlink ref="E121:E122" r:id="rId46" display="R:\Deptos\Compras\GESTAO DEPARTAMENTO SUPRIMENTOS\27-PROJETOS\JE0626\JE0626 - BID Poliuretano Expansivo.xlsx" xr:uid="{A88BDAB4-BB60-4FFE-8532-3C83C3365CC9}"/>
    <hyperlink ref="E123:E124" r:id="rId47" display="R:\Deptos\Compras\GESTAO DEPARTAMENTO SUPRIMENTOS\27-PROJETOS\DN0826\DN0826 - NACIONALIZAÇÃO RIBE - 75640 (PINO REBITE M6 X 16).xlsx" xr:uid="{5F59B177-4D90-40F9-8F64-5B5DF37F726C}"/>
    <hyperlink ref="E125:E126" r:id="rId48" display="R:\Deptos\Compras\GESTAO DEPARTAMENTO SUPRIMENTOS\27-PROJETOS\TS0326\TS0326-Venda Máquinas.xlsx" xr:uid="{4C197884-6A1B-423A-BAC0-ADA558C67333}"/>
    <hyperlink ref="E127:E128" r:id="rId49" display="R:\Deptos\Compras\GESTAO DEPARTAMENTO SUPRIMENTOS\27-PROJETOS\TS0426\TS0426- Ultrasom.xlsx" xr:uid="{C465D50B-DD84-4D73-A491-0A4D8325D3AC}"/>
    <hyperlink ref="E129:E130" r:id="rId50" display="R:\Deptos\Compras\GESTAO DEPARTAMENTO SUPRIMENTOS\27-PROJETOS\LJ0426\Migração de itens Usiminas para Arcelor.xlsx" xr:uid="{A2AC3DB5-D6C2-405B-BDAE-A0F880338D4B}"/>
    <hyperlink ref="E131:E132" r:id="rId51" display="R:\Deptos\Compras\GESTAO DEPARTAMENTO SUPRIMENTOS\27-PROJETOS\LJ0526\LJ0526 MIGRAÇÃO DE ITENS CSN E USIMINAS PARA GERDAU - .xlsx" xr:uid="{A451094D-C35E-4F4A-983B-5EDBD31CED8F}"/>
  </hyperlinks>
  <pageMargins left="0.75" right="0.75" top="1" bottom="1" header="0.5" footer="0.5"/>
  <pageSetup paperSize="9" orientation="portrait" r:id="rId52"/>
  <drawing r:id="rId53"/>
  <legacyDrawing r:id="rId54"/>
  <mc:AlternateContent xmlns:mc="http://schemas.openxmlformats.org/markup-compatibility/2006">
    <mc:Choice Requires="x14">
      <controls>
        <mc:AlternateContent xmlns:mc="http://schemas.openxmlformats.org/markup-compatibility/2006">
          <mc:Choice Requires="x14">
            <control shapeId="11276" r:id="rId55" name="Check Box 12">
              <controlPr defaultSize="0" autoFill="0" autoLine="0" autoPict="0">
                <anchor moveWithCells="1">
                  <from>
                    <xdr:col>11</xdr:col>
                    <xdr:colOff>0</xdr:colOff>
                    <xdr:row>30</xdr:row>
                    <xdr:rowOff>266700</xdr:rowOff>
                  </from>
                  <to>
                    <xdr:col>11</xdr:col>
                    <xdr:colOff>1744980</xdr:colOff>
                    <xdr:row>31</xdr:row>
                    <xdr:rowOff>144780</xdr:rowOff>
                  </to>
                </anchor>
              </controlPr>
            </control>
          </mc:Choice>
        </mc:AlternateContent>
        <mc:AlternateContent xmlns:mc="http://schemas.openxmlformats.org/markup-compatibility/2006">
          <mc:Choice Requires="x14">
            <control shapeId="11277" r:id="rId56" name="Check Box 13">
              <controlPr defaultSize="0" autoFill="0" autoLine="0" autoPict="0">
                <anchor moveWithCells="1">
                  <from>
                    <xdr:col>11</xdr:col>
                    <xdr:colOff>0</xdr:colOff>
                    <xdr:row>31</xdr:row>
                    <xdr:rowOff>144780</xdr:rowOff>
                  </from>
                  <to>
                    <xdr:col>12</xdr:col>
                    <xdr:colOff>91440</xdr:colOff>
                    <xdr:row>32</xdr:row>
                    <xdr:rowOff>0</xdr:rowOff>
                  </to>
                </anchor>
              </controlPr>
            </control>
          </mc:Choice>
        </mc:AlternateContent>
        <mc:AlternateContent xmlns:mc="http://schemas.openxmlformats.org/markup-compatibility/2006">
          <mc:Choice Requires="x14">
            <control shapeId="11278" r:id="rId57" name="Check Box 14">
              <controlPr defaultSize="0" autoFill="0" autoLine="0" autoPict="0">
                <anchor moveWithCells="1">
                  <from>
                    <xdr:col>11</xdr:col>
                    <xdr:colOff>0</xdr:colOff>
                    <xdr:row>30</xdr:row>
                    <xdr:rowOff>30480</xdr:rowOff>
                  </from>
                  <to>
                    <xdr:col>11</xdr:col>
                    <xdr:colOff>1744980</xdr:colOff>
                    <xdr:row>30</xdr:row>
                    <xdr:rowOff>297180</xdr:rowOff>
                  </to>
                </anchor>
              </controlPr>
            </control>
          </mc:Choice>
        </mc:AlternateContent>
        <mc:AlternateContent xmlns:mc="http://schemas.openxmlformats.org/markup-compatibility/2006">
          <mc:Choice Requires="x14">
            <control shapeId="11279" r:id="rId58" name="Check Box 15">
              <controlPr defaultSize="0" autoFill="0" autoLine="0" autoPict="0">
                <anchor moveWithCells="1">
                  <from>
                    <xdr:col>11</xdr:col>
                    <xdr:colOff>0</xdr:colOff>
                    <xdr:row>32</xdr:row>
                    <xdr:rowOff>266700</xdr:rowOff>
                  </from>
                  <to>
                    <xdr:col>11</xdr:col>
                    <xdr:colOff>1744980</xdr:colOff>
                    <xdr:row>33</xdr:row>
                    <xdr:rowOff>144780</xdr:rowOff>
                  </to>
                </anchor>
              </controlPr>
            </control>
          </mc:Choice>
        </mc:AlternateContent>
        <mc:AlternateContent xmlns:mc="http://schemas.openxmlformats.org/markup-compatibility/2006">
          <mc:Choice Requires="x14">
            <control shapeId="11280" r:id="rId59" name="Check Box 16">
              <controlPr defaultSize="0" autoFill="0" autoLine="0" autoPict="0">
                <anchor moveWithCells="1">
                  <from>
                    <xdr:col>11</xdr:col>
                    <xdr:colOff>0</xdr:colOff>
                    <xdr:row>33</xdr:row>
                    <xdr:rowOff>144780</xdr:rowOff>
                  </from>
                  <to>
                    <xdr:col>12</xdr:col>
                    <xdr:colOff>91440</xdr:colOff>
                    <xdr:row>34</xdr:row>
                    <xdr:rowOff>0</xdr:rowOff>
                  </to>
                </anchor>
              </controlPr>
            </control>
          </mc:Choice>
        </mc:AlternateContent>
        <mc:AlternateContent xmlns:mc="http://schemas.openxmlformats.org/markup-compatibility/2006">
          <mc:Choice Requires="x14">
            <control shapeId="11281" r:id="rId60" name="Check Box 17">
              <controlPr defaultSize="0" autoFill="0" autoLine="0" autoPict="0">
                <anchor moveWithCells="1">
                  <from>
                    <xdr:col>11</xdr:col>
                    <xdr:colOff>0</xdr:colOff>
                    <xdr:row>32</xdr:row>
                    <xdr:rowOff>30480</xdr:rowOff>
                  </from>
                  <to>
                    <xdr:col>11</xdr:col>
                    <xdr:colOff>1744980</xdr:colOff>
                    <xdr:row>32</xdr:row>
                    <xdr:rowOff>297180</xdr:rowOff>
                  </to>
                </anchor>
              </controlPr>
            </control>
          </mc:Choice>
        </mc:AlternateContent>
        <mc:AlternateContent xmlns:mc="http://schemas.openxmlformats.org/markup-compatibility/2006">
          <mc:Choice Requires="x14">
            <control shapeId="11283" r:id="rId61" name="Check Box 19">
              <controlPr defaultSize="0" autoFill="0" autoLine="0" autoPict="0">
                <anchor moveWithCells="1">
                  <from>
                    <xdr:col>11</xdr:col>
                    <xdr:colOff>0</xdr:colOff>
                    <xdr:row>34</xdr:row>
                    <xdr:rowOff>266700</xdr:rowOff>
                  </from>
                  <to>
                    <xdr:col>11</xdr:col>
                    <xdr:colOff>1744980</xdr:colOff>
                    <xdr:row>35</xdr:row>
                    <xdr:rowOff>144780</xdr:rowOff>
                  </to>
                </anchor>
              </controlPr>
            </control>
          </mc:Choice>
        </mc:AlternateContent>
        <mc:AlternateContent xmlns:mc="http://schemas.openxmlformats.org/markup-compatibility/2006">
          <mc:Choice Requires="x14">
            <control shapeId="11284" r:id="rId62" name="Check Box 20">
              <controlPr defaultSize="0" autoFill="0" autoLine="0" autoPict="0">
                <anchor moveWithCells="1">
                  <from>
                    <xdr:col>11</xdr:col>
                    <xdr:colOff>0</xdr:colOff>
                    <xdr:row>35</xdr:row>
                    <xdr:rowOff>144780</xdr:rowOff>
                  </from>
                  <to>
                    <xdr:col>12</xdr:col>
                    <xdr:colOff>91440</xdr:colOff>
                    <xdr:row>36</xdr:row>
                    <xdr:rowOff>68580</xdr:rowOff>
                  </to>
                </anchor>
              </controlPr>
            </control>
          </mc:Choice>
        </mc:AlternateContent>
        <mc:AlternateContent xmlns:mc="http://schemas.openxmlformats.org/markup-compatibility/2006">
          <mc:Choice Requires="x14">
            <control shapeId="11285" r:id="rId63" name="Check Box 21">
              <controlPr defaultSize="0" autoFill="0" autoLine="0" autoPict="0">
                <anchor moveWithCells="1">
                  <from>
                    <xdr:col>11</xdr:col>
                    <xdr:colOff>0</xdr:colOff>
                    <xdr:row>34</xdr:row>
                    <xdr:rowOff>30480</xdr:rowOff>
                  </from>
                  <to>
                    <xdr:col>11</xdr:col>
                    <xdr:colOff>1744980</xdr:colOff>
                    <xdr:row>34</xdr:row>
                    <xdr:rowOff>297180</xdr:rowOff>
                  </to>
                </anchor>
              </controlPr>
            </control>
          </mc:Choice>
        </mc:AlternateContent>
        <mc:AlternateContent xmlns:mc="http://schemas.openxmlformats.org/markup-compatibility/2006">
          <mc:Choice Requires="x14">
            <control shapeId="11286" r:id="rId64" name="Check Box 22">
              <controlPr defaultSize="0" autoFill="0" autoLine="0" autoPict="0">
                <anchor moveWithCells="1">
                  <from>
                    <xdr:col>11</xdr:col>
                    <xdr:colOff>0</xdr:colOff>
                    <xdr:row>36</xdr:row>
                    <xdr:rowOff>266700</xdr:rowOff>
                  </from>
                  <to>
                    <xdr:col>11</xdr:col>
                    <xdr:colOff>1744980</xdr:colOff>
                    <xdr:row>37</xdr:row>
                    <xdr:rowOff>144780</xdr:rowOff>
                  </to>
                </anchor>
              </controlPr>
            </control>
          </mc:Choice>
        </mc:AlternateContent>
        <mc:AlternateContent xmlns:mc="http://schemas.openxmlformats.org/markup-compatibility/2006">
          <mc:Choice Requires="x14">
            <control shapeId="11287" r:id="rId65" name="Check Box 23">
              <controlPr defaultSize="0" autoFill="0" autoLine="0" autoPict="0">
                <anchor moveWithCells="1">
                  <from>
                    <xdr:col>11</xdr:col>
                    <xdr:colOff>0</xdr:colOff>
                    <xdr:row>37</xdr:row>
                    <xdr:rowOff>144780</xdr:rowOff>
                  </from>
                  <to>
                    <xdr:col>11</xdr:col>
                    <xdr:colOff>1744980</xdr:colOff>
                    <xdr:row>38</xdr:row>
                    <xdr:rowOff>0</xdr:rowOff>
                  </to>
                </anchor>
              </controlPr>
            </control>
          </mc:Choice>
        </mc:AlternateContent>
        <mc:AlternateContent xmlns:mc="http://schemas.openxmlformats.org/markup-compatibility/2006">
          <mc:Choice Requires="x14">
            <control shapeId="11288" r:id="rId66" name="Check Box 24">
              <controlPr defaultSize="0" autoFill="0" autoLine="0" autoPict="0">
                <anchor moveWithCells="1">
                  <from>
                    <xdr:col>11</xdr:col>
                    <xdr:colOff>0</xdr:colOff>
                    <xdr:row>36</xdr:row>
                    <xdr:rowOff>30480</xdr:rowOff>
                  </from>
                  <to>
                    <xdr:col>11</xdr:col>
                    <xdr:colOff>1744980</xdr:colOff>
                    <xdr:row>36</xdr:row>
                    <xdr:rowOff>297180</xdr:rowOff>
                  </to>
                </anchor>
              </controlPr>
            </control>
          </mc:Choice>
        </mc:AlternateContent>
        <mc:AlternateContent xmlns:mc="http://schemas.openxmlformats.org/markup-compatibility/2006">
          <mc:Choice Requires="x14">
            <control shapeId="11289" r:id="rId67" name="Check Box 25">
              <controlPr defaultSize="0" autoFill="0" autoLine="0" autoPict="0">
                <anchor moveWithCells="1">
                  <from>
                    <xdr:col>11</xdr:col>
                    <xdr:colOff>0</xdr:colOff>
                    <xdr:row>38</xdr:row>
                    <xdr:rowOff>266700</xdr:rowOff>
                  </from>
                  <to>
                    <xdr:col>11</xdr:col>
                    <xdr:colOff>1744980</xdr:colOff>
                    <xdr:row>39</xdr:row>
                    <xdr:rowOff>144780</xdr:rowOff>
                  </to>
                </anchor>
              </controlPr>
            </control>
          </mc:Choice>
        </mc:AlternateContent>
        <mc:AlternateContent xmlns:mc="http://schemas.openxmlformats.org/markup-compatibility/2006">
          <mc:Choice Requires="x14">
            <control shapeId="11290" r:id="rId68" name="Check Box 26">
              <controlPr defaultSize="0" autoFill="0" autoLine="0" autoPict="0">
                <anchor moveWithCells="1">
                  <from>
                    <xdr:col>11</xdr:col>
                    <xdr:colOff>0</xdr:colOff>
                    <xdr:row>39</xdr:row>
                    <xdr:rowOff>144780</xdr:rowOff>
                  </from>
                  <to>
                    <xdr:col>12</xdr:col>
                    <xdr:colOff>411480</xdr:colOff>
                    <xdr:row>40</xdr:row>
                    <xdr:rowOff>68580</xdr:rowOff>
                  </to>
                </anchor>
              </controlPr>
            </control>
          </mc:Choice>
        </mc:AlternateContent>
        <mc:AlternateContent xmlns:mc="http://schemas.openxmlformats.org/markup-compatibility/2006">
          <mc:Choice Requires="x14">
            <control shapeId="11291" r:id="rId69" name="Check Box 27">
              <controlPr defaultSize="0" autoFill="0" autoLine="0" autoPict="0">
                <anchor moveWithCells="1">
                  <from>
                    <xdr:col>11</xdr:col>
                    <xdr:colOff>0</xdr:colOff>
                    <xdr:row>38</xdr:row>
                    <xdr:rowOff>30480</xdr:rowOff>
                  </from>
                  <to>
                    <xdr:col>11</xdr:col>
                    <xdr:colOff>1744980</xdr:colOff>
                    <xdr:row>38</xdr:row>
                    <xdr:rowOff>297180</xdr:rowOff>
                  </to>
                </anchor>
              </controlPr>
            </control>
          </mc:Choice>
        </mc:AlternateContent>
        <mc:AlternateContent xmlns:mc="http://schemas.openxmlformats.org/markup-compatibility/2006">
          <mc:Choice Requires="x14">
            <control shapeId="11292" r:id="rId70" name="Check Box 28">
              <controlPr defaultSize="0" autoFill="0" autoLine="0" autoPict="0">
                <anchor moveWithCells="1">
                  <from>
                    <xdr:col>11</xdr:col>
                    <xdr:colOff>0</xdr:colOff>
                    <xdr:row>40</xdr:row>
                    <xdr:rowOff>266700</xdr:rowOff>
                  </from>
                  <to>
                    <xdr:col>11</xdr:col>
                    <xdr:colOff>1744980</xdr:colOff>
                    <xdr:row>41</xdr:row>
                    <xdr:rowOff>144780</xdr:rowOff>
                  </to>
                </anchor>
              </controlPr>
            </control>
          </mc:Choice>
        </mc:AlternateContent>
        <mc:AlternateContent xmlns:mc="http://schemas.openxmlformats.org/markup-compatibility/2006">
          <mc:Choice Requires="x14">
            <control shapeId="11293" r:id="rId71" name="Check Box 29">
              <controlPr defaultSize="0" autoFill="0" autoLine="0" autoPict="0">
                <anchor moveWithCells="1">
                  <from>
                    <xdr:col>11</xdr:col>
                    <xdr:colOff>0</xdr:colOff>
                    <xdr:row>41</xdr:row>
                    <xdr:rowOff>144780</xdr:rowOff>
                  </from>
                  <to>
                    <xdr:col>11</xdr:col>
                    <xdr:colOff>1744980</xdr:colOff>
                    <xdr:row>42</xdr:row>
                    <xdr:rowOff>0</xdr:rowOff>
                  </to>
                </anchor>
              </controlPr>
            </control>
          </mc:Choice>
        </mc:AlternateContent>
        <mc:AlternateContent xmlns:mc="http://schemas.openxmlformats.org/markup-compatibility/2006">
          <mc:Choice Requires="x14">
            <control shapeId="11294" r:id="rId72" name="Check Box 30">
              <controlPr defaultSize="0" autoFill="0" autoLine="0" autoPict="0">
                <anchor moveWithCells="1">
                  <from>
                    <xdr:col>11</xdr:col>
                    <xdr:colOff>0</xdr:colOff>
                    <xdr:row>40</xdr:row>
                    <xdr:rowOff>30480</xdr:rowOff>
                  </from>
                  <to>
                    <xdr:col>11</xdr:col>
                    <xdr:colOff>1744980</xdr:colOff>
                    <xdr:row>40</xdr:row>
                    <xdr:rowOff>297180</xdr:rowOff>
                  </to>
                </anchor>
              </controlPr>
            </control>
          </mc:Choice>
        </mc:AlternateContent>
        <mc:AlternateContent xmlns:mc="http://schemas.openxmlformats.org/markup-compatibility/2006">
          <mc:Choice Requires="x14">
            <control shapeId="11295" r:id="rId73" name="Check Box 31">
              <controlPr defaultSize="0" autoFill="0" autoLine="0" autoPict="0">
                <anchor moveWithCells="1">
                  <from>
                    <xdr:col>11</xdr:col>
                    <xdr:colOff>0</xdr:colOff>
                    <xdr:row>42</xdr:row>
                    <xdr:rowOff>266700</xdr:rowOff>
                  </from>
                  <to>
                    <xdr:col>11</xdr:col>
                    <xdr:colOff>1744980</xdr:colOff>
                    <xdr:row>43</xdr:row>
                    <xdr:rowOff>144780</xdr:rowOff>
                  </to>
                </anchor>
              </controlPr>
            </control>
          </mc:Choice>
        </mc:AlternateContent>
        <mc:AlternateContent xmlns:mc="http://schemas.openxmlformats.org/markup-compatibility/2006">
          <mc:Choice Requires="x14">
            <control shapeId="11296" r:id="rId74" name="Check Box 32">
              <controlPr defaultSize="0" autoFill="0" autoLine="0" autoPict="0">
                <anchor moveWithCells="1">
                  <from>
                    <xdr:col>11</xdr:col>
                    <xdr:colOff>0</xdr:colOff>
                    <xdr:row>43</xdr:row>
                    <xdr:rowOff>144780</xdr:rowOff>
                  </from>
                  <to>
                    <xdr:col>11</xdr:col>
                    <xdr:colOff>1744980</xdr:colOff>
                    <xdr:row>44</xdr:row>
                    <xdr:rowOff>68580</xdr:rowOff>
                  </to>
                </anchor>
              </controlPr>
            </control>
          </mc:Choice>
        </mc:AlternateContent>
        <mc:AlternateContent xmlns:mc="http://schemas.openxmlformats.org/markup-compatibility/2006">
          <mc:Choice Requires="x14">
            <control shapeId="11297" r:id="rId75" name="Check Box 33">
              <controlPr defaultSize="0" autoFill="0" autoLine="0" autoPict="0">
                <anchor moveWithCells="1">
                  <from>
                    <xdr:col>11</xdr:col>
                    <xdr:colOff>0</xdr:colOff>
                    <xdr:row>42</xdr:row>
                    <xdr:rowOff>30480</xdr:rowOff>
                  </from>
                  <to>
                    <xdr:col>11</xdr:col>
                    <xdr:colOff>1744980</xdr:colOff>
                    <xdr:row>42</xdr:row>
                    <xdr:rowOff>297180</xdr:rowOff>
                  </to>
                </anchor>
              </controlPr>
            </control>
          </mc:Choice>
        </mc:AlternateContent>
        <mc:AlternateContent xmlns:mc="http://schemas.openxmlformats.org/markup-compatibility/2006">
          <mc:Choice Requires="x14">
            <control shapeId="11298" r:id="rId76" name="Check Box 34">
              <controlPr defaultSize="0" autoFill="0" autoLine="0" autoPict="0">
                <anchor moveWithCells="1">
                  <from>
                    <xdr:col>11</xdr:col>
                    <xdr:colOff>0</xdr:colOff>
                    <xdr:row>44</xdr:row>
                    <xdr:rowOff>266700</xdr:rowOff>
                  </from>
                  <to>
                    <xdr:col>12</xdr:col>
                    <xdr:colOff>0</xdr:colOff>
                    <xdr:row>45</xdr:row>
                    <xdr:rowOff>144780</xdr:rowOff>
                  </to>
                </anchor>
              </controlPr>
            </control>
          </mc:Choice>
        </mc:AlternateContent>
        <mc:AlternateContent xmlns:mc="http://schemas.openxmlformats.org/markup-compatibility/2006">
          <mc:Choice Requires="x14">
            <control shapeId="11299" r:id="rId77" name="Check Box 35">
              <controlPr defaultSize="0" autoFill="0" autoLine="0" autoPict="0">
                <anchor moveWithCells="1">
                  <from>
                    <xdr:col>11</xdr:col>
                    <xdr:colOff>0</xdr:colOff>
                    <xdr:row>45</xdr:row>
                    <xdr:rowOff>144780</xdr:rowOff>
                  </from>
                  <to>
                    <xdr:col>11</xdr:col>
                    <xdr:colOff>1744980</xdr:colOff>
                    <xdr:row>46</xdr:row>
                    <xdr:rowOff>0</xdr:rowOff>
                  </to>
                </anchor>
              </controlPr>
            </control>
          </mc:Choice>
        </mc:AlternateContent>
        <mc:AlternateContent xmlns:mc="http://schemas.openxmlformats.org/markup-compatibility/2006">
          <mc:Choice Requires="x14">
            <control shapeId="11300" r:id="rId78" name="Check Box 36">
              <controlPr defaultSize="0" autoFill="0" autoLine="0" autoPict="0">
                <anchor moveWithCells="1">
                  <from>
                    <xdr:col>11</xdr:col>
                    <xdr:colOff>0</xdr:colOff>
                    <xdr:row>44</xdr:row>
                    <xdr:rowOff>30480</xdr:rowOff>
                  </from>
                  <to>
                    <xdr:col>12</xdr:col>
                    <xdr:colOff>0</xdr:colOff>
                    <xdr:row>44</xdr:row>
                    <xdr:rowOff>297180</xdr:rowOff>
                  </to>
                </anchor>
              </controlPr>
            </control>
          </mc:Choice>
        </mc:AlternateContent>
        <mc:AlternateContent xmlns:mc="http://schemas.openxmlformats.org/markup-compatibility/2006">
          <mc:Choice Requires="x14">
            <control shapeId="11301" r:id="rId79" name="Check Box 37">
              <controlPr defaultSize="0" autoFill="0" autoLine="0" autoPict="0">
                <anchor moveWithCells="1">
                  <from>
                    <xdr:col>11</xdr:col>
                    <xdr:colOff>0</xdr:colOff>
                    <xdr:row>46</xdr:row>
                    <xdr:rowOff>266700</xdr:rowOff>
                  </from>
                  <to>
                    <xdr:col>11</xdr:col>
                    <xdr:colOff>1744980</xdr:colOff>
                    <xdr:row>47</xdr:row>
                    <xdr:rowOff>144780</xdr:rowOff>
                  </to>
                </anchor>
              </controlPr>
            </control>
          </mc:Choice>
        </mc:AlternateContent>
        <mc:AlternateContent xmlns:mc="http://schemas.openxmlformats.org/markup-compatibility/2006">
          <mc:Choice Requires="x14">
            <control shapeId="11302" r:id="rId80" name="Check Box 38">
              <controlPr defaultSize="0" autoFill="0" autoLine="0" autoPict="0">
                <anchor moveWithCells="1">
                  <from>
                    <xdr:col>11</xdr:col>
                    <xdr:colOff>0</xdr:colOff>
                    <xdr:row>47</xdr:row>
                    <xdr:rowOff>144780</xdr:rowOff>
                  </from>
                  <to>
                    <xdr:col>11</xdr:col>
                    <xdr:colOff>1744980</xdr:colOff>
                    <xdr:row>48</xdr:row>
                    <xdr:rowOff>68580</xdr:rowOff>
                  </to>
                </anchor>
              </controlPr>
            </control>
          </mc:Choice>
        </mc:AlternateContent>
        <mc:AlternateContent xmlns:mc="http://schemas.openxmlformats.org/markup-compatibility/2006">
          <mc:Choice Requires="x14">
            <control shapeId="11303" r:id="rId81" name="Check Box 39">
              <controlPr defaultSize="0" autoFill="0" autoLine="0" autoPict="0">
                <anchor moveWithCells="1">
                  <from>
                    <xdr:col>11</xdr:col>
                    <xdr:colOff>0</xdr:colOff>
                    <xdr:row>46</xdr:row>
                    <xdr:rowOff>30480</xdr:rowOff>
                  </from>
                  <to>
                    <xdr:col>11</xdr:col>
                    <xdr:colOff>1744980</xdr:colOff>
                    <xdr:row>46</xdr:row>
                    <xdr:rowOff>297180</xdr:rowOff>
                  </to>
                </anchor>
              </controlPr>
            </control>
          </mc:Choice>
        </mc:AlternateContent>
        <mc:AlternateContent xmlns:mc="http://schemas.openxmlformats.org/markup-compatibility/2006">
          <mc:Choice Requires="x14">
            <control shapeId="11304" r:id="rId82" name="Check Box 40">
              <controlPr defaultSize="0" autoFill="0" autoLine="0" autoPict="0">
                <anchor moveWithCells="1">
                  <from>
                    <xdr:col>11</xdr:col>
                    <xdr:colOff>0</xdr:colOff>
                    <xdr:row>48</xdr:row>
                    <xdr:rowOff>266700</xdr:rowOff>
                  </from>
                  <to>
                    <xdr:col>11</xdr:col>
                    <xdr:colOff>1744980</xdr:colOff>
                    <xdr:row>49</xdr:row>
                    <xdr:rowOff>144780</xdr:rowOff>
                  </to>
                </anchor>
              </controlPr>
            </control>
          </mc:Choice>
        </mc:AlternateContent>
        <mc:AlternateContent xmlns:mc="http://schemas.openxmlformats.org/markup-compatibility/2006">
          <mc:Choice Requires="x14">
            <control shapeId="11305" r:id="rId83" name="Check Box 41">
              <controlPr defaultSize="0" autoFill="0" autoLine="0" autoPict="0">
                <anchor moveWithCells="1">
                  <from>
                    <xdr:col>11</xdr:col>
                    <xdr:colOff>0</xdr:colOff>
                    <xdr:row>49</xdr:row>
                    <xdr:rowOff>144780</xdr:rowOff>
                  </from>
                  <to>
                    <xdr:col>11</xdr:col>
                    <xdr:colOff>1744980</xdr:colOff>
                    <xdr:row>50</xdr:row>
                    <xdr:rowOff>0</xdr:rowOff>
                  </to>
                </anchor>
              </controlPr>
            </control>
          </mc:Choice>
        </mc:AlternateContent>
        <mc:AlternateContent xmlns:mc="http://schemas.openxmlformats.org/markup-compatibility/2006">
          <mc:Choice Requires="x14">
            <control shapeId="11306" r:id="rId84" name="Check Box 42">
              <controlPr defaultSize="0" autoFill="0" autoLine="0" autoPict="0">
                <anchor moveWithCells="1">
                  <from>
                    <xdr:col>11</xdr:col>
                    <xdr:colOff>0</xdr:colOff>
                    <xdr:row>48</xdr:row>
                    <xdr:rowOff>30480</xdr:rowOff>
                  </from>
                  <to>
                    <xdr:col>11</xdr:col>
                    <xdr:colOff>1744980</xdr:colOff>
                    <xdr:row>48</xdr:row>
                    <xdr:rowOff>297180</xdr:rowOff>
                  </to>
                </anchor>
              </controlPr>
            </control>
          </mc:Choice>
        </mc:AlternateContent>
        <mc:AlternateContent xmlns:mc="http://schemas.openxmlformats.org/markup-compatibility/2006">
          <mc:Choice Requires="x14">
            <control shapeId="11307" r:id="rId85" name="Check Box 43">
              <controlPr defaultSize="0" autoFill="0" autoLine="0" autoPict="0">
                <anchor moveWithCells="1">
                  <from>
                    <xdr:col>11</xdr:col>
                    <xdr:colOff>0</xdr:colOff>
                    <xdr:row>50</xdr:row>
                    <xdr:rowOff>266700</xdr:rowOff>
                  </from>
                  <to>
                    <xdr:col>11</xdr:col>
                    <xdr:colOff>1744980</xdr:colOff>
                    <xdr:row>51</xdr:row>
                    <xdr:rowOff>144780</xdr:rowOff>
                  </to>
                </anchor>
              </controlPr>
            </control>
          </mc:Choice>
        </mc:AlternateContent>
        <mc:AlternateContent xmlns:mc="http://schemas.openxmlformats.org/markup-compatibility/2006">
          <mc:Choice Requires="x14">
            <control shapeId="11308" r:id="rId86" name="Check Box 44">
              <controlPr defaultSize="0" autoFill="0" autoLine="0" autoPict="0">
                <anchor moveWithCells="1">
                  <from>
                    <xdr:col>11</xdr:col>
                    <xdr:colOff>0</xdr:colOff>
                    <xdr:row>51</xdr:row>
                    <xdr:rowOff>144780</xdr:rowOff>
                  </from>
                  <to>
                    <xdr:col>11</xdr:col>
                    <xdr:colOff>1744980</xdr:colOff>
                    <xdr:row>52</xdr:row>
                    <xdr:rowOff>68580</xdr:rowOff>
                  </to>
                </anchor>
              </controlPr>
            </control>
          </mc:Choice>
        </mc:AlternateContent>
        <mc:AlternateContent xmlns:mc="http://schemas.openxmlformats.org/markup-compatibility/2006">
          <mc:Choice Requires="x14">
            <control shapeId="11309" r:id="rId87" name="Check Box 45">
              <controlPr defaultSize="0" autoFill="0" autoLine="0" autoPict="0">
                <anchor moveWithCells="1">
                  <from>
                    <xdr:col>11</xdr:col>
                    <xdr:colOff>0</xdr:colOff>
                    <xdr:row>50</xdr:row>
                    <xdr:rowOff>30480</xdr:rowOff>
                  </from>
                  <to>
                    <xdr:col>11</xdr:col>
                    <xdr:colOff>1744980</xdr:colOff>
                    <xdr:row>50</xdr:row>
                    <xdr:rowOff>297180</xdr:rowOff>
                  </to>
                </anchor>
              </controlPr>
            </control>
          </mc:Choice>
        </mc:AlternateContent>
        <mc:AlternateContent xmlns:mc="http://schemas.openxmlformats.org/markup-compatibility/2006">
          <mc:Choice Requires="x14">
            <control shapeId="11310" r:id="rId88" name="Check Box 46">
              <controlPr defaultSize="0" autoFill="0" autoLine="0" autoPict="0">
                <anchor moveWithCells="1">
                  <from>
                    <xdr:col>11</xdr:col>
                    <xdr:colOff>0</xdr:colOff>
                    <xdr:row>52</xdr:row>
                    <xdr:rowOff>266700</xdr:rowOff>
                  </from>
                  <to>
                    <xdr:col>11</xdr:col>
                    <xdr:colOff>1744980</xdr:colOff>
                    <xdr:row>53</xdr:row>
                    <xdr:rowOff>144780</xdr:rowOff>
                  </to>
                </anchor>
              </controlPr>
            </control>
          </mc:Choice>
        </mc:AlternateContent>
        <mc:AlternateContent xmlns:mc="http://schemas.openxmlformats.org/markup-compatibility/2006">
          <mc:Choice Requires="x14">
            <control shapeId="11311" r:id="rId89" name="Check Box 47">
              <controlPr defaultSize="0" autoFill="0" autoLine="0" autoPict="0">
                <anchor moveWithCells="1">
                  <from>
                    <xdr:col>11</xdr:col>
                    <xdr:colOff>0</xdr:colOff>
                    <xdr:row>53</xdr:row>
                    <xdr:rowOff>144780</xdr:rowOff>
                  </from>
                  <to>
                    <xdr:col>11</xdr:col>
                    <xdr:colOff>1744980</xdr:colOff>
                    <xdr:row>54</xdr:row>
                    <xdr:rowOff>0</xdr:rowOff>
                  </to>
                </anchor>
              </controlPr>
            </control>
          </mc:Choice>
        </mc:AlternateContent>
        <mc:AlternateContent xmlns:mc="http://schemas.openxmlformats.org/markup-compatibility/2006">
          <mc:Choice Requires="x14">
            <control shapeId="11312" r:id="rId90" name="Check Box 48">
              <controlPr defaultSize="0" autoFill="0" autoLine="0" autoPict="0">
                <anchor moveWithCells="1">
                  <from>
                    <xdr:col>11</xdr:col>
                    <xdr:colOff>0</xdr:colOff>
                    <xdr:row>52</xdr:row>
                    <xdr:rowOff>30480</xdr:rowOff>
                  </from>
                  <to>
                    <xdr:col>11</xdr:col>
                    <xdr:colOff>1744980</xdr:colOff>
                    <xdr:row>52</xdr:row>
                    <xdr:rowOff>297180</xdr:rowOff>
                  </to>
                </anchor>
              </controlPr>
            </control>
          </mc:Choice>
        </mc:AlternateContent>
        <mc:AlternateContent xmlns:mc="http://schemas.openxmlformats.org/markup-compatibility/2006">
          <mc:Choice Requires="x14">
            <control shapeId="11313" r:id="rId91" name="Check Box 49">
              <controlPr defaultSize="0" autoFill="0" autoLine="0" autoPict="0">
                <anchor moveWithCells="1">
                  <from>
                    <xdr:col>11</xdr:col>
                    <xdr:colOff>0</xdr:colOff>
                    <xdr:row>54</xdr:row>
                    <xdr:rowOff>266700</xdr:rowOff>
                  </from>
                  <to>
                    <xdr:col>11</xdr:col>
                    <xdr:colOff>1744980</xdr:colOff>
                    <xdr:row>55</xdr:row>
                    <xdr:rowOff>144780</xdr:rowOff>
                  </to>
                </anchor>
              </controlPr>
            </control>
          </mc:Choice>
        </mc:AlternateContent>
        <mc:AlternateContent xmlns:mc="http://schemas.openxmlformats.org/markup-compatibility/2006">
          <mc:Choice Requires="x14">
            <control shapeId="11314" r:id="rId92" name="Check Box 50">
              <controlPr defaultSize="0" autoFill="0" autoLine="0" autoPict="0">
                <anchor moveWithCells="1">
                  <from>
                    <xdr:col>11</xdr:col>
                    <xdr:colOff>0</xdr:colOff>
                    <xdr:row>55</xdr:row>
                    <xdr:rowOff>144780</xdr:rowOff>
                  </from>
                  <to>
                    <xdr:col>11</xdr:col>
                    <xdr:colOff>1744980</xdr:colOff>
                    <xdr:row>56</xdr:row>
                    <xdr:rowOff>68580</xdr:rowOff>
                  </to>
                </anchor>
              </controlPr>
            </control>
          </mc:Choice>
        </mc:AlternateContent>
        <mc:AlternateContent xmlns:mc="http://schemas.openxmlformats.org/markup-compatibility/2006">
          <mc:Choice Requires="x14">
            <control shapeId="11315" r:id="rId93" name="Check Box 51">
              <controlPr defaultSize="0" autoFill="0" autoLine="0" autoPict="0">
                <anchor moveWithCells="1">
                  <from>
                    <xdr:col>11</xdr:col>
                    <xdr:colOff>0</xdr:colOff>
                    <xdr:row>54</xdr:row>
                    <xdr:rowOff>30480</xdr:rowOff>
                  </from>
                  <to>
                    <xdr:col>11</xdr:col>
                    <xdr:colOff>1744980</xdr:colOff>
                    <xdr:row>54</xdr:row>
                    <xdr:rowOff>297180</xdr:rowOff>
                  </to>
                </anchor>
              </controlPr>
            </control>
          </mc:Choice>
        </mc:AlternateContent>
        <mc:AlternateContent xmlns:mc="http://schemas.openxmlformats.org/markup-compatibility/2006">
          <mc:Choice Requires="x14">
            <control shapeId="11316" r:id="rId94" name="Check Box 52">
              <controlPr defaultSize="0" autoFill="0" autoLine="0" autoPict="0">
                <anchor moveWithCells="1">
                  <from>
                    <xdr:col>11</xdr:col>
                    <xdr:colOff>0</xdr:colOff>
                    <xdr:row>56</xdr:row>
                    <xdr:rowOff>266700</xdr:rowOff>
                  </from>
                  <to>
                    <xdr:col>11</xdr:col>
                    <xdr:colOff>1744980</xdr:colOff>
                    <xdr:row>57</xdr:row>
                    <xdr:rowOff>144780</xdr:rowOff>
                  </to>
                </anchor>
              </controlPr>
            </control>
          </mc:Choice>
        </mc:AlternateContent>
        <mc:AlternateContent xmlns:mc="http://schemas.openxmlformats.org/markup-compatibility/2006">
          <mc:Choice Requires="x14">
            <control shapeId="11317" r:id="rId95" name="Check Box 53">
              <controlPr defaultSize="0" autoFill="0" autoLine="0" autoPict="0">
                <anchor moveWithCells="1">
                  <from>
                    <xdr:col>11</xdr:col>
                    <xdr:colOff>0</xdr:colOff>
                    <xdr:row>57</xdr:row>
                    <xdr:rowOff>144780</xdr:rowOff>
                  </from>
                  <to>
                    <xdr:col>11</xdr:col>
                    <xdr:colOff>1744980</xdr:colOff>
                    <xdr:row>58</xdr:row>
                    <xdr:rowOff>0</xdr:rowOff>
                  </to>
                </anchor>
              </controlPr>
            </control>
          </mc:Choice>
        </mc:AlternateContent>
        <mc:AlternateContent xmlns:mc="http://schemas.openxmlformats.org/markup-compatibility/2006">
          <mc:Choice Requires="x14">
            <control shapeId="11318" r:id="rId96" name="Check Box 54">
              <controlPr defaultSize="0" autoFill="0" autoLine="0" autoPict="0">
                <anchor moveWithCells="1">
                  <from>
                    <xdr:col>11</xdr:col>
                    <xdr:colOff>0</xdr:colOff>
                    <xdr:row>56</xdr:row>
                    <xdr:rowOff>30480</xdr:rowOff>
                  </from>
                  <to>
                    <xdr:col>11</xdr:col>
                    <xdr:colOff>1744980</xdr:colOff>
                    <xdr:row>56</xdr:row>
                    <xdr:rowOff>297180</xdr:rowOff>
                  </to>
                </anchor>
              </controlPr>
            </control>
          </mc:Choice>
        </mc:AlternateContent>
        <mc:AlternateContent xmlns:mc="http://schemas.openxmlformats.org/markup-compatibility/2006">
          <mc:Choice Requires="x14">
            <control shapeId="11319" r:id="rId97" name="Check Box 55">
              <controlPr defaultSize="0" autoFill="0" autoLine="0" autoPict="0">
                <anchor moveWithCells="1">
                  <from>
                    <xdr:col>11</xdr:col>
                    <xdr:colOff>0</xdr:colOff>
                    <xdr:row>58</xdr:row>
                    <xdr:rowOff>266700</xdr:rowOff>
                  </from>
                  <to>
                    <xdr:col>11</xdr:col>
                    <xdr:colOff>1744980</xdr:colOff>
                    <xdr:row>59</xdr:row>
                    <xdr:rowOff>144780</xdr:rowOff>
                  </to>
                </anchor>
              </controlPr>
            </control>
          </mc:Choice>
        </mc:AlternateContent>
        <mc:AlternateContent xmlns:mc="http://schemas.openxmlformats.org/markup-compatibility/2006">
          <mc:Choice Requires="x14">
            <control shapeId="11320" r:id="rId98" name="Check Box 56">
              <controlPr defaultSize="0" autoFill="0" autoLine="0" autoPict="0">
                <anchor moveWithCells="1">
                  <from>
                    <xdr:col>11</xdr:col>
                    <xdr:colOff>0</xdr:colOff>
                    <xdr:row>59</xdr:row>
                    <xdr:rowOff>144780</xdr:rowOff>
                  </from>
                  <to>
                    <xdr:col>11</xdr:col>
                    <xdr:colOff>1744980</xdr:colOff>
                    <xdr:row>60</xdr:row>
                    <xdr:rowOff>15240</xdr:rowOff>
                  </to>
                </anchor>
              </controlPr>
            </control>
          </mc:Choice>
        </mc:AlternateContent>
        <mc:AlternateContent xmlns:mc="http://schemas.openxmlformats.org/markup-compatibility/2006">
          <mc:Choice Requires="x14">
            <control shapeId="11321" r:id="rId99" name="Check Box 57">
              <controlPr defaultSize="0" autoFill="0" autoLine="0" autoPict="0">
                <anchor moveWithCells="1">
                  <from>
                    <xdr:col>11</xdr:col>
                    <xdr:colOff>0</xdr:colOff>
                    <xdr:row>58</xdr:row>
                    <xdr:rowOff>30480</xdr:rowOff>
                  </from>
                  <to>
                    <xdr:col>11</xdr:col>
                    <xdr:colOff>1744980</xdr:colOff>
                    <xdr:row>58</xdr:row>
                    <xdr:rowOff>259080</xdr:rowOff>
                  </to>
                </anchor>
              </controlPr>
            </control>
          </mc:Choice>
        </mc:AlternateContent>
        <mc:AlternateContent xmlns:mc="http://schemas.openxmlformats.org/markup-compatibility/2006">
          <mc:Choice Requires="x14">
            <control shapeId="11322" r:id="rId100" name="Check Box 58">
              <controlPr defaultSize="0" autoFill="0" autoLine="0" autoPict="0">
                <anchor moveWithCells="1">
                  <from>
                    <xdr:col>11</xdr:col>
                    <xdr:colOff>0</xdr:colOff>
                    <xdr:row>60</xdr:row>
                    <xdr:rowOff>266700</xdr:rowOff>
                  </from>
                  <to>
                    <xdr:col>11</xdr:col>
                    <xdr:colOff>1744980</xdr:colOff>
                    <xdr:row>61</xdr:row>
                    <xdr:rowOff>144780</xdr:rowOff>
                  </to>
                </anchor>
              </controlPr>
            </control>
          </mc:Choice>
        </mc:AlternateContent>
        <mc:AlternateContent xmlns:mc="http://schemas.openxmlformats.org/markup-compatibility/2006">
          <mc:Choice Requires="x14">
            <control shapeId="11323" r:id="rId101" name="Check Box 59">
              <controlPr defaultSize="0" autoFill="0" autoLine="0" autoPict="0">
                <anchor moveWithCells="1">
                  <from>
                    <xdr:col>11</xdr:col>
                    <xdr:colOff>0</xdr:colOff>
                    <xdr:row>61</xdr:row>
                    <xdr:rowOff>144780</xdr:rowOff>
                  </from>
                  <to>
                    <xdr:col>11</xdr:col>
                    <xdr:colOff>1744980</xdr:colOff>
                    <xdr:row>62</xdr:row>
                    <xdr:rowOff>0</xdr:rowOff>
                  </to>
                </anchor>
              </controlPr>
            </control>
          </mc:Choice>
        </mc:AlternateContent>
        <mc:AlternateContent xmlns:mc="http://schemas.openxmlformats.org/markup-compatibility/2006">
          <mc:Choice Requires="x14">
            <control shapeId="11324" r:id="rId102" name="Check Box 60">
              <controlPr defaultSize="0" autoFill="0" autoLine="0" autoPict="0">
                <anchor moveWithCells="1">
                  <from>
                    <xdr:col>11</xdr:col>
                    <xdr:colOff>0</xdr:colOff>
                    <xdr:row>60</xdr:row>
                    <xdr:rowOff>30480</xdr:rowOff>
                  </from>
                  <to>
                    <xdr:col>11</xdr:col>
                    <xdr:colOff>1744980</xdr:colOff>
                    <xdr:row>60</xdr:row>
                    <xdr:rowOff>259080</xdr:rowOff>
                  </to>
                </anchor>
              </controlPr>
            </control>
          </mc:Choice>
        </mc:AlternateContent>
        <mc:AlternateContent xmlns:mc="http://schemas.openxmlformats.org/markup-compatibility/2006">
          <mc:Choice Requires="x14">
            <control shapeId="11325" r:id="rId103" name="Check Box 61">
              <controlPr defaultSize="0" autoFill="0" autoLine="0" autoPict="0">
                <anchor moveWithCells="1">
                  <from>
                    <xdr:col>11</xdr:col>
                    <xdr:colOff>0</xdr:colOff>
                    <xdr:row>62</xdr:row>
                    <xdr:rowOff>266700</xdr:rowOff>
                  </from>
                  <to>
                    <xdr:col>11</xdr:col>
                    <xdr:colOff>1744980</xdr:colOff>
                    <xdr:row>63</xdr:row>
                    <xdr:rowOff>144780</xdr:rowOff>
                  </to>
                </anchor>
              </controlPr>
            </control>
          </mc:Choice>
        </mc:AlternateContent>
        <mc:AlternateContent xmlns:mc="http://schemas.openxmlformats.org/markup-compatibility/2006">
          <mc:Choice Requires="x14">
            <control shapeId="11326" r:id="rId104" name="Check Box 62">
              <controlPr defaultSize="0" autoFill="0" autoLine="0" autoPict="0">
                <anchor moveWithCells="1">
                  <from>
                    <xdr:col>11</xdr:col>
                    <xdr:colOff>0</xdr:colOff>
                    <xdr:row>63</xdr:row>
                    <xdr:rowOff>144780</xdr:rowOff>
                  </from>
                  <to>
                    <xdr:col>11</xdr:col>
                    <xdr:colOff>1744980</xdr:colOff>
                    <xdr:row>64</xdr:row>
                    <xdr:rowOff>15240</xdr:rowOff>
                  </to>
                </anchor>
              </controlPr>
            </control>
          </mc:Choice>
        </mc:AlternateContent>
        <mc:AlternateContent xmlns:mc="http://schemas.openxmlformats.org/markup-compatibility/2006">
          <mc:Choice Requires="x14">
            <control shapeId="11327" r:id="rId105" name="Check Box 63">
              <controlPr defaultSize="0" autoFill="0" autoLine="0" autoPict="0">
                <anchor moveWithCells="1">
                  <from>
                    <xdr:col>11</xdr:col>
                    <xdr:colOff>0</xdr:colOff>
                    <xdr:row>62</xdr:row>
                    <xdr:rowOff>30480</xdr:rowOff>
                  </from>
                  <to>
                    <xdr:col>11</xdr:col>
                    <xdr:colOff>1744980</xdr:colOff>
                    <xdr:row>62</xdr:row>
                    <xdr:rowOff>259080</xdr:rowOff>
                  </to>
                </anchor>
              </controlPr>
            </control>
          </mc:Choice>
        </mc:AlternateContent>
        <mc:AlternateContent xmlns:mc="http://schemas.openxmlformats.org/markup-compatibility/2006">
          <mc:Choice Requires="x14">
            <control shapeId="11328" r:id="rId106" name="Check Box 64">
              <controlPr defaultSize="0" autoFill="0" autoLine="0" autoPict="0">
                <anchor moveWithCells="1">
                  <from>
                    <xdr:col>11</xdr:col>
                    <xdr:colOff>0</xdr:colOff>
                    <xdr:row>64</xdr:row>
                    <xdr:rowOff>266700</xdr:rowOff>
                  </from>
                  <to>
                    <xdr:col>11</xdr:col>
                    <xdr:colOff>1744980</xdr:colOff>
                    <xdr:row>65</xdr:row>
                    <xdr:rowOff>144780</xdr:rowOff>
                  </to>
                </anchor>
              </controlPr>
            </control>
          </mc:Choice>
        </mc:AlternateContent>
        <mc:AlternateContent xmlns:mc="http://schemas.openxmlformats.org/markup-compatibility/2006">
          <mc:Choice Requires="x14">
            <control shapeId="11329" r:id="rId107" name="Check Box 65">
              <controlPr defaultSize="0" autoFill="0" autoLine="0" autoPict="0">
                <anchor moveWithCells="1">
                  <from>
                    <xdr:col>11</xdr:col>
                    <xdr:colOff>0</xdr:colOff>
                    <xdr:row>65</xdr:row>
                    <xdr:rowOff>144780</xdr:rowOff>
                  </from>
                  <to>
                    <xdr:col>11</xdr:col>
                    <xdr:colOff>1744980</xdr:colOff>
                    <xdr:row>66</xdr:row>
                    <xdr:rowOff>0</xdr:rowOff>
                  </to>
                </anchor>
              </controlPr>
            </control>
          </mc:Choice>
        </mc:AlternateContent>
        <mc:AlternateContent xmlns:mc="http://schemas.openxmlformats.org/markup-compatibility/2006">
          <mc:Choice Requires="x14">
            <control shapeId="11330" r:id="rId108" name="Check Box 66">
              <controlPr defaultSize="0" autoFill="0" autoLine="0" autoPict="0">
                <anchor moveWithCells="1">
                  <from>
                    <xdr:col>11</xdr:col>
                    <xdr:colOff>0</xdr:colOff>
                    <xdr:row>64</xdr:row>
                    <xdr:rowOff>30480</xdr:rowOff>
                  </from>
                  <to>
                    <xdr:col>11</xdr:col>
                    <xdr:colOff>1744980</xdr:colOff>
                    <xdr:row>64</xdr:row>
                    <xdr:rowOff>259080</xdr:rowOff>
                  </to>
                </anchor>
              </controlPr>
            </control>
          </mc:Choice>
        </mc:AlternateContent>
        <mc:AlternateContent xmlns:mc="http://schemas.openxmlformats.org/markup-compatibility/2006">
          <mc:Choice Requires="x14">
            <control shapeId="11331" r:id="rId109" name="Check Box 67">
              <controlPr defaultSize="0" autoFill="0" autoLine="0" autoPict="0">
                <anchor moveWithCells="1">
                  <from>
                    <xdr:col>11</xdr:col>
                    <xdr:colOff>0</xdr:colOff>
                    <xdr:row>66</xdr:row>
                    <xdr:rowOff>266700</xdr:rowOff>
                  </from>
                  <to>
                    <xdr:col>11</xdr:col>
                    <xdr:colOff>1744980</xdr:colOff>
                    <xdr:row>67</xdr:row>
                    <xdr:rowOff>144780</xdr:rowOff>
                  </to>
                </anchor>
              </controlPr>
            </control>
          </mc:Choice>
        </mc:AlternateContent>
        <mc:AlternateContent xmlns:mc="http://schemas.openxmlformats.org/markup-compatibility/2006">
          <mc:Choice Requires="x14">
            <control shapeId="11332" r:id="rId110" name="Check Box 68">
              <controlPr defaultSize="0" autoFill="0" autoLine="0" autoPict="0">
                <anchor moveWithCells="1">
                  <from>
                    <xdr:col>11</xdr:col>
                    <xdr:colOff>0</xdr:colOff>
                    <xdr:row>67</xdr:row>
                    <xdr:rowOff>144780</xdr:rowOff>
                  </from>
                  <to>
                    <xdr:col>11</xdr:col>
                    <xdr:colOff>1744980</xdr:colOff>
                    <xdr:row>68</xdr:row>
                    <xdr:rowOff>15240</xdr:rowOff>
                  </to>
                </anchor>
              </controlPr>
            </control>
          </mc:Choice>
        </mc:AlternateContent>
        <mc:AlternateContent xmlns:mc="http://schemas.openxmlformats.org/markup-compatibility/2006">
          <mc:Choice Requires="x14">
            <control shapeId="11333" r:id="rId111" name="Check Box 69">
              <controlPr defaultSize="0" autoFill="0" autoLine="0" autoPict="0">
                <anchor moveWithCells="1">
                  <from>
                    <xdr:col>11</xdr:col>
                    <xdr:colOff>0</xdr:colOff>
                    <xdr:row>66</xdr:row>
                    <xdr:rowOff>30480</xdr:rowOff>
                  </from>
                  <to>
                    <xdr:col>11</xdr:col>
                    <xdr:colOff>1744980</xdr:colOff>
                    <xdr:row>66</xdr:row>
                    <xdr:rowOff>259080</xdr:rowOff>
                  </to>
                </anchor>
              </controlPr>
            </control>
          </mc:Choice>
        </mc:AlternateContent>
        <mc:AlternateContent xmlns:mc="http://schemas.openxmlformats.org/markup-compatibility/2006">
          <mc:Choice Requires="x14">
            <control shapeId="11334" r:id="rId112" name="Check Box 70">
              <controlPr defaultSize="0" autoFill="0" autoLine="0" autoPict="0">
                <anchor moveWithCells="1">
                  <from>
                    <xdr:col>11</xdr:col>
                    <xdr:colOff>0</xdr:colOff>
                    <xdr:row>68</xdr:row>
                    <xdr:rowOff>266700</xdr:rowOff>
                  </from>
                  <to>
                    <xdr:col>11</xdr:col>
                    <xdr:colOff>1744980</xdr:colOff>
                    <xdr:row>69</xdr:row>
                    <xdr:rowOff>144780</xdr:rowOff>
                  </to>
                </anchor>
              </controlPr>
            </control>
          </mc:Choice>
        </mc:AlternateContent>
        <mc:AlternateContent xmlns:mc="http://schemas.openxmlformats.org/markup-compatibility/2006">
          <mc:Choice Requires="x14">
            <control shapeId="11335" r:id="rId113" name="Check Box 71">
              <controlPr defaultSize="0" autoFill="0" autoLine="0" autoPict="0">
                <anchor moveWithCells="1">
                  <from>
                    <xdr:col>11</xdr:col>
                    <xdr:colOff>0</xdr:colOff>
                    <xdr:row>69</xdr:row>
                    <xdr:rowOff>144780</xdr:rowOff>
                  </from>
                  <to>
                    <xdr:col>11</xdr:col>
                    <xdr:colOff>1744980</xdr:colOff>
                    <xdr:row>70</xdr:row>
                    <xdr:rowOff>0</xdr:rowOff>
                  </to>
                </anchor>
              </controlPr>
            </control>
          </mc:Choice>
        </mc:AlternateContent>
        <mc:AlternateContent xmlns:mc="http://schemas.openxmlformats.org/markup-compatibility/2006">
          <mc:Choice Requires="x14">
            <control shapeId="11336" r:id="rId114" name="Check Box 72">
              <controlPr defaultSize="0" autoFill="0" autoLine="0" autoPict="0">
                <anchor moveWithCells="1">
                  <from>
                    <xdr:col>11</xdr:col>
                    <xdr:colOff>0</xdr:colOff>
                    <xdr:row>68</xdr:row>
                    <xdr:rowOff>30480</xdr:rowOff>
                  </from>
                  <to>
                    <xdr:col>11</xdr:col>
                    <xdr:colOff>1744980</xdr:colOff>
                    <xdr:row>68</xdr:row>
                    <xdr:rowOff>259080</xdr:rowOff>
                  </to>
                </anchor>
              </controlPr>
            </control>
          </mc:Choice>
        </mc:AlternateContent>
        <mc:AlternateContent xmlns:mc="http://schemas.openxmlformats.org/markup-compatibility/2006">
          <mc:Choice Requires="x14">
            <control shapeId="11337" r:id="rId115" name="Check Box 73">
              <controlPr defaultSize="0" autoFill="0" autoLine="0" autoPict="0">
                <anchor moveWithCells="1">
                  <from>
                    <xdr:col>11</xdr:col>
                    <xdr:colOff>0</xdr:colOff>
                    <xdr:row>70</xdr:row>
                    <xdr:rowOff>266700</xdr:rowOff>
                  </from>
                  <to>
                    <xdr:col>11</xdr:col>
                    <xdr:colOff>1744980</xdr:colOff>
                    <xdr:row>71</xdr:row>
                    <xdr:rowOff>144780</xdr:rowOff>
                  </to>
                </anchor>
              </controlPr>
            </control>
          </mc:Choice>
        </mc:AlternateContent>
        <mc:AlternateContent xmlns:mc="http://schemas.openxmlformats.org/markup-compatibility/2006">
          <mc:Choice Requires="x14">
            <control shapeId="11338" r:id="rId116" name="Check Box 74">
              <controlPr defaultSize="0" autoFill="0" autoLine="0" autoPict="0">
                <anchor moveWithCells="1">
                  <from>
                    <xdr:col>11</xdr:col>
                    <xdr:colOff>0</xdr:colOff>
                    <xdr:row>71</xdr:row>
                    <xdr:rowOff>144780</xdr:rowOff>
                  </from>
                  <to>
                    <xdr:col>11</xdr:col>
                    <xdr:colOff>1744980</xdr:colOff>
                    <xdr:row>72</xdr:row>
                    <xdr:rowOff>15240</xdr:rowOff>
                  </to>
                </anchor>
              </controlPr>
            </control>
          </mc:Choice>
        </mc:AlternateContent>
        <mc:AlternateContent xmlns:mc="http://schemas.openxmlformats.org/markup-compatibility/2006">
          <mc:Choice Requires="x14">
            <control shapeId="11339" r:id="rId117" name="Check Box 75">
              <controlPr defaultSize="0" autoFill="0" autoLine="0" autoPict="0">
                <anchor moveWithCells="1">
                  <from>
                    <xdr:col>11</xdr:col>
                    <xdr:colOff>0</xdr:colOff>
                    <xdr:row>70</xdr:row>
                    <xdr:rowOff>30480</xdr:rowOff>
                  </from>
                  <to>
                    <xdr:col>11</xdr:col>
                    <xdr:colOff>1744980</xdr:colOff>
                    <xdr:row>70</xdr:row>
                    <xdr:rowOff>297180</xdr:rowOff>
                  </to>
                </anchor>
              </controlPr>
            </control>
          </mc:Choice>
        </mc:AlternateContent>
        <mc:AlternateContent xmlns:mc="http://schemas.openxmlformats.org/markup-compatibility/2006">
          <mc:Choice Requires="x14">
            <control shapeId="11340" r:id="rId118" name="Check Box 76">
              <controlPr defaultSize="0" autoFill="0" autoLine="0" autoPict="0">
                <anchor moveWithCells="1">
                  <from>
                    <xdr:col>11</xdr:col>
                    <xdr:colOff>0</xdr:colOff>
                    <xdr:row>72</xdr:row>
                    <xdr:rowOff>266700</xdr:rowOff>
                  </from>
                  <to>
                    <xdr:col>11</xdr:col>
                    <xdr:colOff>1744980</xdr:colOff>
                    <xdr:row>73</xdr:row>
                    <xdr:rowOff>144780</xdr:rowOff>
                  </to>
                </anchor>
              </controlPr>
            </control>
          </mc:Choice>
        </mc:AlternateContent>
        <mc:AlternateContent xmlns:mc="http://schemas.openxmlformats.org/markup-compatibility/2006">
          <mc:Choice Requires="x14">
            <control shapeId="11341" r:id="rId119" name="Check Box 77">
              <controlPr defaultSize="0" autoFill="0" autoLine="0" autoPict="0">
                <anchor moveWithCells="1">
                  <from>
                    <xdr:col>11</xdr:col>
                    <xdr:colOff>0</xdr:colOff>
                    <xdr:row>73</xdr:row>
                    <xdr:rowOff>144780</xdr:rowOff>
                  </from>
                  <to>
                    <xdr:col>11</xdr:col>
                    <xdr:colOff>1744980</xdr:colOff>
                    <xdr:row>74</xdr:row>
                    <xdr:rowOff>0</xdr:rowOff>
                  </to>
                </anchor>
              </controlPr>
            </control>
          </mc:Choice>
        </mc:AlternateContent>
        <mc:AlternateContent xmlns:mc="http://schemas.openxmlformats.org/markup-compatibility/2006">
          <mc:Choice Requires="x14">
            <control shapeId="11342" r:id="rId120" name="Check Box 78">
              <controlPr defaultSize="0" autoFill="0" autoLine="0" autoPict="0">
                <anchor moveWithCells="1">
                  <from>
                    <xdr:col>11</xdr:col>
                    <xdr:colOff>0</xdr:colOff>
                    <xdr:row>72</xdr:row>
                    <xdr:rowOff>30480</xdr:rowOff>
                  </from>
                  <to>
                    <xdr:col>11</xdr:col>
                    <xdr:colOff>1744980</xdr:colOff>
                    <xdr:row>72</xdr:row>
                    <xdr:rowOff>259080</xdr:rowOff>
                  </to>
                </anchor>
              </controlPr>
            </control>
          </mc:Choice>
        </mc:AlternateContent>
        <mc:AlternateContent xmlns:mc="http://schemas.openxmlformats.org/markup-compatibility/2006">
          <mc:Choice Requires="x14">
            <control shapeId="11343" r:id="rId121" name="Check Box 79">
              <controlPr defaultSize="0" autoFill="0" autoLine="0" autoPict="0">
                <anchor moveWithCells="1">
                  <from>
                    <xdr:col>11</xdr:col>
                    <xdr:colOff>0</xdr:colOff>
                    <xdr:row>74</xdr:row>
                    <xdr:rowOff>266700</xdr:rowOff>
                  </from>
                  <to>
                    <xdr:col>11</xdr:col>
                    <xdr:colOff>1744980</xdr:colOff>
                    <xdr:row>75</xdr:row>
                    <xdr:rowOff>144780</xdr:rowOff>
                  </to>
                </anchor>
              </controlPr>
            </control>
          </mc:Choice>
        </mc:AlternateContent>
        <mc:AlternateContent xmlns:mc="http://schemas.openxmlformats.org/markup-compatibility/2006">
          <mc:Choice Requires="x14">
            <control shapeId="11344" r:id="rId122" name="Check Box 80">
              <controlPr defaultSize="0" autoFill="0" autoLine="0" autoPict="0">
                <anchor moveWithCells="1">
                  <from>
                    <xdr:col>11</xdr:col>
                    <xdr:colOff>0</xdr:colOff>
                    <xdr:row>75</xdr:row>
                    <xdr:rowOff>144780</xdr:rowOff>
                  </from>
                  <to>
                    <xdr:col>11</xdr:col>
                    <xdr:colOff>1744980</xdr:colOff>
                    <xdr:row>76</xdr:row>
                    <xdr:rowOff>15240</xdr:rowOff>
                  </to>
                </anchor>
              </controlPr>
            </control>
          </mc:Choice>
        </mc:AlternateContent>
        <mc:AlternateContent xmlns:mc="http://schemas.openxmlformats.org/markup-compatibility/2006">
          <mc:Choice Requires="x14">
            <control shapeId="11345" r:id="rId123" name="Check Box 81">
              <controlPr defaultSize="0" autoFill="0" autoLine="0" autoPict="0">
                <anchor moveWithCells="1">
                  <from>
                    <xdr:col>11</xdr:col>
                    <xdr:colOff>0</xdr:colOff>
                    <xdr:row>74</xdr:row>
                    <xdr:rowOff>30480</xdr:rowOff>
                  </from>
                  <to>
                    <xdr:col>11</xdr:col>
                    <xdr:colOff>1744980</xdr:colOff>
                    <xdr:row>74</xdr:row>
                    <xdr:rowOff>259080</xdr:rowOff>
                  </to>
                </anchor>
              </controlPr>
            </control>
          </mc:Choice>
        </mc:AlternateContent>
        <mc:AlternateContent xmlns:mc="http://schemas.openxmlformats.org/markup-compatibility/2006">
          <mc:Choice Requires="x14">
            <control shapeId="11346" r:id="rId124" name="Check Box 82">
              <controlPr defaultSize="0" autoFill="0" autoLine="0" autoPict="0">
                <anchor moveWithCells="1">
                  <from>
                    <xdr:col>11</xdr:col>
                    <xdr:colOff>0</xdr:colOff>
                    <xdr:row>76</xdr:row>
                    <xdr:rowOff>266700</xdr:rowOff>
                  </from>
                  <to>
                    <xdr:col>11</xdr:col>
                    <xdr:colOff>1744980</xdr:colOff>
                    <xdr:row>77</xdr:row>
                    <xdr:rowOff>144780</xdr:rowOff>
                  </to>
                </anchor>
              </controlPr>
            </control>
          </mc:Choice>
        </mc:AlternateContent>
        <mc:AlternateContent xmlns:mc="http://schemas.openxmlformats.org/markup-compatibility/2006">
          <mc:Choice Requires="x14">
            <control shapeId="11347" r:id="rId125" name="Check Box 83">
              <controlPr defaultSize="0" autoFill="0" autoLine="0" autoPict="0">
                <anchor moveWithCells="1">
                  <from>
                    <xdr:col>11</xdr:col>
                    <xdr:colOff>0</xdr:colOff>
                    <xdr:row>77</xdr:row>
                    <xdr:rowOff>144780</xdr:rowOff>
                  </from>
                  <to>
                    <xdr:col>11</xdr:col>
                    <xdr:colOff>1744980</xdr:colOff>
                    <xdr:row>78</xdr:row>
                    <xdr:rowOff>0</xdr:rowOff>
                  </to>
                </anchor>
              </controlPr>
            </control>
          </mc:Choice>
        </mc:AlternateContent>
        <mc:AlternateContent xmlns:mc="http://schemas.openxmlformats.org/markup-compatibility/2006">
          <mc:Choice Requires="x14">
            <control shapeId="11348" r:id="rId126" name="Check Box 84">
              <controlPr defaultSize="0" autoFill="0" autoLine="0" autoPict="0">
                <anchor moveWithCells="1">
                  <from>
                    <xdr:col>11</xdr:col>
                    <xdr:colOff>0</xdr:colOff>
                    <xdr:row>76</xdr:row>
                    <xdr:rowOff>30480</xdr:rowOff>
                  </from>
                  <to>
                    <xdr:col>11</xdr:col>
                    <xdr:colOff>1744980</xdr:colOff>
                    <xdr:row>76</xdr:row>
                    <xdr:rowOff>259080</xdr:rowOff>
                  </to>
                </anchor>
              </controlPr>
            </control>
          </mc:Choice>
        </mc:AlternateContent>
        <mc:AlternateContent xmlns:mc="http://schemas.openxmlformats.org/markup-compatibility/2006">
          <mc:Choice Requires="x14">
            <control shapeId="11349" r:id="rId127" name="Check Box 85">
              <controlPr defaultSize="0" autoFill="0" autoLine="0" autoPict="0">
                <anchor moveWithCells="1">
                  <from>
                    <xdr:col>11</xdr:col>
                    <xdr:colOff>0</xdr:colOff>
                    <xdr:row>78</xdr:row>
                    <xdr:rowOff>266700</xdr:rowOff>
                  </from>
                  <to>
                    <xdr:col>11</xdr:col>
                    <xdr:colOff>1744980</xdr:colOff>
                    <xdr:row>79</xdr:row>
                    <xdr:rowOff>144780</xdr:rowOff>
                  </to>
                </anchor>
              </controlPr>
            </control>
          </mc:Choice>
        </mc:AlternateContent>
        <mc:AlternateContent xmlns:mc="http://schemas.openxmlformats.org/markup-compatibility/2006">
          <mc:Choice Requires="x14">
            <control shapeId="11350" r:id="rId128" name="Check Box 86">
              <controlPr defaultSize="0" autoFill="0" autoLine="0" autoPict="0">
                <anchor moveWithCells="1">
                  <from>
                    <xdr:col>11</xdr:col>
                    <xdr:colOff>0</xdr:colOff>
                    <xdr:row>79</xdr:row>
                    <xdr:rowOff>144780</xdr:rowOff>
                  </from>
                  <to>
                    <xdr:col>11</xdr:col>
                    <xdr:colOff>1744980</xdr:colOff>
                    <xdr:row>80</xdr:row>
                    <xdr:rowOff>15240</xdr:rowOff>
                  </to>
                </anchor>
              </controlPr>
            </control>
          </mc:Choice>
        </mc:AlternateContent>
        <mc:AlternateContent xmlns:mc="http://schemas.openxmlformats.org/markup-compatibility/2006">
          <mc:Choice Requires="x14">
            <control shapeId="11351" r:id="rId129" name="Check Box 87">
              <controlPr defaultSize="0" autoFill="0" autoLine="0" autoPict="0">
                <anchor moveWithCells="1">
                  <from>
                    <xdr:col>11</xdr:col>
                    <xdr:colOff>0</xdr:colOff>
                    <xdr:row>78</xdr:row>
                    <xdr:rowOff>30480</xdr:rowOff>
                  </from>
                  <to>
                    <xdr:col>11</xdr:col>
                    <xdr:colOff>1744980</xdr:colOff>
                    <xdr:row>78</xdr:row>
                    <xdr:rowOff>297180</xdr:rowOff>
                  </to>
                </anchor>
              </controlPr>
            </control>
          </mc:Choice>
        </mc:AlternateContent>
        <mc:AlternateContent xmlns:mc="http://schemas.openxmlformats.org/markup-compatibility/2006">
          <mc:Choice Requires="x14">
            <control shapeId="11352" r:id="rId130" name="Check Box 88">
              <controlPr defaultSize="0" autoFill="0" autoLine="0" autoPict="0">
                <anchor moveWithCells="1">
                  <from>
                    <xdr:col>11</xdr:col>
                    <xdr:colOff>0</xdr:colOff>
                    <xdr:row>80</xdr:row>
                    <xdr:rowOff>266700</xdr:rowOff>
                  </from>
                  <to>
                    <xdr:col>11</xdr:col>
                    <xdr:colOff>1744980</xdr:colOff>
                    <xdr:row>81</xdr:row>
                    <xdr:rowOff>144780</xdr:rowOff>
                  </to>
                </anchor>
              </controlPr>
            </control>
          </mc:Choice>
        </mc:AlternateContent>
        <mc:AlternateContent xmlns:mc="http://schemas.openxmlformats.org/markup-compatibility/2006">
          <mc:Choice Requires="x14">
            <control shapeId="11353" r:id="rId131" name="Check Box 89">
              <controlPr defaultSize="0" autoFill="0" autoLine="0" autoPict="0">
                <anchor moveWithCells="1">
                  <from>
                    <xdr:col>11</xdr:col>
                    <xdr:colOff>0</xdr:colOff>
                    <xdr:row>81</xdr:row>
                    <xdr:rowOff>144780</xdr:rowOff>
                  </from>
                  <to>
                    <xdr:col>11</xdr:col>
                    <xdr:colOff>1744980</xdr:colOff>
                    <xdr:row>82</xdr:row>
                    <xdr:rowOff>0</xdr:rowOff>
                  </to>
                </anchor>
              </controlPr>
            </control>
          </mc:Choice>
        </mc:AlternateContent>
        <mc:AlternateContent xmlns:mc="http://schemas.openxmlformats.org/markup-compatibility/2006">
          <mc:Choice Requires="x14">
            <control shapeId="11354" r:id="rId132" name="Check Box 90">
              <controlPr defaultSize="0" autoFill="0" autoLine="0" autoPict="0">
                <anchor moveWithCells="1">
                  <from>
                    <xdr:col>11</xdr:col>
                    <xdr:colOff>0</xdr:colOff>
                    <xdr:row>80</xdr:row>
                    <xdr:rowOff>30480</xdr:rowOff>
                  </from>
                  <to>
                    <xdr:col>11</xdr:col>
                    <xdr:colOff>1744980</xdr:colOff>
                    <xdr:row>80</xdr:row>
                    <xdr:rowOff>259080</xdr:rowOff>
                  </to>
                </anchor>
              </controlPr>
            </control>
          </mc:Choice>
        </mc:AlternateContent>
        <mc:AlternateContent xmlns:mc="http://schemas.openxmlformats.org/markup-compatibility/2006">
          <mc:Choice Requires="x14">
            <control shapeId="11355" r:id="rId133" name="Check Box 91">
              <controlPr defaultSize="0" autoFill="0" autoLine="0" autoPict="0">
                <anchor moveWithCells="1">
                  <from>
                    <xdr:col>11</xdr:col>
                    <xdr:colOff>0</xdr:colOff>
                    <xdr:row>82</xdr:row>
                    <xdr:rowOff>266700</xdr:rowOff>
                  </from>
                  <to>
                    <xdr:col>11</xdr:col>
                    <xdr:colOff>1744980</xdr:colOff>
                    <xdr:row>83</xdr:row>
                    <xdr:rowOff>144780</xdr:rowOff>
                  </to>
                </anchor>
              </controlPr>
            </control>
          </mc:Choice>
        </mc:AlternateContent>
        <mc:AlternateContent xmlns:mc="http://schemas.openxmlformats.org/markup-compatibility/2006">
          <mc:Choice Requires="x14">
            <control shapeId="11356" r:id="rId134" name="Check Box 92">
              <controlPr defaultSize="0" autoFill="0" autoLine="0" autoPict="0">
                <anchor moveWithCells="1">
                  <from>
                    <xdr:col>11</xdr:col>
                    <xdr:colOff>0</xdr:colOff>
                    <xdr:row>83</xdr:row>
                    <xdr:rowOff>144780</xdr:rowOff>
                  </from>
                  <to>
                    <xdr:col>11</xdr:col>
                    <xdr:colOff>1744980</xdr:colOff>
                    <xdr:row>84</xdr:row>
                    <xdr:rowOff>15240</xdr:rowOff>
                  </to>
                </anchor>
              </controlPr>
            </control>
          </mc:Choice>
        </mc:AlternateContent>
        <mc:AlternateContent xmlns:mc="http://schemas.openxmlformats.org/markup-compatibility/2006">
          <mc:Choice Requires="x14">
            <control shapeId="11357" r:id="rId135" name="Check Box 93">
              <controlPr defaultSize="0" autoFill="0" autoLine="0" autoPict="0">
                <anchor moveWithCells="1">
                  <from>
                    <xdr:col>11</xdr:col>
                    <xdr:colOff>0</xdr:colOff>
                    <xdr:row>82</xdr:row>
                    <xdr:rowOff>30480</xdr:rowOff>
                  </from>
                  <to>
                    <xdr:col>11</xdr:col>
                    <xdr:colOff>1744980</xdr:colOff>
                    <xdr:row>82</xdr:row>
                    <xdr:rowOff>297180</xdr:rowOff>
                  </to>
                </anchor>
              </controlPr>
            </control>
          </mc:Choice>
        </mc:AlternateContent>
        <mc:AlternateContent xmlns:mc="http://schemas.openxmlformats.org/markup-compatibility/2006">
          <mc:Choice Requires="x14">
            <control shapeId="11358" r:id="rId136" name="Check Box 94">
              <controlPr defaultSize="0" autoFill="0" autoLine="0" autoPict="0">
                <anchor moveWithCells="1">
                  <from>
                    <xdr:col>11</xdr:col>
                    <xdr:colOff>0</xdr:colOff>
                    <xdr:row>84</xdr:row>
                    <xdr:rowOff>266700</xdr:rowOff>
                  </from>
                  <to>
                    <xdr:col>11</xdr:col>
                    <xdr:colOff>1744980</xdr:colOff>
                    <xdr:row>85</xdr:row>
                    <xdr:rowOff>144780</xdr:rowOff>
                  </to>
                </anchor>
              </controlPr>
            </control>
          </mc:Choice>
        </mc:AlternateContent>
        <mc:AlternateContent xmlns:mc="http://schemas.openxmlformats.org/markup-compatibility/2006">
          <mc:Choice Requires="x14">
            <control shapeId="11359" r:id="rId137" name="Check Box 95">
              <controlPr defaultSize="0" autoFill="0" autoLine="0" autoPict="0">
                <anchor moveWithCells="1">
                  <from>
                    <xdr:col>11</xdr:col>
                    <xdr:colOff>0</xdr:colOff>
                    <xdr:row>85</xdr:row>
                    <xdr:rowOff>144780</xdr:rowOff>
                  </from>
                  <to>
                    <xdr:col>11</xdr:col>
                    <xdr:colOff>1744980</xdr:colOff>
                    <xdr:row>86</xdr:row>
                    <xdr:rowOff>0</xdr:rowOff>
                  </to>
                </anchor>
              </controlPr>
            </control>
          </mc:Choice>
        </mc:AlternateContent>
        <mc:AlternateContent xmlns:mc="http://schemas.openxmlformats.org/markup-compatibility/2006">
          <mc:Choice Requires="x14">
            <control shapeId="11360" r:id="rId138" name="Check Box 96">
              <controlPr defaultSize="0" autoFill="0" autoLine="0" autoPict="0">
                <anchor moveWithCells="1">
                  <from>
                    <xdr:col>11</xdr:col>
                    <xdr:colOff>0</xdr:colOff>
                    <xdr:row>84</xdr:row>
                    <xdr:rowOff>30480</xdr:rowOff>
                  </from>
                  <to>
                    <xdr:col>11</xdr:col>
                    <xdr:colOff>1744980</xdr:colOff>
                    <xdr:row>84</xdr:row>
                    <xdr:rowOff>297180</xdr:rowOff>
                  </to>
                </anchor>
              </controlPr>
            </control>
          </mc:Choice>
        </mc:AlternateContent>
        <mc:AlternateContent xmlns:mc="http://schemas.openxmlformats.org/markup-compatibility/2006">
          <mc:Choice Requires="x14">
            <control shapeId="11361" r:id="rId139" name="Check Box 97">
              <controlPr defaultSize="0" autoFill="0" autoLine="0" autoPict="0">
                <anchor moveWithCells="1">
                  <from>
                    <xdr:col>11</xdr:col>
                    <xdr:colOff>0</xdr:colOff>
                    <xdr:row>86</xdr:row>
                    <xdr:rowOff>266700</xdr:rowOff>
                  </from>
                  <to>
                    <xdr:col>11</xdr:col>
                    <xdr:colOff>1744980</xdr:colOff>
                    <xdr:row>87</xdr:row>
                    <xdr:rowOff>144780</xdr:rowOff>
                  </to>
                </anchor>
              </controlPr>
            </control>
          </mc:Choice>
        </mc:AlternateContent>
        <mc:AlternateContent xmlns:mc="http://schemas.openxmlformats.org/markup-compatibility/2006">
          <mc:Choice Requires="x14">
            <control shapeId="11362" r:id="rId140" name="Check Box 98">
              <controlPr defaultSize="0" autoFill="0" autoLine="0" autoPict="0">
                <anchor moveWithCells="1">
                  <from>
                    <xdr:col>11</xdr:col>
                    <xdr:colOff>0</xdr:colOff>
                    <xdr:row>87</xdr:row>
                    <xdr:rowOff>144780</xdr:rowOff>
                  </from>
                  <to>
                    <xdr:col>11</xdr:col>
                    <xdr:colOff>1744980</xdr:colOff>
                    <xdr:row>88</xdr:row>
                    <xdr:rowOff>15240</xdr:rowOff>
                  </to>
                </anchor>
              </controlPr>
            </control>
          </mc:Choice>
        </mc:AlternateContent>
        <mc:AlternateContent xmlns:mc="http://schemas.openxmlformats.org/markup-compatibility/2006">
          <mc:Choice Requires="x14">
            <control shapeId="11363" r:id="rId141" name="Check Box 99">
              <controlPr defaultSize="0" autoFill="0" autoLine="0" autoPict="0">
                <anchor moveWithCells="1">
                  <from>
                    <xdr:col>11</xdr:col>
                    <xdr:colOff>0</xdr:colOff>
                    <xdr:row>86</xdr:row>
                    <xdr:rowOff>30480</xdr:rowOff>
                  </from>
                  <to>
                    <xdr:col>11</xdr:col>
                    <xdr:colOff>1744980</xdr:colOff>
                    <xdr:row>86</xdr:row>
                    <xdr:rowOff>259080</xdr:rowOff>
                  </to>
                </anchor>
              </controlPr>
            </control>
          </mc:Choice>
        </mc:AlternateContent>
        <mc:AlternateContent xmlns:mc="http://schemas.openxmlformats.org/markup-compatibility/2006">
          <mc:Choice Requires="x14">
            <control shapeId="11364" r:id="rId142" name="Check Box 100">
              <controlPr defaultSize="0" autoFill="0" autoLine="0" autoPict="0">
                <anchor moveWithCells="1">
                  <from>
                    <xdr:col>11</xdr:col>
                    <xdr:colOff>0</xdr:colOff>
                    <xdr:row>88</xdr:row>
                    <xdr:rowOff>266700</xdr:rowOff>
                  </from>
                  <to>
                    <xdr:col>11</xdr:col>
                    <xdr:colOff>1744980</xdr:colOff>
                    <xdr:row>89</xdr:row>
                    <xdr:rowOff>144780</xdr:rowOff>
                  </to>
                </anchor>
              </controlPr>
            </control>
          </mc:Choice>
        </mc:AlternateContent>
        <mc:AlternateContent xmlns:mc="http://schemas.openxmlformats.org/markup-compatibility/2006">
          <mc:Choice Requires="x14">
            <control shapeId="11365" r:id="rId143" name="Check Box 101">
              <controlPr defaultSize="0" autoFill="0" autoLine="0" autoPict="0">
                <anchor moveWithCells="1">
                  <from>
                    <xdr:col>11</xdr:col>
                    <xdr:colOff>0</xdr:colOff>
                    <xdr:row>89</xdr:row>
                    <xdr:rowOff>144780</xdr:rowOff>
                  </from>
                  <to>
                    <xdr:col>11</xdr:col>
                    <xdr:colOff>1744980</xdr:colOff>
                    <xdr:row>90</xdr:row>
                    <xdr:rowOff>0</xdr:rowOff>
                  </to>
                </anchor>
              </controlPr>
            </control>
          </mc:Choice>
        </mc:AlternateContent>
        <mc:AlternateContent xmlns:mc="http://schemas.openxmlformats.org/markup-compatibility/2006">
          <mc:Choice Requires="x14">
            <control shapeId="11366" r:id="rId144" name="Check Box 102">
              <controlPr defaultSize="0" autoFill="0" autoLine="0" autoPict="0">
                <anchor moveWithCells="1">
                  <from>
                    <xdr:col>11</xdr:col>
                    <xdr:colOff>0</xdr:colOff>
                    <xdr:row>88</xdr:row>
                    <xdr:rowOff>30480</xdr:rowOff>
                  </from>
                  <to>
                    <xdr:col>11</xdr:col>
                    <xdr:colOff>1744980</xdr:colOff>
                    <xdr:row>88</xdr:row>
                    <xdr:rowOff>228600</xdr:rowOff>
                  </to>
                </anchor>
              </controlPr>
            </control>
          </mc:Choice>
        </mc:AlternateContent>
        <mc:AlternateContent xmlns:mc="http://schemas.openxmlformats.org/markup-compatibility/2006">
          <mc:Choice Requires="x14">
            <control shapeId="11367" r:id="rId145" name="Check Box 103">
              <controlPr defaultSize="0" autoFill="0" autoLine="0" autoPict="0">
                <anchor moveWithCells="1">
                  <from>
                    <xdr:col>11</xdr:col>
                    <xdr:colOff>0</xdr:colOff>
                    <xdr:row>90</xdr:row>
                    <xdr:rowOff>266700</xdr:rowOff>
                  </from>
                  <to>
                    <xdr:col>11</xdr:col>
                    <xdr:colOff>1744980</xdr:colOff>
                    <xdr:row>91</xdr:row>
                    <xdr:rowOff>144780</xdr:rowOff>
                  </to>
                </anchor>
              </controlPr>
            </control>
          </mc:Choice>
        </mc:AlternateContent>
        <mc:AlternateContent xmlns:mc="http://schemas.openxmlformats.org/markup-compatibility/2006">
          <mc:Choice Requires="x14">
            <control shapeId="11368" r:id="rId146" name="Check Box 104">
              <controlPr defaultSize="0" autoFill="0" autoLine="0" autoPict="0">
                <anchor moveWithCells="1">
                  <from>
                    <xdr:col>11</xdr:col>
                    <xdr:colOff>0</xdr:colOff>
                    <xdr:row>91</xdr:row>
                    <xdr:rowOff>144780</xdr:rowOff>
                  </from>
                  <to>
                    <xdr:col>11</xdr:col>
                    <xdr:colOff>1744980</xdr:colOff>
                    <xdr:row>92</xdr:row>
                    <xdr:rowOff>15240</xdr:rowOff>
                  </to>
                </anchor>
              </controlPr>
            </control>
          </mc:Choice>
        </mc:AlternateContent>
        <mc:AlternateContent xmlns:mc="http://schemas.openxmlformats.org/markup-compatibility/2006">
          <mc:Choice Requires="x14">
            <control shapeId="11369" r:id="rId147" name="Check Box 105">
              <controlPr defaultSize="0" autoFill="0" autoLine="0" autoPict="0">
                <anchor moveWithCells="1">
                  <from>
                    <xdr:col>11</xdr:col>
                    <xdr:colOff>0</xdr:colOff>
                    <xdr:row>90</xdr:row>
                    <xdr:rowOff>30480</xdr:rowOff>
                  </from>
                  <to>
                    <xdr:col>11</xdr:col>
                    <xdr:colOff>1744980</xdr:colOff>
                    <xdr:row>90</xdr:row>
                    <xdr:rowOff>259080</xdr:rowOff>
                  </to>
                </anchor>
              </controlPr>
            </control>
          </mc:Choice>
        </mc:AlternateContent>
        <mc:AlternateContent xmlns:mc="http://schemas.openxmlformats.org/markup-compatibility/2006">
          <mc:Choice Requires="x14">
            <control shapeId="11370" r:id="rId148" name="Check Box 106">
              <controlPr defaultSize="0" autoFill="0" autoLine="0" autoPict="0">
                <anchor moveWithCells="1">
                  <from>
                    <xdr:col>11</xdr:col>
                    <xdr:colOff>0</xdr:colOff>
                    <xdr:row>92</xdr:row>
                    <xdr:rowOff>266700</xdr:rowOff>
                  </from>
                  <to>
                    <xdr:col>11</xdr:col>
                    <xdr:colOff>1744980</xdr:colOff>
                    <xdr:row>93</xdr:row>
                    <xdr:rowOff>144780</xdr:rowOff>
                  </to>
                </anchor>
              </controlPr>
            </control>
          </mc:Choice>
        </mc:AlternateContent>
        <mc:AlternateContent xmlns:mc="http://schemas.openxmlformats.org/markup-compatibility/2006">
          <mc:Choice Requires="x14">
            <control shapeId="11371" r:id="rId149" name="Check Box 107">
              <controlPr defaultSize="0" autoFill="0" autoLine="0" autoPict="0">
                <anchor moveWithCells="1">
                  <from>
                    <xdr:col>11</xdr:col>
                    <xdr:colOff>0</xdr:colOff>
                    <xdr:row>93</xdr:row>
                    <xdr:rowOff>144780</xdr:rowOff>
                  </from>
                  <to>
                    <xdr:col>11</xdr:col>
                    <xdr:colOff>1744980</xdr:colOff>
                    <xdr:row>94</xdr:row>
                    <xdr:rowOff>0</xdr:rowOff>
                  </to>
                </anchor>
              </controlPr>
            </control>
          </mc:Choice>
        </mc:AlternateContent>
        <mc:AlternateContent xmlns:mc="http://schemas.openxmlformats.org/markup-compatibility/2006">
          <mc:Choice Requires="x14">
            <control shapeId="11372" r:id="rId150" name="Check Box 108">
              <controlPr defaultSize="0" autoFill="0" autoLine="0" autoPict="0">
                <anchor moveWithCells="1">
                  <from>
                    <xdr:col>11</xdr:col>
                    <xdr:colOff>0</xdr:colOff>
                    <xdr:row>92</xdr:row>
                    <xdr:rowOff>30480</xdr:rowOff>
                  </from>
                  <to>
                    <xdr:col>11</xdr:col>
                    <xdr:colOff>1744980</xdr:colOff>
                    <xdr:row>92</xdr:row>
                    <xdr:rowOff>297180</xdr:rowOff>
                  </to>
                </anchor>
              </controlPr>
            </control>
          </mc:Choice>
        </mc:AlternateContent>
        <mc:AlternateContent xmlns:mc="http://schemas.openxmlformats.org/markup-compatibility/2006">
          <mc:Choice Requires="x14">
            <control shapeId="11373" r:id="rId151" name="Check Box 109">
              <controlPr defaultSize="0" autoFill="0" autoLine="0" autoPict="0">
                <anchor moveWithCells="1">
                  <from>
                    <xdr:col>11</xdr:col>
                    <xdr:colOff>0</xdr:colOff>
                    <xdr:row>94</xdr:row>
                    <xdr:rowOff>266700</xdr:rowOff>
                  </from>
                  <to>
                    <xdr:col>11</xdr:col>
                    <xdr:colOff>1744980</xdr:colOff>
                    <xdr:row>95</xdr:row>
                    <xdr:rowOff>144780</xdr:rowOff>
                  </to>
                </anchor>
              </controlPr>
            </control>
          </mc:Choice>
        </mc:AlternateContent>
        <mc:AlternateContent xmlns:mc="http://schemas.openxmlformats.org/markup-compatibility/2006">
          <mc:Choice Requires="x14">
            <control shapeId="11374" r:id="rId152" name="Check Box 110">
              <controlPr defaultSize="0" autoFill="0" autoLine="0" autoPict="0">
                <anchor moveWithCells="1">
                  <from>
                    <xdr:col>11</xdr:col>
                    <xdr:colOff>0</xdr:colOff>
                    <xdr:row>95</xdr:row>
                    <xdr:rowOff>144780</xdr:rowOff>
                  </from>
                  <to>
                    <xdr:col>11</xdr:col>
                    <xdr:colOff>1744980</xdr:colOff>
                    <xdr:row>96</xdr:row>
                    <xdr:rowOff>15240</xdr:rowOff>
                  </to>
                </anchor>
              </controlPr>
            </control>
          </mc:Choice>
        </mc:AlternateContent>
        <mc:AlternateContent xmlns:mc="http://schemas.openxmlformats.org/markup-compatibility/2006">
          <mc:Choice Requires="x14">
            <control shapeId="11375" r:id="rId153" name="Check Box 111">
              <controlPr defaultSize="0" autoFill="0" autoLine="0" autoPict="0">
                <anchor moveWithCells="1">
                  <from>
                    <xdr:col>11</xdr:col>
                    <xdr:colOff>0</xdr:colOff>
                    <xdr:row>94</xdr:row>
                    <xdr:rowOff>30480</xdr:rowOff>
                  </from>
                  <to>
                    <xdr:col>11</xdr:col>
                    <xdr:colOff>1744980</xdr:colOff>
                    <xdr:row>94</xdr:row>
                    <xdr:rowOff>297180</xdr:rowOff>
                  </to>
                </anchor>
              </controlPr>
            </control>
          </mc:Choice>
        </mc:AlternateContent>
        <mc:AlternateContent xmlns:mc="http://schemas.openxmlformats.org/markup-compatibility/2006">
          <mc:Choice Requires="x14">
            <control shapeId="11376" r:id="rId154" name="Check Box 112">
              <controlPr defaultSize="0" autoFill="0" autoLine="0" autoPict="0">
                <anchor moveWithCells="1">
                  <from>
                    <xdr:col>11</xdr:col>
                    <xdr:colOff>0</xdr:colOff>
                    <xdr:row>96</xdr:row>
                    <xdr:rowOff>266700</xdr:rowOff>
                  </from>
                  <to>
                    <xdr:col>11</xdr:col>
                    <xdr:colOff>1744980</xdr:colOff>
                    <xdr:row>97</xdr:row>
                    <xdr:rowOff>144780</xdr:rowOff>
                  </to>
                </anchor>
              </controlPr>
            </control>
          </mc:Choice>
        </mc:AlternateContent>
        <mc:AlternateContent xmlns:mc="http://schemas.openxmlformats.org/markup-compatibility/2006">
          <mc:Choice Requires="x14">
            <control shapeId="11377" r:id="rId155" name="Check Box 113">
              <controlPr defaultSize="0" autoFill="0" autoLine="0" autoPict="0">
                <anchor moveWithCells="1">
                  <from>
                    <xdr:col>11</xdr:col>
                    <xdr:colOff>0</xdr:colOff>
                    <xdr:row>97</xdr:row>
                    <xdr:rowOff>144780</xdr:rowOff>
                  </from>
                  <to>
                    <xdr:col>11</xdr:col>
                    <xdr:colOff>1744980</xdr:colOff>
                    <xdr:row>98</xdr:row>
                    <xdr:rowOff>0</xdr:rowOff>
                  </to>
                </anchor>
              </controlPr>
            </control>
          </mc:Choice>
        </mc:AlternateContent>
        <mc:AlternateContent xmlns:mc="http://schemas.openxmlformats.org/markup-compatibility/2006">
          <mc:Choice Requires="x14">
            <control shapeId="11378" r:id="rId156" name="Check Box 114">
              <controlPr defaultSize="0" autoFill="0" autoLine="0" autoPict="0">
                <anchor moveWithCells="1">
                  <from>
                    <xdr:col>11</xdr:col>
                    <xdr:colOff>0</xdr:colOff>
                    <xdr:row>96</xdr:row>
                    <xdr:rowOff>30480</xdr:rowOff>
                  </from>
                  <to>
                    <xdr:col>11</xdr:col>
                    <xdr:colOff>1744980</xdr:colOff>
                    <xdr:row>96</xdr:row>
                    <xdr:rowOff>297180</xdr:rowOff>
                  </to>
                </anchor>
              </controlPr>
            </control>
          </mc:Choice>
        </mc:AlternateContent>
        <mc:AlternateContent xmlns:mc="http://schemas.openxmlformats.org/markup-compatibility/2006">
          <mc:Choice Requires="x14">
            <control shapeId="11379" r:id="rId157" name="Check Box 115">
              <controlPr defaultSize="0" autoFill="0" autoLine="0" autoPict="0">
                <anchor moveWithCells="1">
                  <from>
                    <xdr:col>11</xdr:col>
                    <xdr:colOff>0</xdr:colOff>
                    <xdr:row>98</xdr:row>
                    <xdr:rowOff>266700</xdr:rowOff>
                  </from>
                  <to>
                    <xdr:col>11</xdr:col>
                    <xdr:colOff>1744980</xdr:colOff>
                    <xdr:row>99</xdr:row>
                    <xdr:rowOff>144780</xdr:rowOff>
                  </to>
                </anchor>
              </controlPr>
            </control>
          </mc:Choice>
        </mc:AlternateContent>
        <mc:AlternateContent xmlns:mc="http://schemas.openxmlformats.org/markup-compatibility/2006">
          <mc:Choice Requires="x14">
            <control shapeId="11380" r:id="rId158" name="Check Box 116">
              <controlPr defaultSize="0" autoFill="0" autoLine="0" autoPict="0">
                <anchor moveWithCells="1">
                  <from>
                    <xdr:col>11</xdr:col>
                    <xdr:colOff>0</xdr:colOff>
                    <xdr:row>99</xdr:row>
                    <xdr:rowOff>144780</xdr:rowOff>
                  </from>
                  <to>
                    <xdr:col>11</xdr:col>
                    <xdr:colOff>1744980</xdr:colOff>
                    <xdr:row>100</xdr:row>
                    <xdr:rowOff>15240</xdr:rowOff>
                  </to>
                </anchor>
              </controlPr>
            </control>
          </mc:Choice>
        </mc:AlternateContent>
        <mc:AlternateContent xmlns:mc="http://schemas.openxmlformats.org/markup-compatibility/2006">
          <mc:Choice Requires="x14">
            <control shapeId="11381" r:id="rId159" name="Check Box 117">
              <controlPr defaultSize="0" autoFill="0" autoLine="0" autoPict="0">
                <anchor moveWithCells="1">
                  <from>
                    <xdr:col>11</xdr:col>
                    <xdr:colOff>0</xdr:colOff>
                    <xdr:row>98</xdr:row>
                    <xdr:rowOff>30480</xdr:rowOff>
                  </from>
                  <to>
                    <xdr:col>11</xdr:col>
                    <xdr:colOff>1744980</xdr:colOff>
                    <xdr:row>98</xdr:row>
                    <xdr:rowOff>259080</xdr:rowOff>
                  </to>
                </anchor>
              </controlPr>
            </control>
          </mc:Choice>
        </mc:AlternateContent>
        <mc:AlternateContent xmlns:mc="http://schemas.openxmlformats.org/markup-compatibility/2006">
          <mc:Choice Requires="x14">
            <control shapeId="11382" r:id="rId160" name="Check Box 118">
              <controlPr defaultSize="0" autoFill="0" autoLine="0" autoPict="0">
                <anchor moveWithCells="1">
                  <from>
                    <xdr:col>11</xdr:col>
                    <xdr:colOff>0</xdr:colOff>
                    <xdr:row>100</xdr:row>
                    <xdr:rowOff>266700</xdr:rowOff>
                  </from>
                  <to>
                    <xdr:col>11</xdr:col>
                    <xdr:colOff>1744980</xdr:colOff>
                    <xdr:row>101</xdr:row>
                    <xdr:rowOff>144780</xdr:rowOff>
                  </to>
                </anchor>
              </controlPr>
            </control>
          </mc:Choice>
        </mc:AlternateContent>
        <mc:AlternateContent xmlns:mc="http://schemas.openxmlformats.org/markup-compatibility/2006">
          <mc:Choice Requires="x14">
            <control shapeId="11383" r:id="rId161" name="Check Box 119">
              <controlPr defaultSize="0" autoFill="0" autoLine="0" autoPict="0">
                <anchor moveWithCells="1">
                  <from>
                    <xdr:col>11</xdr:col>
                    <xdr:colOff>0</xdr:colOff>
                    <xdr:row>101</xdr:row>
                    <xdr:rowOff>144780</xdr:rowOff>
                  </from>
                  <to>
                    <xdr:col>11</xdr:col>
                    <xdr:colOff>1744980</xdr:colOff>
                    <xdr:row>102</xdr:row>
                    <xdr:rowOff>0</xdr:rowOff>
                  </to>
                </anchor>
              </controlPr>
            </control>
          </mc:Choice>
        </mc:AlternateContent>
        <mc:AlternateContent xmlns:mc="http://schemas.openxmlformats.org/markup-compatibility/2006">
          <mc:Choice Requires="x14">
            <control shapeId="11384" r:id="rId162" name="Check Box 120">
              <controlPr defaultSize="0" autoFill="0" autoLine="0" autoPict="0">
                <anchor moveWithCells="1">
                  <from>
                    <xdr:col>11</xdr:col>
                    <xdr:colOff>0</xdr:colOff>
                    <xdr:row>100</xdr:row>
                    <xdr:rowOff>30480</xdr:rowOff>
                  </from>
                  <to>
                    <xdr:col>11</xdr:col>
                    <xdr:colOff>1744980</xdr:colOff>
                    <xdr:row>100</xdr:row>
                    <xdr:rowOff>259080</xdr:rowOff>
                  </to>
                </anchor>
              </controlPr>
            </control>
          </mc:Choice>
        </mc:AlternateContent>
        <mc:AlternateContent xmlns:mc="http://schemas.openxmlformats.org/markup-compatibility/2006">
          <mc:Choice Requires="x14">
            <control shapeId="11385" r:id="rId163" name="Check Box 121">
              <controlPr defaultSize="0" autoFill="0" autoLine="0" autoPict="0">
                <anchor moveWithCells="1">
                  <from>
                    <xdr:col>11</xdr:col>
                    <xdr:colOff>0</xdr:colOff>
                    <xdr:row>102</xdr:row>
                    <xdr:rowOff>266700</xdr:rowOff>
                  </from>
                  <to>
                    <xdr:col>11</xdr:col>
                    <xdr:colOff>1744980</xdr:colOff>
                    <xdr:row>103</xdr:row>
                    <xdr:rowOff>144780</xdr:rowOff>
                  </to>
                </anchor>
              </controlPr>
            </control>
          </mc:Choice>
        </mc:AlternateContent>
        <mc:AlternateContent xmlns:mc="http://schemas.openxmlformats.org/markup-compatibility/2006">
          <mc:Choice Requires="x14">
            <control shapeId="11386" r:id="rId164" name="Check Box 122">
              <controlPr defaultSize="0" autoFill="0" autoLine="0" autoPict="0">
                <anchor moveWithCells="1">
                  <from>
                    <xdr:col>11</xdr:col>
                    <xdr:colOff>0</xdr:colOff>
                    <xdr:row>103</xdr:row>
                    <xdr:rowOff>144780</xdr:rowOff>
                  </from>
                  <to>
                    <xdr:col>11</xdr:col>
                    <xdr:colOff>1744980</xdr:colOff>
                    <xdr:row>104</xdr:row>
                    <xdr:rowOff>68580</xdr:rowOff>
                  </to>
                </anchor>
              </controlPr>
            </control>
          </mc:Choice>
        </mc:AlternateContent>
        <mc:AlternateContent xmlns:mc="http://schemas.openxmlformats.org/markup-compatibility/2006">
          <mc:Choice Requires="x14">
            <control shapeId="11387" r:id="rId165" name="Check Box 123">
              <controlPr defaultSize="0" autoFill="0" autoLine="0" autoPict="0">
                <anchor moveWithCells="1">
                  <from>
                    <xdr:col>11</xdr:col>
                    <xdr:colOff>0</xdr:colOff>
                    <xdr:row>102</xdr:row>
                    <xdr:rowOff>30480</xdr:rowOff>
                  </from>
                  <to>
                    <xdr:col>11</xdr:col>
                    <xdr:colOff>1744980</xdr:colOff>
                    <xdr:row>102</xdr:row>
                    <xdr:rowOff>297180</xdr:rowOff>
                  </to>
                </anchor>
              </controlPr>
            </control>
          </mc:Choice>
        </mc:AlternateContent>
        <mc:AlternateContent xmlns:mc="http://schemas.openxmlformats.org/markup-compatibility/2006">
          <mc:Choice Requires="x14">
            <control shapeId="11388" r:id="rId166" name="Check Box 124">
              <controlPr defaultSize="0" autoFill="0" autoLine="0" autoPict="0">
                <anchor moveWithCells="1">
                  <from>
                    <xdr:col>11</xdr:col>
                    <xdr:colOff>0</xdr:colOff>
                    <xdr:row>104</xdr:row>
                    <xdr:rowOff>266700</xdr:rowOff>
                  </from>
                  <to>
                    <xdr:col>11</xdr:col>
                    <xdr:colOff>1744980</xdr:colOff>
                    <xdr:row>105</xdr:row>
                    <xdr:rowOff>144780</xdr:rowOff>
                  </to>
                </anchor>
              </controlPr>
            </control>
          </mc:Choice>
        </mc:AlternateContent>
        <mc:AlternateContent xmlns:mc="http://schemas.openxmlformats.org/markup-compatibility/2006">
          <mc:Choice Requires="x14">
            <control shapeId="11389" r:id="rId167" name="Check Box 125">
              <controlPr defaultSize="0" autoFill="0" autoLine="0" autoPict="0">
                <anchor moveWithCells="1">
                  <from>
                    <xdr:col>11</xdr:col>
                    <xdr:colOff>0</xdr:colOff>
                    <xdr:row>105</xdr:row>
                    <xdr:rowOff>144780</xdr:rowOff>
                  </from>
                  <to>
                    <xdr:col>11</xdr:col>
                    <xdr:colOff>1744980</xdr:colOff>
                    <xdr:row>106</xdr:row>
                    <xdr:rowOff>0</xdr:rowOff>
                  </to>
                </anchor>
              </controlPr>
            </control>
          </mc:Choice>
        </mc:AlternateContent>
        <mc:AlternateContent xmlns:mc="http://schemas.openxmlformats.org/markup-compatibility/2006">
          <mc:Choice Requires="x14">
            <control shapeId="11390" r:id="rId168" name="Check Box 126">
              <controlPr defaultSize="0" autoFill="0" autoLine="0" autoPict="0">
                <anchor moveWithCells="1">
                  <from>
                    <xdr:col>11</xdr:col>
                    <xdr:colOff>0</xdr:colOff>
                    <xdr:row>104</xdr:row>
                    <xdr:rowOff>30480</xdr:rowOff>
                  </from>
                  <to>
                    <xdr:col>11</xdr:col>
                    <xdr:colOff>1744980</xdr:colOff>
                    <xdr:row>104</xdr:row>
                    <xdr:rowOff>297180</xdr:rowOff>
                  </to>
                </anchor>
              </controlPr>
            </control>
          </mc:Choice>
        </mc:AlternateContent>
        <mc:AlternateContent xmlns:mc="http://schemas.openxmlformats.org/markup-compatibility/2006">
          <mc:Choice Requires="x14">
            <control shapeId="11391" r:id="rId169" name="Check Box 127">
              <controlPr defaultSize="0" autoFill="0" autoLine="0" autoPict="0">
                <anchor moveWithCells="1">
                  <from>
                    <xdr:col>11</xdr:col>
                    <xdr:colOff>0</xdr:colOff>
                    <xdr:row>106</xdr:row>
                    <xdr:rowOff>266700</xdr:rowOff>
                  </from>
                  <to>
                    <xdr:col>11</xdr:col>
                    <xdr:colOff>1744980</xdr:colOff>
                    <xdr:row>107</xdr:row>
                    <xdr:rowOff>144780</xdr:rowOff>
                  </to>
                </anchor>
              </controlPr>
            </control>
          </mc:Choice>
        </mc:AlternateContent>
        <mc:AlternateContent xmlns:mc="http://schemas.openxmlformats.org/markup-compatibility/2006">
          <mc:Choice Requires="x14">
            <control shapeId="11392" r:id="rId170" name="Check Box 128">
              <controlPr defaultSize="0" autoFill="0" autoLine="0" autoPict="0">
                <anchor moveWithCells="1">
                  <from>
                    <xdr:col>11</xdr:col>
                    <xdr:colOff>0</xdr:colOff>
                    <xdr:row>107</xdr:row>
                    <xdr:rowOff>144780</xdr:rowOff>
                  </from>
                  <to>
                    <xdr:col>11</xdr:col>
                    <xdr:colOff>1744980</xdr:colOff>
                    <xdr:row>108</xdr:row>
                    <xdr:rowOff>68580</xdr:rowOff>
                  </to>
                </anchor>
              </controlPr>
            </control>
          </mc:Choice>
        </mc:AlternateContent>
        <mc:AlternateContent xmlns:mc="http://schemas.openxmlformats.org/markup-compatibility/2006">
          <mc:Choice Requires="x14">
            <control shapeId="11393" r:id="rId171" name="Check Box 129">
              <controlPr defaultSize="0" autoFill="0" autoLine="0" autoPict="0">
                <anchor moveWithCells="1">
                  <from>
                    <xdr:col>11</xdr:col>
                    <xdr:colOff>0</xdr:colOff>
                    <xdr:row>106</xdr:row>
                    <xdr:rowOff>30480</xdr:rowOff>
                  </from>
                  <to>
                    <xdr:col>11</xdr:col>
                    <xdr:colOff>1744980</xdr:colOff>
                    <xdr:row>106</xdr:row>
                    <xdr:rowOff>297180</xdr:rowOff>
                  </to>
                </anchor>
              </controlPr>
            </control>
          </mc:Choice>
        </mc:AlternateContent>
        <mc:AlternateContent xmlns:mc="http://schemas.openxmlformats.org/markup-compatibility/2006">
          <mc:Choice Requires="x14">
            <control shapeId="11394" r:id="rId172" name="Check Box 130">
              <controlPr defaultSize="0" autoFill="0" autoLine="0" autoPict="0">
                <anchor moveWithCells="1">
                  <from>
                    <xdr:col>11</xdr:col>
                    <xdr:colOff>0</xdr:colOff>
                    <xdr:row>108</xdr:row>
                    <xdr:rowOff>266700</xdr:rowOff>
                  </from>
                  <to>
                    <xdr:col>11</xdr:col>
                    <xdr:colOff>1744980</xdr:colOff>
                    <xdr:row>109</xdr:row>
                    <xdr:rowOff>144780</xdr:rowOff>
                  </to>
                </anchor>
              </controlPr>
            </control>
          </mc:Choice>
        </mc:AlternateContent>
        <mc:AlternateContent xmlns:mc="http://schemas.openxmlformats.org/markup-compatibility/2006">
          <mc:Choice Requires="x14">
            <control shapeId="11395" r:id="rId173" name="Check Box 131">
              <controlPr defaultSize="0" autoFill="0" autoLine="0" autoPict="0">
                <anchor moveWithCells="1">
                  <from>
                    <xdr:col>11</xdr:col>
                    <xdr:colOff>0</xdr:colOff>
                    <xdr:row>109</xdr:row>
                    <xdr:rowOff>144780</xdr:rowOff>
                  </from>
                  <to>
                    <xdr:col>11</xdr:col>
                    <xdr:colOff>1744980</xdr:colOff>
                    <xdr:row>110</xdr:row>
                    <xdr:rowOff>0</xdr:rowOff>
                  </to>
                </anchor>
              </controlPr>
            </control>
          </mc:Choice>
        </mc:AlternateContent>
        <mc:AlternateContent xmlns:mc="http://schemas.openxmlformats.org/markup-compatibility/2006">
          <mc:Choice Requires="x14">
            <control shapeId="11396" r:id="rId174" name="Check Box 132">
              <controlPr defaultSize="0" autoFill="0" autoLine="0" autoPict="0">
                <anchor moveWithCells="1">
                  <from>
                    <xdr:col>11</xdr:col>
                    <xdr:colOff>0</xdr:colOff>
                    <xdr:row>108</xdr:row>
                    <xdr:rowOff>30480</xdr:rowOff>
                  </from>
                  <to>
                    <xdr:col>11</xdr:col>
                    <xdr:colOff>1744980</xdr:colOff>
                    <xdr:row>108</xdr:row>
                    <xdr:rowOff>297180</xdr:rowOff>
                  </to>
                </anchor>
              </controlPr>
            </control>
          </mc:Choice>
        </mc:AlternateContent>
        <mc:AlternateContent xmlns:mc="http://schemas.openxmlformats.org/markup-compatibility/2006">
          <mc:Choice Requires="x14">
            <control shapeId="11397" r:id="rId175" name="Check Box 133">
              <controlPr defaultSize="0" autoFill="0" autoLine="0" autoPict="0">
                <anchor moveWithCells="1">
                  <from>
                    <xdr:col>11</xdr:col>
                    <xdr:colOff>0</xdr:colOff>
                    <xdr:row>110</xdr:row>
                    <xdr:rowOff>266700</xdr:rowOff>
                  </from>
                  <to>
                    <xdr:col>11</xdr:col>
                    <xdr:colOff>1744980</xdr:colOff>
                    <xdr:row>111</xdr:row>
                    <xdr:rowOff>144780</xdr:rowOff>
                  </to>
                </anchor>
              </controlPr>
            </control>
          </mc:Choice>
        </mc:AlternateContent>
        <mc:AlternateContent xmlns:mc="http://schemas.openxmlformats.org/markup-compatibility/2006">
          <mc:Choice Requires="x14">
            <control shapeId="11398" r:id="rId176" name="Check Box 134">
              <controlPr defaultSize="0" autoFill="0" autoLine="0" autoPict="0">
                <anchor moveWithCells="1">
                  <from>
                    <xdr:col>11</xdr:col>
                    <xdr:colOff>0</xdr:colOff>
                    <xdr:row>111</xdr:row>
                    <xdr:rowOff>144780</xdr:rowOff>
                  </from>
                  <to>
                    <xdr:col>11</xdr:col>
                    <xdr:colOff>1744980</xdr:colOff>
                    <xdr:row>112</xdr:row>
                    <xdr:rowOff>68580</xdr:rowOff>
                  </to>
                </anchor>
              </controlPr>
            </control>
          </mc:Choice>
        </mc:AlternateContent>
        <mc:AlternateContent xmlns:mc="http://schemas.openxmlformats.org/markup-compatibility/2006">
          <mc:Choice Requires="x14">
            <control shapeId="11399" r:id="rId177" name="Check Box 135">
              <controlPr defaultSize="0" autoFill="0" autoLine="0" autoPict="0">
                <anchor moveWithCells="1">
                  <from>
                    <xdr:col>11</xdr:col>
                    <xdr:colOff>0</xdr:colOff>
                    <xdr:row>110</xdr:row>
                    <xdr:rowOff>30480</xdr:rowOff>
                  </from>
                  <to>
                    <xdr:col>11</xdr:col>
                    <xdr:colOff>1744980</xdr:colOff>
                    <xdr:row>110</xdr:row>
                    <xdr:rowOff>297180</xdr:rowOff>
                  </to>
                </anchor>
              </controlPr>
            </control>
          </mc:Choice>
        </mc:AlternateContent>
        <mc:AlternateContent xmlns:mc="http://schemas.openxmlformats.org/markup-compatibility/2006">
          <mc:Choice Requires="x14">
            <control shapeId="11400" r:id="rId178" name="Check Box 136">
              <controlPr defaultSize="0" autoFill="0" autoLine="0" autoPict="0">
                <anchor moveWithCells="1">
                  <from>
                    <xdr:col>11</xdr:col>
                    <xdr:colOff>0</xdr:colOff>
                    <xdr:row>144</xdr:row>
                    <xdr:rowOff>266700</xdr:rowOff>
                  </from>
                  <to>
                    <xdr:col>11</xdr:col>
                    <xdr:colOff>1744980</xdr:colOff>
                    <xdr:row>145</xdr:row>
                    <xdr:rowOff>144780</xdr:rowOff>
                  </to>
                </anchor>
              </controlPr>
            </control>
          </mc:Choice>
        </mc:AlternateContent>
        <mc:AlternateContent xmlns:mc="http://schemas.openxmlformats.org/markup-compatibility/2006">
          <mc:Choice Requires="x14">
            <control shapeId="11401" r:id="rId179" name="Check Box 137">
              <controlPr defaultSize="0" autoFill="0" autoLine="0" autoPict="0">
                <anchor moveWithCells="1">
                  <from>
                    <xdr:col>11</xdr:col>
                    <xdr:colOff>0</xdr:colOff>
                    <xdr:row>145</xdr:row>
                    <xdr:rowOff>144780</xdr:rowOff>
                  </from>
                  <to>
                    <xdr:col>11</xdr:col>
                    <xdr:colOff>1744980</xdr:colOff>
                    <xdr:row>146</xdr:row>
                    <xdr:rowOff>0</xdr:rowOff>
                  </to>
                </anchor>
              </controlPr>
            </control>
          </mc:Choice>
        </mc:AlternateContent>
        <mc:AlternateContent xmlns:mc="http://schemas.openxmlformats.org/markup-compatibility/2006">
          <mc:Choice Requires="x14">
            <control shapeId="11402" r:id="rId180" name="Check Box 138">
              <controlPr defaultSize="0" autoFill="0" autoLine="0" autoPict="0">
                <anchor moveWithCells="1">
                  <from>
                    <xdr:col>11</xdr:col>
                    <xdr:colOff>0</xdr:colOff>
                    <xdr:row>144</xdr:row>
                    <xdr:rowOff>30480</xdr:rowOff>
                  </from>
                  <to>
                    <xdr:col>11</xdr:col>
                    <xdr:colOff>1744980</xdr:colOff>
                    <xdr:row>144</xdr:row>
                    <xdr:rowOff>297180</xdr:rowOff>
                  </to>
                </anchor>
              </controlPr>
            </control>
          </mc:Choice>
        </mc:AlternateContent>
        <mc:AlternateContent xmlns:mc="http://schemas.openxmlformats.org/markup-compatibility/2006">
          <mc:Choice Requires="x14">
            <control shapeId="11404" r:id="rId181" name="Check Box 140">
              <controlPr defaultSize="0" autoFill="0" autoLine="0" autoPict="0">
                <anchor moveWithCells="1">
                  <from>
                    <xdr:col>11</xdr:col>
                    <xdr:colOff>0</xdr:colOff>
                    <xdr:row>111</xdr:row>
                    <xdr:rowOff>144780</xdr:rowOff>
                  </from>
                  <to>
                    <xdr:col>11</xdr:col>
                    <xdr:colOff>1744980</xdr:colOff>
                    <xdr:row>112</xdr:row>
                    <xdr:rowOff>68580</xdr:rowOff>
                  </to>
                </anchor>
              </controlPr>
            </control>
          </mc:Choice>
        </mc:AlternateContent>
        <mc:AlternateContent xmlns:mc="http://schemas.openxmlformats.org/markup-compatibility/2006">
          <mc:Choice Requires="x14">
            <control shapeId="11405" r:id="rId182" name="Check Box 141">
              <controlPr defaultSize="0" autoFill="0" autoLine="0" autoPict="0">
                <anchor moveWithCells="1">
                  <from>
                    <xdr:col>11</xdr:col>
                    <xdr:colOff>0</xdr:colOff>
                    <xdr:row>112</xdr:row>
                    <xdr:rowOff>266700</xdr:rowOff>
                  </from>
                  <to>
                    <xdr:col>11</xdr:col>
                    <xdr:colOff>1744980</xdr:colOff>
                    <xdr:row>113</xdr:row>
                    <xdr:rowOff>144780</xdr:rowOff>
                  </to>
                </anchor>
              </controlPr>
            </control>
          </mc:Choice>
        </mc:AlternateContent>
        <mc:AlternateContent xmlns:mc="http://schemas.openxmlformats.org/markup-compatibility/2006">
          <mc:Choice Requires="x14">
            <control shapeId="11406" r:id="rId183" name="Check Box 142">
              <controlPr defaultSize="0" autoFill="0" autoLine="0" autoPict="0">
                <anchor moveWithCells="1">
                  <from>
                    <xdr:col>11</xdr:col>
                    <xdr:colOff>0</xdr:colOff>
                    <xdr:row>113</xdr:row>
                    <xdr:rowOff>144780</xdr:rowOff>
                  </from>
                  <to>
                    <xdr:col>11</xdr:col>
                    <xdr:colOff>1744980</xdr:colOff>
                    <xdr:row>114</xdr:row>
                    <xdr:rowOff>0</xdr:rowOff>
                  </to>
                </anchor>
              </controlPr>
            </control>
          </mc:Choice>
        </mc:AlternateContent>
        <mc:AlternateContent xmlns:mc="http://schemas.openxmlformats.org/markup-compatibility/2006">
          <mc:Choice Requires="x14">
            <control shapeId="11407" r:id="rId184" name="Check Box 143">
              <controlPr defaultSize="0" autoFill="0" autoLine="0" autoPict="0">
                <anchor moveWithCells="1">
                  <from>
                    <xdr:col>11</xdr:col>
                    <xdr:colOff>0</xdr:colOff>
                    <xdr:row>112</xdr:row>
                    <xdr:rowOff>30480</xdr:rowOff>
                  </from>
                  <to>
                    <xdr:col>11</xdr:col>
                    <xdr:colOff>1744980</xdr:colOff>
                    <xdr:row>112</xdr:row>
                    <xdr:rowOff>297180</xdr:rowOff>
                  </to>
                </anchor>
              </controlPr>
            </control>
          </mc:Choice>
        </mc:AlternateContent>
        <mc:AlternateContent xmlns:mc="http://schemas.openxmlformats.org/markup-compatibility/2006">
          <mc:Choice Requires="x14">
            <control shapeId="11408" r:id="rId185" name="Check Box 144">
              <controlPr defaultSize="0" autoFill="0" autoLine="0" autoPict="0">
                <anchor moveWithCells="1">
                  <from>
                    <xdr:col>11</xdr:col>
                    <xdr:colOff>0</xdr:colOff>
                    <xdr:row>114</xdr:row>
                    <xdr:rowOff>266700</xdr:rowOff>
                  </from>
                  <to>
                    <xdr:col>11</xdr:col>
                    <xdr:colOff>1744980</xdr:colOff>
                    <xdr:row>115</xdr:row>
                    <xdr:rowOff>144780</xdr:rowOff>
                  </to>
                </anchor>
              </controlPr>
            </control>
          </mc:Choice>
        </mc:AlternateContent>
        <mc:AlternateContent xmlns:mc="http://schemas.openxmlformats.org/markup-compatibility/2006">
          <mc:Choice Requires="x14">
            <control shapeId="11409" r:id="rId186" name="Check Box 145">
              <controlPr defaultSize="0" autoFill="0" autoLine="0" autoPict="0">
                <anchor moveWithCells="1">
                  <from>
                    <xdr:col>11</xdr:col>
                    <xdr:colOff>0</xdr:colOff>
                    <xdr:row>115</xdr:row>
                    <xdr:rowOff>144780</xdr:rowOff>
                  </from>
                  <to>
                    <xdr:col>11</xdr:col>
                    <xdr:colOff>1744980</xdr:colOff>
                    <xdr:row>116</xdr:row>
                    <xdr:rowOff>68580</xdr:rowOff>
                  </to>
                </anchor>
              </controlPr>
            </control>
          </mc:Choice>
        </mc:AlternateContent>
        <mc:AlternateContent xmlns:mc="http://schemas.openxmlformats.org/markup-compatibility/2006">
          <mc:Choice Requires="x14">
            <control shapeId="11410" r:id="rId187" name="Check Box 146">
              <controlPr defaultSize="0" autoFill="0" autoLine="0" autoPict="0">
                <anchor moveWithCells="1">
                  <from>
                    <xdr:col>11</xdr:col>
                    <xdr:colOff>0</xdr:colOff>
                    <xdr:row>114</xdr:row>
                    <xdr:rowOff>30480</xdr:rowOff>
                  </from>
                  <to>
                    <xdr:col>11</xdr:col>
                    <xdr:colOff>1744980</xdr:colOff>
                    <xdr:row>114</xdr:row>
                    <xdr:rowOff>297180</xdr:rowOff>
                  </to>
                </anchor>
              </controlPr>
            </control>
          </mc:Choice>
        </mc:AlternateContent>
        <mc:AlternateContent xmlns:mc="http://schemas.openxmlformats.org/markup-compatibility/2006">
          <mc:Choice Requires="x14">
            <control shapeId="11411" r:id="rId188" name="Check Box 147">
              <controlPr defaultSize="0" autoFill="0" autoLine="0" autoPict="0">
                <anchor moveWithCells="1">
                  <from>
                    <xdr:col>11</xdr:col>
                    <xdr:colOff>0</xdr:colOff>
                    <xdr:row>116</xdr:row>
                    <xdr:rowOff>266700</xdr:rowOff>
                  </from>
                  <to>
                    <xdr:col>11</xdr:col>
                    <xdr:colOff>1744980</xdr:colOff>
                    <xdr:row>117</xdr:row>
                    <xdr:rowOff>144780</xdr:rowOff>
                  </to>
                </anchor>
              </controlPr>
            </control>
          </mc:Choice>
        </mc:AlternateContent>
        <mc:AlternateContent xmlns:mc="http://schemas.openxmlformats.org/markup-compatibility/2006">
          <mc:Choice Requires="x14">
            <control shapeId="11412" r:id="rId189" name="Check Box 148">
              <controlPr defaultSize="0" autoFill="0" autoLine="0" autoPict="0">
                <anchor moveWithCells="1">
                  <from>
                    <xdr:col>11</xdr:col>
                    <xdr:colOff>0</xdr:colOff>
                    <xdr:row>117</xdr:row>
                    <xdr:rowOff>144780</xdr:rowOff>
                  </from>
                  <to>
                    <xdr:col>11</xdr:col>
                    <xdr:colOff>1744980</xdr:colOff>
                    <xdr:row>118</xdr:row>
                    <xdr:rowOff>0</xdr:rowOff>
                  </to>
                </anchor>
              </controlPr>
            </control>
          </mc:Choice>
        </mc:AlternateContent>
        <mc:AlternateContent xmlns:mc="http://schemas.openxmlformats.org/markup-compatibility/2006">
          <mc:Choice Requires="x14">
            <control shapeId="11413" r:id="rId190" name="Check Box 149">
              <controlPr defaultSize="0" autoFill="0" autoLine="0" autoPict="0">
                <anchor moveWithCells="1">
                  <from>
                    <xdr:col>11</xdr:col>
                    <xdr:colOff>0</xdr:colOff>
                    <xdr:row>116</xdr:row>
                    <xdr:rowOff>30480</xdr:rowOff>
                  </from>
                  <to>
                    <xdr:col>11</xdr:col>
                    <xdr:colOff>1744980</xdr:colOff>
                    <xdr:row>116</xdr:row>
                    <xdr:rowOff>297180</xdr:rowOff>
                  </to>
                </anchor>
              </controlPr>
            </control>
          </mc:Choice>
        </mc:AlternateContent>
        <mc:AlternateContent xmlns:mc="http://schemas.openxmlformats.org/markup-compatibility/2006">
          <mc:Choice Requires="x14">
            <control shapeId="11414" r:id="rId191" name="Check Box 150">
              <controlPr defaultSize="0" autoFill="0" autoLine="0" autoPict="0">
                <anchor moveWithCells="1">
                  <from>
                    <xdr:col>11</xdr:col>
                    <xdr:colOff>0</xdr:colOff>
                    <xdr:row>118</xdr:row>
                    <xdr:rowOff>266700</xdr:rowOff>
                  </from>
                  <to>
                    <xdr:col>11</xdr:col>
                    <xdr:colOff>1744980</xdr:colOff>
                    <xdr:row>119</xdr:row>
                    <xdr:rowOff>144780</xdr:rowOff>
                  </to>
                </anchor>
              </controlPr>
            </control>
          </mc:Choice>
        </mc:AlternateContent>
        <mc:AlternateContent xmlns:mc="http://schemas.openxmlformats.org/markup-compatibility/2006">
          <mc:Choice Requires="x14">
            <control shapeId="11415" r:id="rId192" name="Check Box 151">
              <controlPr defaultSize="0" autoFill="0" autoLine="0" autoPict="0">
                <anchor moveWithCells="1">
                  <from>
                    <xdr:col>11</xdr:col>
                    <xdr:colOff>0</xdr:colOff>
                    <xdr:row>119</xdr:row>
                    <xdr:rowOff>144780</xdr:rowOff>
                  </from>
                  <to>
                    <xdr:col>11</xdr:col>
                    <xdr:colOff>1744980</xdr:colOff>
                    <xdr:row>120</xdr:row>
                    <xdr:rowOff>68580</xdr:rowOff>
                  </to>
                </anchor>
              </controlPr>
            </control>
          </mc:Choice>
        </mc:AlternateContent>
        <mc:AlternateContent xmlns:mc="http://schemas.openxmlformats.org/markup-compatibility/2006">
          <mc:Choice Requires="x14">
            <control shapeId="11416" r:id="rId193" name="Check Box 152">
              <controlPr defaultSize="0" autoFill="0" autoLine="0" autoPict="0">
                <anchor moveWithCells="1">
                  <from>
                    <xdr:col>11</xdr:col>
                    <xdr:colOff>0</xdr:colOff>
                    <xdr:row>118</xdr:row>
                    <xdr:rowOff>30480</xdr:rowOff>
                  </from>
                  <to>
                    <xdr:col>11</xdr:col>
                    <xdr:colOff>1744980</xdr:colOff>
                    <xdr:row>118</xdr:row>
                    <xdr:rowOff>297180</xdr:rowOff>
                  </to>
                </anchor>
              </controlPr>
            </control>
          </mc:Choice>
        </mc:AlternateContent>
        <mc:AlternateContent xmlns:mc="http://schemas.openxmlformats.org/markup-compatibility/2006">
          <mc:Choice Requires="x14">
            <control shapeId="11417" r:id="rId194" name="Check Box 153">
              <controlPr defaultSize="0" autoFill="0" autoLine="0" autoPict="0">
                <anchor moveWithCells="1">
                  <from>
                    <xdr:col>11</xdr:col>
                    <xdr:colOff>0</xdr:colOff>
                    <xdr:row>120</xdr:row>
                    <xdr:rowOff>266700</xdr:rowOff>
                  </from>
                  <to>
                    <xdr:col>11</xdr:col>
                    <xdr:colOff>1744980</xdr:colOff>
                    <xdr:row>121</xdr:row>
                    <xdr:rowOff>144780</xdr:rowOff>
                  </to>
                </anchor>
              </controlPr>
            </control>
          </mc:Choice>
        </mc:AlternateContent>
        <mc:AlternateContent xmlns:mc="http://schemas.openxmlformats.org/markup-compatibility/2006">
          <mc:Choice Requires="x14">
            <control shapeId="11418" r:id="rId195" name="Check Box 154">
              <controlPr defaultSize="0" autoFill="0" autoLine="0" autoPict="0">
                <anchor moveWithCells="1">
                  <from>
                    <xdr:col>11</xdr:col>
                    <xdr:colOff>0</xdr:colOff>
                    <xdr:row>121</xdr:row>
                    <xdr:rowOff>144780</xdr:rowOff>
                  </from>
                  <to>
                    <xdr:col>11</xdr:col>
                    <xdr:colOff>1744980</xdr:colOff>
                    <xdr:row>122</xdr:row>
                    <xdr:rowOff>0</xdr:rowOff>
                  </to>
                </anchor>
              </controlPr>
            </control>
          </mc:Choice>
        </mc:AlternateContent>
        <mc:AlternateContent xmlns:mc="http://schemas.openxmlformats.org/markup-compatibility/2006">
          <mc:Choice Requires="x14">
            <control shapeId="11419" r:id="rId196" name="Check Box 155">
              <controlPr defaultSize="0" autoFill="0" autoLine="0" autoPict="0">
                <anchor moveWithCells="1">
                  <from>
                    <xdr:col>11</xdr:col>
                    <xdr:colOff>0</xdr:colOff>
                    <xdr:row>120</xdr:row>
                    <xdr:rowOff>30480</xdr:rowOff>
                  </from>
                  <to>
                    <xdr:col>11</xdr:col>
                    <xdr:colOff>1744980</xdr:colOff>
                    <xdr:row>120</xdr:row>
                    <xdr:rowOff>228600</xdr:rowOff>
                  </to>
                </anchor>
              </controlPr>
            </control>
          </mc:Choice>
        </mc:AlternateContent>
        <mc:AlternateContent xmlns:mc="http://schemas.openxmlformats.org/markup-compatibility/2006">
          <mc:Choice Requires="x14">
            <control shapeId="11420" r:id="rId197" name="Check Box 156">
              <controlPr defaultSize="0" autoFill="0" autoLine="0" autoPict="0">
                <anchor moveWithCells="1">
                  <from>
                    <xdr:col>11</xdr:col>
                    <xdr:colOff>0</xdr:colOff>
                    <xdr:row>122</xdr:row>
                    <xdr:rowOff>266700</xdr:rowOff>
                  </from>
                  <to>
                    <xdr:col>11</xdr:col>
                    <xdr:colOff>1744980</xdr:colOff>
                    <xdr:row>123</xdr:row>
                    <xdr:rowOff>144780</xdr:rowOff>
                  </to>
                </anchor>
              </controlPr>
            </control>
          </mc:Choice>
        </mc:AlternateContent>
        <mc:AlternateContent xmlns:mc="http://schemas.openxmlformats.org/markup-compatibility/2006">
          <mc:Choice Requires="x14">
            <control shapeId="11421" r:id="rId198" name="Check Box 157">
              <controlPr defaultSize="0" autoFill="0" autoLine="0" autoPict="0">
                <anchor moveWithCells="1">
                  <from>
                    <xdr:col>11</xdr:col>
                    <xdr:colOff>0</xdr:colOff>
                    <xdr:row>123</xdr:row>
                    <xdr:rowOff>144780</xdr:rowOff>
                  </from>
                  <to>
                    <xdr:col>11</xdr:col>
                    <xdr:colOff>1744980</xdr:colOff>
                    <xdr:row>124</xdr:row>
                    <xdr:rowOff>68580</xdr:rowOff>
                  </to>
                </anchor>
              </controlPr>
            </control>
          </mc:Choice>
        </mc:AlternateContent>
        <mc:AlternateContent xmlns:mc="http://schemas.openxmlformats.org/markup-compatibility/2006">
          <mc:Choice Requires="x14">
            <control shapeId="11422" r:id="rId199" name="Check Box 158">
              <controlPr defaultSize="0" autoFill="0" autoLine="0" autoPict="0">
                <anchor moveWithCells="1">
                  <from>
                    <xdr:col>11</xdr:col>
                    <xdr:colOff>0</xdr:colOff>
                    <xdr:row>122</xdr:row>
                    <xdr:rowOff>30480</xdr:rowOff>
                  </from>
                  <to>
                    <xdr:col>11</xdr:col>
                    <xdr:colOff>1744980</xdr:colOff>
                    <xdr:row>122</xdr:row>
                    <xdr:rowOff>297180</xdr:rowOff>
                  </to>
                </anchor>
              </controlPr>
            </control>
          </mc:Choice>
        </mc:AlternateContent>
        <mc:AlternateContent xmlns:mc="http://schemas.openxmlformats.org/markup-compatibility/2006">
          <mc:Choice Requires="x14">
            <control shapeId="11423" r:id="rId200" name="Check Box 159">
              <controlPr defaultSize="0" autoFill="0" autoLine="0" autoPict="0">
                <anchor moveWithCells="1">
                  <from>
                    <xdr:col>11</xdr:col>
                    <xdr:colOff>0</xdr:colOff>
                    <xdr:row>124</xdr:row>
                    <xdr:rowOff>266700</xdr:rowOff>
                  </from>
                  <to>
                    <xdr:col>11</xdr:col>
                    <xdr:colOff>1744980</xdr:colOff>
                    <xdr:row>125</xdr:row>
                    <xdr:rowOff>144780</xdr:rowOff>
                  </to>
                </anchor>
              </controlPr>
            </control>
          </mc:Choice>
        </mc:AlternateContent>
        <mc:AlternateContent xmlns:mc="http://schemas.openxmlformats.org/markup-compatibility/2006">
          <mc:Choice Requires="x14">
            <control shapeId="11424" r:id="rId201" name="Check Box 160">
              <controlPr defaultSize="0" autoFill="0" autoLine="0" autoPict="0">
                <anchor moveWithCells="1">
                  <from>
                    <xdr:col>11</xdr:col>
                    <xdr:colOff>0</xdr:colOff>
                    <xdr:row>125</xdr:row>
                    <xdr:rowOff>144780</xdr:rowOff>
                  </from>
                  <to>
                    <xdr:col>11</xdr:col>
                    <xdr:colOff>1744980</xdr:colOff>
                    <xdr:row>126</xdr:row>
                    <xdr:rowOff>0</xdr:rowOff>
                  </to>
                </anchor>
              </controlPr>
            </control>
          </mc:Choice>
        </mc:AlternateContent>
        <mc:AlternateContent xmlns:mc="http://schemas.openxmlformats.org/markup-compatibility/2006">
          <mc:Choice Requires="x14">
            <control shapeId="11425" r:id="rId202" name="Check Box 161">
              <controlPr defaultSize="0" autoFill="0" autoLine="0" autoPict="0">
                <anchor moveWithCells="1">
                  <from>
                    <xdr:col>11</xdr:col>
                    <xdr:colOff>0</xdr:colOff>
                    <xdr:row>124</xdr:row>
                    <xdr:rowOff>30480</xdr:rowOff>
                  </from>
                  <to>
                    <xdr:col>11</xdr:col>
                    <xdr:colOff>1744980</xdr:colOff>
                    <xdr:row>124</xdr:row>
                    <xdr:rowOff>297180</xdr:rowOff>
                  </to>
                </anchor>
              </controlPr>
            </control>
          </mc:Choice>
        </mc:AlternateContent>
        <mc:AlternateContent xmlns:mc="http://schemas.openxmlformats.org/markup-compatibility/2006">
          <mc:Choice Requires="x14">
            <control shapeId="11426" r:id="rId203" name="Check Box 162">
              <controlPr defaultSize="0" autoFill="0" autoLine="0" autoPict="0">
                <anchor moveWithCells="1">
                  <from>
                    <xdr:col>11</xdr:col>
                    <xdr:colOff>0</xdr:colOff>
                    <xdr:row>126</xdr:row>
                    <xdr:rowOff>266700</xdr:rowOff>
                  </from>
                  <to>
                    <xdr:col>11</xdr:col>
                    <xdr:colOff>1744980</xdr:colOff>
                    <xdr:row>127</xdr:row>
                    <xdr:rowOff>144780</xdr:rowOff>
                  </to>
                </anchor>
              </controlPr>
            </control>
          </mc:Choice>
        </mc:AlternateContent>
        <mc:AlternateContent xmlns:mc="http://schemas.openxmlformats.org/markup-compatibility/2006">
          <mc:Choice Requires="x14">
            <control shapeId="11427" r:id="rId204" name="Check Box 163">
              <controlPr defaultSize="0" autoFill="0" autoLine="0" autoPict="0">
                <anchor moveWithCells="1">
                  <from>
                    <xdr:col>11</xdr:col>
                    <xdr:colOff>0</xdr:colOff>
                    <xdr:row>127</xdr:row>
                    <xdr:rowOff>144780</xdr:rowOff>
                  </from>
                  <to>
                    <xdr:col>11</xdr:col>
                    <xdr:colOff>1744980</xdr:colOff>
                    <xdr:row>128</xdr:row>
                    <xdr:rowOff>68580</xdr:rowOff>
                  </to>
                </anchor>
              </controlPr>
            </control>
          </mc:Choice>
        </mc:AlternateContent>
        <mc:AlternateContent xmlns:mc="http://schemas.openxmlformats.org/markup-compatibility/2006">
          <mc:Choice Requires="x14">
            <control shapeId="11428" r:id="rId205" name="Check Box 164">
              <controlPr defaultSize="0" autoFill="0" autoLine="0" autoPict="0">
                <anchor moveWithCells="1">
                  <from>
                    <xdr:col>11</xdr:col>
                    <xdr:colOff>0</xdr:colOff>
                    <xdr:row>126</xdr:row>
                    <xdr:rowOff>30480</xdr:rowOff>
                  </from>
                  <to>
                    <xdr:col>11</xdr:col>
                    <xdr:colOff>1744980</xdr:colOff>
                    <xdr:row>126</xdr:row>
                    <xdr:rowOff>297180</xdr:rowOff>
                  </to>
                </anchor>
              </controlPr>
            </control>
          </mc:Choice>
        </mc:AlternateContent>
        <mc:AlternateContent xmlns:mc="http://schemas.openxmlformats.org/markup-compatibility/2006">
          <mc:Choice Requires="x14">
            <control shapeId="11429" r:id="rId206" name="Check Box 165">
              <controlPr defaultSize="0" autoFill="0" autoLine="0" autoPict="0">
                <anchor moveWithCells="1">
                  <from>
                    <xdr:col>11</xdr:col>
                    <xdr:colOff>0</xdr:colOff>
                    <xdr:row>128</xdr:row>
                    <xdr:rowOff>266700</xdr:rowOff>
                  </from>
                  <to>
                    <xdr:col>11</xdr:col>
                    <xdr:colOff>1744980</xdr:colOff>
                    <xdr:row>129</xdr:row>
                    <xdr:rowOff>144780</xdr:rowOff>
                  </to>
                </anchor>
              </controlPr>
            </control>
          </mc:Choice>
        </mc:AlternateContent>
        <mc:AlternateContent xmlns:mc="http://schemas.openxmlformats.org/markup-compatibility/2006">
          <mc:Choice Requires="x14">
            <control shapeId="11430" r:id="rId207" name="Check Box 166">
              <controlPr defaultSize="0" autoFill="0" autoLine="0" autoPict="0">
                <anchor moveWithCells="1">
                  <from>
                    <xdr:col>11</xdr:col>
                    <xdr:colOff>0</xdr:colOff>
                    <xdr:row>129</xdr:row>
                    <xdr:rowOff>144780</xdr:rowOff>
                  </from>
                  <to>
                    <xdr:col>11</xdr:col>
                    <xdr:colOff>1744980</xdr:colOff>
                    <xdr:row>130</xdr:row>
                    <xdr:rowOff>0</xdr:rowOff>
                  </to>
                </anchor>
              </controlPr>
            </control>
          </mc:Choice>
        </mc:AlternateContent>
        <mc:AlternateContent xmlns:mc="http://schemas.openxmlformats.org/markup-compatibility/2006">
          <mc:Choice Requires="x14">
            <control shapeId="11431" r:id="rId208" name="Check Box 167">
              <controlPr defaultSize="0" autoFill="0" autoLine="0" autoPict="0">
                <anchor moveWithCells="1">
                  <from>
                    <xdr:col>11</xdr:col>
                    <xdr:colOff>0</xdr:colOff>
                    <xdr:row>128</xdr:row>
                    <xdr:rowOff>30480</xdr:rowOff>
                  </from>
                  <to>
                    <xdr:col>11</xdr:col>
                    <xdr:colOff>1744980</xdr:colOff>
                    <xdr:row>128</xdr:row>
                    <xdr:rowOff>297180</xdr:rowOff>
                  </to>
                </anchor>
              </controlPr>
            </control>
          </mc:Choice>
        </mc:AlternateContent>
        <mc:AlternateContent xmlns:mc="http://schemas.openxmlformats.org/markup-compatibility/2006">
          <mc:Choice Requires="x14">
            <control shapeId="11432" r:id="rId209" name="Check Box 168">
              <controlPr defaultSize="0" autoFill="0" autoLine="0" autoPict="0">
                <anchor moveWithCells="1">
                  <from>
                    <xdr:col>11</xdr:col>
                    <xdr:colOff>0</xdr:colOff>
                    <xdr:row>130</xdr:row>
                    <xdr:rowOff>266700</xdr:rowOff>
                  </from>
                  <to>
                    <xdr:col>11</xdr:col>
                    <xdr:colOff>1744980</xdr:colOff>
                    <xdr:row>131</xdr:row>
                    <xdr:rowOff>144780</xdr:rowOff>
                  </to>
                </anchor>
              </controlPr>
            </control>
          </mc:Choice>
        </mc:AlternateContent>
        <mc:AlternateContent xmlns:mc="http://schemas.openxmlformats.org/markup-compatibility/2006">
          <mc:Choice Requires="x14">
            <control shapeId="11433" r:id="rId210" name="Check Box 169">
              <controlPr defaultSize="0" autoFill="0" autoLine="0" autoPict="0">
                <anchor moveWithCells="1">
                  <from>
                    <xdr:col>11</xdr:col>
                    <xdr:colOff>0</xdr:colOff>
                    <xdr:row>131</xdr:row>
                    <xdr:rowOff>144780</xdr:rowOff>
                  </from>
                  <to>
                    <xdr:col>11</xdr:col>
                    <xdr:colOff>1744980</xdr:colOff>
                    <xdr:row>132</xdr:row>
                    <xdr:rowOff>15240</xdr:rowOff>
                  </to>
                </anchor>
              </controlPr>
            </control>
          </mc:Choice>
        </mc:AlternateContent>
        <mc:AlternateContent xmlns:mc="http://schemas.openxmlformats.org/markup-compatibility/2006">
          <mc:Choice Requires="x14">
            <control shapeId="11434" r:id="rId211" name="Check Box 170">
              <controlPr defaultSize="0" autoFill="0" autoLine="0" autoPict="0">
                <anchor moveWithCells="1">
                  <from>
                    <xdr:col>11</xdr:col>
                    <xdr:colOff>0</xdr:colOff>
                    <xdr:row>130</xdr:row>
                    <xdr:rowOff>30480</xdr:rowOff>
                  </from>
                  <to>
                    <xdr:col>11</xdr:col>
                    <xdr:colOff>1744980</xdr:colOff>
                    <xdr:row>130</xdr:row>
                    <xdr:rowOff>297180</xdr:rowOff>
                  </to>
                </anchor>
              </controlPr>
            </control>
          </mc:Choice>
        </mc:AlternateContent>
        <mc:AlternateContent xmlns:mc="http://schemas.openxmlformats.org/markup-compatibility/2006">
          <mc:Choice Requires="x14">
            <control shapeId="11435" r:id="rId212" name="Check Box 171">
              <controlPr defaultSize="0" autoFill="0" autoLine="0" autoPict="0">
                <anchor moveWithCells="1">
                  <from>
                    <xdr:col>11</xdr:col>
                    <xdr:colOff>0</xdr:colOff>
                    <xdr:row>132</xdr:row>
                    <xdr:rowOff>266700</xdr:rowOff>
                  </from>
                  <to>
                    <xdr:col>11</xdr:col>
                    <xdr:colOff>1744980</xdr:colOff>
                    <xdr:row>133</xdr:row>
                    <xdr:rowOff>144780</xdr:rowOff>
                  </to>
                </anchor>
              </controlPr>
            </control>
          </mc:Choice>
        </mc:AlternateContent>
        <mc:AlternateContent xmlns:mc="http://schemas.openxmlformats.org/markup-compatibility/2006">
          <mc:Choice Requires="x14">
            <control shapeId="11436" r:id="rId213" name="Check Box 172">
              <controlPr defaultSize="0" autoFill="0" autoLine="0" autoPict="0">
                <anchor moveWithCells="1">
                  <from>
                    <xdr:col>11</xdr:col>
                    <xdr:colOff>0</xdr:colOff>
                    <xdr:row>133</xdr:row>
                    <xdr:rowOff>144780</xdr:rowOff>
                  </from>
                  <to>
                    <xdr:col>11</xdr:col>
                    <xdr:colOff>1744980</xdr:colOff>
                    <xdr:row>134</xdr:row>
                    <xdr:rowOff>0</xdr:rowOff>
                  </to>
                </anchor>
              </controlPr>
            </control>
          </mc:Choice>
        </mc:AlternateContent>
        <mc:AlternateContent xmlns:mc="http://schemas.openxmlformats.org/markup-compatibility/2006">
          <mc:Choice Requires="x14">
            <control shapeId="11437" r:id="rId214" name="Check Box 173">
              <controlPr defaultSize="0" autoFill="0" autoLine="0" autoPict="0">
                <anchor moveWithCells="1">
                  <from>
                    <xdr:col>11</xdr:col>
                    <xdr:colOff>0</xdr:colOff>
                    <xdr:row>132</xdr:row>
                    <xdr:rowOff>30480</xdr:rowOff>
                  </from>
                  <to>
                    <xdr:col>11</xdr:col>
                    <xdr:colOff>1744980</xdr:colOff>
                    <xdr:row>132</xdr:row>
                    <xdr:rowOff>297180</xdr:rowOff>
                  </to>
                </anchor>
              </controlPr>
            </control>
          </mc:Choice>
        </mc:AlternateContent>
        <mc:AlternateContent xmlns:mc="http://schemas.openxmlformats.org/markup-compatibility/2006">
          <mc:Choice Requires="x14">
            <control shapeId="11438" r:id="rId215" name="Check Box 174">
              <controlPr defaultSize="0" autoFill="0" autoLine="0" autoPict="0">
                <anchor moveWithCells="1">
                  <from>
                    <xdr:col>11</xdr:col>
                    <xdr:colOff>0</xdr:colOff>
                    <xdr:row>134</xdr:row>
                    <xdr:rowOff>266700</xdr:rowOff>
                  </from>
                  <to>
                    <xdr:col>11</xdr:col>
                    <xdr:colOff>1744980</xdr:colOff>
                    <xdr:row>135</xdr:row>
                    <xdr:rowOff>144780</xdr:rowOff>
                  </to>
                </anchor>
              </controlPr>
            </control>
          </mc:Choice>
        </mc:AlternateContent>
        <mc:AlternateContent xmlns:mc="http://schemas.openxmlformats.org/markup-compatibility/2006">
          <mc:Choice Requires="x14">
            <control shapeId="11439" r:id="rId216" name="Check Box 175">
              <controlPr defaultSize="0" autoFill="0" autoLine="0" autoPict="0">
                <anchor moveWithCells="1">
                  <from>
                    <xdr:col>11</xdr:col>
                    <xdr:colOff>0</xdr:colOff>
                    <xdr:row>135</xdr:row>
                    <xdr:rowOff>144780</xdr:rowOff>
                  </from>
                  <to>
                    <xdr:col>11</xdr:col>
                    <xdr:colOff>1744980</xdr:colOff>
                    <xdr:row>136</xdr:row>
                    <xdr:rowOff>68580</xdr:rowOff>
                  </to>
                </anchor>
              </controlPr>
            </control>
          </mc:Choice>
        </mc:AlternateContent>
        <mc:AlternateContent xmlns:mc="http://schemas.openxmlformats.org/markup-compatibility/2006">
          <mc:Choice Requires="x14">
            <control shapeId="11440" r:id="rId217" name="Check Box 176">
              <controlPr defaultSize="0" autoFill="0" autoLine="0" autoPict="0">
                <anchor moveWithCells="1">
                  <from>
                    <xdr:col>11</xdr:col>
                    <xdr:colOff>0</xdr:colOff>
                    <xdr:row>134</xdr:row>
                    <xdr:rowOff>30480</xdr:rowOff>
                  </from>
                  <to>
                    <xdr:col>11</xdr:col>
                    <xdr:colOff>1744980</xdr:colOff>
                    <xdr:row>134</xdr:row>
                    <xdr:rowOff>297180</xdr:rowOff>
                  </to>
                </anchor>
              </controlPr>
            </control>
          </mc:Choice>
        </mc:AlternateContent>
        <mc:AlternateContent xmlns:mc="http://schemas.openxmlformats.org/markup-compatibility/2006">
          <mc:Choice Requires="x14">
            <control shapeId="11441" r:id="rId218" name="Check Box 177">
              <controlPr defaultSize="0" autoFill="0" autoLine="0" autoPict="0">
                <anchor moveWithCells="1">
                  <from>
                    <xdr:col>11</xdr:col>
                    <xdr:colOff>0</xdr:colOff>
                    <xdr:row>136</xdr:row>
                    <xdr:rowOff>266700</xdr:rowOff>
                  </from>
                  <to>
                    <xdr:col>11</xdr:col>
                    <xdr:colOff>1744980</xdr:colOff>
                    <xdr:row>137</xdr:row>
                    <xdr:rowOff>144780</xdr:rowOff>
                  </to>
                </anchor>
              </controlPr>
            </control>
          </mc:Choice>
        </mc:AlternateContent>
        <mc:AlternateContent xmlns:mc="http://schemas.openxmlformats.org/markup-compatibility/2006">
          <mc:Choice Requires="x14">
            <control shapeId="11442" r:id="rId219" name="Check Box 178">
              <controlPr defaultSize="0" autoFill="0" autoLine="0" autoPict="0">
                <anchor moveWithCells="1">
                  <from>
                    <xdr:col>11</xdr:col>
                    <xdr:colOff>0</xdr:colOff>
                    <xdr:row>137</xdr:row>
                    <xdr:rowOff>144780</xdr:rowOff>
                  </from>
                  <to>
                    <xdr:col>11</xdr:col>
                    <xdr:colOff>1744980</xdr:colOff>
                    <xdr:row>138</xdr:row>
                    <xdr:rowOff>0</xdr:rowOff>
                  </to>
                </anchor>
              </controlPr>
            </control>
          </mc:Choice>
        </mc:AlternateContent>
        <mc:AlternateContent xmlns:mc="http://schemas.openxmlformats.org/markup-compatibility/2006">
          <mc:Choice Requires="x14">
            <control shapeId="11443" r:id="rId220" name="Check Box 179">
              <controlPr defaultSize="0" autoFill="0" autoLine="0" autoPict="0">
                <anchor moveWithCells="1">
                  <from>
                    <xdr:col>11</xdr:col>
                    <xdr:colOff>0</xdr:colOff>
                    <xdr:row>136</xdr:row>
                    <xdr:rowOff>30480</xdr:rowOff>
                  </from>
                  <to>
                    <xdr:col>11</xdr:col>
                    <xdr:colOff>1744980</xdr:colOff>
                    <xdr:row>136</xdr:row>
                    <xdr:rowOff>297180</xdr:rowOff>
                  </to>
                </anchor>
              </controlPr>
            </control>
          </mc:Choice>
        </mc:AlternateContent>
        <mc:AlternateContent xmlns:mc="http://schemas.openxmlformats.org/markup-compatibility/2006">
          <mc:Choice Requires="x14">
            <control shapeId="11444" r:id="rId221" name="Check Box 180">
              <controlPr defaultSize="0" autoFill="0" autoLine="0" autoPict="0">
                <anchor moveWithCells="1">
                  <from>
                    <xdr:col>11</xdr:col>
                    <xdr:colOff>0</xdr:colOff>
                    <xdr:row>138</xdr:row>
                    <xdr:rowOff>266700</xdr:rowOff>
                  </from>
                  <to>
                    <xdr:col>11</xdr:col>
                    <xdr:colOff>1744980</xdr:colOff>
                    <xdr:row>139</xdr:row>
                    <xdr:rowOff>144780</xdr:rowOff>
                  </to>
                </anchor>
              </controlPr>
            </control>
          </mc:Choice>
        </mc:AlternateContent>
        <mc:AlternateContent xmlns:mc="http://schemas.openxmlformats.org/markup-compatibility/2006">
          <mc:Choice Requires="x14">
            <control shapeId="11445" r:id="rId222" name="Check Box 181">
              <controlPr defaultSize="0" autoFill="0" autoLine="0" autoPict="0">
                <anchor moveWithCells="1">
                  <from>
                    <xdr:col>11</xdr:col>
                    <xdr:colOff>0</xdr:colOff>
                    <xdr:row>139</xdr:row>
                    <xdr:rowOff>144780</xdr:rowOff>
                  </from>
                  <to>
                    <xdr:col>11</xdr:col>
                    <xdr:colOff>1744980</xdr:colOff>
                    <xdr:row>140</xdr:row>
                    <xdr:rowOff>68580</xdr:rowOff>
                  </to>
                </anchor>
              </controlPr>
            </control>
          </mc:Choice>
        </mc:AlternateContent>
        <mc:AlternateContent xmlns:mc="http://schemas.openxmlformats.org/markup-compatibility/2006">
          <mc:Choice Requires="x14">
            <control shapeId="11446" r:id="rId223" name="Check Box 182">
              <controlPr defaultSize="0" autoFill="0" autoLine="0" autoPict="0">
                <anchor moveWithCells="1">
                  <from>
                    <xdr:col>11</xdr:col>
                    <xdr:colOff>0</xdr:colOff>
                    <xdr:row>138</xdr:row>
                    <xdr:rowOff>30480</xdr:rowOff>
                  </from>
                  <to>
                    <xdr:col>11</xdr:col>
                    <xdr:colOff>1744980</xdr:colOff>
                    <xdr:row>138</xdr:row>
                    <xdr:rowOff>297180</xdr:rowOff>
                  </to>
                </anchor>
              </controlPr>
            </control>
          </mc:Choice>
        </mc:AlternateContent>
        <mc:AlternateContent xmlns:mc="http://schemas.openxmlformats.org/markup-compatibility/2006">
          <mc:Choice Requires="x14">
            <control shapeId="11447" r:id="rId224" name="Check Box 183">
              <controlPr defaultSize="0" autoFill="0" autoLine="0" autoPict="0">
                <anchor moveWithCells="1">
                  <from>
                    <xdr:col>11</xdr:col>
                    <xdr:colOff>0</xdr:colOff>
                    <xdr:row>140</xdr:row>
                    <xdr:rowOff>266700</xdr:rowOff>
                  </from>
                  <to>
                    <xdr:col>11</xdr:col>
                    <xdr:colOff>1744980</xdr:colOff>
                    <xdr:row>141</xdr:row>
                    <xdr:rowOff>144780</xdr:rowOff>
                  </to>
                </anchor>
              </controlPr>
            </control>
          </mc:Choice>
        </mc:AlternateContent>
        <mc:AlternateContent xmlns:mc="http://schemas.openxmlformats.org/markup-compatibility/2006">
          <mc:Choice Requires="x14">
            <control shapeId="11448" r:id="rId225" name="Check Box 184">
              <controlPr defaultSize="0" autoFill="0" autoLine="0" autoPict="0">
                <anchor moveWithCells="1">
                  <from>
                    <xdr:col>11</xdr:col>
                    <xdr:colOff>0</xdr:colOff>
                    <xdr:row>141</xdr:row>
                    <xdr:rowOff>144780</xdr:rowOff>
                  </from>
                  <to>
                    <xdr:col>11</xdr:col>
                    <xdr:colOff>1744980</xdr:colOff>
                    <xdr:row>142</xdr:row>
                    <xdr:rowOff>0</xdr:rowOff>
                  </to>
                </anchor>
              </controlPr>
            </control>
          </mc:Choice>
        </mc:AlternateContent>
        <mc:AlternateContent xmlns:mc="http://schemas.openxmlformats.org/markup-compatibility/2006">
          <mc:Choice Requires="x14">
            <control shapeId="11449" r:id="rId226" name="Check Box 185">
              <controlPr defaultSize="0" autoFill="0" autoLine="0" autoPict="0">
                <anchor moveWithCells="1">
                  <from>
                    <xdr:col>11</xdr:col>
                    <xdr:colOff>0</xdr:colOff>
                    <xdr:row>140</xdr:row>
                    <xdr:rowOff>30480</xdr:rowOff>
                  </from>
                  <to>
                    <xdr:col>11</xdr:col>
                    <xdr:colOff>1744980</xdr:colOff>
                    <xdr:row>140</xdr:row>
                    <xdr:rowOff>297180</xdr:rowOff>
                  </to>
                </anchor>
              </controlPr>
            </control>
          </mc:Choice>
        </mc:AlternateContent>
        <mc:AlternateContent xmlns:mc="http://schemas.openxmlformats.org/markup-compatibility/2006">
          <mc:Choice Requires="x14">
            <control shapeId="11450" r:id="rId227" name="Check Box 186">
              <controlPr defaultSize="0" autoFill="0" autoLine="0" autoPict="0">
                <anchor moveWithCells="1">
                  <from>
                    <xdr:col>11</xdr:col>
                    <xdr:colOff>0</xdr:colOff>
                    <xdr:row>142</xdr:row>
                    <xdr:rowOff>266700</xdr:rowOff>
                  </from>
                  <to>
                    <xdr:col>11</xdr:col>
                    <xdr:colOff>1744980</xdr:colOff>
                    <xdr:row>143</xdr:row>
                    <xdr:rowOff>144780</xdr:rowOff>
                  </to>
                </anchor>
              </controlPr>
            </control>
          </mc:Choice>
        </mc:AlternateContent>
        <mc:AlternateContent xmlns:mc="http://schemas.openxmlformats.org/markup-compatibility/2006">
          <mc:Choice Requires="x14">
            <control shapeId="11451" r:id="rId228" name="Check Box 187">
              <controlPr defaultSize="0" autoFill="0" autoLine="0" autoPict="0">
                <anchor moveWithCells="1">
                  <from>
                    <xdr:col>11</xdr:col>
                    <xdr:colOff>0</xdr:colOff>
                    <xdr:row>143</xdr:row>
                    <xdr:rowOff>144780</xdr:rowOff>
                  </from>
                  <to>
                    <xdr:col>11</xdr:col>
                    <xdr:colOff>1744980</xdr:colOff>
                    <xdr:row>144</xdr:row>
                    <xdr:rowOff>68580</xdr:rowOff>
                  </to>
                </anchor>
              </controlPr>
            </control>
          </mc:Choice>
        </mc:AlternateContent>
        <mc:AlternateContent xmlns:mc="http://schemas.openxmlformats.org/markup-compatibility/2006">
          <mc:Choice Requires="x14">
            <control shapeId="11452" r:id="rId229" name="Check Box 188">
              <controlPr defaultSize="0" autoFill="0" autoLine="0" autoPict="0">
                <anchor moveWithCells="1">
                  <from>
                    <xdr:col>11</xdr:col>
                    <xdr:colOff>0</xdr:colOff>
                    <xdr:row>142</xdr:row>
                    <xdr:rowOff>30480</xdr:rowOff>
                  </from>
                  <to>
                    <xdr:col>11</xdr:col>
                    <xdr:colOff>1744980</xdr:colOff>
                    <xdr:row>142</xdr:row>
                    <xdr:rowOff>297180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90D61470-E847-4D75-A5F6-6A0B3920CAB2}">
            <x14:dataBar minLength="0" maxLength="100" border="1" direction="leftToRight">
              <x14:cfvo type="num">
                <xm:f>0</xm:f>
              </x14:cfvo>
              <x14:cfvo type="num">
                <xm:f>1</xm:f>
              </x14:cfvo>
              <x14:borderColor rgb="FF000099"/>
              <x14:negativeFillColor rgb="FFFF0000"/>
              <x14:axisColor rgb="FF000000"/>
            </x14:dataBar>
          </x14:cfRule>
          <xm:sqref>F9:F12</xm:sqref>
        </x14:conditionalFormatting>
        <x14:conditionalFormatting xmlns:xm="http://schemas.microsoft.com/office/excel/2006/main">
          <x14:cfRule type="iconSet" priority="30" id="{F65FC6FA-49BA-440D-B3FB-C4BEDD8B838B}">
            <x14:iconSet iconSet="3Stars">
              <x14:cfvo type="percent">
                <xm:f>0</xm:f>
              </x14:cfvo>
              <x14:cfvo type="percent">
                <xm:f>33</xm:f>
              </x14:cfvo>
              <x14:cfvo type="percent">
                <xm:f>67</xm:f>
              </x14:cfvo>
            </x14:iconSet>
          </x14:cfRule>
          <xm:sqref>R6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43EDC827-817F-4E39-8401-B7FD47A77451}">
          <x14:formula1>
            <xm:f>Parâmetros!$A$31:$A$33</xm:f>
          </x14:formula1>
          <xm:sqref>O33 O31 O35:O146</xm:sqref>
        </x14:dataValidation>
        <x14:dataValidation type="list" allowBlank="1" showInputMessage="1" showErrorMessage="1" xr:uid="{41EE08E2-95C4-4B90-B068-3B234E5797B9}">
          <x14:formula1>
            <xm:f>Parâmetros!$A$28:$A$29</xm:f>
          </x14:formula1>
          <xm:sqref>M31:M89 M91:M121 M123:M146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90"/>
  <sheetViews>
    <sheetView topLeftCell="Q7" zoomScale="85" zoomScaleNormal="85" workbookViewId="0">
      <selection activeCell="X30" sqref="X30"/>
    </sheetView>
  </sheetViews>
  <sheetFormatPr defaultColWidth="8.5546875" defaultRowHeight="14.4" x14ac:dyDescent="0.3"/>
  <cols>
    <col min="1" max="1" width="22.44140625" style="62" customWidth="1"/>
    <col min="2" max="2" width="17.5546875" style="62" customWidth="1"/>
    <col min="3" max="3" width="42.5546875" style="62" customWidth="1"/>
    <col min="4" max="4" width="30.44140625" style="62" customWidth="1"/>
    <col min="5" max="5" width="25.44140625" style="62" customWidth="1"/>
    <col min="6" max="6" width="12.5546875" style="62" customWidth="1"/>
    <col min="7" max="7" width="15.44140625" style="62" bestFit="1" customWidth="1"/>
    <col min="8" max="8" width="19" style="62" customWidth="1"/>
    <col min="9" max="9" width="20.5546875" style="62" bestFit="1" customWidth="1"/>
    <col min="10" max="10" width="19.5546875" style="62" customWidth="1"/>
    <col min="11" max="11" width="28" style="62" customWidth="1"/>
    <col min="12" max="12" width="17.44140625" style="62" bestFit="1" customWidth="1"/>
    <col min="13" max="13" width="18.5546875" style="62" bestFit="1" customWidth="1"/>
    <col min="14" max="14" width="19.44140625" style="62" bestFit="1" customWidth="1"/>
    <col min="15" max="15" width="20.5546875" style="62" bestFit="1" customWidth="1"/>
    <col min="16" max="16" width="18.5546875" style="62" bestFit="1" customWidth="1"/>
    <col min="17" max="18" width="19" style="62" bestFit="1" customWidth="1"/>
    <col min="19" max="19" width="22.44140625" style="62" bestFit="1" customWidth="1"/>
    <col min="20" max="20" width="23.5546875" style="62" bestFit="1" customWidth="1"/>
    <col min="21" max="21" width="19" style="62" bestFit="1" customWidth="1"/>
    <col min="22" max="22" width="25.44140625" style="62" bestFit="1" customWidth="1"/>
    <col min="23" max="23" width="22.44140625" style="62" bestFit="1" customWidth="1"/>
    <col min="24" max="29" width="17.44140625" style="62" bestFit="1" customWidth="1"/>
    <col min="30" max="30" width="16.5546875" style="62" bestFit="1" customWidth="1"/>
    <col min="31" max="32" width="17.44140625" style="62" bestFit="1" customWidth="1"/>
    <col min="33" max="33" width="28" style="62" bestFit="1" customWidth="1"/>
    <col min="34" max="34" width="19.5546875" style="62" bestFit="1" customWidth="1"/>
    <col min="35" max="35" width="18.5546875" style="62" bestFit="1" customWidth="1"/>
    <col min="36" max="36" width="41.5546875" style="62" bestFit="1" customWidth="1"/>
    <col min="37" max="37" width="22.44140625" style="62" bestFit="1" customWidth="1"/>
    <col min="38" max="38" width="19.44140625" style="62" bestFit="1" customWidth="1"/>
    <col min="39" max="39" width="20.44140625" style="62" bestFit="1" customWidth="1"/>
    <col min="40" max="40" width="54.44140625" style="62" bestFit="1" customWidth="1"/>
    <col min="41" max="41" width="54.44140625" style="62" customWidth="1"/>
    <col min="42" max="42" width="8.5546875" style="62"/>
    <col min="43" max="43" width="22.44140625" style="62" bestFit="1" customWidth="1"/>
    <col min="44" max="16384" width="8.5546875" style="62"/>
  </cols>
  <sheetData>
    <row r="1" spans="1:44" ht="50.1" customHeight="1" x14ac:dyDescent="0.3">
      <c r="A1" s="1181" t="s">
        <v>2518</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2"/>
      <c r="AE1" s="1182"/>
      <c r="AF1" s="1182"/>
      <c r="AG1" s="1182"/>
      <c r="AH1" s="1181"/>
      <c r="AI1" s="1182"/>
      <c r="AJ1" s="1182"/>
      <c r="AK1" s="1182"/>
      <c r="AL1" s="1181"/>
      <c r="AM1" s="1182"/>
      <c r="AN1" s="1182"/>
      <c r="AO1" s="1182"/>
      <c r="AP1" s="1182"/>
    </row>
    <row r="2" spans="1:44"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4"/>
      <c r="AE2" s="1184"/>
      <c r="AF2" s="1184"/>
      <c r="AG2" s="1184"/>
      <c r="AH2" s="1183"/>
      <c r="AI2" s="1184"/>
      <c r="AJ2" s="1184"/>
      <c r="AK2" s="1184"/>
      <c r="AL2" s="1183"/>
      <c r="AM2" s="1184"/>
      <c r="AN2" s="1184"/>
      <c r="AO2" s="1184"/>
      <c r="AP2" s="1184"/>
    </row>
    <row r="3" spans="1:44"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row>
    <row r="4" spans="1:44" x14ac:dyDescent="0.3">
      <c r="A4" s="1185" t="s">
        <v>2206</v>
      </c>
      <c r="B4" s="1185"/>
      <c r="C4" s="1186" t="s">
        <v>48</v>
      </c>
      <c r="D4" s="1186"/>
      <c r="E4" s="1194" t="s">
        <v>49</v>
      </c>
      <c r="F4" s="1195"/>
      <c r="G4" s="1187" t="s">
        <v>50</v>
      </c>
      <c r="H4" s="1187"/>
      <c r="I4" s="1188" t="s">
        <v>51</v>
      </c>
      <c r="J4" s="1188"/>
      <c r="K4" s="1188"/>
      <c r="L4" s="1189" t="s">
        <v>53</v>
      </c>
      <c r="M4" s="1190"/>
      <c r="N4" s="1191"/>
      <c r="O4" s="1189" t="s">
        <v>54</v>
      </c>
      <c r="P4" s="1191"/>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row>
    <row r="5" spans="1:44" ht="45" customHeight="1" x14ac:dyDescent="0.3">
      <c r="A5" s="1739">
        <v>10000000</v>
      </c>
      <c r="B5" s="1740"/>
      <c r="C5" s="1741">
        <f>SUM(H33:H82) - SUMIF(A33:A82, "*Meta Executiva*", H33:H82)</f>
        <v>10541563</v>
      </c>
      <c r="D5" s="1742"/>
      <c r="E5" s="1200">
        <f>SUMIFS(AH33:AH82, P33:P82, "Previsto", A33:A82, "&lt;&gt;*Meta Executiva*")</f>
        <v>1945563.0000000002</v>
      </c>
      <c r="F5" s="1201"/>
      <c r="G5" s="1743">
        <f>SUM(M33:M82) - SUMIF(A33:A82, "*Meta Executiva*", M33:M82)</f>
        <v>1945563</v>
      </c>
      <c r="H5" s="1744"/>
      <c r="I5" s="1078">
        <f>SUMIF(P33:P116,"Real",AH33:AH116) - SUMIFS(AH33:AH116, P33:P116, "Real", AO33:AO116, "*Meta Executiva*")</f>
        <v>1415755.36</v>
      </c>
      <c r="J5" s="1078"/>
      <c r="K5" s="1078"/>
      <c r="L5" s="1050">
        <f>I5/A5</f>
        <v>0.141575536</v>
      </c>
      <c r="M5" s="1051"/>
      <c r="N5" s="1052"/>
      <c r="O5" s="1060">
        <f>COUNTA(A33:A82)-O7</f>
        <v>2</v>
      </c>
      <c r="P5" s="1061"/>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row>
    <row r="6" spans="1:44" x14ac:dyDescent="0.3">
      <c r="A6" s="1185" t="s">
        <v>2519</v>
      </c>
      <c r="B6" s="1185"/>
      <c r="C6" s="1186" t="s">
        <v>2520</v>
      </c>
      <c r="D6" s="1186"/>
      <c r="E6" s="1194" t="s">
        <v>2521</v>
      </c>
      <c r="F6" s="1195"/>
      <c r="G6" s="1187" t="s">
        <v>2522</v>
      </c>
      <c r="H6" s="1187"/>
      <c r="I6" s="1188" t="s">
        <v>2523</v>
      </c>
      <c r="J6" s="1188"/>
      <c r="K6" s="1188"/>
      <c r="L6" s="1189" t="s">
        <v>53</v>
      </c>
      <c r="M6" s="1190"/>
      <c r="N6" s="1191"/>
      <c r="O6" s="1189" t="s">
        <v>54</v>
      </c>
      <c r="P6" s="1191"/>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row>
    <row r="7" spans="1:44" ht="45" customHeight="1" x14ac:dyDescent="0.3">
      <c r="A7" s="1706">
        <v>6000000</v>
      </c>
      <c r="B7" s="1707"/>
      <c r="C7" s="1708">
        <f>SUMIF(A33:A82, "*Meta Executiva*", H33:H82)</f>
        <v>186000.00000009901</v>
      </c>
      <c r="D7" s="1709"/>
      <c r="E7" s="1710">
        <f>SUMIFS(AH33:AH82, P33:P82, "Previsto", A33:A82, "*Meta Executiva*")</f>
        <v>623168.18999999994</v>
      </c>
      <c r="F7" s="1711"/>
      <c r="G7" s="1712">
        <f>SUMIF(A33:A82, "*Meta Executiva*", M33:M82)</f>
        <v>527168.18999999994</v>
      </c>
      <c r="H7" s="1713"/>
      <c r="I7" s="1714">
        <f>SUMIFS(AH33:AH116, P33:P116, "Real", AO33:AO116, "*Meta Executiva*")</f>
        <v>0</v>
      </c>
      <c r="J7" s="1715"/>
      <c r="K7" s="1716"/>
      <c r="L7" s="1717">
        <f>I7/A7</f>
        <v>0</v>
      </c>
      <c r="M7" s="1718"/>
      <c r="N7" s="1719"/>
      <c r="O7" s="1720">
        <f>COUNTIF(A33:A82,"Meta Executiva ")</f>
        <v>6</v>
      </c>
      <c r="P7" s="1721"/>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row>
    <row r="8" spans="1:44" ht="20.85" customHeight="1" x14ac:dyDescent="0.3">
      <c r="A8" s="20"/>
      <c r="B8" s="20"/>
      <c r="C8" s="20"/>
      <c r="D8" s="20"/>
      <c r="E8" s="20"/>
      <c r="F8" s="20"/>
      <c r="G8" s="20"/>
      <c r="H8" s="20"/>
      <c r="I8" s="20"/>
      <c r="J8" s="20"/>
      <c r="K8" s="20"/>
      <c r="L8" s="20"/>
      <c r="M8" s="20"/>
      <c r="N8" s="20"/>
      <c r="O8" s="47"/>
      <c r="P8" s="47"/>
      <c r="Q8" s="47"/>
      <c r="R8" s="1192" t="s">
        <v>112</v>
      </c>
      <c r="S8" s="1193"/>
      <c r="T8" s="1193"/>
      <c r="U8" s="1193"/>
      <c r="V8" s="1193"/>
      <c r="W8" s="1193"/>
      <c r="X8" s="1193"/>
      <c r="Y8" s="1193"/>
      <c r="Z8" s="1193"/>
      <c r="AA8" s="1193"/>
      <c r="AB8" s="1193"/>
      <c r="AC8" s="1193"/>
      <c r="AD8" s="1193"/>
      <c r="AE8" s="1193"/>
      <c r="AF8" s="1193"/>
      <c r="AG8" s="1193"/>
      <c r="AH8" s="1193"/>
      <c r="AI8" s="1193"/>
      <c r="AJ8" s="47"/>
      <c r="AK8" s="47"/>
      <c r="AL8" s="47"/>
      <c r="AM8" s="47"/>
      <c r="AN8" s="47"/>
      <c r="AO8" s="47"/>
      <c r="AP8" s="47"/>
      <c r="AQ8" s="47"/>
    </row>
    <row r="9" spans="1:44" ht="20.85" customHeight="1" x14ac:dyDescent="0.3">
      <c r="A9" s="857" t="s">
        <v>129</v>
      </c>
      <c r="B9" s="857"/>
      <c r="C9" s="857"/>
      <c r="D9" s="857"/>
      <c r="E9" s="857"/>
      <c r="F9" s="857"/>
      <c r="G9" s="29"/>
      <c r="H9" s="1059" t="s">
        <v>2358</v>
      </c>
      <c r="I9" s="1059"/>
      <c r="J9" s="1059"/>
      <c r="K9" s="20"/>
      <c r="L9" s="1059" t="s">
        <v>59</v>
      </c>
      <c r="M9" s="1059"/>
      <c r="N9" s="1059"/>
      <c r="O9" s="1745" t="s">
        <v>59</v>
      </c>
      <c r="P9" s="1746"/>
      <c r="Q9" s="1746"/>
      <c r="R9" s="382" t="s">
        <v>115</v>
      </c>
      <c r="S9" s="382" t="s">
        <v>72</v>
      </c>
      <c r="T9" s="382" t="s">
        <v>891</v>
      </c>
      <c r="U9" s="386" t="s">
        <v>117</v>
      </c>
      <c r="V9" s="542" t="s">
        <v>2357</v>
      </c>
      <c r="W9" s="542" t="s">
        <v>119</v>
      </c>
      <c r="X9" s="382" t="s">
        <v>120</v>
      </c>
      <c r="Y9" s="382"/>
      <c r="Z9" s="382"/>
      <c r="AA9" s="382"/>
      <c r="AB9" s="382"/>
      <c r="AC9" s="382" t="s">
        <v>121</v>
      </c>
      <c r="AD9" s="382" t="s">
        <v>122</v>
      </c>
      <c r="AE9" s="382" t="s">
        <v>123</v>
      </c>
      <c r="AF9" s="382" t="s">
        <v>124</v>
      </c>
      <c r="AG9" s="382" t="s">
        <v>125</v>
      </c>
      <c r="AH9" s="386" t="s">
        <v>126</v>
      </c>
      <c r="AI9" s="386" t="s">
        <v>118</v>
      </c>
      <c r="AK9" s="47"/>
      <c r="AL9" s="47"/>
      <c r="AM9" s="47"/>
      <c r="AN9" s="47"/>
      <c r="AO9" s="47"/>
      <c r="AP9" s="47"/>
      <c r="AQ9" s="47"/>
      <c r="AR9" s="47"/>
    </row>
    <row r="10" spans="1:44" ht="20.85" customHeight="1" x14ac:dyDescent="0.3">
      <c r="A10" s="15" t="s">
        <v>62</v>
      </c>
      <c r="B10" s="15" t="s">
        <v>63</v>
      </c>
      <c r="C10" s="15" t="s">
        <v>64</v>
      </c>
      <c r="D10" s="855" t="s">
        <v>65</v>
      </c>
      <c r="E10" s="15" t="s">
        <v>66</v>
      </c>
      <c r="F10" s="15" t="s">
        <v>131</v>
      </c>
      <c r="G10" s="29"/>
      <c r="H10" s="410" t="s">
        <v>21</v>
      </c>
      <c r="I10" s="411">
        <f t="shared" ref="I10:I15" si="0">COUNTIF($P$33:$P$116,H10)</f>
        <v>0</v>
      </c>
      <c r="J10" s="412">
        <f t="shared" ref="J10:J15" si="1">SUMIF($P$33:$P$116,H10,$H$33:$H$116)</f>
        <v>0</v>
      </c>
      <c r="K10" s="20"/>
      <c r="L10" s="15" t="s">
        <v>67</v>
      </c>
      <c r="M10" s="15" t="s">
        <v>63</v>
      </c>
      <c r="N10" s="575" t="s">
        <v>68</v>
      </c>
      <c r="O10" s="578" t="s">
        <v>67</v>
      </c>
      <c r="P10" s="572" t="s">
        <v>63</v>
      </c>
      <c r="Q10" s="572" t="s">
        <v>68</v>
      </c>
      <c r="R10" s="372" cm="1">
        <f t="array" ref="R10:R29">_xlfn.SEQUENCE(20)</f>
        <v>1</v>
      </c>
      <c r="S10" s="407" t="str">
        <f t="shared" ref="S10:S16" si="2">_xlfn.XLOOKUP(X10,$B$33:$B$116,$A$33:$A$116)</f>
        <v>Estratégia Comercial</v>
      </c>
      <c r="T10" s="373">
        <f>MAX(H33:H116)</f>
        <v>9996000</v>
      </c>
      <c r="U10" s="465">
        <f>_xlfn.XLOOKUP(X10,$B$33:$B$116,$M$33:$M$116)</f>
        <v>1400000</v>
      </c>
      <c r="V10" s="373" cm="1">
        <f t="array" aca="1" ref="V10" ca="1">SUMPRODUCT(($C$33:$C$116=X10)*(R$32:$AF$32&lt;EOMONTH(TODAY(),-1)+1)*(ISNUMBER(S$33:$AG$116)),S$33:$AG$116)</f>
        <v>0</v>
      </c>
      <c r="W10" s="543" cm="1">
        <f t="array" aca="1" ref="W10" ca="1">SUMPRODUCT(($C$33:$C$116=X10)*(R$32:$AF$32&lt;=TODAY())*(ISNUMBER(S$34:$AG$117)),S$34:$AG$117)</f>
        <v>0</v>
      </c>
      <c r="X10" s="519" t="str">
        <f t="shared" ref="X10:X16" si="3">IFERROR(HYPERLINK(INDEX($D$33:$D$116,MATCH(T10,$H$33:$H$116,0)),INDEX($B$33:$B$116,MATCH(T10,$H$33:$H$116,0))
   ),
   ""
)</f>
        <v>Realinhamentos e Negociações</v>
      </c>
      <c r="Y10" s="520"/>
      <c r="Z10" s="520"/>
      <c r="AA10" s="520"/>
      <c r="AB10" s="521"/>
      <c r="AC10" s="374">
        <f>T10/T30</f>
        <v>0.93180529445503213</v>
      </c>
      <c r="AD10" s="375">
        <f>AC10</f>
        <v>0.93180529445503213</v>
      </c>
      <c r="AE10" s="376" t="str" cm="1">
        <f t="array" ref="AE10">IFERROR(INDEX($R$33:$R$116,MATCH(1,($AN$33:$AN$116=X10)*($Q$33:$Q$116="Previsto"), 0) ), "")</f>
        <v/>
      </c>
      <c r="AF10" s="376" t="str" cm="1">
        <f t="array" ref="AF10">IFERROR( INDEX($R$33:$R$116,MATCH(1,($AN$33:$AN$116=X10)*($Q$33:$Q$116="Real"),0)),"")</f>
        <v/>
      </c>
      <c r="AG10" s="400" t="str">
        <f t="shared" ref="AG10:AG16" si="4">IF(OR(AE10="",AF10=""),"",IF(AF10=100%,"CONCLUÍDO",IF(AF10=0,IF(AE10=0,"PROJETO NÃO INICIADO","FALTA DE ACOMPANHAMENTO"),IF(AF10&gt;AE10,"ADIANTADO",IF(AF10=AE10,"CONFORME PLANEJADO","ATRASO")))))</f>
        <v/>
      </c>
      <c r="AH10" s="376" t="e">
        <f t="shared" ref="AH10:AH16" si="5">_xlfn.XLOOKUP(X10,$C$33:$C$116,$O$83:$O$116)</f>
        <v>#VALUE!</v>
      </c>
      <c r="AI10" s="530" t="e">
        <f t="shared" ref="AI10:AI16" si="6">_xlfn.XLOOKUP(X10,$C$33:$C$116,$I$33:$I$116)</f>
        <v>#N/A</v>
      </c>
      <c r="AK10" s="47"/>
      <c r="AL10" s="47"/>
      <c r="AM10" s="47"/>
      <c r="AN10" s="47"/>
      <c r="AO10" s="47"/>
      <c r="AP10" s="47"/>
      <c r="AQ10" s="47"/>
      <c r="AR10" s="47"/>
    </row>
    <row r="11" spans="1:44" ht="20.85" customHeight="1" x14ac:dyDescent="0.3">
      <c r="A11" s="16" t="s">
        <v>76</v>
      </c>
      <c r="B11" s="17">
        <f>COUNTIF($A$33:$A$116,A11)</f>
        <v>0</v>
      </c>
      <c r="C11" s="18">
        <f>SUMIF($A$33:$A$116,A11,$H$33:$H$116)</f>
        <v>0</v>
      </c>
      <c r="D11" s="18">
        <f>SUMIF($A$33:$A$116,A11,$M$33:$M$116)</f>
        <v>0</v>
      </c>
      <c r="E11" s="60">
        <f>IF($D$16=0,"",D11/$D$16)</f>
        <v>0</v>
      </c>
      <c r="F11" s="19">
        <f>E11</f>
        <v>0</v>
      </c>
      <c r="G11" s="29"/>
      <c r="H11" s="413" t="s">
        <v>24</v>
      </c>
      <c r="I11" s="414">
        <f t="shared" si="0"/>
        <v>0</v>
      </c>
      <c r="J11" s="415">
        <f t="shared" si="1"/>
        <v>0</v>
      </c>
      <c r="K11" s="20"/>
      <c r="L11" s="616" t="s">
        <v>77</v>
      </c>
      <c r="M11" s="617" cm="1">
        <f t="array" ref="M11">SUM(IF($A$33:$A$116&lt;&gt;$A$6, IF($N$33:$N$116=L11, 1, 0), 0))</f>
        <v>0</v>
      </c>
      <c r="N11" s="618">
        <v>0</v>
      </c>
      <c r="O11" s="619" t="s">
        <v>77</v>
      </c>
      <c r="P11" s="613" cm="1">
        <f t="array" ref="P11">SUM(IF($A$33:$A$116=$A$6, IF($N$33:$N$116=L11, 1, 0), 0))</f>
        <v>0</v>
      </c>
      <c r="Q11" s="620">
        <v>0</v>
      </c>
      <c r="R11" s="377">
        <v>2</v>
      </c>
      <c r="S11" s="406" t="str">
        <f t="shared" si="2"/>
        <v>Redução de Custo</v>
      </c>
      <c r="T11" s="378">
        <f t="shared" ref="T11:T16" si="7">IFERROR(LARGE($H$33:$H$116,R11)," ")</f>
        <v>545563</v>
      </c>
      <c r="U11" s="466">
        <f>_xlfn.XLOOKUP(X11,$B$33:$B$116,$M$33:$M$116)</f>
        <v>545563</v>
      </c>
      <c r="V11" s="378" cm="1">
        <f t="array" aca="1" ref="V11" ca="1">SUMPRODUCT(($C$33:$C$116=X11)*(R$32:$AF$32&lt;EOMONTH(TODAY(),-1)+1)*(ISNUMBER(S$33:$AG$116)),S$33:$AG$116)</f>
        <v>0</v>
      </c>
      <c r="W11" s="544" cm="1">
        <f t="array" aca="1" ref="W11" ca="1">SUMPRODUCT(($C$33:$C$116=X11)*(R$32:$AF$32&lt;=TODAY())*(ISNUMBER(S$34:$AG$117)),S$34:$AG$117)</f>
        <v>0</v>
      </c>
      <c r="X11" s="516" t="str">
        <f t="shared" si="3"/>
        <v>Materia Prima - Desenvolvimento</v>
      </c>
      <c r="Y11" s="517"/>
      <c r="Z11" s="517"/>
      <c r="AA11" s="517"/>
      <c r="AB11" s="518"/>
      <c r="AC11" s="379">
        <f>T11/T30</f>
        <v>5.0856191662542086E-2</v>
      </c>
      <c r="AD11" s="380">
        <f>AC11+AD10</f>
        <v>0.9826614861175742</v>
      </c>
      <c r="AE11" s="381" t="str" cm="1">
        <f t="array" ref="AE11">IFERROR(INDEX($R$33:$R$116,MATCH(1,($AN$33:$AN$116=X11)*($Q$33:$Q$116="Previsto"), 0) ), "")</f>
        <v/>
      </c>
      <c r="AF11" s="381" t="str" cm="1">
        <f t="array" ref="AF11">IFERROR( INDEX($R$33:$R$116,MATCH(1,($AN$33:$AN$116=X11)*($Q$33:$Q$116="Real"),0)),"")</f>
        <v/>
      </c>
      <c r="AG11" s="401" t="str">
        <f t="shared" si="4"/>
        <v/>
      </c>
      <c r="AH11" s="381" t="e">
        <f t="shared" si="5"/>
        <v>#VALUE!</v>
      </c>
      <c r="AI11" s="531" t="e">
        <f t="shared" si="6"/>
        <v>#N/A</v>
      </c>
      <c r="AK11" s="47"/>
      <c r="AL11" s="47"/>
      <c r="AM11" s="47"/>
      <c r="AN11" s="47"/>
      <c r="AO11" s="47"/>
      <c r="AP11" s="47"/>
      <c r="AQ11" s="47"/>
      <c r="AR11" s="47"/>
    </row>
    <row r="12" spans="1:44" ht="20.85" customHeight="1" x14ac:dyDescent="0.3">
      <c r="A12" s="16" t="s">
        <v>79</v>
      </c>
      <c r="B12" s="17">
        <f>COUNTIF($A$33:$A$116,A12)</f>
        <v>1</v>
      </c>
      <c r="C12" s="18">
        <f>SUMIF($A$33:$A$116,A12,$H$33:$H$116)</f>
        <v>545563</v>
      </c>
      <c r="D12" s="18">
        <f>SUMIF($A$33:$A$116,A12,$M$33:$M$116)</f>
        <v>545563</v>
      </c>
      <c r="E12" s="60">
        <f>IF($D$16=0,"",D12/$D$16)</f>
        <v>0.28041394701687894</v>
      </c>
      <c r="F12" s="19">
        <f t="shared" ref="F12:F14" si="8">E12</f>
        <v>0.28041394701687894</v>
      </c>
      <c r="G12" s="29"/>
      <c r="H12" s="416" t="s">
        <v>25</v>
      </c>
      <c r="I12" s="417">
        <f t="shared" si="0"/>
        <v>0</v>
      </c>
      <c r="J12" s="418">
        <f t="shared" si="1"/>
        <v>0</v>
      </c>
      <c r="K12" s="20"/>
      <c r="L12" s="621" t="s">
        <v>80</v>
      </c>
      <c r="M12" s="611" cm="1">
        <f t="array" ref="M12">SUM(IF($A$33:$A$116&lt;&gt;$A$6, IF($N$33:$N$116=L12, 1, 0), 0))</f>
        <v>1</v>
      </c>
      <c r="N12" s="576">
        <v>0</v>
      </c>
      <c r="O12" s="622" t="s">
        <v>80</v>
      </c>
      <c r="P12" s="614" cm="1">
        <f t="array" ref="P12">SUM(IF($A$33:$A$116=$A$6, IF($N$33:$N$116=L12, 1, 0), 0))</f>
        <v>0</v>
      </c>
      <c r="Q12" s="573">
        <v>0</v>
      </c>
      <c r="R12" s="372">
        <v>3</v>
      </c>
      <c r="S12" s="407" t="str">
        <f t="shared" si="2"/>
        <v xml:space="preserve">Meta Executiva </v>
      </c>
      <c r="T12" s="373">
        <f t="shared" si="7"/>
        <v>96000</v>
      </c>
      <c r="U12" s="465"/>
      <c r="V12" s="373"/>
      <c r="W12" s="543"/>
      <c r="X12" s="519" t="str">
        <f t="shared" si="3"/>
        <v>43 - Automação Boomerang</v>
      </c>
      <c r="Y12" s="520"/>
      <c r="Z12" s="520"/>
      <c r="AA12" s="520"/>
      <c r="AB12" s="521"/>
      <c r="AC12" s="374">
        <f>T12/T30</f>
        <v>8.9489103909246789E-3</v>
      </c>
      <c r="AD12" s="375">
        <f>AC12+AD11</f>
        <v>0.99161039650849891</v>
      </c>
      <c r="AE12" s="376" t="str" cm="1">
        <f t="array" ref="AE12">IFERROR(INDEX($R$33:$R$116,MATCH(1,($AN$33:$AN$116=X12)*($Q$33:$Q$116="Previsto"), 0) ), "")</f>
        <v/>
      </c>
      <c r="AF12" s="376" t="str" cm="1">
        <f t="array" ref="AF12">IFERROR( INDEX($R$33:$R$116,MATCH(1,($AN$33:$AN$116=X12)*($Q$33:$Q$116="Real"),0)),"")</f>
        <v/>
      </c>
      <c r="AG12" s="400" t="str">
        <f t="shared" si="4"/>
        <v/>
      </c>
      <c r="AH12" s="376" t="e">
        <f t="shared" si="5"/>
        <v>#VALUE!</v>
      </c>
      <c r="AI12" s="530" t="e">
        <f t="shared" si="6"/>
        <v>#N/A</v>
      </c>
      <c r="AK12" s="47"/>
      <c r="AL12" s="47"/>
      <c r="AM12" s="47"/>
      <c r="AN12" s="47"/>
      <c r="AO12" s="47"/>
      <c r="AP12" s="47"/>
      <c r="AQ12" s="47"/>
      <c r="AR12" s="47"/>
    </row>
    <row r="13" spans="1:44" ht="20.85" customHeight="1" x14ac:dyDescent="0.3">
      <c r="A13" s="16" t="s">
        <v>82</v>
      </c>
      <c r="B13" s="17">
        <f>COUNTIF($A$33:$A$116,A13)</f>
        <v>0</v>
      </c>
      <c r="C13" s="18">
        <f>SUMIF($A$33:$A$116,A13,$H$33:$H$116)</f>
        <v>0</v>
      </c>
      <c r="D13" s="18">
        <f>SUMIF($A$33:$A$116,A13,$M$33:$M$116)</f>
        <v>0</v>
      </c>
      <c r="E13" s="60">
        <f>IF($D$16=0,"",D13/$D$16)</f>
        <v>0</v>
      </c>
      <c r="F13" s="19">
        <f t="shared" si="8"/>
        <v>0</v>
      </c>
      <c r="G13" s="29"/>
      <c r="H13" s="419" t="s">
        <v>22</v>
      </c>
      <c r="I13" s="420">
        <f t="shared" si="0"/>
        <v>0</v>
      </c>
      <c r="J13" s="421">
        <f t="shared" si="1"/>
        <v>0</v>
      </c>
      <c r="K13" s="20"/>
      <c r="L13" s="623" t="s">
        <v>83</v>
      </c>
      <c r="M13" s="612">
        <v>1</v>
      </c>
      <c r="N13" s="577">
        <v>0</v>
      </c>
      <c r="O13" s="624" t="s">
        <v>83</v>
      </c>
      <c r="P13" s="615">
        <v>5</v>
      </c>
      <c r="Q13" s="574">
        <v>0</v>
      </c>
      <c r="R13" s="377">
        <v>4</v>
      </c>
      <c r="S13" s="406" t="str">
        <f t="shared" si="2"/>
        <v xml:space="preserve">Meta Executiva </v>
      </c>
      <c r="T13" s="378">
        <f t="shared" si="7"/>
        <v>90000.000000098997</v>
      </c>
      <c r="U13" s="466"/>
      <c r="V13" s="378"/>
      <c r="W13" s="544"/>
      <c r="X13" s="516" t="str">
        <f t="shared" si="3"/>
        <v>27 - DA000459AA - STC Volvo_</v>
      </c>
      <c r="Y13" s="517"/>
      <c r="Z13" s="517"/>
      <c r="AA13" s="517"/>
      <c r="AB13" s="518"/>
      <c r="AC13" s="379">
        <f>T13/T30</f>
        <v>8.3896034915011148E-3</v>
      </c>
      <c r="AD13" s="380">
        <f>AC13+AD12</f>
        <v>1</v>
      </c>
      <c r="AE13" s="381" t="str" cm="1">
        <f t="array" ref="AE13">IFERROR(INDEX($R$33:$R$116,MATCH(1,($AN$33:$AN$116=X13)*($Q$33:$Q$116="Previsto"), 0) ), "")</f>
        <v/>
      </c>
      <c r="AF13" s="381" t="str" cm="1">
        <f t="array" ref="AF13">IFERROR( INDEX($R$33:$R$116,MATCH(1,($AN$33:$AN$116=X13)*($Q$33:$Q$116="Real"),0)),"")</f>
        <v/>
      </c>
      <c r="AG13" s="401" t="str">
        <f t="shared" si="4"/>
        <v/>
      </c>
      <c r="AH13" s="381" t="e">
        <f t="shared" si="5"/>
        <v>#VALUE!</v>
      </c>
      <c r="AI13" s="531" t="e">
        <f t="shared" si="6"/>
        <v>#N/A</v>
      </c>
      <c r="AK13" s="47"/>
      <c r="AL13" s="47"/>
      <c r="AM13" s="47"/>
      <c r="AN13" s="47"/>
      <c r="AO13" s="47"/>
      <c r="AP13" s="47"/>
      <c r="AQ13" s="47"/>
      <c r="AR13" s="47"/>
    </row>
    <row r="14" spans="1:44" ht="20.85" customHeight="1" x14ac:dyDescent="0.3">
      <c r="A14" s="16" t="s">
        <v>85</v>
      </c>
      <c r="B14" s="17">
        <f>COUNTIF($A$33:$A$116,A14)</f>
        <v>0</v>
      </c>
      <c r="C14" s="18">
        <f>SUMIF($A$33:$A$116,A14,$H$33:$H$116)</f>
        <v>0</v>
      </c>
      <c r="D14" s="18">
        <f>SUMIF($A$33:$A$116,A14,$M$33:$M$116)</f>
        <v>0</v>
      </c>
      <c r="E14" s="60">
        <f>IF($D$16=0,"",D14/$D$16)</f>
        <v>0</v>
      </c>
      <c r="F14" s="19">
        <f t="shared" si="8"/>
        <v>0</v>
      </c>
      <c r="G14" s="29"/>
      <c r="H14" s="422" t="s">
        <v>23</v>
      </c>
      <c r="I14" s="423">
        <f t="shared" si="0"/>
        <v>0</v>
      </c>
      <c r="J14" s="424">
        <f t="shared" si="1"/>
        <v>0</v>
      </c>
      <c r="K14" s="20"/>
      <c r="L14" s="20"/>
      <c r="M14" s="20"/>
      <c r="N14" s="20"/>
      <c r="O14" s="20"/>
      <c r="P14" s="20"/>
      <c r="Q14" s="20"/>
      <c r="R14" s="372">
        <v>5</v>
      </c>
      <c r="S14" s="407" t="e">
        <f t="shared" si="2"/>
        <v>#N/A</v>
      </c>
      <c r="T14" s="373" t="str">
        <f t="shared" si="7"/>
        <v xml:space="preserve"> </v>
      </c>
      <c r="U14" s="465"/>
      <c r="V14" s="373"/>
      <c r="W14" s="543"/>
      <c r="X14" s="519" t="str">
        <f t="shared" si="3"/>
        <v/>
      </c>
      <c r="Y14" s="520"/>
      <c r="Z14" s="520"/>
      <c r="AA14" s="520"/>
      <c r="AB14" s="521"/>
      <c r="AC14" s="374" t="e">
        <f>T14/T30</f>
        <v>#VALUE!</v>
      </c>
      <c r="AD14" s="375" t="e">
        <f>AC14+AD13</f>
        <v>#VALUE!</v>
      </c>
      <c r="AE14" s="376" t="str" cm="1">
        <f t="array" ref="AE14">IFERROR(INDEX($R$33:$R$116,MATCH(1,($AN$33:$AN$116=X14)*($Q$33:$Q$116="Previsto"), 0) ), "")</f>
        <v/>
      </c>
      <c r="AF14" s="376" t="str" cm="1">
        <f t="array" ref="AF14">IFERROR( INDEX($R$33:$R$116,MATCH(1,($AN$33:$AN$116=X14)*($Q$33:$Q$116="Real"),0)),"")</f>
        <v/>
      </c>
      <c r="AG14" s="400" t="str">
        <f t="shared" si="4"/>
        <v/>
      </c>
      <c r="AH14" s="376" t="e">
        <f t="shared" si="5"/>
        <v>#VALUE!</v>
      </c>
      <c r="AI14" s="530" t="e">
        <f t="shared" si="6"/>
        <v>#N/A</v>
      </c>
      <c r="AK14" s="47"/>
      <c r="AL14" s="47"/>
      <c r="AM14" s="47"/>
      <c r="AN14" s="47"/>
      <c r="AO14" s="47"/>
      <c r="AP14" s="47"/>
      <c r="AQ14" s="47"/>
      <c r="AR14" s="47"/>
    </row>
    <row r="15" spans="1:44" ht="20.85" customHeight="1" x14ac:dyDescent="0.3">
      <c r="A15" s="514" t="s">
        <v>87</v>
      </c>
      <c r="B15" s="17">
        <f>COUNTIF($A$33:$A$116,A15)</f>
        <v>1</v>
      </c>
      <c r="C15" s="18">
        <f>SUMIF($A$33:$A$116,A15,$H$33:$H$116)</f>
        <v>9996000</v>
      </c>
      <c r="D15" s="18">
        <f>SUMIF($A$33:$A$116,A15,$M$33:$M$116)</f>
        <v>1400000</v>
      </c>
      <c r="E15" s="60">
        <f>IF($D$16=0,"",D15/$D$16)</f>
        <v>0.71958605298312106</v>
      </c>
      <c r="F15" s="20"/>
      <c r="G15" s="29"/>
      <c r="H15" s="425" t="s">
        <v>2360</v>
      </c>
      <c r="I15" s="426">
        <f t="shared" si="0"/>
        <v>0</v>
      </c>
      <c r="J15" s="427">
        <f t="shared" si="1"/>
        <v>0</v>
      </c>
      <c r="K15" s="20"/>
      <c r="L15" s="20"/>
      <c r="M15" s="20"/>
      <c r="N15" s="20"/>
      <c r="O15" s="20"/>
      <c r="P15" s="20"/>
      <c r="Q15" s="20"/>
      <c r="R15" s="377">
        <v>6</v>
      </c>
      <c r="S15" s="406" t="e">
        <f t="shared" si="2"/>
        <v>#N/A</v>
      </c>
      <c r="T15" s="378" t="str">
        <f t="shared" si="7"/>
        <v xml:space="preserve"> </v>
      </c>
      <c r="U15" s="466"/>
      <c r="V15" s="378"/>
      <c r="W15" s="544"/>
      <c r="X15" s="516" t="str">
        <f t="shared" si="3"/>
        <v/>
      </c>
      <c r="Y15" s="517"/>
      <c r="Z15" s="517"/>
      <c r="AA15" s="517"/>
      <c r="AB15" s="518"/>
      <c r="AC15" s="379"/>
      <c r="AD15" s="380"/>
      <c r="AE15" s="381" t="str" cm="1">
        <f t="array" ref="AE15">IFERROR(INDEX($R$33:$R$116,MATCH(1,($AN$33:$AN$116=X15)*($Q$33:$Q$116="Previsto"), 0) ), "")</f>
        <v/>
      </c>
      <c r="AF15" s="381" t="str" cm="1">
        <f t="array" ref="AF15">IFERROR( INDEX($R$33:$R$116,MATCH(1,($AN$33:$AN$116=X15)*($Q$33:$Q$116="Real"),0)),"")</f>
        <v/>
      </c>
      <c r="AG15" s="401" t="str">
        <f t="shared" si="4"/>
        <v/>
      </c>
      <c r="AH15" s="381" t="e">
        <f t="shared" si="5"/>
        <v>#VALUE!</v>
      </c>
      <c r="AI15" s="531" t="e">
        <f t="shared" si="6"/>
        <v>#N/A</v>
      </c>
      <c r="AK15" s="47"/>
      <c r="AL15" s="47"/>
      <c r="AM15" s="47"/>
      <c r="AN15" s="47"/>
      <c r="AO15" s="47"/>
      <c r="AP15" s="47"/>
      <c r="AQ15" s="47"/>
      <c r="AR15" s="47"/>
    </row>
    <row r="16" spans="1:44" ht="20.85" customHeight="1" x14ac:dyDescent="0.3">
      <c r="A16" s="173" t="s">
        <v>133</v>
      </c>
      <c r="B16" s="174">
        <f>SUM(B12:B15)</f>
        <v>2</v>
      </c>
      <c r="C16" s="30">
        <f>SUM(C12:C15)</f>
        <v>10541563</v>
      </c>
      <c r="D16" s="30">
        <f>SUM(D12:D15)</f>
        <v>1945563</v>
      </c>
      <c r="E16" s="171">
        <f>SUM(E12:E15)</f>
        <v>1</v>
      </c>
      <c r="F16" s="20"/>
      <c r="G16" s="29"/>
      <c r="H16" s="20"/>
      <c r="I16" s="20"/>
      <c r="J16" s="20"/>
      <c r="K16" s="20"/>
      <c r="L16" s="20"/>
      <c r="M16" s="20"/>
      <c r="N16" s="20"/>
      <c r="O16" s="20"/>
      <c r="P16" s="47"/>
      <c r="Q16" s="47"/>
      <c r="R16" s="372">
        <v>7</v>
      </c>
      <c r="S16" s="407" t="e">
        <f t="shared" si="2"/>
        <v>#N/A</v>
      </c>
      <c r="T16" s="373" t="str">
        <f t="shared" si="7"/>
        <v xml:space="preserve"> </v>
      </c>
      <c r="U16" s="465"/>
      <c r="V16" s="373"/>
      <c r="W16" s="543"/>
      <c r="X16" s="519" t="str">
        <f t="shared" si="3"/>
        <v/>
      </c>
      <c r="Y16" s="520"/>
      <c r="Z16" s="520"/>
      <c r="AA16" s="520"/>
      <c r="AB16" s="521"/>
      <c r="AC16" s="374"/>
      <c r="AD16" s="375"/>
      <c r="AE16" s="376" t="str" cm="1">
        <f t="array" ref="AE16">IFERROR(INDEX($R$33:$R$116,MATCH(1,($AN$33:$AN$116=X16)*($Q$33:$Q$116="Previsto"), 0) ), "")</f>
        <v/>
      </c>
      <c r="AF16" s="376" t="str" cm="1">
        <f t="array" ref="AF16">IFERROR( INDEX($R$33:$R$116,MATCH(1,($AN$33:$AN$116=X16)*($Q$33:$Q$116="Real"),0)),"")</f>
        <v/>
      </c>
      <c r="AG16" s="400" t="str">
        <f t="shared" si="4"/>
        <v/>
      </c>
      <c r="AH16" s="376" t="e">
        <f t="shared" si="5"/>
        <v>#VALUE!</v>
      </c>
      <c r="AI16" s="530" t="e">
        <f t="shared" si="6"/>
        <v>#N/A</v>
      </c>
      <c r="AK16" s="47"/>
      <c r="AL16" s="47"/>
      <c r="AM16" s="47"/>
      <c r="AN16" s="47"/>
      <c r="AO16" s="47"/>
      <c r="AP16" s="47"/>
      <c r="AQ16" s="47"/>
      <c r="AR16" s="47"/>
    </row>
    <row r="17" spans="1:43" ht="20.85" customHeight="1" x14ac:dyDescent="0.3">
      <c r="A17" s="348"/>
      <c r="B17" s="349"/>
      <c r="C17" s="350"/>
      <c r="D17" s="351"/>
      <c r="E17" s="20"/>
      <c r="F17" s="29"/>
      <c r="G17" s="20"/>
      <c r="H17" s="20"/>
      <c r="I17" s="20"/>
      <c r="J17" s="20"/>
      <c r="K17" s="20"/>
      <c r="L17" s="20"/>
      <c r="M17" s="20"/>
      <c r="N17" s="20"/>
      <c r="O17" s="47"/>
      <c r="P17" s="47"/>
      <c r="Q17" s="47"/>
      <c r="R17" s="377">
        <v>8</v>
      </c>
      <c r="S17" s="406" t="e">
        <f t="shared" ref="S17:S29" si="9">_xlfn.XLOOKUP(X17,$B$33:$B$116,$A$33:$A$116)</f>
        <v>#N/A</v>
      </c>
      <c r="T17" s="378" t="str">
        <f t="shared" ref="T17:T29" si="10">IFERROR(LARGE($H$33:$H$116,R17)," ")</f>
        <v xml:space="preserve"> </v>
      </c>
      <c r="U17" s="466"/>
      <c r="V17" s="378"/>
      <c r="W17" s="544"/>
      <c r="X17" s="516" t="str">
        <f t="shared" ref="X17:X29" si="11">IFERROR(HYPERLINK(INDEX($D$33:$D$116,MATCH(T17,$H$33:$H$116,0)),INDEX($B$33:$B$116,MATCH(T17,$H$33:$H$116,0))
   ),
   ""
)</f>
        <v/>
      </c>
      <c r="Y17" s="517"/>
      <c r="Z17" s="517"/>
      <c r="AA17" s="517"/>
      <c r="AB17" s="518"/>
      <c r="AC17" s="379"/>
      <c r="AD17" s="380"/>
      <c r="AE17" s="381" t="str" cm="1">
        <f t="array" ref="AE17">IFERROR(INDEX($R$33:$R$116,MATCH(1,($AN$33:$AN$116=X17)*($Q$33:$Q$116="Previsto"), 0) ), "")</f>
        <v/>
      </c>
      <c r="AF17" s="381" t="str" cm="1">
        <f t="array" ref="AF17">IFERROR( INDEX($R$33:$R$116,MATCH(1,($AN$33:$AN$116=X17)*($Q$33:$Q$116="Real"),0)),"")</f>
        <v/>
      </c>
      <c r="AG17" s="401" t="str">
        <f t="shared" ref="AG17:AG29" si="12">IF(OR(AE17="",AF17=""),"",IF(AF17=100%,"CONCLUÍDO",IF(AF17=0,IF(AE17=0,"PROJETO NÃO INICIADO","FALTA DE ACOMPANHAMENTO"),IF(AF17&gt;AE17,"ADIANTADO",IF(AF17=AE17,"CONFORME PLANEJADO","ATRASO")))))</f>
        <v/>
      </c>
      <c r="AH17" s="381" t="e">
        <f t="shared" ref="AH17:AH29" si="13">_xlfn.XLOOKUP(X17,$C$33:$C$116,$O$83:$O$116)</f>
        <v>#VALUE!</v>
      </c>
      <c r="AI17" s="531" t="e">
        <f t="shared" ref="AI17:AI29" si="14">_xlfn.XLOOKUP(X17,$C$33:$C$116,$I$33:$I$116)</f>
        <v>#N/A</v>
      </c>
      <c r="AJ17" s="47"/>
      <c r="AK17" s="47"/>
      <c r="AL17" s="47"/>
      <c r="AM17" s="47"/>
      <c r="AN17" s="47"/>
      <c r="AO17" s="47"/>
      <c r="AP17" s="47"/>
      <c r="AQ17" s="47"/>
    </row>
    <row r="18" spans="1:43" ht="20.85" customHeight="1" x14ac:dyDescent="0.3">
      <c r="A18" s="348"/>
      <c r="B18" s="349"/>
      <c r="C18" s="350"/>
      <c r="D18" s="351"/>
      <c r="E18" s="20"/>
      <c r="F18" s="29"/>
      <c r="G18" s="20"/>
      <c r="H18" s="20"/>
      <c r="I18" s="20"/>
      <c r="J18" s="20"/>
      <c r="K18" s="20"/>
      <c r="L18" s="20"/>
      <c r="M18" s="20"/>
      <c r="N18" s="20"/>
      <c r="O18" s="47"/>
      <c r="P18" s="47"/>
      <c r="Q18" s="47"/>
      <c r="R18" s="372">
        <v>9</v>
      </c>
      <c r="S18" s="407" t="e">
        <f t="shared" si="9"/>
        <v>#N/A</v>
      </c>
      <c r="T18" s="373" t="str">
        <f t="shared" si="10"/>
        <v xml:space="preserve"> </v>
      </c>
      <c r="U18" s="465"/>
      <c r="V18" s="373"/>
      <c r="W18" s="543"/>
      <c r="X18" s="519" t="str">
        <f t="shared" si="11"/>
        <v/>
      </c>
      <c r="Y18" s="520"/>
      <c r="Z18" s="520"/>
      <c r="AA18" s="520"/>
      <c r="AB18" s="521"/>
      <c r="AC18" s="374"/>
      <c r="AD18" s="375"/>
      <c r="AE18" s="376" t="str" cm="1">
        <f t="array" ref="AE18">IFERROR(INDEX($R$33:$R$116,MATCH(1,($AN$33:$AN$116=X18)*($Q$33:$Q$116="Previsto"), 0) ), "")</f>
        <v/>
      </c>
      <c r="AF18" s="376" t="str" cm="1">
        <f t="array" ref="AF18">IFERROR( INDEX($R$33:$R$116,MATCH(1,($AN$33:$AN$116=X18)*($Q$33:$Q$116="Real"),0)),"")</f>
        <v/>
      </c>
      <c r="AG18" s="400" t="str">
        <f t="shared" si="12"/>
        <v/>
      </c>
      <c r="AH18" s="376" t="e">
        <f t="shared" si="13"/>
        <v>#VALUE!</v>
      </c>
      <c r="AI18" s="530" t="e">
        <f t="shared" si="14"/>
        <v>#N/A</v>
      </c>
      <c r="AJ18" s="47"/>
      <c r="AK18" s="47"/>
      <c r="AL18" s="47"/>
      <c r="AM18" s="47"/>
      <c r="AN18" s="47"/>
      <c r="AO18" s="47"/>
      <c r="AP18" s="47"/>
      <c r="AQ18" s="47"/>
    </row>
    <row r="19" spans="1:43" ht="20.85" customHeight="1" x14ac:dyDescent="0.3">
      <c r="A19" s="348"/>
      <c r="B19" s="349"/>
      <c r="C19" s="350"/>
      <c r="D19" s="351"/>
      <c r="E19" s="20"/>
      <c r="F19" s="29"/>
      <c r="G19" s="20"/>
      <c r="H19" s="20"/>
      <c r="I19" s="20"/>
      <c r="J19" s="20"/>
      <c r="K19" s="20"/>
      <c r="L19" s="20"/>
      <c r="M19" s="20"/>
      <c r="N19" s="20"/>
      <c r="O19" s="47"/>
      <c r="P19" s="47"/>
      <c r="Q19" s="47"/>
      <c r="R19" s="377">
        <v>10</v>
      </c>
      <c r="S19" s="406" t="e">
        <f t="shared" si="9"/>
        <v>#N/A</v>
      </c>
      <c r="T19" s="378" t="str">
        <f t="shared" si="10"/>
        <v xml:space="preserve"> </v>
      </c>
      <c r="U19" s="466"/>
      <c r="V19" s="378"/>
      <c r="W19" s="544"/>
      <c r="X19" s="516" t="str">
        <f t="shared" si="11"/>
        <v/>
      </c>
      <c r="Y19" s="517"/>
      <c r="Z19" s="517"/>
      <c r="AA19" s="517"/>
      <c r="AB19" s="518"/>
      <c r="AC19" s="379"/>
      <c r="AD19" s="380"/>
      <c r="AE19" s="381" t="str" cm="1">
        <f t="array" ref="AE19">IFERROR(INDEX($R$33:$R$116,MATCH(1,($AN$33:$AN$116=X19)*($Q$33:$Q$116="Previsto"), 0) ), "")</f>
        <v/>
      </c>
      <c r="AF19" s="381" t="str" cm="1">
        <f t="array" ref="AF19">IFERROR( INDEX($R$33:$R$116,MATCH(1,($AN$33:$AN$116=X19)*($Q$33:$Q$116="Real"),0)),"")</f>
        <v/>
      </c>
      <c r="AG19" s="401" t="str">
        <f t="shared" si="12"/>
        <v/>
      </c>
      <c r="AH19" s="381" t="e">
        <f t="shared" si="13"/>
        <v>#VALUE!</v>
      </c>
      <c r="AI19" s="531" t="e">
        <f t="shared" si="14"/>
        <v>#N/A</v>
      </c>
      <c r="AJ19" s="47"/>
      <c r="AK19" s="47"/>
      <c r="AL19" s="47"/>
      <c r="AM19" s="47"/>
      <c r="AN19" s="47"/>
      <c r="AO19" s="47"/>
      <c r="AP19" s="47"/>
      <c r="AQ19" s="47"/>
    </row>
    <row r="20" spans="1:43" ht="20.85" customHeight="1" x14ac:dyDescent="0.3">
      <c r="A20" s="348"/>
      <c r="B20" s="349"/>
      <c r="C20" s="350"/>
      <c r="D20" s="351"/>
      <c r="E20" s="20"/>
      <c r="F20" s="29"/>
      <c r="G20" s="20"/>
      <c r="H20" s="20"/>
      <c r="I20" s="20"/>
      <c r="J20" s="20"/>
      <c r="K20" s="20"/>
      <c r="L20" s="20"/>
      <c r="M20" s="20"/>
      <c r="N20" s="20"/>
      <c r="O20" s="47"/>
      <c r="P20" s="47"/>
      <c r="Q20" s="47"/>
      <c r="R20" s="372">
        <v>11</v>
      </c>
      <c r="S20" s="407" t="e">
        <f t="shared" si="9"/>
        <v>#N/A</v>
      </c>
      <c r="T20" s="373" t="str">
        <f t="shared" si="10"/>
        <v xml:space="preserve"> </v>
      </c>
      <c r="U20" s="465"/>
      <c r="V20" s="373"/>
      <c r="W20" s="543"/>
      <c r="X20" s="519" t="str">
        <f t="shared" si="11"/>
        <v/>
      </c>
      <c r="Y20" s="520"/>
      <c r="Z20" s="520"/>
      <c r="AA20" s="520"/>
      <c r="AB20" s="521"/>
      <c r="AC20" s="374"/>
      <c r="AD20" s="375"/>
      <c r="AE20" s="376" t="str" cm="1">
        <f t="array" ref="AE20">IFERROR(INDEX($R$33:$R$116,MATCH(1,($AN$33:$AN$116=X20)*($Q$33:$Q$116="Previsto"), 0) ), "")</f>
        <v/>
      </c>
      <c r="AF20" s="376" t="str" cm="1">
        <f t="array" ref="AF20">IFERROR( INDEX($R$33:$R$116,MATCH(1,($AN$33:$AN$116=X20)*($Q$33:$Q$116="Real"),0)),"")</f>
        <v/>
      </c>
      <c r="AG20" s="400" t="str">
        <f t="shared" si="12"/>
        <v/>
      </c>
      <c r="AH20" s="376" t="e">
        <f t="shared" si="13"/>
        <v>#VALUE!</v>
      </c>
      <c r="AI20" s="530" t="e">
        <f t="shared" si="14"/>
        <v>#N/A</v>
      </c>
      <c r="AJ20" s="47"/>
      <c r="AK20" s="47"/>
      <c r="AL20" s="47"/>
      <c r="AM20" s="47"/>
      <c r="AN20" s="47"/>
      <c r="AO20" s="47"/>
      <c r="AP20" s="47"/>
      <c r="AQ20" s="47"/>
    </row>
    <row r="21" spans="1:43" ht="20.85" customHeight="1" x14ac:dyDescent="0.3">
      <c r="A21" s="348"/>
      <c r="B21" s="349"/>
      <c r="C21" s="350"/>
      <c r="D21" s="351"/>
      <c r="E21" s="20"/>
      <c r="F21" s="29"/>
      <c r="G21" s="20"/>
      <c r="H21" s="20"/>
      <c r="I21" s="20"/>
      <c r="J21" s="20"/>
      <c r="K21" s="20"/>
      <c r="L21" s="20"/>
      <c r="M21" s="20"/>
      <c r="N21" s="20"/>
      <c r="O21" s="47"/>
      <c r="P21" s="47"/>
      <c r="Q21" s="47"/>
      <c r="R21" s="377">
        <v>12</v>
      </c>
      <c r="S21" s="406" t="e">
        <f t="shared" si="9"/>
        <v>#N/A</v>
      </c>
      <c r="T21" s="378" t="str">
        <f t="shared" si="10"/>
        <v xml:space="preserve"> </v>
      </c>
      <c r="U21" s="466"/>
      <c r="V21" s="378"/>
      <c r="W21" s="544"/>
      <c r="X21" s="516" t="str">
        <f t="shared" si="11"/>
        <v/>
      </c>
      <c r="Y21" s="517"/>
      <c r="Z21" s="517"/>
      <c r="AA21" s="517"/>
      <c r="AB21" s="518"/>
      <c r="AC21" s="379"/>
      <c r="AD21" s="380"/>
      <c r="AE21" s="381" t="str" cm="1">
        <f t="array" ref="AE21">IFERROR(INDEX($R$33:$R$116,MATCH(1,($AN$33:$AN$116=X21)*($Q$33:$Q$116="Previsto"), 0) ), "")</f>
        <v/>
      </c>
      <c r="AF21" s="381" t="str" cm="1">
        <f t="array" ref="AF21">IFERROR( INDEX($R$33:$R$116,MATCH(1,($AN$33:$AN$116=X21)*($Q$33:$Q$116="Real"),0)),"")</f>
        <v/>
      </c>
      <c r="AG21" s="401" t="str">
        <f t="shared" si="12"/>
        <v/>
      </c>
      <c r="AH21" s="381" t="e">
        <f t="shared" si="13"/>
        <v>#VALUE!</v>
      </c>
      <c r="AI21" s="531" t="e">
        <f t="shared" si="14"/>
        <v>#N/A</v>
      </c>
      <c r="AJ21" s="47"/>
      <c r="AK21" s="47"/>
      <c r="AL21" s="47"/>
      <c r="AM21" s="47"/>
      <c r="AN21" s="47"/>
      <c r="AO21" s="47"/>
      <c r="AP21" s="47"/>
      <c r="AQ21" s="47"/>
    </row>
    <row r="22" spans="1:43" ht="20.85" customHeight="1" x14ac:dyDescent="0.3">
      <c r="A22" s="348"/>
      <c r="B22" s="349"/>
      <c r="C22" s="350"/>
      <c r="D22" s="351"/>
      <c r="E22" s="20"/>
      <c r="F22" s="29"/>
      <c r="G22" s="20"/>
      <c r="H22" s="20"/>
      <c r="I22" s="20"/>
      <c r="J22" s="20"/>
      <c r="K22" s="20"/>
      <c r="L22" s="20"/>
      <c r="M22" s="20"/>
      <c r="N22" s="20"/>
      <c r="O22" s="47"/>
      <c r="P22" s="47"/>
      <c r="Q22" s="47"/>
      <c r="R22" s="372">
        <v>13</v>
      </c>
      <c r="S22" s="407" t="e">
        <f t="shared" si="9"/>
        <v>#N/A</v>
      </c>
      <c r="T22" s="373" t="str">
        <f t="shared" si="10"/>
        <v xml:space="preserve"> </v>
      </c>
      <c r="U22" s="465"/>
      <c r="V22" s="373"/>
      <c r="W22" s="543"/>
      <c r="X22" s="519" t="str">
        <f t="shared" si="11"/>
        <v/>
      </c>
      <c r="Y22" s="520"/>
      <c r="Z22" s="520"/>
      <c r="AA22" s="520"/>
      <c r="AB22" s="521"/>
      <c r="AC22" s="374"/>
      <c r="AD22" s="375"/>
      <c r="AE22" s="376" t="str" cm="1">
        <f t="array" ref="AE22">IFERROR(INDEX($R$33:$R$116,MATCH(1,($AN$33:$AN$116=X22)*($Q$33:$Q$116="Previsto"), 0) ), "")</f>
        <v/>
      </c>
      <c r="AF22" s="376" t="str" cm="1">
        <f t="array" ref="AF22">IFERROR( INDEX($R$33:$R$116,MATCH(1,($AN$33:$AN$116=X22)*($Q$33:$Q$116="Real"),0)),"")</f>
        <v/>
      </c>
      <c r="AG22" s="400" t="str">
        <f t="shared" si="12"/>
        <v/>
      </c>
      <c r="AH22" s="376" t="e">
        <f t="shared" si="13"/>
        <v>#VALUE!</v>
      </c>
      <c r="AI22" s="530" t="e">
        <f t="shared" si="14"/>
        <v>#N/A</v>
      </c>
      <c r="AJ22" s="47"/>
      <c r="AK22" s="47"/>
      <c r="AL22" s="47"/>
      <c r="AM22" s="47"/>
      <c r="AN22" s="47"/>
      <c r="AO22" s="47"/>
      <c r="AP22" s="47"/>
      <c r="AQ22" s="47"/>
    </row>
    <row r="23" spans="1:43" ht="20.85" customHeight="1" x14ac:dyDescent="0.3">
      <c r="A23" s="348"/>
      <c r="B23" s="349"/>
      <c r="C23" s="350"/>
      <c r="D23" s="351"/>
      <c r="E23" s="20"/>
      <c r="F23" s="29"/>
      <c r="G23" s="20"/>
      <c r="H23" s="20"/>
      <c r="I23" s="20"/>
      <c r="J23" s="20"/>
      <c r="K23" s="20"/>
      <c r="L23" s="20"/>
      <c r="M23" s="20"/>
      <c r="N23" s="20"/>
      <c r="O23" s="47"/>
      <c r="P23" s="47"/>
      <c r="Q23" s="47"/>
      <c r="R23" s="377">
        <v>14</v>
      </c>
      <c r="S23" s="406" t="e">
        <f t="shared" si="9"/>
        <v>#N/A</v>
      </c>
      <c r="T23" s="378" t="str">
        <f t="shared" si="10"/>
        <v xml:space="preserve"> </v>
      </c>
      <c r="U23" s="466"/>
      <c r="V23" s="378"/>
      <c r="W23" s="544"/>
      <c r="X23" s="516" t="str">
        <f t="shared" si="11"/>
        <v/>
      </c>
      <c r="Y23" s="517"/>
      <c r="Z23" s="517"/>
      <c r="AA23" s="517"/>
      <c r="AB23" s="518"/>
      <c r="AC23" s="379"/>
      <c r="AD23" s="380"/>
      <c r="AE23" s="381" t="str" cm="1">
        <f t="array" ref="AE23">IFERROR(INDEX($R$33:$R$116,MATCH(1,($AN$33:$AN$116=X23)*($Q$33:$Q$116="Previsto"), 0) ), "")</f>
        <v/>
      </c>
      <c r="AF23" s="381" t="str" cm="1">
        <f t="array" ref="AF23">IFERROR( INDEX($R$33:$R$116,MATCH(1,($AN$33:$AN$116=X23)*($Q$33:$Q$116="Real"),0)),"")</f>
        <v/>
      </c>
      <c r="AG23" s="401" t="str">
        <f t="shared" si="12"/>
        <v/>
      </c>
      <c r="AH23" s="381" t="e">
        <f t="shared" si="13"/>
        <v>#VALUE!</v>
      </c>
      <c r="AI23" s="531" t="e">
        <f t="shared" si="14"/>
        <v>#N/A</v>
      </c>
      <c r="AJ23" s="47"/>
      <c r="AK23" s="1203" t="s">
        <v>227</v>
      </c>
      <c r="AL23" s="1203"/>
      <c r="AM23" s="47"/>
      <c r="AN23" s="47"/>
      <c r="AO23" s="47"/>
      <c r="AP23" s="47"/>
      <c r="AQ23" s="47"/>
    </row>
    <row r="24" spans="1:43" ht="20.85" customHeight="1" x14ac:dyDescent="0.3">
      <c r="A24" s="348"/>
      <c r="B24" s="349"/>
      <c r="C24" s="350"/>
      <c r="D24" s="351"/>
      <c r="E24" s="20"/>
      <c r="F24" s="29"/>
      <c r="G24" s="20"/>
      <c r="H24" s="20"/>
      <c r="I24" s="20"/>
      <c r="J24" s="20"/>
      <c r="K24" s="20"/>
      <c r="L24" s="20"/>
      <c r="M24" s="20"/>
      <c r="N24" s="20"/>
      <c r="O24" s="47"/>
      <c r="P24" s="47"/>
      <c r="Q24" s="47"/>
      <c r="R24" s="372">
        <v>15</v>
      </c>
      <c r="S24" s="407" t="e">
        <f t="shared" si="9"/>
        <v>#N/A</v>
      </c>
      <c r="T24" s="373" t="str">
        <f t="shared" si="10"/>
        <v xml:space="preserve"> </v>
      </c>
      <c r="U24" s="465"/>
      <c r="V24" s="373"/>
      <c r="W24" s="543"/>
      <c r="X24" s="519" t="str">
        <f t="shared" si="11"/>
        <v/>
      </c>
      <c r="Y24" s="520"/>
      <c r="Z24" s="520"/>
      <c r="AA24" s="520"/>
      <c r="AB24" s="521"/>
      <c r="AC24" s="374"/>
      <c r="AD24" s="375"/>
      <c r="AE24" s="376" t="str" cm="1">
        <f t="array" ref="AE24">IFERROR(INDEX($R$33:$R$116,MATCH(1,($AN$33:$AN$116=X24)*($Q$33:$Q$116="Previsto"), 0) ), "")</f>
        <v/>
      </c>
      <c r="AF24" s="376" t="str" cm="1">
        <f t="array" ref="AF24">IFERROR( INDEX($R$33:$R$116,MATCH(1,($AN$33:$AN$116=X24)*($Q$33:$Q$116="Real"),0)),"")</f>
        <v/>
      </c>
      <c r="AG24" s="400" t="str">
        <f t="shared" si="12"/>
        <v/>
      </c>
      <c r="AH24" s="376" t="e">
        <f t="shared" si="13"/>
        <v>#VALUE!</v>
      </c>
      <c r="AI24" s="530" t="e">
        <f t="shared" si="14"/>
        <v>#N/A</v>
      </c>
      <c r="AJ24" s="47"/>
      <c r="AK24" s="476" t="s">
        <v>232</v>
      </c>
      <c r="AL24" s="476" t="s">
        <v>233</v>
      </c>
      <c r="AM24" s="47"/>
      <c r="AN24" s="47"/>
      <c r="AO24" s="47"/>
      <c r="AP24" s="47"/>
      <c r="AQ24" s="47"/>
    </row>
    <row r="25" spans="1:43" ht="20.85" customHeight="1" x14ac:dyDescent="0.3">
      <c r="A25" s="348"/>
      <c r="B25" s="349"/>
      <c r="C25" s="350"/>
      <c r="D25" s="351"/>
      <c r="E25" s="20"/>
      <c r="F25" s="29"/>
      <c r="G25" s="20"/>
      <c r="H25" s="20"/>
      <c r="I25" s="20"/>
      <c r="J25" s="20"/>
      <c r="K25" s="20"/>
      <c r="L25" s="20"/>
      <c r="M25" s="20"/>
      <c r="N25" s="20"/>
      <c r="O25" s="47"/>
      <c r="P25" s="47"/>
      <c r="Q25" s="47"/>
      <c r="R25" s="377">
        <v>16</v>
      </c>
      <c r="S25" s="406" t="e">
        <f t="shared" si="9"/>
        <v>#N/A</v>
      </c>
      <c r="T25" s="378" t="str">
        <f t="shared" si="10"/>
        <v xml:space="preserve"> </v>
      </c>
      <c r="U25" s="466"/>
      <c r="V25" s="378"/>
      <c r="W25" s="544"/>
      <c r="X25" s="516" t="str">
        <f t="shared" si="11"/>
        <v/>
      </c>
      <c r="Y25" s="517"/>
      <c r="Z25" s="517"/>
      <c r="AA25" s="517"/>
      <c r="AB25" s="518"/>
      <c r="AC25" s="379"/>
      <c r="AD25" s="380"/>
      <c r="AE25" s="381" t="str" cm="1">
        <f t="array" ref="AE25">IFERROR(INDEX($R$33:$R$116,MATCH(1,($AN$33:$AN$116=X25)*($Q$33:$Q$116="Previsto"), 0) ), "")</f>
        <v/>
      </c>
      <c r="AF25" s="381" t="str" cm="1">
        <f t="array" ref="AF25">IFERROR( INDEX($R$33:$R$116,MATCH(1,($AN$33:$AN$116=X25)*($Q$33:$Q$116="Real"),0)),"")</f>
        <v/>
      </c>
      <c r="AG25" s="401" t="str">
        <f t="shared" si="12"/>
        <v/>
      </c>
      <c r="AH25" s="381" t="e">
        <f t="shared" si="13"/>
        <v>#VALUE!</v>
      </c>
      <c r="AI25" s="531" t="e">
        <f t="shared" si="14"/>
        <v>#N/A</v>
      </c>
      <c r="AJ25" s="47"/>
      <c r="AK25" s="239" t="s">
        <v>26</v>
      </c>
      <c r="AL25" s="477" t="e">
        <f>SUMIF(#REF!,AK25,$AK$57:$AK$108)</f>
        <v>#REF!</v>
      </c>
      <c r="AM25" s="47"/>
      <c r="AN25" s="47"/>
      <c r="AO25" s="47"/>
      <c r="AP25" s="47"/>
      <c r="AQ25" s="47"/>
    </row>
    <row r="26" spans="1:43" ht="20.85" customHeight="1" x14ac:dyDescent="0.3">
      <c r="A26" s="348"/>
      <c r="B26" s="349"/>
      <c r="C26" s="350"/>
      <c r="D26" s="351"/>
      <c r="E26" s="20"/>
      <c r="F26" s="29"/>
      <c r="G26" s="20"/>
      <c r="H26" s="20"/>
      <c r="I26" s="20"/>
      <c r="J26" s="20"/>
      <c r="K26" s="20"/>
      <c r="L26" s="20"/>
      <c r="M26" s="20"/>
      <c r="N26" s="20"/>
      <c r="O26" s="47"/>
      <c r="P26" s="47"/>
      <c r="Q26" s="47"/>
      <c r="R26" s="372">
        <v>17</v>
      </c>
      <c r="S26" s="407" t="e">
        <f t="shared" si="9"/>
        <v>#N/A</v>
      </c>
      <c r="T26" s="373" t="str">
        <f t="shared" si="10"/>
        <v xml:space="preserve"> </v>
      </c>
      <c r="U26" s="465"/>
      <c r="V26" s="373"/>
      <c r="W26" s="543"/>
      <c r="X26" s="519" t="str">
        <f t="shared" si="11"/>
        <v/>
      </c>
      <c r="Y26" s="520"/>
      <c r="Z26" s="520"/>
      <c r="AA26" s="520"/>
      <c r="AB26" s="521"/>
      <c r="AC26" s="374"/>
      <c r="AD26" s="375"/>
      <c r="AE26" s="376" t="str" cm="1">
        <f t="array" ref="AE26">IFERROR(INDEX($R$33:$R$116,MATCH(1,($AN$33:$AN$116=X26)*($Q$33:$Q$116="Previsto"), 0) ), "")</f>
        <v/>
      </c>
      <c r="AF26" s="376" t="str" cm="1">
        <f t="array" ref="AF26">IFERROR( INDEX($R$33:$R$116,MATCH(1,($AN$33:$AN$116=X26)*($Q$33:$Q$116="Real"),0)),"")</f>
        <v/>
      </c>
      <c r="AG26" s="400" t="str">
        <f t="shared" si="12"/>
        <v/>
      </c>
      <c r="AH26" s="376" t="e">
        <f t="shared" si="13"/>
        <v>#VALUE!</v>
      </c>
      <c r="AI26" s="530" t="e">
        <f t="shared" si="14"/>
        <v>#N/A</v>
      </c>
      <c r="AJ26" s="47"/>
      <c r="AK26" s="265" t="s">
        <v>27</v>
      </c>
      <c r="AL26" s="478" t="e">
        <f>SUMIF(#REF!,AK26,$AK$57:$AK$108)</f>
        <v>#REF!</v>
      </c>
      <c r="AM26" s="47"/>
      <c r="AN26" s="47"/>
      <c r="AO26" s="47"/>
      <c r="AP26" s="47"/>
      <c r="AQ26" s="47"/>
    </row>
    <row r="27" spans="1:43" ht="20.85" customHeight="1" x14ac:dyDescent="0.3">
      <c r="A27" s="348"/>
      <c r="B27" s="349"/>
      <c r="C27" s="350"/>
      <c r="D27" s="351"/>
      <c r="E27" s="20"/>
      <c r="F27" s="29"/>
      <c r="G27" s="20"/>
      <c r="H27" s="20"/>
      <c r="I27" s="20"/>
      <c r="J27" s="20"/>
      <c r="K27" s="20"/>
      <c r="L27" s="20"/>
      <c r="M27" s="20"/>
      <c r="N27" s="20"/>
      <c r="O27" s="47"/>
      <c r="P27" s="47"/>
      <c r="Q27" s="47"/>
      <c r="R27" s="377">
        <v>18</v>
      </c>
      <c r="S27" s="406" t="e">
        <f t="shared" si="9"/>
        <v>#N/A</v>
      </c>
      <c r="T27" s="378" t="str">
        <f t="shared" si="10"/>
        <v xml:space="preserve"> </v>
      </c>
      <c r="U27" s="466"/>
      <c r="V27" s="378"/>
      <c r="W27" s="544"/>
      <c r="X27" s="516" t="str">
        <f t="shared" si="11"/>
        <v/>
      </c>
      <c r="Y27" s="517"/>
      <c r="Z27" s="517"/>
      <c r="AA27" s="517"/>
      <c r="AB27" s="518"/>
      <c r="AC27" s="379"/>
      <c r="AD27" s="380"/>
      <c r="AE27" s="381" t="str" cm="1">
        <f t="array" ref="AE27">IFERROR(INDEX($R$33:$R$116,MATCH(1,($AN$33:$AN$116=X27)*($Q$33:$Q$116="Previsto"), 0) ), "")</f>
        <v/>
      </c>
      <c r="AF27" s="381" t="str" cm="1">
        <f t="array" ref="AF27">IFERROR( INDEX($R$33:$R$116,MATCH(1,($AN$33:$AN$116=X27)*($Q$33:$Q$116="Real"),0)),"")</f>
        <v/>
      </c>
      <c r="AG27" s="401" t="str">
        <f t="shared" si="12"/>
        <v/>
      </c>
      <c r="AH27" s="381" t="e">
        <f t="shared" si="13"/>
        <v>#VALUE!</v>
      </c>
      <c r="AI27" s="531" t="e">
        <f t="shared" si="14"/>
        <v>#N/A</v>
      </c>
      <c r="AJ27" s="47"/>
      <c r="AK27" s="239" t="s">
        <v>249</v>
      </c>
      <c r="AL27" s="477" t="e">
        <f>SUMIF(#REF!,AK27,$AK$57:$AK$108)</f>
        <v>#REF!</v>
      </c>
      <c r="AM27" s="47"/>
      <c r="AN27" s="47"/>
      <c r="AO27" s="47"/>
      <c r="AP27" s="47"/>
      <c r="AQ27" s="47"/>
    </row>
    <row r="28" spans="1:43" ht="20.85" customHeight="1" x14ac:dyDescent="0.3">
      <c r="A28" s="348"/>
      <c r="B28" s="349"/>
      <c r="C28" s="350"/>
      <c r="D28" s="351"/>
      <c r="E28" s="20"/>
      <c r="F28" s="29"/>
      <c r="G28" s="20"/>
      <c r="H28" s="20"/>
      <c r="I28" s="20"/>
      <c r="J28" s="20"/>
      <c r="K28" s="20"/>
      <c r="L28" s="20"/>
      <c r="M28" s="20"/>
      <c r="N28" s="20"/>
      <c r="O28" s="47"/>
      <c r="P28" s="47"/>
      <c r="Q28" s="47"/>
      <c r="R28" s="372">
        <v>19</v>
      </c>
      <c r="S28" s="407" t="e">
        <f t="shared" si="9"/>
        <v>#N/A</v>
      </c>
      <c r="T28" s="373" t="str">
        <f t="shared" si="10"/>
        <v xml:space="preserve"> </v>
      </c>
      <c r="U28" s="465"/>
      <c r="V28" s="373"/>
      <c r="W28" s="543"/>
      <c r="X28" s="519" t="str">
        <f t="shared" si="11"/>
        <v/>
      </c>
      <c r="Y28" s="520"/>
      <c r="Z28" s="520"/>
      <c r="AA28" s="520"/>
      <c r="AB28" s="521"/>
      <c r="AC28" s="374"/>
      <c r="AD28" s="375"/>
      <c r="AE28" s="376" t="str" cm="1">
        <f t="array" ref="AE28">IFERROR(INDEX($R$33:$R$116,MATCH(1,($AN$33:$AN$116=X28)*($Q$33:$Q$116="Previsto"), 0) ), "")</f>
        <v/>
      </c>
      <c r="AF28" s="376" t="str" cm="1">
        <f t="array" ref="AF28">IFERROR( INDEX($R$33:$R$116,MATCH(1,($AN$33:$AN$116=X28)*($Q$33:$Q$116="Real"),0)),"")</f>
        <v/>
      </c>
      <c r="AG28" s="400" t="str">
        <f t="shared" si="12"/>
        <v/>
      </c>
      <c r="AH28" s="376" t="e">
        <f t="shared" si="13"/>
        <v>#VALUE!</v>
      </c>
      <c r="AI28" s="530" t="e">
        <f t="shared" si="14"/>
        <v>#N/A</v>
      </c>
      <c r="AJ28" s="47"/>
      <c r="AK28" s="265" t="s">
        <v>250</v>
      </c>
      <c r="AL28" s="478" t="e">
        <f>SUMIF(#REF!,AK28,$AK$57:$AK$108)</f>
        <v>#REF!</v>
      </c>
      <c r="AM28" s="47"/>
      <c r="AN28" s="47"/>
      <c r="AO28" s="47"/>
      <c r="AP28" s="47"/>
      <c r="AQ28" s="47"/>
    </row>
    <row r="29" spans="1:43" ht="20.85" customHeight="1" x14ac:dyDescent="0.3">
      <c r="A29" s="348"/>
      <c r="B29" s="349"/>
      <c r="C29" s="350"/>
      <c r="D29" s="351"/>
      <c r="E29" s="20"/>
      <c r="F29" s="29"/>
      <c r="G29" s="20"/>
      <c r="H29" s="20"/>
      <c r="I29" s="20"/>
      <c r="J29" s="20"/>
      <c r="K29" s="20"/>
      <c r="L29" s="20"/>
      <c r="M29" s="20"/>
      <c r="N29" s="20"/>
      <c r="O29" s="47"/>
      <c r="P29" s="47"/>
      <c r="Q29" s="47"/>
      <c r="R29" s="377">
        <v>20</v>
      </c>
      <c r="S29" s="406" t="e">
        <f t="shared" si="9"/>
        <v>#N/A</v>
      </c>
      <c r="T29" s="378" t="str">
        <f t="shared" si="10"/>
        <v xml:space="preserve"> </v>
      </c>
      <c r="U29" s="466"/>
      <c r="V29" s="378"/>
      <c r="W29" s="544"/>
      <c r="X29" s="516" t="str">
        <f t="shared" si="11"/>
        <v/>
      </c>
      <c r="Y29" s="517"/>
      <c r="Z29" s="517"/>
      <c r="AA29" s="517"/>
      <c r="AB29" s="518"/>
      <c r="AC29" s="379"/>
      <c r="AD29" s="380"/>
      <c r="AE29" s="381" t="str" cm="1">
        <f t="array" ref="AE29">IFERROR(INDEX($R$33:$R$116,MATCH(1,($AN$33:$AN$116=X29)*($Q$33:$Q$116="Previsto"), 0) ), "")</f>
        <v/>
      </c>
      <c r="AF29" s="381" t="str" cm="1">
        <f t="array" ref="AF29">IFERROR( INDEX($R$33:$R$116,MATCH(1,($AN$33:$AN$116=X29)*($Q$33:$Q$116="Real"),0)),"")</f>
        <v/>
      </c>
      <c r="AG29" s="401" t="str">
        <f t="shared" si="12"/>
        <v/>
      </c>
      <c r="AH29" s="381" t="e">
        <f t="shared" si="13"/>
        <v>#VALUE!</v>
      </c>
      <c r="AI29" s="531" t="e">
        <f t="shared" si="14"/>
        <v>#N/A</v>
      </c>
      <c r="AJ29" s="47"/>
      <c r="AK29" s="239" t="s">
        <v>251</v>
      </c>
      <c r="AL29" s="477" t="e">
        <f>SUMIF(#REF!,AK29,$AK$57:$AK$108)</f>
        <v>#REF!</v>
      </c>
      <c r="AM29" s="47"/>
      <c r="AN29" s="47"/>
      <c r="AO29" s="47"/>
      <c r="AP29" s="47"/>
      <c r="AQ29" s="47"/>
    </row>
    <row r="30" spans="1:43" ht="20.85" customHeight="1" x14ac:dyDescent="0.3">
      <c r="A30" s="348"/>
      <c r="B30" s="349"/>
      <c r="C30" s="350"/>
      <c r="D30" s="351"/>
      <c r="E30" s="20"/>
      <c r="F30" s="29"/>
      <c r="G30" s="20"/>
      <c r="H30" s="20"/>
      <c r="I30" s="20"/>
      <c r="J30" s="20"/>
      <c r="K30" s="20"/>
      <c r="L30" s="20"/>
      <c r="M30" s="20"/>
      <c r="N30" s="20"/>
      <c r="O30" s="47"/>
      <c r="P30" s="47"/>
      <c r="Q30" s="47"/>
      <c r="R30" s="566" t="s">
        <v>133</v>
      </c>
      <c r="S30" s="567"/>
      <c r="T30" s="435">
        <f>SUM(T10:T29)</f>
        <v>10727563.000000099</v>
      </c>
      <c r="U30" s="435">
        <f>SUM(U10:U29)</f>
        <v>1945563</v>
      </c>
      <c r="V30" s="239"/>
      <c r="W30" s="239"/>
      <c r="X30" s="239"/>
      <c r="Y30" s="239"/>
      <c r="Z30" s="239"/>
      <c r="AA30" s="47"/>
      <c r="AB30" s="47"/>
      <c r="AC30" s="47"/>
      <c r="AD30" s="47"/>
      <c r="AE30" s="47"/>
      <c r="AF30" s="47"/>
      <c r="AG30" s="47"/>
      <c r="AH30" s="47"/>
      <c r="AI30" s="47"/>
      <c r="AJ30" s="47"/>
      <c r="AM30" s="47"/>
      <c r="AN30" s="47"/>
      <c r="AO30" s="47"/>
      <c r="AP30" s="47"/>
      <c r="AQ30" s="47"/>
    </row>
    <row r="31" spans="1:43" ht="15.6" x14ac:dyDescent="0.3">
      <c r="A31" s="208" t="s">
        <v>252</v>
      </c>
      <c r="B31" s="208"/>
      <c r="C31" s="208"/>
      <c r="D31" s="208"/>
      <c r="E31" s="208"/>
      <c r="F31" s="208"/>
      <c r="G31" s="208"/>
      <c r="H31" s="208"/>
      <c r="I31" s="208"/>
      <c r="J31" s="208"/>
      <c r="K31" s="208"/>
      <c r="L31" s="208"/>
      <c r="M31" s="208"/>
      <c r="N31" s="82"/>
      <c r="O31" s="208"/>
      <c r="P31" s="82"/>
      <c r="Q31" s="82"/>
      <c r="R31" s="204" t="s">
        <v>253</v>
      </c>
      <c r="S31" s="204"/>
      <c r="T31" s="204"/>
      <c r="U31" s="204"/>
      <c r="V31" s="204" t="s">
        <v>254</v>
      </c>
      <c r="W31" s="204"/>
      <c r="X31" s="204"/>
      <c r="Y31" s="204"/>
      <c r="Z31" s="204" t="s">
        <v>255</v>
      </c>
      <c r="AA31" s="204"/>
      <c r="AB31" s="204"/>
      <c r="AC31" s="204"/>
      <c r="AD31" s="204" t="s">
        <v>256</v>
      </c>
      <c r="AE31" s="204"/>
      <c r="AF31" s="204"/>
      <c r="AG31" s="204"/>
      <c r="AH31" s="83"/>
      <c r="AI31" s="82"/>
      <c r="AJ31" s="1204"/>
      <c r="AK31" s="1204"/>
      <c r="AL31" s="1204"/>
      <c r="AM31" s="47"/>
      <c r="AN31" s="47"/>
      <c r="AO31" s="47"/>
      <c r="AP31" s="47"/>
    </row>
    <row r="32" spans="1:43" ht="46.8" x14ac:dyDescent="0.3">
      <c r="A32" s="84" t="s">
        <v>914</v>
      </c>
      <c r="B32" s="84" t="s">
        <v>259</v>
      </c>
      <c r="C32" s="84" t="s">
        <v>261</v>
      </c>
      <c r="D32" s="84" t="s">
        <v>260</v>
      </c>
      <c r="E32" s="84" t="s">
        <v>262</v>
      </c>
      <c r="F32" s="84" t="s">
        <v>263</v>
      </c>
      <c r="G32" s="84" t="s">
        <v>264</v>
      </c>
      <c r="H32" s="84" t="s">
        <v>915</v>
      </c>
      <c r="I32" s="84" t="s">
        <v>266</v>
      </c>
      <c r="J32" s="264" t="s">
        <v>267</v>
      </c>
      <c r="K32" s="84" t="s">
        <v>268</v>
      </c>
      <c r="L32" s="7" t="s">
        <v>916</v>
      </c>
      <c r="M32" s="7" t="s">
        <v>270</v>
      </c>
      <c r="N32" s="84" t="s">
        <v>67</v>
      </c>
      <c r="O32" s="84" t="s">
        <v>2223</v>
      </c>
      <c r="P32" s="84"/>
      <c r="Q32" s="84" t="s">
        <v>272</v>
      </c>
      <c r="R32" s="85">
        <v>46023</v>
      </c>
      <c r="S32" s="85">
        <v>46054</v>
      </c>
      <c r="T32" s="85">
        <v>46082</v>
      </c>
      <c r="U32" s="86" t="s">
        <v>273</v>
      </c>
      <c r="V32" s="85">
        <v>46113</v>
      </c>
      <c r="W32" s="85">
        <v>46143</v>
      </c>
      <c r="X32" s="85">
        <v>46174</v>
      </c>
      <c r="Y32" s="86" t="s">
        <v>274</v>
      </c>
      <c r="Z32" s="85">
        <v>46204</v>
      </c>
      <c r="AA32" s="85">
        <v>46235</v>
      </c>
      <c r="AB32" s="85">
        <v>46266</v>
      </c>
      <c r="AC32" s="86" t="s">
        <v>275</v>
      </c>
      <c r="AD32" s="85">
        <v>46296</v>
      </c>
      <c r="AE32" s="85">
        <v>46327</v>
      </c>
      <c r="AF32" s="85">
        <v>46357</v>
      </c>
      <c r="AG32" s="84" t="s">
        <v>276</v>
      </c>
      <c r="AH32" s="84" t="s">
        <v>277</v>
      </c>
      <c r="AI32" s="84" t="s">
        <v>278</v>
      </c>
      <c r="AJ32" s="84" t="s">
        <v>227</v>
      </c>
      <c r="AK32" s="84" t="s">
        <v>279</v>
      </c>
      <c r="AL32" s="84" t="s">
        <v>280</v>
      </c>
      <c r="AM32" s="47"/>
      <c r="AN32" s="47"/>
      <c r="AP32" s="542" t="s">
        <v>282</v>
      </c>
    </row>
    <row r="33" spans="1:42" ht="29.1" customHeight="1" x14ac:dyDescent="0.3">
      <c r="A33" s="1038" t="s">
        <v>87</v>
      </c>
      <c r="B33" s="1095" t="s">
        <v>2524</v>
      </c>
      <c r="C33" s="1095" t="s">
        <v>2525</v>
      </c>
      <c r="D33" s="1363"/>
      <c r="E33" s="1363" t="s">
        <v>2526</v>
      </c>
      <c r="F33" s="1150"/>
      <c r="G33" s="1150"/>
      <c r="H33" s="1152">
        <v>9996000</v>
      </c>
      <c r="I33" s="1154">
        <v>46023</v>
      </c>
      <c r="J33" s="1213">
        <v>12</v>
      </c>
      <c r="K33" s="1076"/>
      <c r="L33" s="1055" t="s">
        <v>287</v>
      </c>
      <c r="M33" s="1506">
        <v>1400000</v>
      </c>
      <c r="N33" s="1072" t="s">
        <v>83</v>
      </c>
      <c r="O33" s="1042"/>
      <c r="P33" s="96" t="s">
        <v>106</v>
      </c>
      <c r="Q33" s="96">
        <v>0</v>
      </c>
      <c r="R33" s="532">
        <f t="shared" ref="R33:S33" si="15">IFERROR(IF(AND(R$32&gt;=EOMONTH($I33,-1)+1,R$32&lt;=EOMONTH(EOMONTH($I33,-1)+1,$J33-1)),IF(NOT(ISBLANK($M33)),$M33/$J33,$H33/$J33),0),0)</f>
        <v>116666.66666666667</v>
      </c>
      <c r="S33" s="532">
        <f t="shared" si="15"/>
        <v>116666.66666666667</v>
      </c>
      <c r="T33" s="532">
        <f>IFERROR(IF(AND(T$32&gt;=EOMONTH($I33,-1)+1,T$32&lt;=EOMONTH(EOMONTH($I33,-1)+1,$J33-1)),IF(NOT(ISBLANK($M33)),$M33/$J33,$H33/$J33),0),0)</f>
        <v>116666.66666666667</v>
      </c>
      <c r="U33" s="469">
        <f t="shared" ref="U33:U34" si="16">SUM(R33:T33)</f>
        <v>350000</v>
      </c>
      <c r="V33" s="532">
        <f>IFERROR(IF(AND(V$32&gt;=EOMONTH($I33,-1)+1,V$32&lt;=EOMONTH(EOMONTH($I33,-1)+1,$J33-1)),IF(NOT(ISBLANK($M33)),$M33/$J33,$H33/$J33),0),0)</f>
        <v>116666.66666666667</v>
      </c>
      <c r="W33" s="532">
        <f>IFERROR(IF(AND(W$32&gt;=EOMONTH($I33,-1)+1,W$32&lt;=EOMONTH(EOMONTH($I33,-1)+1,$J33-1)),IF(NOT(ISBLANK($M33)),$M33/$J33,$H33/$J33),0),0)</f>
        <v>116666.66666666667</v>
      </c>
      <c r="X33" s="532">
        <f>IFERROR(IF(AND(X$32&gt;=EOMONTH($I33,-1)+1,X$32&lt;=EOMONTH(EOMONTH($I33,-1)+1,$J33-1)),IF(NOT(ISBLANK($M33)),$M33/$J33,$H33/$J33),0),0)</f>
        <v>116666.66666666667</v>
      </c>
      <c r="Y33" s="469">
        <f t="shared" ref="Y33" si="17">SUM(V33:X33)</f>
        <v>350000</v>
      </c>
      <c r="Z33" s="532">
        <f>IFERROR(IF(AND(Z$32&gt;=EOMONTH($I33,-1)+1,Z$32&lt;=EOMONTH(EOMONTH($I33,-1)+1,$J33-1)),IF(NOT(ISBLANK($M33)),$M33/$J33,$H33/$J33),0),0)</f>
        <v>116666.66666666667</v>
      </c>
      <c r="AA33" s="532">
        <f>IFERROR(IF(AND(AA$32&gt;=EOMONTH($I33,-1)+1,AA$32&lt;=EOMONTH(EOMONTH($I33,-1)+1,$J33-1)),IF(NOT(ISBLANK($M33)),$M33/$J33,$H33/$J33),0),0)</f>
        <v>116666.66666666667</v>
      </c>
      <c r="AB33" s="532">
        <f>IFERROR(IF(AND(AB$32&gt;=EOMONTH($I33,-1)+1,AB$32&lt;=EOMONTH(EOMONTH($I33,-1)+1,$J33-1)),IF(NOT(ISBLANK($M33)),$M33/$J33,$H33/$J33),0),0)</f>
        <v>116666.66666666667</v>
      </c>
      <c r="AC33" s="469">
        <f t="shared" ref="AC33" si="18">SUM(Z33:AB33)</f>
        <v>350000</v>
      </c>
      <c r="AD33" s="532">
        <f>IFERROR(IF(AND(AD$32&gt;=EOMONTH($I33,-1)+1,AD$32&lt;=EOMONTH(EOMONTH($I33,-1)+1,$J33-1)),IF(NOT(ISBLANK($M33)),$M33/$J33,$H33/$J33),0),0)</f>
        <v>116666.66666666667</v>
      </c>
      <c r="AE33" s="532">
        <f>IFERROR(IF(AND(AE$32&gt;=EOMONTH($I33,-1)+1,AE$32&lt;=EOMONTH(EOMONTH($I33,-1)+1,$J33-1)),IF(NOT(ISBLANK($M33)),$M33/$J33,$H33/$J33),0),0)</f>
        <v>116666.66666666667</v>
      </c>
      <c r="AF33" s="532">
        <f>IFERROR(IF(AND(AF$32&gt;=EOMONTH($I33,-1)+1,AF$32&lt;=EOMONTH(EOMONTH($I33,-1)+1,$J33-1)),IF(NOT(ISBLANK($M33)),$M33/$J33,$H33/$J33),0),0)</f>
        <v>116666.66666666667</v>
      </c>
      <c r="AG33" s="469">
        <f t="shared" ref="AG33:AG62" si="19">SUM(AD33:AF33)</f>
        <v>350000</v>
      </c>
      <c r="AH33" s="94">
        <f t="shared" ref="AH33:AH62" si="20">SUM(R33:T33,V33:X33,Z33:AB33,AD33:AF33)</f>
        <v>1400000.0000000002</v>
      </c>
      <c r="AI33" s="1152"/>
      <c r="AJ33" s="1038"/>
      <c r="AK33" s="1042"/>
      <c r="AL33" s="1044" t="e">
        <f>L33*AK33</f>
        <v>#VALUE!</v>
      </c>
      <c r="AM33" s="47" t="str">
        <f>B33</f>
        <v>Realinhamentos e Negociações</v>
      </c>
      <c r="AN33" s="47" t="str">
        <f>A33</f>
        <v>Estratégia Comercial</v>
      </c>
      <c r="AO33" s="62" t="s">
        <v>289</v>
      </c>
      <c r="AP33" s="543" cm="1">
        <f t="array" aca="1" ref="AP33" ca="1">IF(OR(AM33="",AM33=0),"",IF(SUMPRODUCT(($B$33:$B$82=AM33)*($P$33:$P$82="Previsto")*($R$32:$AF$32&lt;EOMONTH(TODAY(),-1)+1)*($R$33:$AF$82))=0,"",SUMPRODUCT(($B$33:$B$82=AM33)*($P$33:$P$82="Previsto")*($R$32:$AF$32&lt;EOMONTH(TODAY(),-1)+1)*($R$33:$AF$82))))</f>
        <v>583333.33333333337</v>
      </c>
    </row>
    <row r="34" spans="1:42" ht="29.1" customHeight="1" x14ac:dyDescent="0.3">
      <c r="A34" s="1039"/>
      <c r="B34" s="1096"/>
      <c r="C34" s="1096"/>
      <c r="D34" s="1364"/>
      <c r="E34" s="1364"/>
      <c r="F34" s="1547"/>
      <c r="G34" s="1547"/>
      <c r="H34" s="1151"/>
      <c r="I34" s="1155"/>
      <c r="J34" s="1214"/>
      <c r="K34" s="1077"/>
      <c r="L34" s="1056"/>
      <c r="M34" s="1108"/>
      <c r="N34" s="1073"/>
      <c r="O34" s="1043"/>
      <c r="P34" s="96" t="s">
        <v>107</v>
      </c>
      <c r="Q34" s="485">
        <v>0</v>
      </c>
      <c r="R34" s="312">
        <v>350457.87</v>
      </c>
      <c r="S34" s="312">
        <v>329747.52</v>
      </c>
      <c r="T34" s="312">
        <v>407666.16</v>
      </c>
      <c r="U34" s="469">
        <f t="shared" si="16"/>
        <v>1087871.55</v>
      </c>
      <c r="V34" s="486">
        <v>183255.81</v>
      </c>
      <c r="W34" s="486">
        <v>144628</v>
      </c>
      <c r="X34" s="312"/>
      <c r="Y34" s="469">
        <f t="shared" ref="Y34:Y35" si="21">SUM(V34:X34)</f>
        <v>327883.81</v>
      </c>
      <c r="Z34" s="486"/>
      <c r="AA34" s="486"/>
      <c r="AB34" s="312"/>
      <c r="AC34" s="469">
        <f t="shared" ref="AC34:AC35" si="22">SUM(Z34:AB34)</f>
        <v>0</v>
      </c>
      <c r="AD34" s="486"/>
      <c r="AE34" s="486"/>
      <c r="AF34" s="312"/>
      <c r="AG34" s="469">
        <f t="shared" si="19"/>
        <v>0</v>
      </c>
      <c r="AH34" s="94">
        <f t="shared" si="20"/>
        <v>1415755.36</v>
      </c>
      <c r="AI34" s="1151"/>
      <c r="AJ34" s="1039"/>
      <c r="AK34" s="1043"/>
      <c r="AL34" s="1045"/>
      <c r="AM34" s="47" t="str">
        <f>B33</f>
        <v>Realinhamentos e Negociações</v>
      </c>
      <c r="AN34" s="47" t="str">
        <f>A33</f>
        <v>Estratégia Comercial</v>
      </c>
      <c r="AO34" s="62" t="s">
        <v>291</v>
      </c>
      <c r="AP34" s="543" t="str" cm="1">
        <f t="array" aca="1" ref="AP34" ca="1">IF(OR(AM33="",AM33=0),"",IF(SUMPRODUCT(($B$33:$B$82=AM33)*(ISNUMBER(SEARCH("Real",$Q$34:$Q$83)))*($R$32:$AF$32&lt;EOMONTH(TODAY(),-1)+1)*($S$34:$AG$83))=0,"",SUMPRODUCT(($B$33:$B$82=AM33)*(ISNUMBER(SEARCH("Real",$Q$34:$Q$83)))*($R$32:$AF$32&lt;EOMONTH(TODAY(),-1)+1)*($S$34:$AG$83))))</f>
        <v/>
      </c>
    </row>
    <row r="35" spans="1:42" ht="29.1" customHeight="1" x14ac:dyDescent="0.3">
      <c r="A35" s="1036" t="s">
        <v>79</v>
      </c>
      <c r="B35" s="1113" t="s">
        <v>2527</v>
      </c>
      <c r="C35" s="1113" t="s">
        <v>2528</v>
      </c>
      <c r="D35" s="1303"/>
      <c r="E35" s="1113" t="s">
        <v>2529</v>
      </c>
      <c r="F35" s="1117">
        <v>46023</v>
      </c>
      <c r="G35" s="1117">
        <v>46054</v>
      </c>
      <c r="H35" s="1046">
        <v>545563</v>
      </c>
      <c r="I35" s="1158">
        <v>46082</v>
      </c>
      <c r="J35" s="1121">
        <f t="shared" ref="J35" si="23">IF(I35="", "", 12 - MONTH(I35) + 1)</f>
        <v>10</v>
      </c>
      <c r="K35" s="1074"/>
      <c r="L35" s="1682" t="s">
        <v>1706</v>
      </c>
      <c r="M35" s="1682">
        <v>545563</v>
      </c>
      <c r="N35" s="1074" t="s">
        <v>80</v>
      </c>
      <c r="O35" s="1057" t="s">
        <v>24</v>
      </c>
      <c r="P35" s="91" t="s">
        <v>106</v>
      </c>
      <c r="Q35" s="91">
        <v>0</v>
      </c>
      <c r="R35" s="309">
        <f t="shared" ref="R35:S35" si="24">IFERROR(IF(AND(R$32&gt;=EOMONTH($I35,-1)+1,R$32&lt;=EOMONTH(EOMONTH($I35,-1)+1,$J35-1)),IF(NOT(ISBLANK($M35)),$M35/$J35,$H35/$J35),0),0)</f>
        <v>0</v>
      </c>
      <c r="S35" s="309">
        <f t="shared" si="24"/>
        <v>0</v>
      </c>
      <c r="T35" s="309">
        <f>IFERROR(IF(AND(T$32&gt;=EOMONTH($I35,-1)+1,T$32&lt;=EOMONTH(EOMONTH($I35,-1)+1,$J35-1)),IF(NOT(ISBLANK($M35)),$M35/$J35,$H35/$J35),0),0)</f>
        <v>54556.3</v>
      </c>
      <c r="U35" s="469">
        <f t="shared" ref="U35" si="25">SUM(R35:T35)</f>
        <v>54556.3</v>
      </c>
      <c r="V35" s="309">
        <f>IFERROR(IF(AND(V$32&gt;=EOMONTH($I35,-1)+1,V$32&lt;=EOMONTH(EOMONTH($I35,-1)+1,$J35-1)),IF(NOT(ISBLANK($M35)),$M35/$J35,$H35/$J35),0),0)</f>
        <v>54556.3</v>
      </c>
      <c r="W35" s="309">
        <f>IFERROR(IF(AND(W$32&gt;=EOMONTH($I35,-1)+1,W$32&lt;=EOMONTH(EOMONTH($I35,-1)+1,$J35-1)),IF(NOT(ISBLANK($M35)),$M35/$J35,$H35/$J35),0),0)</f>
        <v>54556.3</v>
      </c>
      <c r="X35" s="309">
        <f>IFERROR(IF(AND(X$32&gt;=EOMONTH($I35,-1)+1,X$32&lt;=EOMONTH(EOMONTH($I35,-1)+1,$J35-1)),IF(NOT(ISBLANK($M35)),$M35/$J35,$H35/$J35),0),0)</f>
        <v>54556.3</v>
      </c>
      <c r="Y35" s="469">
        <f t="shared" si="21"/>
        <v>163668.90000000002</v>
      </c>
      <c r="Z35" s="309">
        <f>IFERROR(IF(AND(Z$32&gt;=EOMONTH($I35,-1)+1,Z$32&lt;=EOMONTH(EOMONTH($I35,-1)+1,$J35-1)),IF(NOT(ISBLANK($M35)),$M35/$J35,$H35/$J35),0),0)</f>
        <v>54556.3</v>
      </c>
      <c r="AA35" s="309">
        <f>IFERROR(IF(AND(AA$32&gt;=EOMONTH($I35,-1)+1,AA$32&lt;=EOMONTH(EOMONTH($I35,-1)+1,$J35-1)),IF(NOT(ISBLANK($M35)),$M35/$J35,$H35/$J35),0),0)</f>
        <v>54556.3</v>
      </c>
      <c r="AB35" s="309">
        <f>IFERROR(IF(AND(AB$32&gt;=EOMONTH($I35,-1)+1,AB$32&lt;=EOMONTH(EOMONTH($I35,-1)+1,$J35-1)),IF(NOT(ISBLANK($M35)),$M35/$J35,$H35/$J35),0),0)</f>
        <v>54556.3</v>
      </c>
      <c r="AC35" s="469">
        <f t="shared" si="22"/>
        <v>163668.90000000002</v>
      </c>
      <c r="AD35" s="309">
        <f>IFERROR(IF(AND(AD$32&gt;=EOMONTH($I35,-1)+1,AD$32&lt;=EOMONTH(EOMONTH($I35,-1)+1,$J35-1)),IF(NOT(ISBLANK($M35)),$M35/$J35,$H35/$J35),0),0)</f>
        <v>54556.3</v>
      </c>
      <c r="AE35" s="309">
        <f>IFERROR(IF(AND(AE$32&gt;=EOMONTH($I35,-1)+1,AE$32&lt;=EOMONTH(EOMONTH($I35,-1)+1,$J35-1)),IF(NOT(ISBLANK($M35)),$M35/$J35,$H35/$J35),0),0)</f>
        <v>54556.3</v>
      </c>
      <c r="AF35" s="309">
        <f>IFERROR(IF(AND(AF$32&gt;=EOMONTH($I35,-1)+1,AF$32&lt;=EOMONTH(EOMONTH($I35,-1)+1,$J35-1)),IF(NOT(ISBLANK($M35)),$M35/$J35,$H35/$J35),0),0)</f>
        <v>54556.3</v>
      </c>
      <c r="AG35" s="469">
        <f t="shared" si="19"/>
        <v>163668.90000000002</v>
      </c>
      <c r="AH35" s="116">
        <f t="shared" si="20"/>
        <v>545563</v>
      </c>
      <c r="AI35" s="1074" t="s">
        <v>2530</v>
      </c>
      <c r="AJ35" s="1040"/>
      <c r="AK35" s="1048"/>
      <c r="AL35" s="1046" t="e">
        <f>L35*AK35</f>
        <v>#VALUE!</v>
      </c>
      <c r="AM35" s="47" t="str">
        <f>B35</f>
        <v>Materia Prima - Desenvolvimento</v>
      </c>
      <c r="AN35" s="47" t="str">
        <f>A35</f>
        <v>Redução de Custo</v>
      </c>
      <c r="AO35" s="62" t="s">
        <v>289</v>
      </c>
      <c r="AP35" s="543" cm="1">
        <f t="array" aca="1" ref="AP35" ca="1">IF(OR(AM35="",AM35=0),"",IF(SUMPRODUCT(($B$33:$B$82=AM35)*($P$33:$P$82="Previsto")*($R$32:$AF$32&lt;EOMONTH(TODAY(),-1)+1)*($R$33:$AF$82))=0,"",SUMPRODUCT(($B$33:$B$82=AM35)*($P$33:$P$82="Previsto")*($R$32:$AF$32&lt;EOMONTH(TODAY(),-1)+1)*($R$33:$AF$82))))</f>
        <v>163668.90000000002</v>
      </c>
    </row>
    <row r="36" spans="1:42" ht="29.1" customHeight="1" x14ac:dyDescent="0.3">
      <c r="A36" s="1037"/>
      <c r="B36" s="1114"/>
      <c r="C36" s="1114"/>
      <c r="D36" s="1304"/>
      <c r="E36" s="1114"/>
      <c r="F36" s="1118"/>
      <c r="G36" s="1118"/>
      <c r="H36" s="1047"/>
      <c r="I36" s="1159"/>
      <c r="J36" s="1122"/>
      <c r="K36" s="1075"/>
      <c r="L36" s="1683"/>
      <c r="M36" s="1683"/>
      <c r="N36" s="1075"/>
      <c r="O36" s="1058"/>
      <c r="P36" s="91" t="s">
        <v>107</v>
      </c>
      <c r="Q36" s="484">
        <v>0</v>
      </c>
      <c r="R36" s="309"/>
      <c r="S36" s="309"/>
      <c r="T36" s="309"/>
      <c r="U36" s="469">
        <f t="shared" ref="U36:U39" si="26">SUM(R36:T36)</f>
        <v>0</v>
      </c>
      <c r="V36" s="309"/>
      <c r="W36" s="309"/>
      <c r="X36" s="309"/>
      <c r="Y36" s="469">
        <f t="shared" ref="Y36:Y39" si="27">SUM(V36:X36)</f>
        <v>0</v>
      </c>
      <c r="Z36" s="309"/>
      <c r="AA36" s="309"/>
      <c r="AB36" s="309"/>
      <c r="AC36" s="469">
        <f t="shared" ref="AC36:AC39" si="28">SUM(Z36:AB36)</f>
        <v>0</v>
      </c>
      <c r="AD36" s="309"/>
      <c r="AE36" s="309"/>
      <c r="AF36" s="309"/>
      <c r="AG36" s="469">
        <f t="shared" si="19"/>
        <v>0</v>
      </c>
      <c r="AH36" s="483">
        <f t="shared" si="20"/>
        <v>0</v>
      </c>
      <c r="AI36" s="1075"/>
      <c r="AJ36" s="1041"/>
      <c r="AK36" s="1049"/>
      <c r="AL36" s="1047"/>
      <c r="AM36" s="47" t="str">
        <f>B35</f>
        <v>Materia Prima - Desenvolvimento</v>
      </c>
      <c r="AN36" s="47" t="str">
        <f>A35</f>
        <v>Redução de Custo</v>
      </c>
      <c r="AO36" s="62" t="s">
        <v>291</v>
      </c>
      <c r="AP36" s="543" t="str" cm="1">
        <f t="array" aca="1" ref="AP36" ca="1">IF(OR(AM35="",AM35=0),"",IF(SUMPRODUCT(($B$33:$B$82=AM35)*(ISNUMBER(SEARCH("Real",$Q$34:$Q$83)))*($R$32:$AF$32&lt;EOMONTH(TODAY(),-1)+1)*($S$34:$AG$83))=0,"",SUMPRODUCT(($B$33:$B$82=AM35)*(ISNUMBER(SEARCH("Real",$Q$34:$Q$83)))*($R$32:$AF$32&lt;EOMONTH(TODAY(),-1)+1)*($S$34:$AG$83))))</f>
        <v/>
      </c>
    </row>
    <row r="37" spans="1:42" ht="29.1" customHeight="1" x14ac:dyDescent="0.3">
      <c r="A37" s="1038" t="s">
        <v>2531</v>
      </c>
      <c r="B37" s="1138" t="s">
        <v>420</v>
      </c>
      <c r="C37" s="1532" t="s">
        <v>2532</v>
      </c>
      <c r="D37" s="1456" t="str">
        <f>_xlfn.XLOOKUP(B37,Diadema!$C$55:$C$176,Diadema!$E$55:$E$176,"Nome do Projeto Divergente")</f>
        <v>Redução de 8mm no blank (0,16kg)/peça</v>
      </c>
      <c r="E37" s="1532" t="s">
        <v>2533</v>
      </c>
      <c r="F37" s="1725">
        <f>_xlfn.XLOOKUP(B37,Diadema!$C$55:$C$176,Diadema!$G$55:$G$176,"Nome do Projeto Divergente")</f>
        <v>46050</v>
      </c>
      <c r="G37" s="1725">
        <f>_xlfn.XLOOKUP(B37,Diadema!$C$55:$C$176,Diadema!$H$55:$H$176,"Nome do Projeto Divergente")</f>
        <v>46173</v>
      </c>
      <c r="H37" s="1727">
        <f>_xlfn.XLOOKUP(B37,Diadema!$C$55:$C$176,Diadema!$I$55:$I$176,"Nome do Projeto Divergente")</f>
        <v>90000.000000098997</v>
      </c>
      <c r="I37" s="1154">
        <f>_xlfn.XLOOKUP(B37,Diadema!$C$55:$C$176,Diadema!$J$55:$J$176,"Nome do Projeto Divergente")</f>
        <v>46174</v>
      </c>
      <c r="J37" s="1213">
        <f>_xlfn.XLOOKUP(B37,Diadema!$C$55:$C$176,Diadema!$K$55:$K$176,"Nome do Projeto Divergente")</f>
        <v>7</v>
      </c>
      <c r="K37" s="1076"/>
      <c r="L37" s="1733" t="s">
        <v>287</v>
      </c>
      <c r="M37" s="1733">
        <f>_xlfn.XLOOKUP(B37,Diadema!$C$55:$C$176,Diadema!$N$55:$N$176,"Nome do Projeto Divergente")</f>
        <v>41632.629999999997</v>
      </c>
      <c r="N37" s="1072" t="s">
        <v>83</v>
      </c>
      <c r="O37" s="1042" t="s">
        <v>21</v>
      </c>
      <c r="P37" s="96" t="s">
        <v>106</v>
      </c>
      <c r="Q37" s="96">
        <v>0</v>
      </c>
      <c r="R37" s="532">
        <f>Diadema!S107</f>
        <v>0</v>
      </c>
      <c r="S37" s="532">
        <f>IFERROR(IF(AND(S$32&gt;=EOMONTH($I37,-1)+1,S$32&lt;=EOMONTH(EOMONTH($I37,-1)+1,$J37-1)),IF(NOT(ISBLANK($M37)),$M37/$J37,$H37/$J37),0),0)</f>
        <v>0</v>
      </c>
      <c r="T37" s="532">
        <f>IFERROR(IF(AND(T$32&gt;=EOMONTH($I37,-1)+1,T$32&lt;=EOMONTH(EOMONTH($I37,-1)+1,$J37-1)),IF(NOT(ISBLANK($M37)),$M37/$J37,$H37/$J37),0),0)</f>
        <v>0</v>
      </c>
      <c r="U37" s="469">
        <f t="shared" si="26"/>
        <v>0</v>
      </c>
      <c r="V37" s="532">
        <f>IFERROR(IF(AND(V$32&gt;=EOMONTH($I37,-1)+1,V$32&lt;=EOMONTH(EOMONTH($I37,-1)+1,$J37-1)),IF(NOT(ISBLANK($M37)),$M37/$J37,$H37/$J37),0),0)</f>
        <v>0</v>
      </c>
      <c r="W37" s="532">
        <f>IFERROR(IF(AND(W$32&gt;=EOMONTH($I37,-1)+1,W$32&lt;=EOMONTH(EOMONTH($I37,-1)+1,$J37-1)),IF(NOT(ISBLANK($M37)),$M37/$J37,$H37/$J37),0),0)</f>
        <v>0</v>
      </c>
      <c r="X37" s="532">
        <f>IFERROR(IF(AND(X$32&gt;=EOMONTH($I37,-1)+1,X$32&lt;=EOMONTH(EOMONTH($I37,-1)+1,$J37-1)),IF(NOT(ISBLANK($M37)),$M37/$J37,$H37/$J37),0),0)</f>
        <v>5947.5185714285708</v>
      </c>
      <c r="Y37" s="469">
        <f t="shared" si="27"/>
        <v>5947.5185714285708</v>
      </c>
      <c r="Z37" s="532">
        <f>IFERROR(IF(AND(Z$32&gt;=EOMONTH($I37,-1)+1,Z$32&lt;=EOMONTH(EOMONTH($I37,-1)+1,$J37-1)),IF(NOT(ISBLANK($M37)),$M37/$J37,$H37/$J37),0),0)</f>
        <v>5947.5185714285708</v>
      </c>
      <c r="AA37" s="532">
        <f>IFERROR(IF(AND(AA$32&gt;=EOMONTH($I37,-1)+1,AA$32&lt;=EOMONTH(EOMONTH($I37,-1)+1,$J37-1)),IF(NOT(ISBLANK($M37)),$M37/$J37,$H37/$J37),0),0)</f>
        <v>5947.5185714285708</v>
      </c>
      <c r="AB37" s="532">
        <f>IFERROR(IF(AND(AB$32&gt;=EOMONTH($I37,-1)+1,AB$32&lt;=EOMONTH(EOMONTH($I37,-1)+1,$J37-1)),IF(NOT(ISBLANK($M37)),$M37/$J37,$H37/$J37),0),0)</f>
        <v>5947.5185714285708</v>
      </c>
      <c r="AC37" s="469">
        <f t="shared" si="28"/>
        <v>17842.555714285714</v>
      </c>
      <c r="AD37" s="532">
        <f>IFERROR(IF(AND(AD$32&gt;=EOMONTH($I37,-1)+1,AD$32&lt;=EOMONTH(EOMONTH($I37,-1)+1,$J37-1)),IF(NOT(ISBLANK($M37)),$M37/$J37,$H37/$J37),0),0)</f>
        <v>5947.5185714285708</v>
      </c>
      <c r="AE37" s="532">
        <f>IFERROR(IF(AND(AE$32&gt;=EOMONTH($I37,-1)+1,AE$32&lt;=EOMONTH(EOMONTH($I37,-1)+1,$J37-1)),IF(NOT(ISBLANK($M37)),$M37/$J37,$H37/$J37),0),0)</f>
        <v>5947.5185714285708</v>
      </c>
      <c r="AF37" s="532">
        <f>IFERROR(IF(AND(AF$32&gt;=EOMONTH($I37,-1)+1,AF$32&lt;=EOMONTH(EOMONTH($I37,-1)+1,$J37-1)),IF(NOT(ISBLANK($M37)),$M37/$J37,$H37/$J37),0),0)</f>
        <v>5947.5185714285708</v>
      </c>
      <c r="AG37" s="469">
        <f t="shared" si="19"/>
        <v>17842.555714285714</v>
      </c>
      <c r="AH37" s="94">
        <f t="shared" si="20"/>
        <v>41632.62999999999</v>
      </c>
      <c r="AI37" s="1152"/>
      <c r="AJ37" s="1038"/>
      <c r="AK37" s="1042"/>
      <c r="AL37" s="1044" t="e">
        <f>L37*AK37</f>
        <v>#VALUE!</v>
      </c>
      <c r="AM37" s="47" t="str">
        <f>B37</f>
        <v>27 - DA000459AA - STC Volvo_</v>
      </c>
      <c r="AN37" s="47" t="str">
        <f>A37</f>
        <v xml:space="preserve">Meta Executiva </v>
      </c>
      <c r="AO37" s="62" t="s">
        <v>289</v>
      </c>
      <c r="AP37" s="543" t="str" cm="1">
        <f t="array" aca="1" ref="AP37" ca="1">IF(OR(AM37="",AM37=0),"",IF(SUMPRODUCT(($B$33:$B$82=AM37)*($P$33:$P$82="Previsto")*($R$32:$AF$32&lt;EOMONTH(TODAY(),-1)+1)*($R$33:$AF$82))=0,"",SUMPRODUCT(($B$33:$B$82=AM37)*($P$33:$P$82="Previsto")*($R$32:$AF$32&lt;EOMONTH(TODAY(),-1)+1)*($R$33:$AF$82))))</f>
        <v/>
      </c>
    </row>
    <row r="38" spans="1:42" ht="29.1" customHeight="1" x14ac:dyDescent="0.3">
      <c r="A38" s="1039"/>
      <c r="B38" s="1139"/>
      <c r="C38" s="1724"/>
      <c r="D38" s="1457"/>
      <c r="E38" s="1724"/>
      <c r="F38" s="1726"/>
      <c r="G38" s="1726"/>
      <c r="H38" s="1728"/>
      <c r="I38" s="1155"/>
      <c r="J38" s="1214"/>
      <c r="K38" s="1077"/>
      <c r="L38" s="1734"/>
      <c r="M38" s="1734"/>
      <c r="N38" s="1073"/>
      <c r="O38" s="1043"/>
      <c r="P38" s="96" t="s">
        <v>107</v>
      </c>
      <c r="Q38" s="485">
        <v>0</v>
      </c>
      <c r="R38" s="532">
        <f>Diadema!S108</f>
        <v>0</v>
      </c>
      <c r="S38" s="486"/>
      <c r="T38" s="312">
        <f>Diadema!U108</f>
        <v>0</v>
      </c>
      <c r="U38" s="469">
        <f>Diadema!V108</f>
        <v>0</v>
      </c>
      <c r="V38" s="312">
        <f>Diadema!W108</f>
        <v>0</v>
      </c>
      <c r="W38" s="312">
        <f>Diadema!X108</f>
        <v>0</v>
      </c>
      <c r="X38" s="312">
        <f>Diadema!Y108</f>
        <v>0</v>
      </c>
      <c r="Y38" s="469">
        <f>Diadema!Z108</f>
        <v>0</v>
      </c>
      <c r="Z38" s="312">
        <f>Diadema!AA108</f>
        <v>0</v>
      </c>
      <c r="AA38" s="312">
        <f>Diadema!AB108</f>
        <v>0</v>
      </c>
      <c r="AB38" s="312">
        <f>Diadema!AC108</f>
        <v>0</v>
      </c>
      <c r="AC38" s="469">
        <f>Diadema!AD108</f>
        <v>0</v>
      </c>
      <c r="AD38" s="312">
        <f>Diadema!AE108</f>
        <v>0</v>
      </c>
      <c r="AE38" s="312">
        <f>Diadema!AF108</f>
        <v>0</v>
      </c>
      <c r="AF38" s="312">
        <f>Diadema!AG108</f>
        <v>0</v>
      </c>
      <c r="AG38" s="469">
        <f t="shared" si="19"/>
        <v>0</v>
      </c>
      <c r="AH38" s="94">
        <f t="shared" si="20"/>
        <v>0</v>
      </c>
      <c r="AI38" s="1151"/>
      <c r="AJ38" s="1039"/>
      <c r="AK38" s="1043"/>
      <c r="AL38" s="1045"/>
      <c r="AM38" s="47" t="str">
        <f>B37</f>
        <v>27 - DA000459AA - STC Volvo_</v>
      </c>
      <c r="AN38" s="47" t="str">
        <f>A37</f>
        <v xml:space="preserve">Meta Executiva </v>
      </c>
      <c r="AO38" s="62" t="s">
        <v>291</v>
      </c>
      <c r="AP38" s="543" t="str" cm="1">
        <f t="array" aca="1" ref="AP38" ca="1">IF(OR(AM37="",AM37=0),"",IF(SUMPRODUCT(($B$33:$B$82=AM37)*(ISNUMBER(SEARCH("Real",$P$33:$P$82)))*($R$32:$AF$32&lt;EOMONTH(TODAY(),-1)+1)*($R$33:$AF$82))=0,"",SUMPRODUCT(($B$33:$B$82=AM37)*(ISNUMBER(SEARCH("Real",$P$33:$P$82)))*($R$32:$AF$32&lt;EOMONTH(TODAY(),-1)+1)*($R$33:$AF$82))))</f>
        <v/>
      </c>
    </row>
    <row r="39" spans="1:42" ht="29.1" customHeight="1" x14ac:dyDescent="0.3">
      <c r="A39" s="1036" t="s">
        <v>2531</v>
      </c>
      <c r="B39" s="1113" t="s">
        <v>432</v>
      </c>
      <c r="C39" s="1113" t="s">
        <v>2532</v>
      </c>
      <c r="D39" s="1729" t="str">
        <f>_xlfn.XLOOKUP(B39,Diadema!$C$55:$C$176,Diadema!$E$55:$E$176,"Nome do Projeto Divergente")</f>
        <v>Redução de 20mm no blank (0,52kg)/peça</v>
      </c>
      <c r="E39" s="1113" t="s">
        <v>2534</v>
      </c>
      <c r="F39" s="1731">
        <f>_xlfn.XLOOKUP(B39,Diadema!$C$55:$C$176,Diadema!$G$55:$G$176,"Nome do Projeto Divergente")</f>
        <v>46092</v>
      </c>
      <c r="G39" s="1731">
        <f>_xlfn.XLOOKUP(B39,Diadema!$C$55:$C$176,Diadema!$H$55:$H$176,"Nome do Projeto Divergente")</f>
        <v>46132</v>
      </c>
      <c r="H39" s="1731" t="str">
        <f>_xlfn.XLOOKUP(C39,Diadema!$C$55:$C$176,Diadema!$H$55:$H$176,"Nome do Projeto Divergente")</f>
        <v>Nome do Projeto Divergente</v>
      </c>
      <c r="I39" s="1158">
        <f>_xlfn.XLOOKUP(B39,Diadema!$C$55:$C$176,Diadema!$J$55:$J$176,"Nome do Projeto Divergente")</f>
        <v>46174</v>
      </c>
      <c r="J39" s="1121">
        <f>_xlfn.XLOOKUP(B39,Diadema!$C$55:$C$176,Diadema!$K$55:$K$176,"Nome do Projeto Divergente")</f>
        <v>7</v>
      </c>
      <c r="K39" s="1074"/>
      <c r="L39" s="1682" t="s">
        <v>287</v>
      </c>
      <c r="M39" s="1682">
        <f>Diadema!N113+Diadema!N111+Diadema!N109</f>
        <v>485535.56</v>
      </c>
      <c r="N39" s="1074" t="s">
        <v>83</v>
      </c>
      <c r="O39" s="1057" t="s">
        <v>21</v>
      </c>
      <c r="P39" s="91" t="s">
        <v>106</v>
      </c>
      <c r="Q39" s="91">
        <v>0</v>
      </c>
      <c r="R39" s="309">
        <f>IFERROR(IF(AND(R$32&gt;=EOMONTH($I39,-1)+1,R$32&lt;=EOMONTH(EOMONTH($I39,-1)+1,$J39-1)),IF(NOT(ISBLANK($M39)),$M39/$J39,$H39/$J39),0),0)</f>
        <v>0</v>
      </c>
      <c r="S39" s="309">
        <f>IFERROR(IF(AND(S$32&gt;=EOMONTH($I39,-1)+1,S$32&lt;=EOMONTH(EOMONTH($I39,-1)+1,$J39-1)),IF(NOT(ISBLANK($M39)),$M39/$J39,$H39/$J39),0),0)</f>
        <v>0</v>
      </c>
      <c r="T39" s="309">
        <f>IFERROR(IF(AND(T$32&gt;=EOMONTH($I39,-1)+1,T$32&lt;=EOMONTH(EOMONTH($I39,-1)+1,$J39-1)),IF(NOT(ISBLANK($M39)),$M39/$J39,$H39/$J39),0),0)</f>
        <v>0</v>
      </c>
      <c r="U39" s="469">
        <f t="shared" si="26"/>
        <v>0</v>
      </c>
      <c r="V39" s="309">
        <f>IFERROR(IF(AND(V$32&gt;=EOMONTH($I39,-1)+1,V$32&lt;=EOMONTH(EOMONTH($I39,-1)+1,$J39-1)),IF(NOT(ISBLANK($M39)),$M39/$J39,$H39/$J39),0),0)</f>
        <v>0</v>
      </c>
      <c r="W39" s="309">
        <f>IFERROR(IF(AND(W$32&gt;=EOMONTH($I39,-1)+1,W$32&lt;=EOMONTH(EOMONTH($I39,-1)+1,$J39-1)),IF(NOT(ISBLANK($M39)),$M39/$J39,$H39/$J39),0),0)</f>
        <v>0</v>
      </c>
      <c r="X39" s="309">
        <f>IFERROR(IF(AND(X$32&gt;=EOMONTH($I39,-1)+1,X$32&lt;=EOMONTH(EOMONTH($I39,-1)+1,$J39-1)),IF(NOT(ISBLANK($M39)),$M39/$J39,$H39/$J39),0),0)</f>
        <v>69362.222857142857</v>
      </c>
      <c r="Y39" s="469">
        <f t="shared" si="27"/>
        <v>69362.222857142857</v>
      </c>
      <c r="Z39" s="309">
        <f>IFERROR(IF(AND(Z$32&gt;=EOMONTH($I39,-1)+1,Z$32&lt;=EOMONTH(EOMONTH($I39,-1)+1,$J39-1)),IF(NOT(ISBLANK($M39)),$M39/$J39,$H39/$J39),0),0)</f>
        <v>69362.222857142857</v>
      </c>
      <c r="AA39" s="309">
        <f>IFERROR(IF(AND(AA$32&gt;=EOMONTH($I39,-1)+1,AA$32&lt;=EOMONTH(EOMONTH($I39,-1)+1,$J39-1)),IF(NOT(ISBLANK($M39)),$M39/$J39,$H39/$J39),0),0)</f>
        <v>69362.222857142857</v>
      </c>
      <c r="AB39" s="309">
        <f>IFERROR(IF(AND(AB$32&gt;=EOMONTH($I39,-1)+1,AB$32&lt;=EOMONTH(EOMONTH($I39,-1)+1,$J39-1)),IF(NOT(ISBLANK($M39)),$M39/$J39,$H39/$J39),0),0)</f>
        <v>69362.222857142857</v>
      </c>
      <c r="AC39" s="469">
        <f t="shared" si="28"/>
        <v>208086.66857142857</v>
      </c>
      <c r="AD39" s="309">
        <f>IFERROR(IF(AND(AD$32&gt;=EOMONTH($I39,-1)+1,AD$32&lt;=EOMONTH(EOMONTH($I39,-1)+1,$J39-1)),IF(NOT(ISBLANK($M39)),$M39/$J39,$H39/$J39),0),0)</f>
        <v>69362.222857142857</v>
      </c>
      <c r="AE39" s="309">
        <f>IFERROR(IF(AND(AE$32&gt;=EOMONTH($I39,-1)+1,AE$32&lt;=EOMONTH(EOMONTH($I39,-1)+1,$J39-1)),IF(NOT(ISBLANK($M39)),$M39/$J39,$H39/$J39),0),0)</f>
        <v>69362.222857142857</v>
      </c>
      <c r="AF39" s="309">
        <f>IFERROR(IF(AND(AF$32&gt;=EOMONTH($I39,-1)+1,AF$32&lt;=EOMONTH(EOMONTH($I39,-1)+1,$J39-1)),IF(NOT(ISBLANK($M39)),$M39/$J39,$H39/$J39),0),0)</f>
        <v>69362.222857142857</v>
      </c>
      <c r="AG39" s="469">
        <f t="shared" si="19"/>
        <v>208086.66857142857</v>
      </c>
      <c r="AH39" s="116">
        <f t="shared" si="20"/>
        <v>485535.56</v>
      </c>
      <c r="AI39" s="1074"/>
      <c r="AJ39" s="1040"/>
      <c r="AK39" s="1048"/>
      <c r="AL39" s="1046" t="e">
        <f>L39*AK39</f>
        <v>#VALUE!</v>
      </c>
      <c r="AM39" s="47" t="str">
        <f>B39</f>
        <v>30 - DA000491Z_DE000492Z - STC Scania G_</v>
      </c>
      <c r="AN39" s="47" t="str">
        <f>A39</f>
        <v xml:space="preserve">Meta Executiva </v>
      </c>
      <c r="AO39" s="62" t="s">
        <v>289</v>
      </c>
      <c r="AP39" s="543" t="str" cm="1">
        <f t="array" aca="1" ref="AP39" ca="1">IF(OR(AM39="",AM39=0),"",IF(SUMPRODUCT(($B$33:$B$82=AM39)*($P$33:$P$82="Previsto")*($R$32:$AF$32&lt;EOMONTH(TODAY(),-1)+1)*($R$33:$AF$82))=0,"",SUMPRODUCT(($B$33:$B$82=AM39)*($P$33:$P$82="Previsto")*($R$32:$AF$32&lt;EOMONTH(TODAY(),-1)+1)*($R$33:$AF$82))))</f>
        <v/>
      </c>
    </row>
    <row r="40" spans="1:42" ht="29.1" customHeight="1" x14ac:dyDescent="0.3">
      <c r="A40" s="1037"/>
      <c r="B40" s="1114"/>
      <c r="C40" s="1114"/>
      <c r="D40" s="1730"/>
      <c r="E40" s="1114"/>
      <c r="F40" s="1732"/>
      <c r="G40" s="1732"/>
      <c r="H40" s="1732"/>
      <c r="I40" s="1159"/>
      <c r="J40" s="1122"/>
      <c r="K40" s="1075"/>
      <c r="L40" s="1683"/>
      <c r="M40" s="1683"/>
      <c r="N40" s="1075"/>
      <c r="O40" s="1058"/>
      <c r="P40" s="91" t="s">
        <v>107</v>
      </c>
      <c r="Q40" s="484">
        <v>0</v>
      </c>
      <c r="R40" s="309"/>
      <c r="S40" s="309"/>
      <c r="T40" s="309"/>
      <c r="U40" s="469">
        <f t="shared" ref="U40:U82" si="29">SUM(R40:T40)</f>
        <v>0</v>
      </c>
      <c r="V40" s="309"/>
      <c r="W40" s="309"/>
      <c r="X40" s="309"/>
      <c r="Y40" s="469">
        <f t="shared" ref="Y40:Y82" si="30">SUM(V40:X40)</f>
        <v>0</v>
      </c>
      <c r="Z40" s="309"/>
      <c r="AA40" s="309"/>
      <c r="AB40" s="309"/>
      <c r="AC40" s="469">
        <f t="shared" ref="AC40:AC82" si="31">SUM(Z40:AB40)</f>
        <v>0</v>
      </c>
      <c r="AD40" s="309"/>
      <c r="AE40" s="309"/>
      <c r="AF40" s="309"/>
      <c r="AG40" s="469">
        <f t="shared" si="19"/>
        <v>0</v>
      </c>
      <c r="AH40" s="483">
        <f t="shared" si="20"/>
        <v>0</v>
      </c>
      <c r="AI40" s="1075"/>
      <c r="AJ40" s="1041"/>
      <c r="AK40" s="1049"/>
      <c r="AL40" s="1047"/>
      <c r="AM40" s="47" t="str">
        <f>B39</f>
        <v>30 - DA000491Z_DE000492Z - STC Scania G_</v>
      </c>
      <c r="AN40" s="47" t="str">
        <f>A39</f>
        <v xml:space="preserve">Meta Executiva </v>
      </c>
      <c r="AO40" s="62" t="s">
        <v>291</v>
      </c>
      <c r="AP40" s="543" t="str" cm="1">
        <f t="array" aca="1" ref="AP40" ca="1">IF(OR(AM39="",AM39=0),"",IF(SUMPRODUCT(($B$33:$B$82=AM39)*(ISNUMBER(SEARCH("Real",$P$33:$P$82)))*($R$32:$AF$32&lt;EOMONTH(TODAY(),-1)+1)*($R$33:$AF$82))=0,"",SUMPRODUCT(($B$33:$B$82=AM39)*(ISNUMBER(SEARCH("Real",$P$33:$P$82)))*($R$32:$AF$32&lt;EOMONTH(TODAY(),-1)+1)*($R$33:$AF$82))))</f>
        <v/>
      </c>
    </row>
    <row r="41" spans="1:42" ht="29.1" customHeight="1" x14ac:dyDescent="0.3">
      <c r="A41" s="1038" t="s">
        <v>2531</v>
      </c>
      <c r="B41" s="1095" t="s">
        <v>2535</v>
      </c>
      <c r="C41" s="1095" t="s">
        <v>2532</v>
      </c>
      <c r="D41" s="1456" t="str">
        <f>_xlfn.XLOOKUP(B41,Diadema!$C$55:$C$176,Diadema!$E$55:$E$176,"Nome do Projeto Divergente")</f>
        <v>Nome do Projeto Divergente</v>
      </c>
      <c r="E41" s="1095" t="s">
        <v>2536</v>
      </c>
      <c r="F41" s="1725" t="str">
        <f>_xlfn.XLOOKUP(B41,Diadema!$C$55:$C$176,Diadema!$G$55:$G$176,"Nome do Projeto Divergente")</f>
        <v>Nome do Projeto Divergente</v>
      </c>
      <c r="G41" s="1725" t="str">
        <f>_xlfn.XLOOKUP(B41,Diadema!$C$55:$C$176,Diadema!$H$55:$H$176,"Nome do Projeto Divergente")</f>
        <v>Nome do Projeto Divergente</v>
      </c>
      <c r="H41" s="1727" t="str">
        <f>_xlfn.XLOOKUP(B41,Diadema!$C$55:$C$176,Diadema!$I$55:$I$176,"Nome do Projeto Divergente")</f>
        <v>Nome do Projeto Divergente</v>
      </c>
      <c r="I41" s="1154" t="str">
        <f>_xlfn.XLOOKUP(B41,Diadema!$C$55:$C$176,Diadema!$J$55:$J$176,"Nome do Projeto Divergente")</f>
        <v>Nome do Projeto Divergente</v>
      </c>
      <c r="J41" s="1213" t="str">
        <f>_xlfn.XLOOKUP(B41,Diadema!$C$55:$C$176,Diadema!$K$55:$K$176,"Nome do Projeto Divergente")</f>
        <v>Nome do Projeto Divergente</v>
      </c>
      <c r="K41" s="1076"/>
      <c r="L41" s="1733"/>
      <c r="M41" s="1733"/>
      <c r="N41" s="1072" t="s">
        <v>83</v>
      </c>
      <c r="O41" s="1042" t="s">
        <v>21</v>
      </c>
      <c r="P41" s="96" t="s">
        <v>106</v>
      </c>
      <c r="Q41" s="96">
        <v>0</v>
      </c>
      <c r="R41" s="532">
        <f>IFERROR(IF(AND(R$32&gt;=EOMONTH($I41,-1)+1,R$32&lt;=EOMONTH(EOMONTH($I41,-1)+1,$J41-1)),IF(NOT(ISBLANK($M41)),$M41/$J41,$H41/$J41),0),0)</f>
        <v>0</v>
      </c>
      <c r="S41" s="532">
        <f>IFERROR(IF(AND(S$32&gt;=EOMONTH($I41,-1)+1,S$32&lt;=EOMONTH(EOMONTH($I41,-1)+1,$J41-1)),IF(NOT(ISBLANK($M41)),$M41/$J41,$H41/$J41),0),0)</f>
        <v>0</v>
      </c>
      <c r="T41" s="532">
        <f>IFERROR(IF(AND(T$32&gt;=EOMONTH($I41,-1)+1,T$32&lt;=EOMONTH(EOMONTH($I41,-1)+1,$J41-1)),IF(NOT(ISBLANK($M41)),$M41/$J41,$H41/$J41),0),0)</f>
        <v>0</v>
      </c>
      <c r="U41" s="469">
        <f t="shared" si="29"/>
        <v>0</v>
      </c>
      <c r="V41" s="532">
        <f>IFERROR(IF(AND(V$32&gt;=EOMONTH($I41,-1)+1,V$32&lt;=EOMONTH(EOMONTH($I41,-1)+1,$J41-1)),IF(NOT(ISBLANK($M41)),$M41/$J41,$H41/$J41),0),0)</f>
        <v>0</v>
      </c>
      <c r="W41" s="532">
        <f>IFERROR(IF(AND(W$32&gt;=EOMONTH($I41,-1)+1,W$32&lt;=EOMONTH(EOMONTH($I41,-1)+1,$J41-1)),IF(NOT(ISBLANK($M41)),$M41/$J41,$H41/$J41),0),0)</f>
        <v>0</v>
      </c>
      <c r="X41" s="532">
        <f>IFERROR(IF(AND(X$32&gt;=EOMONTH($I41,-1)+1,X$32&lt;=EOMONTH(EOMONTH($I41,-1)+1,$J41-1)),IF(NOT(ISBLANK($M41)),$M41/$J41,$H41/$J41),0),0)</f>
        <v>0</v>
      </c>
      <c r="Y41" s="469">
        <f t="shared" si="30"/>
        <v>0</v>
      </c>
      <c r="Z41" s="532">
        <f>IFERROR(IF(AND(Z$32&gt;=EOMONTH($I41,-1)+1,Z$32&lt;=EOMONTH(EOMONTH($I41,-1)+1,$J41-1)),IF(NOT(ISBLANK($M41)),$M41/$J41,$H41/$J41),0),0)</f>
        <v>0</v>
      </c>
      <c r="AA41" s="532">
        <f>IFERROR(IF(AND(AA$32&gt;=EOMONTH($I41,-1)+1,AA$32&lt;=EOMONTH(EOMONTH($I41,-1)+1,$J41-1)),IF(NOT(ISBLANK($M41)),$M41/$J41,$H41/$J41),0),0)</f>
        <v>0</v>
      </c>
      <c r="AB41" s="532">
        <f>IFERROR(IF(AND(AB$32&gt;=EOMONTH($I41,-1)+1,AB$32&lt;=EOMONTH(EOMONTH($I41,-1)+1,$J41-1)),IF(NOT(ISBLANK($M41)),$M41/$J41,$H41/$J41),0),0)</f>
        <v>0</v>
      </c>
      <c r="AC41" s="469">
        <f t="shared" si="31"/>
        <v>0</v>
      </c>
      <c r="AD41" s="532">
        <f>IFERROR(IF(AND(AD$32&gt;=EOMONTH($I41,-1)+1,AD$32&lt;=EOMONTH(EOMONTH($I41,-1)+1,$J41-1)),IF(NOT(ISBLANK($M41)),$M41/$J41,$H41/$J41),0),0)</f>
        <v>0</v>
      </c>
      <c r="AE41" s="532">
        <f>IFERROR(IF(AND(AE$32&gt;=EOMONTH($I41,-1)+1,AE$32&lt;=EOMONTH(EOMONTH($I41,-1)+1,$J41-1)),IF(NOT(ISBLANK($M41)),$M41/$J41,$H41/$J41),0),0)</f>
        <v>0</v>
      </c>
      <c r="AF41" s="532">
        <f>IFERROR(IF(AND(AF$32&gt;=EOMONTH($I41,-1)+1,AF$32&lt;=EOMONTH(EOMONTH($I41,-1)+1,$J41-1)),IF(NOT(ISBLANK($M41)),$M41/$J41,$H41/$J41),0),0)</f>
        <v>0</v>
      </c>
      <c r="AG41" s="469">
        <f t="shared" si="19"/>
        <v>0</v>
      </c>
      <c r="AH41" s="94">
        <f t="shared" si="20"/>
        <v>0</v>
      </c>
      <c r="AI41" s="1722" t="s">
        <v>2537</v>
      </c>
      <c r="AJ41" s="1038"/>
      <c r="AK41" s="1042"/>
      <c r="AL41" s="1044">
        <f>L41*AK41</f>
        <v>0</v>
      </c>
      <c r="AM41" s="47" t="str">
        <f>B41</f>
        <v>Blank ZigZag - Carcaças de Ferraz</v>
      </c>
      <c r="AN41" s="47" t="str">
        <f>A41</f>
        <v xml:space="preserve">Meta Executiva </v>
      </c>
      <c r="AO41" s="62" t="s">
        <v>289</v>
      </c>
      <c r="AP41" s="543" t="str" cm="1">
        <f t="array" aca="1" ref="AP41" ca="1">IF(OR(AM41="",AM41=0),"",IF(SUMPRODUCT(($B$33:$B$82=AM41)*($P$33:$P$82="Previsto")*($R$32:$AF$32&lt;EOMONTH(TODAY(),-1)+1)*($R$33:$AF$82))=0,"",SUMPRODUCT(($B$33:$B$82=AM41)*($P$33:$P$82="Previsto")*($R$32:$AF$32&lt;EOMONTH(TODAY(),-1)+1)*($R$33:$AF$82))))</f>
        <v/>
      </c>
    </row>
    <row r="42" spans="1:42" ht="29.1" customHeight="1" x14ac:dyDescent="0.3">
      <c r="A42" s="1039"/>
      <c r="B42" s="1096"/>
      <c r="C42" s="1096"/>
      <c r="D42" s="1457"/>
      <c r="E42" s="1096"/>
      <c r="F42" s="1726"/>
      <c r="G42" s="1726"/>
      <c r="H42" s="1728"/>
      <c r="I42" s="1155"/>
      <c r="J42" s="1214"/>
      <c r="K42" s="1077"/>
      <c r="L42" s="1734"/>
      <c r="M42" s="1734"/>
      <c r="N42" s="1073"/>
      <c r="O42" s="1043"/>
      <c r="P42" s="96" t="s">
        <v>107</v>
      </c>
      <c r="Q42" s="485">
        <v>0</v>
      </c>
      <c r="R42" s="486"/>
      <c r="S42" s="486"/>
      <c r="T42" s="312"/>
      <c r="U42" s="469">
        <f t="shared" si="29"/>
        <v>0</v>
      </c>
      <c r="V42" s="486"/>
      <c r="W42" s="486"/>
      <c r="X42" s="312"/>
      <c r="Y42" s="469">
        <f t="shared" si="30"/>
        <v>0</v>
      </c>
      <c r="Z42" s="486"/>
      <c r="AA42" s="486"/>
      <c r="AB42" s="312"/>
      <c r="AC42" s="469">
        <f t="shared" si="31"/>
        <v>0</v>
      </c>
      <c r="AD42" s="486"/>
      <c r="AE42" s="486"/>
      <c r="AF42" s="312"/>
      <c r="AG42" s="469">
        <f t="shared" si="19"/>
        <v>0</v>
      </c>
      <c r="AH42" s="94">
        <f t="shared" si="20"/>
        <v>0</v>
      </c>
      <c r="AI42" s="1723"/>
      <c r="AJ42" s="1039"/>
      <c r="AK42" s="1043"/>
      <c r="AL42" s="1045"/>
      <c r="AM42" s="47" t="str">
        <f>B41</f>
        <v>Blank ZigZag - Carcaças de Ferraz</v>
      </c>
      <c r="AN42" s="47" t="str">
        <f>A41</f>
        <v xml:space="preserve">Meta Executiva </v>
      </c>
      <c r="AO42" s="62" t="s">
        <v>291</v>
      </c>
      <c r="AP42" s="543" t="str" cm="1">
        <f t="array" aca="1" ref="AP42" ca="1">IF(OR(AM41="",AM41=0),"",IF(SUMPRODUCT(($B$33:$B$82=AM41)*(ISNUMBER(SEARCH("Real",$P$33:$P$82)))*($R$32:$AF$32&lt;EOMONTH(TODAY(),-1)+1)*($R$33:$AF$82))=0,"",SUMPRODUCT(($B$33:$B$82=AM41)*(ISNUMBER(SEARCH("Real",$P$33:$P$82)))*($R$32:$AF$32&lt;EOMONTH(TODAY(),-1)+1)*($R$33:$AF$82))))</f>
        <v/>
      </c>
    </row>
    <row r="43" spans="1:42" ht="29.1" customHeight="1" x14ac:dyDescent="0.3">
      <c r="A43" s="1036" t="s">
        <v>2531</v>
      </c>
      <c r="B43" s="1735" t="s">
        <v>485</v>
      </c>
      <c r="C43" s="1115" t="s">
        <v>486</v>
      </c>
      <c r="D43" s="1729" t="str">
        <f>_xlfn.XLOOKUP(B43,Diadema!$C$55:$C$176,Diadema!$E$55:$E$176,"Nome do Projeto Divergente")</f>
        <v>Soldar os Boomerang na célula 10 (robô), que atualmente são soldados em cabines manuais (redução de 1MOD)</v>
      </c>
      <c r="E43" s="1113" t="s">
        <v>2538</v>
      </c>
      <c r="F43" s="1731">
        <f>_xlfn.XLOOKUP(B43,Diadema!$C$55:$C$176,Diadema!$G$55:$G$176,"Nome do Projeto Divergente")</f>
        <v>46113</v>
      </c>
      <c r="G43" s="1731">
        <f>_xlfn.XLOOKUP(B43,Diadema!$C$55:$C$176,Diadema!$H$55:$H$176,"Nome do Projeto Divergente")</f>
        <v>46203</v>
      </c>
      <c r="H43" s="1046">
        <f>_xlfn.XLOOKUP(B43,Diadema!$C$55:$C$176,Diadema!$I$55:$I$176,"Nome do Projeto Divergente")</f>
        <v>96000</v>
      </c>
      <c r="I43" s="1158">
        <f>_xlfn.XLOOKUP(B43,Diadema!$C$55:$C$176,Diadema!$J$55:$J$176,"Nome do Projeto Divergente")</f>
        <v>46204</v>
      </c>
      <c r="J43" s="1121">
        <f>_xlfn.XLOOKUP(B43,Diadema!$C$55:$C$176,Diadema!$K$55:$K$176,"Nome do Projeto Divergente")</f>
        <v>6</v>
      </c>
      <c r="K43" s="1074"/>
      <c r="L43" s="1682" t="s">
        <v>488</v>
      </c>
      <c r="M43" s="1682"/>
      <c r="N43" s="1074" t="s">
        <v>83</v>
      </c>
      <c r="O43" s="1057" t="s">
        <v>21</v>
      </c>
      <c r="P43" s="91" t="s">
        <v>106</v>
      </c>
      <c r="Q43" s="91">
        <v>0</v>
      </c>
      <c r="R43" s="309">
        <f>IFERROR(IF(AND(R$32&gt;=EOMONTH($I43,-1)+1,R$32&lt;=EOMONTH(EOMONTH($I43,-1)+1,$J43-1)),IF(NOT(ISBLANK($M43)),$M43/$J43,$H43/$J43),0),0)</f>
        <v>0</v>
      </c>
      <c r="S43" s="309">
        <f>IFERROR(IF(AND(S$32&gt;=EOMONTH($I43,-1)+1,S$32&lt;=EOMONTH(EOMONTH($I43,-1)+1,$J43-1)),IF(NOT(ISBLANK($M43)),$M43/$J43,$H43/$J43),0),0)</f>
        <v>0</v>
      </c>
      <c r="T43" s="309">
        <f>IFERROR(IF(AND(T$32&gt;=EOMONTH($I43,-1)+1,T$32&lt;=EOMONTH(EOMONTH($I43,-1)+1,$J43-1)),IF(NOT(ISBLANK($M43)),$M43/$J43,$H43/$J43),0),0)</f>
        <v>0</v>
      </c>
      <c r="U43" s="469">
        <f t="shared" si="29"/>
        <v>0</v>
      </c>
      <c r="V43" s="309">
        <f>IFERROR(IF(AND(V$32&gt;=EOMONTH($I43,-1)+1,V$32&lt;=EOMONTH(EOMONTH($I43,-1)+1,$J43-1)),IF(NOT(ISBLANK($M43)),$M43/$J43,$H43/$J43),0),0)</f>
        <v>0</v>
      </c>
      <c r="W43" s="309">
        <f>IFERROR(IF(AND(W$32&gt;=EOMONTH($I43,-1)+1,W$32&lt;=EOMONTH(EOMONTH($I43,-1)+1,$J43-1)),IF(NOT(ISBLANK($M43)),$M43/$J43,$H43/$J43),0),0)</f>
        <v>0</v>
      </c>
      <c r="X43" s="309">
        <f>IFERROR(IF(AND(X$32&gt;=EOMONTH($I43,-1)+1,X$32&lt;=EOMONTH(EOMONTH($I43,-1)+1,$J43-1)),IF(NOT(ISBLANK($M43)),$M43/$J43,$H43/$J43),0),0)</f>
        <v>0</v>
      </c>
      <c r="Y43" s="469">
        <f t="shared" si="30"/>
        <v>0</v>
      </c>
      <c r="Z43" s="309">
        <f>IFERROR(IF(AND(Z$32&gt;=EOMONTH($I43,-1)+1,Z$32&lt;=EOMONTH(EOMONTH($I43,-1)+1,$J43-1)),IF(NOT(ISBLANK($M43)),$M43/$J43,$H43/$J43),0),0)</f>
        <v>16000</v>
      </c>
      <c r="AA43" s="309">
        <f>IFERROR(IF(AND(AA$32&gt;=EOMONTH($I43,-1)+1,AA$32&lt;=EOMONTH(EOMONTH($I43,-1)+1,$J43-1)),IF(NOT(ISBLANK($M43)),$M43/$J43,$H43/$J43),0),0)</f>
        <v>16000</v>
      </c>
      <c r="AB43" s="309">
        <f>IFERROR(IF(AND(AB$32&gt;=EOMONTH($I43,-1)+1,AB$32&lt;=EOMONTH(EOMONTH($I43,-1)+1,$J43-1)),IF(NOT(ISBLANK($M43)),$M43/$J43,$H43/$J43),0),0)</f>
        <v>16000</v>
      </c>
      <c r="AC43" s="469">
        <f t="shared" si="31"/>
        <v>48000</v>
      </c>
      <c r="AD43" s="309">
        <f>IFERROR(IF(AND(AD$32&gt;=EOMONTH($I43,-1)+1,AD$32&lt;=EOMONTH(EOMONTH($I43,-1)+1,$J43-1)),IF(NOT(ISBLANK($M43)),$M43/$J43,$H43/$J43),0),0)</f>
        <v>16000</v>
      </c>
      <c r="AE43" s="309">
        <f>IFERROR(IF(AND(AE$32&gt;=EOMONTH($I43,-1)+1,AE$32&lt;=EOMONTH(EOMONTH($I43,-1)+1,$J43-1)),IF(NOT(ISBLANK($M43)),$M43/$J43,$H43/$J43),0),0)</f>
        <v>16000</v>
      </c>
      <c r="AF43" s="309">
        <f>IFERROR(IF(AND(AF$32&gt;=EOMONTH($I43,-1)+1,AF$32&lt;=EOMONTH(EOMONTH($I43,-1)+1,$J43-1)),IF(NOT(ISBLANK($M43)),$M43/$J43,$H43/$J43),0),0)</f>
        <v>16000</v>
      </c>
      <c r="AG43" s="469">
        <f t="shared" si="19"/>
        <v>48000</v>
      </c>
      <c r="AH43" s="116">
        <f t="shared" si="20"/>
        <v>96000</v>
      </c>
      <c r="AI43" s="1074"/>
      <c r="AJ43" s="1040"/>
      <c r="AK43" s="1048"/>
      <c r="AL43" s="1046" t="e">
        <f>L43*AK43</f>
        <v>#VALUE!</v>
      </c>
      <c r="AM43" s="47" t="str">
        <f>B43</f>
        <v>43 - Automação Boomerang</v>
      </c>
      <c r="AN43" s="47" t="str">
        <f>A43</f>
        <v xml:space="preserve">Meta Executiva </v>
      </c>
      <c r="AO43" s="62" t="s">
        <v>289</v>
      </c>
      <c r="AP43" s="543" t="str" cm="1">
        <f t="array" aca="1" ref="AP43" ca="1">IF(OR(AM43="",AM43=0),"",IF(SUMPRODUCT(($B$33:$B$82=AM43)*($P$33:$P$82="Previsto")*($R$32:$AF$32&lt;EOMONTH(TODAY(),-1)+1)*($R$33:$AF$82))=0,"",SUMPRODUCT(($B$33:$B$82=AM43)*($P$33:$P$82="Previsto")*($R$32:$AF$32&lt;EOMONTH(TODAY(),-1)+1)*($R$33:$AF$82))))</f>
        <v/>
      </c>
    </row>
    <row r="44" spans="1:42" ht="29.1" customHeight="1" x14ac:dyDescent="0.3">
      <c r="A44" s="1037"/>
      <c r="B44" s="1736"/>
      <c r="C44" s="1116"/>
      <c r="D44" s="1730"/>
      <c r="E44" s="1114"/>
      <c r="F44" s="1732"/>
      <c r="G44" s="1732"/>
      <c r="H44" s="1047"/>
      <c r="I44" s="1159"/>
      <c r="J44" s="1122"/>
      <c r="K44" s="1075"/>
      <c r="L44" s="1683"/>
      <c r="M44" s="1683"/>
      <c r="N44" s="1075"/>
      <c r="O44" s="1058"/>
      <c r="P44" s="91" t="s">
        <v>107</v>
      </c>
      <c r="Q44" s="484">
        <v>0</v>
      </c>
      <c r="R44" s="309"/>
      <c r="S44" s="309"/>
      <c r="T44" s="309"/>
      <c r="U44" s="469">
        <f t="shared" si="29"/>
        <v>0</v>
      </c>
      <c r="V44" s="309"/>
      <c r="W44" s="309"/>
      <c r="X44" s="309"/>
      <c r="Y44" s="469">
        <f t="shared" si="30"/>
        <v>0</v>
      </c>
      <c r="Z44" s="309"/>
      <c r="AA44" s="309"/>
      <c r="AB44" s="309"/>
      <c r="AC44" s="469">
        <f t="shared" si="31"/>
        <v>0</v>
      </c>
      <c r="AD44" s="309"/>
      <c r="AE44" s="309"/>
      <c r="AF44" s="309"/>
      <c r="AG44" s="469">
        <f t="shared" si="19"/>
        <v>0</v>
      </c>
      <c r="AH44" s="483">
        <f t="shared" si="20"/>
        <v>0</v>
      </c>
      <c r="AI44" s="1075"/>
      <c r="AJ44" s="1041"/>
      <c r="AK44" s="1049"/>
      <c r="AL44" s="1047"/>
      <c r="AM44" s="47" t="str">
        <f>B43</f>
        <v>43 - Automação Boomerang</v>
      </c>
      <c r="AN44" s="47" t="str">
        <f>A43</f>
        <v xml:space="preserve">Meta Executiva </v>
      </c>
      <c r="AO44" s="62" t="s">
        <v>291</v>
      </c>
      <c r="AP44" s="543" t="str" cm="1">
        <f t="array" aca="1" ref="AP44" ca="1">IF(OR(AM43="",AM43=0),"",IF(SUMPRODUCT(($B$33:$B$82=AM43)*(ISNUMBER(SEARCH("Real",$P$33:$P$82)))*($R$32:$AF$32&lt;EOMONTH(TODAY(),-1)+1)*($R$33:$AF$82))=0,"",SUMPRODUCT(($B$33:$B$82=AM43)*(ISNUMBER(SEARCH("Real",$P$33:$P$82)))*($R$32:$AF$32&lt;EOMONTH(TODAY(),-1)+1)*($R$33:$AF$82))))</f>
        <v/>
      </c>
    </row>
    <row r="45" spans="1:42" ht="29.1" customHeight="1" x14ac:dyDescent="0.3">
      <c r="A45" s="1038" t="s">
        <v>2531</v>
      </c>
      <c r="B45" s="1095" t="s">
        <v>2539</v>
      </c>
      <c r="C45" s="1095"/>
      <c r="D45" s="1456" t="str">
        <f>_xlfn.XLOOKUP(B45,Diadema!$C$55:$C$176,Diadema!$E$55:$E$176,"Nome do Projeto Divergente")</f>
        <v>Nome do Projeto Divergente</v>
      </c>
      <c r="E45" s="1095" t="s">
        <v>2538</v>
      </c>
      <c r="F45" s="1725" t="str">
        <f>_xlfn.XLOOKUP(B45,Diadema!$C$55:$C$176,Diadema!$G$55:$G$176,"Nome do Projeto Divergente")</f>
        <v>Nome do Projeto Divergente</v>
      </c>
      <c r="G45" s="1725" t="str">
        <f>_xlfn.XLOOKUP(B45,Diadema!$C$55:$C$176,Diadema!$H$55:$H$176,"Nome do Projeto Divergente")</f>
        <v>Nome do Projeto Divergente</v>
      </c>
      <c r="H45" s="1727" t="str">
        <f>_xlfn.XLOOKUP(B45,Diadema!$C$55:$C$176,Diadema!$I$55:$I$176,"Nome do Projeto Divergente")</f>
        <v>Nome do Projeto Divergente</v>
      </c>
      <c r="I45" s="1154" t="str">
        <f>_xlfn.XLOOKUP(B45,Diadema!$C$55:$C$176,Diadema!$J$55:$J$176,"Nome do Projeto Divergente")</f>
        <v>Nome do Projeto Divergente</v>
      </c>
      <c r="J45" s="1213" t="str">
        <f>_xlfn.XLOOKUP(B45,Diadema!$C$55:$C$176,Diadema!$K$55:$K$176,"Nome do Projeto Divergente")</f>
        <v>Nome do Projeto Divergente</v>
      </c>
      <c r="K45" s="1076"/>
      <c r="L45" s="1733" t="e">
        <f>_xlfn.XLOOKUP(B45,Diadema!$C$55:$C$176,Diadema!L177:L186,"Nome do Projeto Divergente")</f>
        <v>#VALUE!</v>
      </c>
      <c r="M45" s="1733" t="str">
        <f>_xlfn.XLOOKUP(B45,Diadema!$C$55:$C$176,Diadema!$N$55:$N$176,"Nome do Projeto Divergente")</f>
        <v>Nome do Projeto Divergente</v>
      </c>
      <c r="N45" s="1072" t="s">
        <v>83</v>
      </c>
      <c r="O45" s="1042" t="s">
        <v>21</v>
      </c>
      <c r="P45" s="96" t="s">
        <v>106</v>
      </c>
      <c r="Q45" s="96">
        <v>0</v>
      </c>
      <c r="R45" s="532">
        <f>IFERROR(IF(AND(R$32&gt;=EOMONTH($I45,-1)+1,R$32&lt;=EOMONTH(EOMONTH($I45,-1)+1,$J45-1)),IF(NOT(ISBLANK($M45)),$M45/$J45,$H45/$J45),0),0)</f>
        <v>0</v>
      </c>
      <c r="S45" s="532">
        <f>IFERROR(IF(AND(S$32&gt;=EOMONTH($I45,-1)+1,S$32&lt;=EOMONTH(EOMONTH($I45,-1)+1,$J45-1)),IF(NOT(ISBLANK($M45)),$M45/$J45,$H45/$J45),0),0)</f>
        <v>0</v>
      </c>
      <c r="T45" s="532">
        <f>IFERROR(IF(AND(T$32&gt;=EOMONTH($I45,-1)+1,T$32&lt;=EOMONTH(EOMONTH($I45,-1)+1,$J45-1)),IF(NOT(ISBLANK($M45)),$M45/$J45,$H45/$J45),0),0)</f>
        <v>0</v>
      </c>
      <c r="U45" s="469">
        <f t="shared" si="29"/>
        <v>0</v>
      </c>
      <c r="V45" s="532">
        <f>IFERROR(IF(AND(V$32&gt;=EOMONTH($I45,-1)+1,V$32&lt;=EOMONTH(EOMONTH($I45,-1)+1,$J45-1)),IF(NOT(ISBLANK($M45)),$M45/$J45,$H45/$J45),0),0)</f>
        <v>0</v>
      </c>
      <c r="W45" s="532">
        <f>IFERROR(IF(AND(W$32&gt;=EOMONTH($I45,-1)+1,W$32&lt;=EOMONTH(EOMONTH($I45,-1)+1,$J45-1)),IF(NOT(ISBLANK($M45)),$M45/$J45,$H45/$J45),0),0)</f>
        <v>0</v>
      </c>
      <c r="X45" s="532">
        <f>IFERROR(IF(AND(X$32&gt;=EOMONTH($I45,-1)+1,X$32&lt;=EOMONTH(EOMONTH($I45,-1)+1,$J45-1)),IF(NOT(ISBLANK($M45)),$M45/$J45,$H45/$J45),0),0)</f>
        <v>0</v>
      </c>
      <c r="Y45" s="469">
        <f t="shared" si="30"/>
        <v>0</v>
      </c>
      <c r="Z45" s="532">
        <f>IFERROR(IF(AND(Z$32&gt;=EOMONTH($I45,-1)+1,Z$32&lt;=EOMONTH(EOMONTH($I45,-1)+1,$J45-1)),IF(NOT(ISBLANK($M45)),$M45/$J45,$H45/$J45),0),0)</f>
        <v>0</v>
      </c>
      <c r="AA45" s="532">
        <f>IFERROR(IF(AND(AA$32&gt;=EOMONTH($I45,-1)+1,AA$32&lt;=EOMONTH(EOMONTH($I45,-1)+1,$J45-1)),IF(NOT(ISBLANK($M45)),$M45/$J45,$H45/$J45),0),0)</f>
        <v>0</v>
      </c>
      <c r="AB45" s="532">
        <f>IFERROR(IF(AND(AB$32&gt;=EOMONTH($I45,-1)+1,AB$32&lt;=EOMONTH(EOMONTH($I45,-1)+1,$J45-1)),IF(NOT(ISBLANK($M45)),$M45/$J45,$H45/$J45),0),0)</f>
        <v>0</v>
      </c>
      <c r="AC45" s="469">
        <f t="shared" si="31"/>
        <v>0</v>
      </c>
      <c r="AD45" s="532">
        <f>IFERROR(IF(AND(AD$32&gt;=EOMONTH($I45,-1)+1,AD$32&lt;=EOMONTH(EOMONTH($I45,-1)+1,$J45-1)),IF(NOT(ISBLANK($M45)),$M45/$J45,$H45/$J45),0),0)</f>
        <v>0</v>
      </c>
      <c r="AE45" s="532">
        <f>IFERROR(IF(AND(AE$32&gt;=EOMONTH($I45,-1)+1,AE$32&lt;=EOMONTH(EOMONTH($I45,-1)+1,$J45-1)),IF(NOT(ISBLANK($M45)),$M45/$J45,$H45/$J45),0),0)</f>
        <v>0</v>
      </c>
      <c r="AF45" s="532">
        <f>IFERROR(IF(AND(AF$32&gt;=EOMONTH($I45,-1)+1,AF$32&lt;=EOMONTH(EOMONTH($I45,-1)+1,$J45-1)),IF(NOT(ISBLANK($M45)),$M45/$J45,$H45/$J45),0),0)</f>
        <v>0</v>
      </c>
      <c r="AG45" s="469">
        <f t="shared" si="19"/>
        <v>0</v>
      </c>
      <c r="AH45" s="94">
        <f t="shared" si="20"/>
        <v>0</v>
      </c>
      <c r="AI45" s="1722"/>
      <c r="AJ45" s="1038"/>
      <c r="AK45" s="1042"/>
      <c r="AL45" s="1044" t="e">
        <f>L45*AK45</f>
        <v>#VALUE!</v>
      </c>
      <c r="AM45" s="47" t="str">
        <f>B45</f>
        <v>proj2 - Boca de fogão Volvo</v>
      </c>
      <c r="AN45" s="47" t="str">
        <f>A45</f>
        <v xml:space="preserve">Meta Executiva </v>
      </c>
      <c r="AO45" s="62" t="s">
        <v>289</v>
      </c>
      <c r="AP45" s="543" t="str" cm="1">
        <f t="array" aca="1" ref="AP45" ca="1">IF(OR(AM45="",AM45=0),"",IF(SUMPRODUCT(($B$33:$B$82=AM45)*($P$33:$P$82="Previsto")*($R$32:$AF$32&lt;EOMONTH(TODAY(),-1)+1)*($R$33:$AF$82))=0,"",SUMPRODUCT(($B$33:$B$82=AM45)*($P$33:$P$82="Previsto")*($R$32:$AF$32&lt;EOMONTH(TODAY(),-1)+1)*($R$33:$AF$82))))</f>
        <v/>
      </c>
    </row>
    <row r="46" spans="1:42" ht="29.1" customHeight="1" x14ac:dyDescent="0.3">
      <c r="A46" s="1039"/>
      <c r="B46" s="1096"/>
      <c r="C46" s="1096"/>
      <c r="D46" s="1457"/>
      <c r="E46" s="1096"/>
      <c r="F46" s="1726"/>
      <c r="G46" s="1726"/>
      <c r="H46" s="1728"/>
      <c r="I46" s="1155"/>
      <c r="J46" s="1214"/>
      <c r="K46" s="1077"/>
      <c r="L46" s="1734"/>
      <c r="M46" s="1734"/>
      <c r="N46" s="1073"/>
      <c r="O46" s="1043"/>
      <c r="P46" s="96" t="s">
        <v>107</v>
      </c>
      <c r="Q46" s="485">
        <v>0</v>
      </c>
      <c r="R46" s="486"/>
      <c r="S46" s="486"/>
      <c r="T46" s="312"/>
      <c r="U46" s="469">
        <f t="shared" si="29"/>
        <v>0</v>
      </c>
      <c r="V46" s="486"/>
      <c r="W46" s="486"/>
      <c r="X46" s="312"/>
      <c r="Y46" s="469">
        <f t="shared" si="30"/>
        <v>0</v>
      </c>
      <c r="Z46" s="486"/>
      <c r="AA46" s="486"/>
      <c r="AB46" s="312"/>
      <c r="AC46" s="469">
        <f t="shared" si="31"/>
        <v>0</v>
      </c>
      <c r="AD46" s="486"/>
      <c r="AE46" s="486"/>
      <c r="AF46" s="312"/>
      <c r="AG46" s="469">
        <f t="shared" si="19"/>
        <v>0</v>
      </c>
      <c r="AH46" s="94">
        <f t="shared" si="20"/>
        <v>0</v>
      </c>
      <c r="AI46" s="1723"/>
      <c r="AJ46" s="1039"/>
      <c r="AK46" s="1043"/>
      <c r="AL46" s="1045"/>
      <c r="AM46" s="47" t="str">
        <f>B45</f>
        <v>proj2 - Boca de fogão Volvo</v>
      </c>
      <c r="AN46" s="47" t="str">
        <f>A45</f>
        <v xml:space="preserve">Meta Executiva </v>
      </c>
      <c r="AO46" s="62" t="s">
        <v>291</v>
      </c>
      <c r="AP46" s="543" t="str" cm="1">
        <f t="array" aca="1" ref="AP46" ca="1">IF(OR(AM45="",AM45=0),"",IF(SUMPRODUCT(($B$33:$B$82=AM45)*(ISNUMBER(SEARCH("Real",$P$33:$P$82)))*($R$32:$AF$32&lt;EOMONTH(TODAY(),-1)+1)*($R$33:$AF$82))=0,"",SUMPRODUCT(($B$33:$B$82=AM45)*(ISNUMBER(SEARCH("Real",$P$33:$P$82)))*($R$32:$AF$32&lt;EOMONTH(TODAY(),-1)+1)*($R$33:$AF$82))))</f>
        <v/>
      </c>
    </row>
    <row r="47" spans="1:42" ht="29.1" customHeight="1" x14ac:dyDescent="0.3">
      <c r="A47" s="1036" t="s">
        <v>2531</v>
      </c>
      <c r="B47" s="1737" t="s">
        <v>2540</v>
      </c>
      <c r="C47" s="1113"/>
      <c r="D47" s="1303"/>
      <c r="E47" s="1040"/>
      <c r="F47" s="1117"/>
      <c r="G47" s="1117"/>
      <c r="H47" s="1046"/>
      <c r="I47" s="1158"/>
      <c r="J47" s="1121" t="str">
        <f t="shared" ref="J47" si="32">IF(I47="", "", 12 - MONTH(I47) + 1)</f>
        <v/>
      </c>
      <c r="K47" s="1074"/>
      <c r="L47" s="1307"/>
      <c r="M47" s="1307"/>
      <c r="N47" s="1074"/>
      <c r="O47" s="1057" t="s">
        <v>25</v>
      </c>
      <c r="P47" s="91" t="s">
        <v>106</v>
      </c>
      <c r="Q47" s="91">
        <v>0</v>
      </c>
      <c r="R47" s="309">
        <f>IFERROR(IF(AND(R$32&gt;=EOMONTH($I47,-1)+1,R$32&lt;=EOMONTH(EOMONTH($I47,-1)+1,$J47-1)),IF(NOT(ISBLANK($M47)),$M47/$J47,$H47/$J47),0),0)</f>
        <v>0</v>
      </c>
      <c r="S47" s="309">
        <f>IFERROR(IF(AND(S$32&gt;=EOMONTH($I47,-1)+1,S$32&lt;=EOMONTH(EOMONTH($I47,-1)+1,$J47-1)),IF(NOT(ISBLANK($M47)),$M47/$J47,$H47/$J47),0),0)</f>
        <v>0</v>
      </c>
      <c r="T47" s="309">
        <f>IFERROR(IF(AND(T$32&gt;=EOMONTH($I47,-1)+1,T$32&lt;=EOMONTH(EOMONTH($I47,-1)+1,$J47-1)),IF(NOT(ISBLANK($M47)),$M47/$J47,$H47/$J47),0),0)</f>
        <v>0</v>
      </c>
      <c r="U47" s="469">
        <f t="shared" si="29"/>
        <v>0</v>
      </c>
      <c r="V47" s="309">
        <f>IFERROR(IF(AND(V$32&gt;=EOMONTH($I47,-1)+1,V$32&lt;=EOMONTH(EOMONTH($I47,-1)+1,$J47-1)),IF(NOT(ISBLANK($M47)),$M47/$J47,$H47/$J47),0),0)</f>
        <v>0</v>
      </c>
      <c r="W47" s="309">
        <f>IFERROR(IF(AND(W$32&gt;=EOMONTH($I47,-1)+1,W$32&lt;=EOMONTH(EOMONTH($I47,-1)+1,$J47-1)),IF(NOT(ISBLANK($M47)),$M47/$J47,$H47/$J47),0),0)</f>
        <v>0</v>
      </c>
      <c r="X47" s="309">
        <f>IFERROR(IF(AND(X$32&gt;=EOMONTH($I47,-1)+1,X$32&lt;=EOMONTH(EOMONTH($I47,-1)+1,$J47-1)),IF(NOT(ISBLANK($M47)),$M47/$J47,$H47/$J47),0),0)</f>
        <v>0</v>
      </c>
      <c r="Y47" s="469">
        <f t="shared" si="30"/>
        <v>0</v>
      </c>
      <c r="Z47" s="309">
        <f>IFERROR(IF(AND(Z$32&gt;=EOMONTH($I47,-1)+1,Z$32&lt;=EOMONTH(EOMONTH($I47,-1)+1,$J47-1)),IF(NOT(ISBLANK($M47)),$M47/$J47,$H47/$J47),0),0)</f>
        <v>0</v>
      </c>
      <c r="AA47" s="309">
        <f>IFERROR(IF(AND(AA$32&gt;=EOMONTH($I47,-1)+1,AA$32&lt;=EOMONTH(EOMONTH($I47,-1)+1,$J47-1)),IF(NOT(ISBLANK($M47)),$M47/$J47,$H47/$J47),0),0)</f>
        <v>0</v>
      </c>
      <c r="AB47" s="309">
        <f>IFERROR(IF(AND(AB$32&gt;=EOMONTH($I47,-1)+1,AB$32&lt;=EOMONTH(EOMONTH($I47,-1)+1,$J47-1)),IF(NOT(ISBLANK($M47)),$M47/$J47,$H47/$J47),0),0)</f>
        <v>0</v>
      </c>
      <c r="AC47" s="469">
        <f t="shared" si="31"/>
        <v>0</v>
      </c>
      <c r="AD47" s="309">
        <f>IFERROR(IF(AND(AD$32&gt;=EOMONTH($I47,-1)+1,AD$32&lt;=EOMONTH(EOMONTH($I47,-1)+1,$J47-1)),IF(NOT(ISBLANK($M47)),$M47/$J47,$H47/$J47),0),0)</f>
        <v>0</v>
      </c>
      <c r="AE47" s="309">
        <f>IFERROR(IF(AND(AE$32&gt;=EOMONTH($I47,-1)+1,AE$32&lt;=EOMONTH(EOMONTH($I47,-1)+1,$J47-1)),IF(NOT(ISBLANK($M47)),$M47/$J47,$H47/$J47),0),0)</f>
        <v>0</v>
      </c>
      <c r="AF47" s="309">
        <f>IFERROR(IF(AND(AF$32&gt;=EOMONTH($I47,-1)+1,AF$32&lt;=EOMONTH(EOMONTH($I47,-1)+1,$J47-1)),IF(NOT(ISBLANK($M47)),$M47/$J47,$H47/$J47),0),0)</f>
        <v>0</v>
      </c>
      <c r="AG47" s="469">
        <f t="shared" si="19"/>
        <v>0</v>
      </c>
      <c r="AH47" s="116">
        <f t="shared" si="20"/>
        <v>0</v>
      </c>
      <c r="AI47" s="1074"/>
      <c r="AJ47" s="1040"/>
      <c r="AK47" s="1048"/>
      <c r="AL47" s="1046">
        <f>L47*AK47</f>
        <v>0</v>
      </c>
      <c r="AM47" s="47" t="str">
        <f>B47</f>
        <v>Desmagnetizador</v>
      </c>
      <c r="AN47" s="47" t="str">
        <f>A47</f>
        <v xml:space="preserve">Meta Executiva </v>
      </c>
      <c r="AO47" s="62" t="s">
        <v>289</v>
      </c>
      <c r="AP47" s="543" t="str" cm="1">
        <f t="array" aca="1" ref="AP47" ca="1">IF(OR(AM47="",AM47=0),"",IF(SUMPRODUCT(($B$33:$B$82=AM47)*($P$33:$P$82="Previsto")*($R$32:$AF$32&lt;EOMONTH(TODAY(),-1)+1)*($R$33:$AF$82))=0,"",SUMPRODUCT(($B$33:$B$82=AM47)*($P$33:$P$82="Previsto")*($R$32:$AF$32&lt;EOMONTH(TODAY(),-1)+1)*($R$33:$AF$82))))</f>
        <v/>
      </c>
    </row>
    <row r="48" spans="1:42" ht="29.1" customHeight="1" x14ac:dyDescent="0.3">
      <c r="A48" s="1037"/>
      <c r="B48" s="1738"/>
      <c r="C48" s="1114"/>
      <c r="D48" s="1304"/>
      <c r="E48" s="1041"/>
      <c r="F48" s="1118"/>
      <c r="G48" s="1118"/>
      <c r="H48" s="1047"/>
      <c r="I48" s="1159"/>
      <c r="J48" s="1122"/>
      <c r="K48" s="1075"/>
      <c r="L48" s="1054"/>
      <c r="M48" s="1054"/>
      <c r="N48" s="1075"/>
      <c r="O48" s="1058"/>
      <c r="P48" s="91" t="s">
        <v>107</v>
      </c>
      <c r="Q48" s="484">
        <v>0</v>
      </c>
      <c r="R48" s="309"/>
      <c r="S48" s="309"/>
      <c r="T48" s="309"/>
      <c r="U48" s="469">
        <f t="shared" si="29"/>
        <v>0</v>
      </c>
      <c r="V48" s="309"/>
      <c r="W48" s="309"/>
      <c r="X48" s="309"/>
      <c r="Y48" s="469">
        <f t="shared" si="30"/>
        <v>0</v>
      </c>
      <c r="Z48" s="309"/>
      <c r="AA48" s="309"/>
      <c r="AB48" s="309"/>
      <c r="AC48" s="469">
        <f t="shared" si="31"/>
        <v>0</v>
      </c>
      <c r="AD48" s="309"/>
      <c r="AE48" s="309"/>
      <c r="AF48" s="309"/>
      <c r="AG48" s="469">
        <f t="shared" si="19"/>
        <v>0</v>
      </c>
      <c r="AH48" s="483">
        <f t="shared" si="20"/>
        <v>0</v>
      </c>
      <c r="AI48" s="1075"/>
      <c r="AJ48" s="1041"/>
      <c r="AK48" s="1049"/>
      <c r="AL48" s="1047"/>
      <c r="AM48" s="47" t="str">
        <f>B47</f>
        <v>Desmagnetizador</v>
      </c>
      <c r="AN48" s="47" t="str">
        <f>A47</f>
        <v xml:space="preserve">Meta Executiva </v>
      </c>
      <c r="AO48" s="62" t="s">
        <v>291</v>
      </c>
      <c r="AP48" s="543" t="str" cm="1">
        <f t="array" aca="1" ref="AP48" ca="1">IF(OR(AM47="",AM47=0),"",IF(SUMPRODUCT(($B$33:$B$82=AM47)*(ISNUMBER(SEARCH("Real",$P$33:$P$82)))*($R$32:$AF$32&lt;EOMONTH(TODAY(),-1)+1)*($R$33:$AF$82))=0,"",SUMPRODUCT(($B$33:$B$82=AM47)*(ISNUMBER(SEARCH("Real",$P$33:$P$82)))*($R$32:$AF$32&lt;EOMONTH(TODAY(),-1)+1)*($R$33:$AF$82))))</f>
        <v/>
      </c>
    </row>
    <row r="49" spans="1:42" ht="29.1" customHeight="1" x14ac:dyDescent="0.3">
      <c r="A49" s="1038"/>
      <c r="B49" s="1095"/>
      <c r="C49" s="1095"/>
      <c r="D49" s="1363"/>
      <c r="E49" s="1099"/>
      <c r="F49" s="1150"/>
      <c r="G49" s="1150"/>
      <c r="H49" s="1152"/>
      <c r="I49" s="1154"/>
      <c r="J49" s="1213" t="str">
        <f t="shared" ref="J49" si="33">IF(I49="", "", 12 - MONTH(I49) + 1)</f>
        <v/>
      </c>
      <c r="K49" s="1076"/>
      <c r="L49" s="1055"/>
      <c r="M49" s="1506"/>
      <c r="N49" s="1072"/>
      <c r="O49" s="1042"/>
      <c r="P49" s="96" t="s">
        <v>106</v>
      </c>
      <c r="Q49" s="96">
        <v>0</v>
      </c>
      <c r="R49" s="532">
        <f>IFERROR(IF(AND(R$32&gt;=EOMONTH($I49,-1)+1,R$32&lt;=EOMONTH(EOMONTH($I49,-1)+1,$J49-1)),IF(NOT(ISBLANK($M49)),$M49/$J49,$H49/$J49),0),0)</f>
        <v>0</v>
      </c>
      <c r="S49" s="532">
        <f>IFERROR(IF(AND(S$32&gt;=EOMONTH($I49,-1)+1,S$32&lt;=EOMONTH(EOMONTH($I49,-1)+1,$J49-1)),IF(NOT(ISBLANK($M49)),$M49/$J49,$H49/$J49),0),0)</f>
        <v>0</v>
      </c>
      <c r="T49" s="532">
        <f>IFERROR(IF(AND(T$32&gt;=EOMONTH($I49,-1)+1,T$32&lt;=EOMONTH(EOMONTH($I49,-1)+1,$J49-1)),IF(NOT(ISBLANK($M49)),$M49/$J49,$H49/$J49),0),0)</f>
        <v>0</v>
      </c>
      <c r="U49" s="469">
        <f t="shared" si="29"/>
        <v>0</v>
      </c>
      <c r="V49" s="532">
        <f>IFERROR(IF(AND(V$32&gt;=EOMONTH($I49,-1)+1,V$32&lt;=EOMONTH(EOMONTH($I49,-1)+1,$J49-1)),IF(NOT(ISBLANK($M49)),$M49/$J49,$H49/$J49),0),0)</f>
        <v>0</v>
      </c>
      <c r="W49" s="532">
        <f>IFERROR(IF(AND(W$32&gt;=EOMONTH($I49,-1)+1,W$32&lt;=EOMONTH(EOMONTH($I49,-1)+1,$J49-1)),IF(NOT(ISBLANK($M49)),$M49/$J49,$H49/$J49),0),0)</f>
        <v>0</v>
      </c>
      <c r="X49" s="532">
        <f>IFERROR(IF(AND(X$32&gt;=EOMONTH($I49,-1)+1,X$32&lt;=EOMONTH(EOMONTH($I49,-1)+1,$J49-1)),IF(NOT(ISBLANK($M49)),$M49/$J49,$H49/$J49),0),0)</f>
        <v>0</v>
      </c>
      <c r="Y49" s="469">
        <f t="shared" si="30"/>
        <v>0</v>
      </c>
      <c r="Z49" s="532">
        <f>IFERROR(IF(AND(Z$32&gt;=EOMONTH($I49,-1)+1,Z$32&lt;=EOMONTH(EOMONTH($I49,-1)+1,$J49-1)),IF(NOT(ISBLANK($M49)),$M49/$J49,$H49/$J49),0),0)</f>
        <v>0</v>
      </c>
      <c r="AA49" s="532">
        <f>IFERROR(IF(AND(AA$32&gt;=EOMONTH($I49,-1)+1,AA$32&lt;=EOMONTH(EOMONTH($I49,-1)+1,$J49-1)),IF(NOT(ISBLANK($M49)),$M49/$J49,$H49/$J49),0),0)</f>
        <v>0</v>
      </c>
      <c r="AB49" s="532">
        <f>IFERROR(IF(AND(AB$32&gt;=EOMONTH($I49,-1)+1,AB$32&lt;=EOMONTH(EOMONTH($I49,-1)+1,$J49-1)),IF(NOT(ISBLANK($M49)),$M49/$J49,$H49/$J49),0),0)</f>
        <v>0</v>
      </c>
      <c r="AC49" s="469">
        <f t="shared" si="31"/>
        <v>0</v>
      </c>
      <c r="AD49" s="532">
        <f>IFERROR(IF(AND(AD$32&gt;=EOMONTH($I49,-1)+1,AD$32&lt;=EOMONTH(EOMONTH($I49,-1)+1,$J49-1)),IF(NOT(ISBLANK($M49)),$M49/$J49,$H49/$J49),0),0)</f>
        <v>0</v>
      </c>
      <c r="AE49" s="532">
        <f>IFERROR(IF(AND(AE$32&gt;=EOMONTH($I49,-1)+1,AE$32&lt;=EOMONTH(EOMONTH($I49,-1)+1,$J49-1)),IF(NOT(ISBLANK($M49)),$M49/$J49,$H49/$J49),0),0)</f>
        <v>0</v>
      </c>
      <c r="AF49" s="532">
        <f>IFERROR(IF(AND(AF$32&gt;=EOMONTH($I49,-1)+1,AF$32&lt;=EOMONTH(EOMONTH($I49,-1)+1,$J49-1)),IF(NOT(ISBLANK($M49)),$M49/$J49,$H49/$J49),0),0)</f>
        <v>0</v>
      </c>
      <c r="AG49" s="469">
        <f t="shared" si="19"/>
        <v>0</v>
      </c>
      <c r="AH49" s="94">
        <f t="shared" si="20"/>
        <v>0</v>
      </c>
      <c r="AI49" s="1722"/>
      <c r="AJ49" s="1038"/>
      <c r="AK49" s="1042"/>
      <c r="AL49" s="1044">
        <f>L49*AK49</f>
        <v>0</v>
      </c>
      <c r="AM49" s="47">
        <f>B49</f>
        <v>0</v>
      </c>
      <c r="AN49" s="47">
        <f>A49</f>
        <v>0</v>
      </c>
      <c r="AO49" s="62" t="s">
        <v>289</v>
      </c>
      <c r="AP49" s="543" t="str" cm="1">
        <f t="array" aca="1" ref="AP49" ca="1">IF(OR(AM49="",AM49=0),"",IF(SUMPRODUCT(($B$33:$B$82=AM49)*($P$33:$P$82="Previsto")*($R$32:$AF$32&lt;EOMONTH(TODAY(),-1)+1)*($R$33:$AF$82))=0,"",SUMPRODUCT(($B$33:$B$82=AM49)*($P$33:$P$82="Previsto")*($R$32:$AF$32&lt;EOMONTH(TODAY(),-1)+1)*($R$33:$AF$82))))</f>
        <v/>
      </c>
    </row>
    <row r="50" spans="1:42" ht="29.1" customHeight="1" x14ac:dyDescent="0.3">
      <c r="A50" s="1039"/>
      <c r="B50" s="1096"/>
      <c r="C50" s="1096"/>
      <c r="D50" s="1364"/>
      <c r="E50" s="1100"/>
      <c r="F50" s="1547"/>
      <c r="G50" s="1547"/>
      <c r="H50" s="1151"/>
      <c r="I50" s="1155"/>
      <c r="J50" s="1214"/>
      <c r="K50" s="1077"/>
      <c r="L50" s="1056"/>
      <c r="M50" s="1108"/>
      <c r="N50" s="1073"/>
      <c r="O50" s="1043"/>
      <c r="P50" s="96" t="s">
        <v>107</v>
      </c>
      <c r="Q50" s="485">
        <v>0</v>
      </c>
      <c r="R50" s="486"/>
      <c r="S50" s="486"/>
      <c r="T50" s="312"/>
      <c r="U50" s="469">
        <f t="shared" si="29"/>
        <v>0</v>
      </c>
      <c r="V50" s="486"/>
      <c r="W50" s="486"/>
      <c r="X50" s="312"/>
      <c r="Y50" s="469">
        <f t="shared" si="30"/>
        <v>0</v>
      </c>
      <c r="Z50" s="486"/>
      <c r="AA50" s="486"/>
      <c r="AB50" s="312"/>
      <c r="AC50" s="469">
        <f t="shared" si="31"/>
        <v>0</v>
      </c>
      <c r="AD50" s="486"/>
      <c r="AE50" s="486"/>
      <c r="AF50" s="312"/>
      <c r="AG50" s="469">
        <f t="shared" si="19"/>
        <v>0</v>
      </c>
      <c r="AH50" s="94">
        <f t="shared" si="20"/>
        <v>0</v>
      </c>
      <c r="AI50" s="1723"/>
      <c r="AJ50" s="1039"/>
      <c r="AK50" s="1043"/>
      <c r="AL50" s="1045"/>
      <c r="AM50" s="47">
        <f>B49</f>
        <v>0</v>
      </c>
      <c r="AN50" s="47">
        <f>A49</f>
        <v>0</v>
      </c>
      <c r="AO50" s="62" t="s">
        <v>291</v>
      </c>
      <c r="AP50" s="543" t="str" cm="1">
        <f t="array" aca="1" ref="AP50" ca="1">IF(OR(AM49="",AM49=0),"",IF(SUMPRODUCT(($B$33:$B$82=AM49)*(ISNUMBER(SEARCH("Real",$P$33:$P$82)))*($R$32:$AF$32&lt;EOMONTH(TODAY(),-1)+1)*($R$33:$AF$82))=0,"",SUMPRODUCT(($B$33:$B$82=AM49)*(ISNUMBER(SEARCH("Real",$P$33:$P$82)))*($R$32:$AF$32&lt;EOMONTH(TODAY(),-1)+1)*($R$33:$AF$82))))</f>
        <v/>
      </c>
    </row>
    <row r="51" spans="1:42" ht="29.1" customHeight="1" x14ac:dyDescent="0.3">
      <c r="A51" s="1036"/>
      <c r="B51" s="1113"/>
      <c r="C51" s="1113"/>
      <c r="D51" s="1303"/>
      <c r="E51" s="1040"/>
      <c r="F51" s="1117"/>
      <c r="G51" s="1117"/>
      <c r="H51" s="1046"/>
      <c r="I51" s="1158"/>
      <c r="J51" s="1121" t="str">
        <f t="shared" ref="J51" si="34">IF(I51="", "", 12 - MONTH(I51) + 1)</f>
        <v/>
      </c>
      <c r="K51" s="1074"/>
      <c r="L51" s="1307"/>
      <c r="M51" s="1307"/>
      <c r="N51" s="1119"/>
      <c r="O51" s="1057"/>
      <c r="P51" s="91" t="s">
        <v>106</v>
      </c>
      <c r="Q51" s="91">
        <v>0</v>
      </c>
      <c r="R51" s="309">
        <f>IFERROR(IF(AND(R$32&gt;=EOMONTH($I51,-1)+1,R$32&lt;=EOMONTH(EOMONTH($I51,-1)+1,$J51-1)),IF(NOT(ISBLANK($M51)),$M51/$J51,$H51/$J51),0),0)</f>
        <v>0</v>
      </c>
      <c r="S51" s="309">
        <f>IFERROR(IF(AND(S$32&gt;=EOMONTH($I51,-1)+1,S$32&lt;=EOMONTH(EOMONTH($I51,-1)+1,$J51-1)),IF(NOT(ISBLANK($M51)),$M51/$J51,$H51/$J51),0),0)</f>
        <v>0</v>
      </c>
      <c r="T51" s="309">
        <f>IFERROR(IF(AND(T$32&gt;=EOMONTH($I51,-1)+1,T$32&lt;=EOMONTH(EOMONTH($I51,-1)+1,$J51-1)),IF(NOT(ISBLANK($M51)),$M51/$J51,$H51/$J51),0),0)</f>
        <v>0</v>
      </c>
      <c r="U51" s="469">
        <f t="shared" si="29"/>
        <v>0</v>
      </c>
      <c r="V51" s="309">
        <f>IFERROR(IF(AND(V$32&gt;=EOMONTH($I51,-1)+1,V$32&lt;=EOMONTH(EOMONTH($I51,-1)+1,$J51-1)),IF(NOT(ISBLANK($M51)),$M51/$J51,$H51/$J51),0),0)</f>
        <v>0</v>
      </c>
      <c r="W51" s="309">
        <f>IFERROR(IF(AND(W$32&gt;=EOMONTH($I51,-1)+1,W$32&lt;=EOMONTH(EOMONTH($I51,-1)+1,$J51-1)),IF(NOT(ISBLANK($M51)),$M51/$J51,$H51/$J51),0),0)</f>
        <v>0</v>
      </c>
      <c r="X51" s="309">
        <f>IFERROR(IF(AND(X$32&gt;=EOMONTH($I51,-1)+1,X$32&lt;=EOMONTH(EOMONTH($I51,-1)+1,$J51-1)),IF(NOT(ISBLANK($M51)),$M51/$J51,$H51/$J51),0),0)</f>
        <v>0</v>
      </c>
      <c r="Y51" s="469">
        <f t="shared" si="30"/>
        <v>0</v>
      </c>
      <c r="Z51" s="309">
        <f>IFERROR(IF(AND(Z$32&gt;=EOMONTH($I51,-1)+1,Z$32&lt;=EOMONTH(EOMONTH($I51,-1)+1,$J51-1)),IF(NOT(ISBLANK($M51)),$M51/$J51,$H51/$J51),0),0)</f>
        <v>0</v>
      </c>
      <c r="AA51" s="309">
        <f>IFERROR(IF(AND(AA$32&gt;=EOMONTH($I51,-1)+1,AA$32&lt;=EOMONTH(EOMONTH($I51,-1)+1,$J51-1)),IF(NOT(ISBLANK($M51)),$M51/$J51,$H51/$J51),0),0)</f>
        <v>0</v>
      </c>
      <c r="AB51" s="309">
        <f>IFERROR(IF(AND(AB$32&gt;=EOMONTH($I51,-1)+1,AB$32&lt;=EOMONTH(EOMONTH($I51,-1)+1,$J51-1)),IF(NOT(ISBLANK($M51)),$M51/$J51,$H51/$J51),0),0)</f>
        <v>0</v>
      </c>
      <c r="AC51" s="469">
        <f t="shared" si="31"/>
        <v>0</v>
      </c>
      <c r="AD51" s="309">
        <f>IFERROR(IF(AND(AD$32&gt;=EOMONTH($I51,-1)+1,AD$32&lt;=EOMONTH(EOMONTH($I51,-1)+1,$J51-1)),IF(NOT(ISBLANK($M51)),$M51/$J51,$H51/$J51),0),0)</f>
        <v>0</v>
      </c>
      <c r="AE51" s="309">
        <f>IFERROR(IF(AND(AE$32&gt;=EOMONTH($I51,-1)+1,AE$32&lt;=EOMONTH(EOMONTH($I51,-1)+1,$J51-1)),IF(NOT(ISBLANK($M51)),$M51/$J51,$H51/$J51),0),0)</f>
        <v>0</v>
      </c>
      <c r="AF51" s="309">
        <f>IFERROR(IF(AND(AF$32&gt;=EOMONTH($I51,-1)+1,AF$32&lt;=EOMONTH(EOMONTH($I51,-1)+1,$J51-1)),IF(NOT(ISBLANK($M51)),$M51/$J51,$H51/$J51),0),0)</f>
        <v>0</v>
      </c>
      <c r="AG51" s="469">
        <f t="shared" si="19"/>
        <v>0</v>
      </c>
      <c r="AH51" s="116">
        <f t="shared" si="20"/>
        <v>0</v>
      </c>
      <c r="AI51" s="1074"/>
      <c r="AJ51" s="1040"/>
      <c r="AK51" s="1048"/>
      <c r="AL51" s="1046">
        <f>L51*AK51</f>
        <v>0</v>
      </c>
      <c r="AM51" s="47">
        <f>B51</f>
        <v>0</v>
      </c>
      <c r="AN51" s="47">
        <f>A51</f>
        <v>0</v>
      </c>
      <c r="AO51" s="62" t="s">
        <v>289</v>
      </c>
      <c r="AP51" s="543" t="str" cm="1">
        <f t="array" aca="1" ref="AP51" ca="1">IF(OR(AM51="",AM51=0),"",IF(SUMPRODUCT(($B$33:$B$82=AM51)*($P$33:$P$82="Previsto")*($R$32:$AF$32&lt;EOMONTH(TODAY(),-1)+1)*($R$33:$AF$82))=0,"",SUMPRODUCT(($B$33:$B$82=AM51)*($P$33:$P$82="Previsto")*($R$32:$AF$32&lt;EOMONTH(TODAY(),-1)+1)*($R$33:$AF$82))))</f>
        <v/>
      </c>
    </row>
    <row r="52" spans="1:42" ht="29.1" customHeight="1" x14ac:dyDescent="0.3">
      <c r="A52" s="1037"/>
      <c r="B52" s="1114"/>
      <c r="C52" s="1114"/>
      <c r="D52" s="1304"/>
      <c r="E52" s="1041"/>
      <c r="F52" s="1118"/>
      <c r="G52" s="1118"/>
      <c r="H52" s="1047"/>
      <c r="I52" s="1159"/>
      <c r="J52" s="1122"/>
      <c r="K52" s="1075"/>
      <c r="L52" s="1054"/>
      <c r="M52" s="1054"/>
      <c r="N52" s="1120"/>
      <c r="O52" s="1058"/>
      <c r="P52" s="91" t="s">
        <v>107</v>
      </c>
      <c r="Q52" s="484">
        <v>0</v>
      </c>
      <c r="R52" s="309"/>
      <c r="S52" s="309"/>
      <c r="T52" s="309"/>
      <c r="U52" s="469">
        <f t="shared" si="29"/>
        <v>0</v>
      </c>
      <c r="V52" s="309"/>
      <c r="W52" s="309"/>
      <c r="X52" s="309"/>
      <c r="Y52" s="469">
        <f t="shared" si="30"/>
        <v>0</v>
      </c>
      <c r="Z52" s="309"/>
      <c r="AA52" s="309"/>
      <c r="AB52" s="309"/>
      <c r="AC52" s="469">
        <f t="shared" si="31"/>
        <v>0</v>
      </c>
      <c r="AD52" s="309"/>
      <c r="AE52" s="309"/>
      <c r="AF52" s="309"/>
      <c r="AG52" s="469">
        <f t="shared" si="19"/>
        <v>0</v>
      </c>
      <c r="AH52" s="483">
        <f t="shared" si="20"/>
        <v>0</v>
      </c>
      <c r="AI52" s="1075"/>
      <c r="AJ52" s="1041"/>
      <c r="AK52" s="1049"/>
      <c r="AL52" s="1047"/>
      <c r="AM52" s="47">
        <f>B51</f>
        <v>0</v>
      </c>
      <c r="AN52" s="47">
        <f>A51</f>
        <v>0</v>
      </c>
      <c r="AO52" s="62" t="s">
        <v>291</v>
      </c>
      <c r="AP52" s="543" t="str" cm="1">
        <f t="array" aca="1" ref="AP52" ca="1">IF(OR(AM51="",AM51=0),"",IF(SUMPRODUCT(($B$33:$B$82=AM51)*(ISNUMBER(SEARCH("Real",$P$33:$P$82)))*($R$32:$AF$32&lt;EOMONTH(TODAY(),-1)+1)*($R$33:$AF$82))=0,"",SUMPRODUCT(($B$33:$B$82=AM51)*(ISNUMBER(SEARCH("Real",$P$33:$P$82)))*($R$32:$AF$32&lt;EOMONTH(TODAY(),-1)+1)*($R$33:$AF$82))))</f>
        <v/>
      </c>
    </row>
    <row r="53" spans="1:42" ht="29.1" customHeight="1" x14ac:dyDescent="0.3">
      <c r="A53" s="1038"/>
      <c r="B53" s="1095"/>
      <c r="C53" s="1095"/>
      <c r="D53" s="1363"/>
      <c r="E53" s="1363"/>
      <c r="F53" s="1150"/>
      <c r="G53" s="1150"/>
      <c r="H53" s="1152"/>
      <c r="I53" s="1154"/>
      <c r="J53" s="1213" t="str">
        <f t="shared" ref="J53" si="35">IF(I53="", "", 12 - MONTH(I53) + 1)</f>
        <v/>
      </c>
      <c r="K53" s="1076"/>
      <c r="L53" s="1055"/>
      <c r="M53" s="1506"/>
      <c r="N53" s="1072"/>
      <c r="O53" s="1042"/>
      <c r="P53" s="96" t="s">
        <v>106</v>
      </c>
      <c r="Q53" s="96">
        <v>0</v>
      </c>
      <c r="R53" s="532">
        <f>IFERROR(IF(AND(R$32&gt;=EOMONTH($I53,-1)+1,R$32&lt;=EOMONTH(EOMONTH($I53,-1)+1,$J53-1)),IF(NOT(ISBLANK($M53)),$M53/$J53,$H53/$J53),0),0)</f>
        <v>0</v>
      </c>
      <c r="S53" s="532">
        <f>IFERROR(IF(AND(S$32&gt;=EOMONTH($I53,-1)+1,S$32&lt;=EOMONTH(EOMONTH($I53,-1)+1,$J53-1)),IF(NOT(ISBLANK($M53)),$M53/$J53,$H53/$J53),0),0)</f>
        <v>0</v>
      </c>
      <c r="T53" s="532">
        <f>IFERROR(IF(AND(T$32&gt;=EOMONTH($I53,-1)+1,T$32&lt;=EOMONTH(EOMONTH($I53,-1)+1,$J53-1)),IF(NOT(ISBLANK($M53)),$M53/$J53,$H53/$J53),0),0)</f>
        <v>0</v>
      </c>
      <c r="U53" s="469">
        <f t="shared" si="29"/>
        <v>0</v>
      </c>
      <c r="V53" s="532">
        <f>IFERROR(IF(AND(V$32&gt;=EOMONTH($I53,-1)+1,V$32&lt;=EOMONTH(EOMONTH($I53,-1)+1,$J53-1)),IF(NOT(ISBLANK($M53)),$M53/$J53,$H53/$J53),0),0)</f>
        <v>0</v>
      </c>
      <c r="W53" s="532">
        <f>IFERROR(IF(AND(W$32&gt;=EOMONTH($I53,-1)+1,W$32&lt;=EOMONTH(EOMONTH($I53,-1)+1,$J53-1)),IF(NOT(ISBLANK($M53)),$M53/$J53,$H53/$J53),0),0)</f>
        <v>0</v>
      </c>
      <c r="X53" s="532">
        <f>IFERROR(IF(AND(X$32&gt;=EOMONTH($I53,-1)+1,X$32&lt;=EOMONTH(EOMONTH($I53,-1)+1,$J53-1)),IF(NOT(ISBLANK($M53)),$M53/$J53,$H53/$J53),0),0)</f>
        <v>0</v>
      </c>
      <c r="Y53" s="469">
        <f t="shared" si="30"/>
        <v>0</v>
      </c>
      <c r="Z53" s="532">
        <f>IFERROR(IF(AND(Z$32&gt;=EOMONTH($I53,-1)+1,Z$32&lt;=EOMONTH(EOMONTH($I53,-1)+1,$J53-1)),IF(NOT(ISBLANK($M53)),$M53/$J53,$H53/$J53),0),0)</f>
        <v>0</v>
      </c>
      <c r="AA53" s="532">
        <f>IFERROR(IF(AND(AA$32&gt;=EOMONTH($I53,-1)+1,AA$32&lt;=EOMONTH(EOMONTH($I53,-1)+1,$J53-1)),IF(NOT(ISBLANK($M53)),$M53/$J53,$H53/$J53),0),0)</f>
        <v>0</v>
      </c>
      <c r="AB53" s="532">
        <f>IFERROR(IF(AND(AB$32&gt;=EOMONTH($I53,-1)+1,AB$32&lt;=EOMONTH(EOMONTH($I53,-1)+1,$J53-1)),IF(NOT(ISBLANK($M53)),$M53/$J53,$H53/$J53),0),0)</f>
        <v>0</v>
      </c>
      <c r="AC53" s="469">
        <f t="shared" si="31"/>
        <v>0</v>
      </c>
      <c r="AD53" s="532">
        <f>IFERROR(IF(AND(AD$32&gt;=EOMONTH($I53,-1)+1,AD$32&lt;=EOMONTH(EOMONTH($I53,-1)+1,$J53-1)),IF(NOT(ISBLANK($M53)),$M53/$J53,$H53/$J53),0),0)</f>
        <v>0</v>
      </c>
      <c r="AE53" s="532">
        <f>IFERROR(IF(AND(AE$32&gt;=EOMONTH($I53,-1)+1,AE$32&lt;=EOMONTH(EOMONTH($I53,-1)+1,$J53-1)),IF(NOT(ISBLANK($M53)),$M53/$J53,$H53/$J53),0),0)</f>
        <v>0</v>
      </c>
      <c r="AF53" s="532">
        <f>IFERROR(IF(AND(AF$32&gt;=EOMONTH($I53,-1)+1,AF$32&lt;=EOMONTH(EOMONTH($I53,-1)+1,$J53-1)),IF(NOT(ISBLANK($M53)),$M53/$J53,$H53/$J53),0),0)</f>
        <v>0</v>
      </c>
      <c r="AG53" s="469">
        <f t="shared" si="19"/>
        <v>0</v>
      </c>
      <c r="AH53" s="94">
        <f t="shared" si="20"/>
        <v>0</v>
      </c>
      <c r="AI53" s="1722"/>
      <c r="AJ53" s="1038"/>
      <c r="AK53" s="1042"/>
      <c r="AL53" s="1044">
        <f>L53*AK53</f>
        <v>0</v>
      </c>
      <c r="AM53" s="47">
        <f>B53</f>
        <v>0</v>
      </c>
      <c r="AN53" s="47">
        <f>A53</f>
        <v>0</v>
      </c>
      <c r="AO53" s="62" t="s">
        <v>289</v>
      </c>
      <c r="AP53" s="543" t="str" cm="1">
        <f t="array" aca="1" ref="AP53" ca="1">IF(OR(AM53="",AM53=0),"",IF(SUMPRODUCT(($B$33:$B$82=AM53)*($P$33:$P$82="Previsto")*($R$32:$AF$32&lt;EOMONTH(TODAY(),-1)+1)*($R$33:$AF$82))=0,"",SUMPRODUCT(($B$33:$B$82=AM53)*($P$33:$P$82="Previsto")*($R$32:$AF$32&lt;EOMONTH(TODAY(),-1)+1)*($R$33:$AF$82))))</f>
        <v/>
      </c>
    </row>
    <row r="54" spans="1:42" ht="29.1" customHeight="1" x14ac:dyDescent="0.3">
      <c r="A54" s="1039"/>
      <c r="B54" s="1096"/>
      <c r="C54" s="1096"/>
      <c r="D54" s="1364"/>
      <c r="E54" s="1364"/>
      <c r="F54" s="1547"/>
      <c r="G54" s="1547"/>
      <c r="H54" s="1151"/>
      <c r="I54" s="1155"/>
      <c r="J54" s="1214"/>
      <c r="K54" s="1077"/>
      <c r="L54" s="1056"/>
      <c r="M54" s="1108"/>
      <c r="N54" s="1073"/>
      <c r="O54" s="1043"/>
      <c r="P54" s="96" t="s">
        <v>107</v>
      </c>
      <c r="Q54" s="485">
        <v>0</v>
      </c>
      <c r="R54" s="486"/>
      <c r="S54" s="486"/>
      <c r="T54" s="312"/>
      <c r="U54" s="469">
        <f t="shared" si="29"/>
        <v>0</v>
      </c>
      <c r="V54" s="486"/>
      <c r="W54" s="486"/>
      <c r="X54" s="312"/>
      <c r="Y54" s="469">
        <f t="shared" si="30"/>
        <v>0</v>
      </c>
      <c r="Z54" s="486"/>
      <c r="AA54" s="486"/>
      <c r="AB54" s="312"/>
      <c r="AC54" s="469">
        <f t="shared" si="31"/>
        <v>0</v>
      </c>
      <c r="AD54" s="486"/>
      <c r="AE54" s="486"/>
      <c r="AF54" s="312"/>
      <c r="AG54" s="469">
        <f t="shared" si="19"/>
        <v>0</v>
      </c>
      <c r="AH54" s="94">
        <f t="shared" si="20"/>
        <v>0</v>
      </c>
      <c r="AI54" s="1723"/>
      <c r="AJ54" s="1039"/>
      <c r="AK54" s="1043"/>
      <c r="AL54" s="1045"/>
      <c r="AM54" s="47">
        <f>B53</f>
        <v>0</v>
      </c>
      <c r="AN54" s="47">
        <f>A53</f>
        <v>0</v>
      </c>
      <c r="AO54" s="62" t="s">
        <v>291</v>
      </c>
      <c r="AP54" s="543" t="str" cm="1">
        <f t="array" aca="1" ref="AP54" ca="1">IF(OR(AM53="",AM53=0),"",IF(SUMPRODUCT(($B$33:$B$82=AM53)*(ISNUMBER(SEARCH("Real",$P$33:$P$82)))*($R$32:$AF$32&lt;EOMONTH(TODAY(),-1)+1)*($R$33:$AF$82))=0,"",SUMPRODUCT(($B$33:$B$82=AM53)*(ISNUMBER(SEARCH("Real",$P$33:$P$82)))*($R$32:$AF$32&lt;EOMONTH(TODAY(),-1)+1)*($R$33:$AF$82))))</f>
        <v/>
      </c>
    </row>
    <row r="55" spans="1:42" ht="29.1" customHeight="1" x14ac:dyDescent="0.3">
      <c r="A55" s="1036"/>
      <c r="B55" s="1113"/>
      <c r="C55" s="1113"/>
      <c r="D55" s="1303"/>
      <c r="E55" s="1040"/>
      <c r="F55" s="1117"/>
      <c r="G55" s="1117"/>
      <c r="H55" s="1046"/>
      <c r="I55" s="1158"/>
      <c r="J55" s="1121" t="str">
        <f t="shared" ref="J55" si="36">IF(I55="", "", 12 - MONTH(I55) + 1)</f>
        <v/>
      </c>
      <c r="K55" s="1074"/>
      <c r="L55" s="1307"/>
      <c r="M55" s="1307"/>
      <c r="N55" s="1119"/>
      <c r="O55" s="1057"/>
      <c r="P55" s="91" t="s">
        <v>106</v>
      </c>
      <c r="Q55" s="91">
        <v>0</v>
      </c>
      <c r="R55" s="309">
        <f>IFERROR(IF(AND(R$32&gt;=EOMONTH($I55,-1)+1,R$32&lt;=EOMONTH(EOMONTH($I55,-1)+1,$J55-1)),IF(NOT(ISBLANK($M55)),$M55/$J55,$H55/$J55),0),0)</f>
        <v>0</v>
      </c>
      <c r="S55" s="309">
        <f>IFERROR(IF(AND(S$32&gt;=EOMONTH($I55,-1)+1,S$32&lt;=EOMONTH(EOMONTH($I55,-1)+1,$J55-1)),IF(NOT(ISBLANK($M55)),$M55/$J55,$H55/$J55),0),0)</f>
        <v>0</v>
      </c>
      <c r="T55" s="309">
        <f>IFERROR(IF(AND(T$32&gt;=EOMONTH($I55,-1)+1,T$32&lt;=EOMONTH(EOMONTH($I55,-1)+1,$J55-1)),IF(NOT(ISBLANK($M55)),$M55/$J55,$H55/$J55),0),0)</f>
        <v>0</v>
      </c>
      <c r="U55" s="469">
        <f t="shared" si="29"/>
        <v>0</v>
      </c>
      <c r="V55" s="309">
        <f>IFERROR(IF(AND(V$32&gt;=EOMONTH($I55,-1)+1,V$32&lt;=EOMONTH(EOMONTH($I55,-1)+1,$J55-1)),IF(NOT(ISBLANK($M55)),$M55/$J55,$H55/$J55),0),0)</f>
        <v>0</v>
      </c>
      <c r="W55" s="309">
        <f>IFERROR(IF(AND(W$32&gt;=EOMONTH($I55,-1)+1,W$32&lt;=EOMONTH(EOMONTH($I55,-1)+1,$J55-1)),IF(NOT(ISBLANK($M55)),$M55/$J55,$H55/$J55),0),0)</f>
        <v>0</v>
      </c>
      <c r="X55" s="309">
        <f>IFERROR(IF(AND(X$32&gt;=EOMONTH($I55,-1)+1,X$32&lt;=EOMONTH(EOMONTH($I55,-1)+1,$J55-1)),IF(NOT(ISBLANK($M55)),$M55/$J55,$H55/$J55),0),0)</f>
        <v>0</v>
      </c>
      <c r="Y55" s="469">
        <f t="shared" si="30"/>
        <v>0</v>
      </c>
      <c r="Z55" s="309">
        <f>IFERROR(IF(AND(Z$32&gt;=EOMONTH($I55,-1)+1,Z$32&lt;=EOMONTH(EOMONTH($I55,-1)+1,$J55-1)),IF(NOT(ISBLANK($M55)),$M55/$J55,$H55/$J55),0),0)</f>
        <v>0</v>
      </c>
      <c r="AA55" s="309">
        <f>IFERROR(IF(AND(AA$32&gt;=EOMONTH($I55,-1)+1,AA$32&lt;=EOMONTH(EOMONTH($I55,-1)+1,$J55-1)),IF(NOT(ISBLANK($M55)),$M55/$J55,$H55/$J55),0),0)</f>
        <v>0</v>
      </c>
      <c r="AB55" s="309">
        <f>IFERROR(IF(AND(AB$32&gt;=EOMONTH($I55,-1)+1,AB$32&lt;=EOMONTH(EOMONTH($I55,-1)+1,$J55-1)),IF(NOT(ISBLANK($M55)),$M55/$J55,$H55/$J55),0),0)</f>
        <v>0</v>
      </c>
      <c r="AC55" s="469">
        <f t="shared" si="31"/>
        <v>0</v>
      </c>
      <c r="AD55" s="309">
        <f>IFERROR(IF(AND(AD$32&gt;=EOMONTH($I55,-1)+1,AD$32&lt;=EOMONTH(EOMONTH($I55,-1)+1,$J55-1)),IF(NOT(ISBLANK($M55)),$M55/$J55,$H55/$J55),0),0)</f>
        <v>0</v>
      </c>
      <c r="AE55" s="309">
        <f>IFERROR(IF(AND(AE$32&gt;=EOMONTH($I55,-1)+1,AE$32&lt;=EOMONTH(EOMONTH($I55,-1)+1,$J55-1)),IF(NOT(ISBLANK($M55)),$M55/$J55,$H55/$J55),0),0)</f>
        <v>0</v>
      </c>
      <c r="AF55" s="309">
        <f>IFERROR(IF(AND(AF$32&gt;=EOMONTH($I55,-1)+1,AF$32&lt;=EOMONTH(EOMONTH($I55,-1)+1,$J55-1)),IF(NOT(ISBLANK($M55)),$M55/$J55,$H55/$J55),0),0)</f>
        <v>0</v>
      </c>
      <c r="AG55" s="469">
        <f t="shared" si="19"/>
        <v>0</v>
      </c>
      <c r="AH55" s="116">
        <f t="shared" si="20"/>
        <v>0</v>
      </c>
      <c r="AI55" s="1074"/>
      <c r="AJ55" s="1040"/>
      <c r="AK55" s="1048"/>
      <c r="AL55" s="1046">
        <f>L55*AK55</f>
        <v>0</v>
      </c>
      <c r="AM55" s="47">
        <f>B55</f>
        <v>0</v>
      </c>
      <c r="AN55" s="47">
        <f>A55</f>
        <v>0</v>
      </c>
      <c r="AO55" s="62" t="s">
        <v>289</v>
      </c>
      <c r="AP55" s="543" t="str" cm="1">
        <f t="array" aca="1" ref="AP55" ca="1">IF(OR(AM55="",AM55=0),"",IF(SUMPRODUCT(($B$33:$B$82=AM55)*($P$33:$P$82="Previsto")*($R$32:$AF$32&lt;EOMONTH(TODAY(),-1)+1)*($R$33:$AF$82))=0,"",SUMPRODUCT(($B$33:$B$82=AM55)*($P$33:$P$82="Previsto")*($R$32:$AF$32&lt;EOMONTH(TODAY(),-1)+1)*($R$33:$AF$82))))</f>
        <v/>
      </c>
    </row>
    <row r="56" spans="1:42" ht="29.1" customHeight="1" x14ac:dyDescent="0.3">
      <c r="A56" s="1037"/>
      <c r="B56" s="1114"/>
      <c r="C56" s="1114"/>
      <c r="D56" s="1304"/>
      <c r="E56" s="1041"/>
      <c r="F56" s="1118"/>
      <c r="G56" s="1118"/>
      <c r="H56" s="1047"/>
      <c r="I56" s="1159"/>
      <c r="J56" s="1122"/>
      <c r="K56" s="1075"/>
      <c r="L56" s="1054"/>
      <c r="M56" s="1054"/>
      <c r="N56" s="1120"/>
      <c r="O56" s="1058"/>
      <c r="P56" s="91" t="s">
        <v>107</v>
      </c>
      <c r="Q56" s="484">
        <v>0</v>
      </c>
      <c r="R56" s="309"/>
      <c r="S56" s="309"/>
      <c r="T56" s="309"/>
      <c r="U56" s="469">
        <f t="shared" si="29"/>
        <v>0</v>
      </c>
      <c r="V56" s="309"/>
      <c r="W56" s="309"/>
      <c r="X56" s="309"/>
      <c r="Y56" s="469">
        <f t="shared" si="30"/>
        <v>0</v>
      </c>
      <c r="Z56" s="309"/>
      <c r="AA56" s="309"/>
      <c r="AB56" s="309"/>
      <c r="AC56" s="469">
        <f t="shared" si="31"/>
        <v>0</v>
      </c>
      <c r="AD56" s="309"/>
      <c r="AE56" s="309"/>
      <c r="AF56" s="309"/>
      <c r="AG56" s="469">
        <f t="shared" si="19"/>
        <v>0</v>
      </c>
      <c r="AH56" s="483">
        <f t="shared" si="20"/>
        <v>0</v>
      </c>
      <c r="AI56" s="1075"/>
      <c r="AJ56" s="1041"/>
      <c r="AK56" s="1049"/>
      <c r="AL56" s="1047"/>
      <c r="AM56" s="47">
        <f>B55</f>
        <v>0</v>
      </c>
      <c r="AN56" s="47">
        <f>A55</f>
        <v>0</v>
      </c>
      <c r="AO56" s="62" t="s">
        <v>291</v>
      </c>
      <c r="AP56" s="543" t="str" cm="1">
        <f t="array" aca="1" ref="AP56" ca="1">IF(OR(AM55="",AM55=0),"",IF(SUMPRODUCT(($B$33:$B$82=AM55)*(ISNUMBER(SEARCH("Real",$P$33:$P$82)))*($R$32:$AF$32&lt;EOMONTH(TODAY(),-1)+1)*($R$33:$AF$82))=0,"",SUMPRODUCT(($B$33:$B$82=AM55)*(ISNUMBER(SEARCH("Real",$P$33:$P$82)))*($R$32:$AF$32&lt;EOMONTH(TODAY(),-1)+1)*($R$33:$AF$82))))</f>
        <v/>
      </c>
    </row>
    <row r="57" spans="1:42" ht="29.1" customHeight="1" x14ac:dyDescent="0.3">
      <c r="A57" s="1038"/>
      <c r="B57" s="1095"/>
      <c r="C57" s="1095"/>
      <c r="D57" s="1363"/>
      <c r="E57" s="1363"/>
      <c r="F57" s="1150"/>
      <c r="G57" s="1150"/>
      <c r="H57" s="1152"/>
      <c r="I57" s="1154"/>
      <c r="J57" s="1213" t="str">
        <f t="shared" ref="J57" si="37">IF(I57="", "", 12 - MONTH(I57) + 1)</f>
        <v/>
      </c>
      <c r="K57" s="1076"/>
      <c r="L57" s="1055"/>
      <c r="M57" s="1506"/>
      <c r="N57" s="1072"/>
      <c r="O57" s="1042"/>
      <c r="P57" s="96" t="s">
        <v>106</v>
      </c>
      <c r="Q57" s="96">
        <v>0</v>
      </c>
      <c r="R57" s="532">
        <f>IFERROR(IF(AND(R$32&gt;=EOMONTH($I57,-1)+1,R$32&lt;=EOMONTH(EOMONTH($I57,-1)+1,$J57-1)),IF(NOT(ISBLANK($M57)),$M57/$J57,$H57/$J57),0),0)</f>
        <v>0</v>
      </c>
      <c r="S57" s="532">
        <f>IFERROR(IF(AND(S$32&gt;=EOMONTH($I57,-1)+1,S$32&lt;=EOMONTH(EOMONTH($I57,-1)+1,$J57-1)),IF(NOT(ISBLANK($M57)),$M57/$J57,$H57/$J57),0),0)</f>
        <v>0</v>
      </c>
      <c r="T57" s="532">
        <f>IFERROR(IF(AND(T$32&gt;=EOMONTH($I57,-1)+1,T$32&lt;=EOMONTH(EOMONTH($I57,-1)+1,$J57-1)),IF(NOT(ISBLANK($M57)),$M57/$J57,$H57/$J57),0),0)</f>
        <v>0</v>
      </c>
      <c r="U57" s="469">
        <f t="shared" si="29"/>
        <v>0</v>
      </c>
      <c r="V57" s="532">
        <f>IFERROR(IF(AND(V$32&gt;=EOMONTH($I57,-1)+1,V$32&lt;=EOMONTH(EOMONTH($I57,-1)+1,$J57-1)),IF(NOT(ISBLANK($M57)),$M57/$J57,$H57/$J57),0),0)</f>
        <v>0</v>
      </c>
      <c r="W57" s="532">
        <f>IFERROR(IF(AND(W$32&gt;=EOMONTH($I57,-1)+1,W$32&lt;=EOMONTH(EOMONTH($I57,-1)+1,$J57-1)),IF(NOT(ISBLANK($M57)),$M57/$J57,$H57/$J57),0),0)</f>
        <v>0</v>
      </c>
      <c r="X57" s="532">
        <f>IFERROR(IF(AND(X$32&gt;=EOMONTH($I57,-1)+1,X$32&lt;=EOMONTH(EOMONTH($I57,-1)+1,$J57-1)),IF(NOT(ISBLANK($M57)),$M57/$J57,$H57/$J57),0),0)</f>
        <v>0</v>
      </c>
      <c r="Y57" s="469">
        <f t="shared" si="30"/>
        <v>0</v>
      </c>
      <c r="Z57" s="532">
        <f>IFERROR(IF(AND(Z$32&gt;=EOMONTH($I57,-1)+1,Z$32&lt;=EOMONTH(EOMONTH($I57,-1)+1,$J57-1)),IF(NOT(ISBLANK($M57)),$M57/$J57,$H57/$J57),0),0)</f>
        <v>0</v>
      </c>
      <c r="AA57" s="532">
        <f>IFERROR(IF(AND(AA$32&gt;=EOMONTH($I57,-1)+1,AA$32&lt;=EOMONTH(EOMONTH($I57,-1)+1,$J57-1)),IF(NOT(ISBLANK($M57)),$M57/$J57,$H57/$J57),0),0)</f>
        <v>0</v>
      </c>
      <c r="AB57" s="532">
        <f>IFERROR(IF(AND(AB$32&gt;=EOMONTH($I57,-1)+1,AB$32&lt;=EOMONTH(EOMONTH($I57,-1)+1,$J57-1)),IF(NOT(ISBLANK($M57)),$M57/$J57,$H57/$J57),0),0)</f>
        <v>0</v>
      </c>
      <c r="AC57" s="469">
        <f t="shared" si="31"/>
        <v>0</v>
      </c>
      <c r="AD57" s="532">
        <f>IFERROR(IF(AND(AD$32&gt;=EOMONTH($I57,-1)+1,AD$32&lt;=EOMONTH(EOMONTH($I57,-1)+1,$J57-1)),IF(NOT(ISBLANK($M57)),$M57/$J57,$H57/$J57),0),0)</f>
        <v>0</v>
      </c>
      <c r="AE57" s="532">
        <f>IFERROR(IF(AND(AE$32&gt;=EOMONTH($I57,-1)+1,AE$32&lt;=EOMONTH(EOMONTH($I57,-1)+1,$J57-1)),IF(NOT(ISBLANK($M57)),$M57/$J57,$H57/$J57),0),0)</f>
        <v>0</v>
      </c>
      <c r="AF57" s="532">
        <f>IFERROR(IF(AND(AF$32&gt;=EOMONTH($I57,-1)+1,AF$32&lt;=EOMONTH(EOMONTH($I57,-1)+1,$J57-1)),IF(NOT(ISBLANK($M57)),$M57/$J57,$H57/$J57),0),0)</f>
        <v>0</v>
      </c>
      <c r="AG57" s="469">
        <f t="shared" si="19"/>
        <v>0</v>
      </c>
      <c r="AH57" s="94">
        <f t="shared" si="20"/>
        <v>0</v>
      </c>
      <c r="AI57" s="1152"/>
      <c r="AJ57" s="1038"/>
      <c r="AK57" s="1042"/>
      <c r="AL57" s="1044">
        <f>L57*AK57</f>
        <v>0</v>
      </c>
      <c r="AM57" s="47">
        <f>B57</f>
        <v>0</v>
      </c>
      <c r="AN57" s="47">
        <f>A57</f>
        <v>0</v>
      </c>
      <c r="AO57" s="62" t="s">
        <v>289</v>
      </c>
      <c r="AP57" s="543" t="str" cm="1">
        <f t="array" aca="1" ref="AP57" ca="1">IF(OR(AM57="",AM57=0),"",IF(SUMPRODUCT(($B$33:$B$82=AM57)*($P$33:$P$82="Previsto")*($R$32:$AF$32&lt;EOMONTH(TODAY(),-1)+1)*($R$33:$AF$82))=0,"",SUMPRODUCT(($B$33:$B$82=AM57)*($P$33:$P$82="Previsto")*($R$32:$AF$32&lt;EOMONTH(TODAY(),-1)+1)*($R$33:$AF$82))))</f>
        <v/>
      </c>
    </row>
    <row r="58" spans="1:42" ht="29.1" customHeight="1" x14ac:dyDescent="0.3">
      <c r="A58" s="1039"/>
      <c r="B58" s="1096"/>
      <c r="C58" s="1096"/>
      <c r="D58" s="1364"/>
      <c r="E58" s="1364"/>
      <c r="F58" s="1547"/>
      <c r="G58" s="1547"/>
      <c r="H58" s="1151"/>
      <c r="I58" s="1155"/>
      <c r="J58" s="1214"/>
      <c r="K58" s="1077"/>
      <c r="L58" s="1056"/>
      <c r="M58" s="1108"/>
      <c r="N58" s="1073"/>
      <c r="O58" s="1043"/>
      <c r="P58" s="96" t="s">
        <v>107</v>
      </c>
      <c r="Q58" s="485">
        <v>0</v>
      </c>
      <c r="R58" s="486"/>
      <c r="S58" s="486"/>
      <c r="T58" s="312"/>
      <c r="U58" s="469">
        <f t="shared" si="29"/>
        <v>0</v>
      </c>
      <c r="V58" s="486"/>
      <c r="W58" s="486"/>
      <c r="X58" s="312"/>
      <c r="Y58" s="469">
        <f t="shared" si="30"/>
        <v>0</v>
      </c>
      <c r="Z58" s="486"/>
      <c r="AA58" s="486"/>
      <c r="AB58" s="312"/>
      <c r="AC58" s="469">
        <f t="shared" si="31"/>
        <v>0</v>
      </c>
      <c r="AD58" s="486"/>
      <c r="AE58" s="486"/>
      <c r="AF58" s="312"/>
      <c r="AG58" s="469">
        <f t="shared" si="19"/>
        <v>0</v>
      </c>
      <c r="AH58" s="94">
        <f t="shared" si="20"/>
        <v>0</v>
      </c>
      <c r="AI58" s="1151"/>
      <c r="AJ58" s="1039"/>
      <c r="AK58" s="1043"/>
      <c r="AL58" s="1045"/>
      <c r="AM58" s="47">
        <f>B57</f>
        <v>0</v>
      </c>
      <c r="AN58" s="47">
        <f>A57</f>
        <v>0</v>
      </c>
      <c r="AO58" s="62" t="s">
        <v>291</v>
      </c>
      <c r="AP58" s="543" t="str" cm="1">
        <f t="array" aca="1" ref="AP58" ca="1">IF(OR(AM57="",AM57=0),"",IF(SUMPRODUCT(($B$33:$B$82=AM57)*(ISNUMBER(SEARCH("Real",$P$33:$P$82)))*($R$32:$AF$32&lt;EOMONTH(TODAY(),-1)+1)*($R$33:$AF$82))=0,"",SUMPRODUCT(($B$33:$B$82=AM57)*(ISNUMBER(SEARCH("Real",$P$33:$P$82)))*($R$32:$AF$32&lt;EOMONTH(TODAY(),-1)+1)*($R$33:$AF$82))))</f>
        <v/>
      </c>
    </row>
    <row r="59" spans="1:42" ht="29.1" customHeight="1" x14ac:dyDescent="0.3">
      <c r="A59" s="1036"/>
      <c r="B59" s="1113"/>
      <c r="C59" s="1115"/>
      <c r="D59" s="1303"/>
      <c r="E59" s="1303"/>
      <c r="F59" s="1117"/>
      <c r="G59" s="1117"/>
      <c r="H59" s="1046"/>
      <c r="I59" s="1158"/>
      <c r="J59" s="1121" t="str">
        <f t="shared" ref="J59" si="38">IF(I59="", "", 12 - MONTH(I59) + 1)</f>
        <v/>
      </c>
      <c r="K59" s="1074"/>
      <c r="L59" s="1307"/>
      <c r="M59" s="1307"/>
      <c r="N59" s="1119"/>
      <c r="O59" s="1057"/>
      <c r="P59" s="91" t="s">
        <v>106</v>
      </c>
      <c r="Q59" s="91">
        <v>0</v>
      </c>
      <c r="R59" s="309">
        <f>IFERROR(IF(AND(R$32&gt;=EOMONTH($I59,-1)+1,R$32&lt;=EOMONTH(EOMONTH($I59,-1)+1,$J59-1)),IF(NOT(ISBLANK($M59)),$M59/$J59,$H59/$J59),0),0)</f>
        <v>0</v>
      </c>
      <c r="S59" s="309">
        <f>IFERROR(IF(AND(S$32&gt;=EOMONTH($I59,-1)+1,S$32&lt;=EOMONTH(EOMONTH($I59,-1)+1,$J59-1)),IF(NOT(ISBLANK($M59)),$M59/$J59,$H59/$J59),0),0)</f>
        <v>0</v>
      </c>
      <c r="T59" s="309">
        <f>IFERROR(IF(AND(T$32&gt;=EOMONTH($I59,-1)+1,T$32&lt;=EOMONTH(EOMONTH($I59,-1)+1,$J59-1)),IF(NOT(ISBLANK($M59)),$M59/$J59,$H59/$J59),0),0)</f>
        <v>0</v>
      </c>
      <c r="U59" s="469">
        <f t="shared" si="29"/>
        <v>0</v>
      </c>
      <c r="V59" s="309">
        <f>IFERROR(IF(AND(V$32&gt;=EOMONTH($I59,-1)+1,V$32&lt;=EOMONTH(EOMONTH($I59,-1)+1,$J59-1)),IF(NOT(ISBLANK($M59)),$M59/$J59,$H59/$J59),0),0)</f>
        <v>0</v>
      </c>
      <c r="W59" s="309">
        <f>IFERROR(IF(AND(W$32&gt;=EOMONTH($I59,-1)+1,W$32&lt;=EOMONTH(EOMONTH($I59,-1)+1,$J59-1)),IF(NOT(ISBLANK($M59)),$M59/$J59,$H59/$J59),0),0)</f>
        <v>0</v>
      </c>
      <c r="X59" s="309">
        <f>IFERROR(IF(AND(X$32&gt;=EOMONTH($I59,-1)+1,X$32&lt;=EOMONTH(EOMONTH($I59,-1)+1,$J59-1)),IF(NOT(ISBLANK($M59)),$M59/$J59,$H59/$J59),0),0)</f>
        <v>0</v>
      </c>
      <c r="Y59" s="469">
        <f t="shared" si="30"/>
        <v>0</v>
      </c>
      <c r="Z59" s="309">
        <f>IFERROR(IF(AND(Z$32&gt;=EOMONTH($I59,-1)+1,Z$32&lt;=EOMONTH(EOMONTH($I59,-1)+1,$J59-1)),IF(NOT(ISBLANK($M59)),$M59/$J59,$H59/$J59),0),0)</f>
        <v>0</v>
      </c>
      <c r="AA59" s="309">
        <f>IFERROR(IF(AND(AA$32&gt;=EOMONTH($I59,-1)+1,AA$32&lt;=EOMONTH(EOMONTH($I59,-1)+1,$J59-1)),IF(NOT(ISBLANK($M59)),$M59/$J59,$H59/$J59),0),0)</f>
        <v>0</v>
      </c>
      <c r="AB59" s="309">
        <f>IFERROR(IF(AND(AB$32&gt;=EOMONTH($I59,-1)+1,AB$32&lt;=EOMONTH(EOMONTH($I59,-1)+1,$J59-1)),IF(NOT(ISBLANK($M59)),$M59/$J59,$H59/$J59),0),0)</f>
        <v>0</v>
      </c>
      <c r="AC59" s="469">
        <f t="shared" si="31"/>
        <v>0</v>
      </c>
      <c r="AD59" s="309">
        <f>IFERROR(IF(AND(AD$32&gt;=EOMONTH($I59,-1)+1,AD$32&lt;=EOMONTH(EOMONTH($I59,-1)+1,$J59-1)),IF(NOT(ISBLANK($M59)),$M59/$J59,$H59/$J59),0),0)</f>
        <v>0</v>
      </c>
      <c r="AE59" s="309">
        <f>IFERROR(IF(AND(AE$32&gt;=EOMONTH($I59,-1)+1,AE$32&lt;=EOMONTH(EOMONTH($I59,-1)+1,$J59-1)),IF(NOT(ISBLANK($M59)),$M59/$J59,$H59/$J59),0),0)</f>
        <v>0</v>
      </c>
      <c r="AF59" s="309">
        <f>IFERROR(IF(AND(AF$32&gt;=EOMONTH($I59,-1)+1,AF$32&lt;=EOMONTH(EOMONTH($I59,-1)+1,$J59-1)),IF(NOT(ISBLANK($M59)),$M59/$J59,$H59/$J59),0),0)</f>
        <v>0</v>
      </c>
      <c r="AG59" s="469">
        <f t="shared" si="19"/>
        <v>0</v>
      </c>
      <c r="AH59" s="116">
        <f t="shared" si="20"/>
        <v>0</v>
      </c>
      <c r="AI59" s="1074"/>
      <c r="AJ59" s="1040"/>
      <c r="AK59" s="1048"/>
      <c r="AL59" s="1046">
        <f>L59*AK59</f>
        <v>0</v>
      </c>
      <c r="AM59" s="47">
        <f>B59</f>
        <v>0</v>
      </c>
      <c r="AN59" s="47">
        <f>A59</f>
        <v>0</v>
      </c>
      <c r="AO59" s="62" t="s">
        <v>289</v>
      </c>
      <c r="AP59" s="543" t="str" cm="1">
        <f t="array" aca="1" ref="AP59" ca="1">IF(OR(AM59="",AM59=0),"",IF(SUMPRODUCT(($B$33:$B$82=AM59)*($P$33:$P$82="Previsto")*($R$32:$AF$32&lt;EOMONTH(TODAY(),-1)+1)*($R$33:$AF$82))=0,"",SUMPRODUCT(($B$33:$B$82=AM59)*($P$33:$P$82="Previsto")*($R$32:$AF$32&lt;EOMONTH(TODAY(),-1)+1)*($R$33:$AF$82))))</f>
        <v/>
      </c>
    </row>
    <row r="60" spans="1:42" ht="29.1" customHeight="1" x14ac:dyDescent="0.3">
      <c r="A60" s="1037"/>
      <c r="B60" s="1114"/>
      <c r="C60" s="1116"/>
      <c r="D60" s="1304"/>
      <c r="E60" s="1304"/>
      <c r="F60" s="1118"/>
      <c r="G60" s="1118"/>
      <c r="H60" s="1047"/>
      <c r="I60" s="1159"/>
      <c r="J60" s="1122"/>
      <c r="K60" s="1075"/>
      <c r="L60" s="1054"/>
      <c r="M60" s="1054"/>
      <c r="N60" s="1120"/>
      <c r="O60" s="1058"/>
      <c r="P60" s="91" t="s">
        <v>107</v>
      </c>
      <c r="Q60" s="484">
        <v>0</v>
      </c>
      <c r="R60" s="309"/>
      <c r="S60" s="309"/>
      <c r="T60" s="309"/>
      <c r="U60" s="469">
        <f t="shared" si="29"/>
        <v>0</v>
      </c>
      <c r="V60" s="309"/>
      <c r="W60" s="309"/>
      <c r="X60" s="309"/>
      <c r="Y60" s="469">
        <f t="shared" si="30"/>
        <v>0</v>
      </c>
      <c r="Z60" s="309"/>
      <c r="AA60" s="309"/>
      <c r="AB60" s="309"/>
      <c r="AC60" s="469">
        <f t="shared" si="31"/>
        <v>0</v>
      </c>
      <c r="AD60" s="309"/>
      <c r="AE60" s="309"/>
      <c r="AF60" s="309"/>
      <c r="AG60" s="469">
        <f t="shared" si="19"/>
        <v>0</v>
      </c>
      <c r="AH60" s="483">
        <f t="shared" si="20"/>
        <v>0</v>
      </c>
      <c r="AI60" s="1075"/>
      <c r="AJ60" s="1041"/>
      <c r="AK60" s="1049"/>
      <c r="AL60" s="1047"/>
      <c r="AM60" s="47">
        <f>B59</f>
        <v>0</v>
      </c>
      <c r="AN60" s="47">
        <f>A59</f>
        <v>0</v>
      </c>
      <c r="AO60" s="62" t="s">
        <v>291</v>
      </c>
      <c r="AP60" s="543" t="str" cm="1">
        <f t="array" aca="1" ref="AP60" ca="1">IF(OR(AM59="",AM59=0),"",IF(SUMPRODUCT(($B$33:$B$82=AM59)*(ISNUMBER(SEARCH("Real",$P$33:$P$82)))*($R$32:$AF$32&lt;EOMONTH(TODAY(),-1)+1)*($R$33:$AF$82))=0,"",SUMPRODUCT(($B$33:$B$82=AM59)*(ISNUMBER(SEARCH("Real",$P$33:$P$82)))*($R$32:$AF$32&lt;EOMONTH(TODAY(),-1)+1)*($R$33:$AF$82))))</f>
        <v/>
      </c>
    </row>
    <row r="61" spans="1:42" ht="29.1" customHeight="1" x14ac:dyDescent="0.3">
      <c r="A61" s="1038"/>
      <c r="B61" s="1095"/>
      <c r="C61" s="1097"/>
      <c r="D61" s="1363"/>
      <c r="E61" s="1363"/>
      <c r="F61" s="1150"/>
      <c r="G61" s="1150"/>
      <c r="H61" s="1152"/>
      <c r="I61" s="1154"/>
      <c r="J61" s="1213" t="str">
        <f t="shared" ref="J61" si="39">IF(I61="", "", 12 - MONTH(I61) + 1)</f>
        <v/>
      </c>
      <c r="K61" s="1076"/>
      <c r="L61" s="1055"/>
      <c r="M61" s="1506"/>
      <c r="N61" s="1072"/>
      <c r="O61" s="1042"/>
      <c r="P61" s="96" t="s">
        <v>106</v>
      </c>
      <c r="Q61" s="96">
        <v>0</v>
      </c>
      <c r="R61" s="532">
        <f>IFERROR(IF(AND(R$32&gt;=EOMONTH($I61,-1)+1,R$32&lt;=EOMONTH(EOMONTH($I61,-1)+1,$J61-1)),IF(NOT(ISBLANK($M61)),$M61/$J61,$H61/$J61),0),0)</f>
        <v>0</v>
      </c>
      <c r="S61" s="532">
        <f>IFERROR(IF(AND(S$32&gt;=EOMONTH($I61,-1)+1,S$32&lt;=EOMONTH(EOMONTH($I61,-1)+1,$J61-1)),IF(NOT(ISBLANK($M61)),$M61/$J61,$H61/$J61),0),0)</f>
        <v>0</v>
      </c>
      <c r="T61" s="532">
        <f>IFERROR(IF(AND(T$32&gt;=EOMONTH($I61,-1)+1,T$32&lt;=EOMONTH(EOMONTH($I61,-1)+1,$J61-1)),IF(NOT(ISBLANK($M61)),$M61/$J61,$H61/$J61),0),0)</f>
        <v>0</v>
      </c>
      <c r="U61" s="469">
        <f t="shared" si="29"/>
        <v>0</v>
      </c>
      <c r="V61" s="532">
        <f>IFERROR(IF(AND(V$32&gt;=EOMONTH($I61,-1)+1,V$32&lt;=EOMONTH(EOMONTH($I61,-1)+1,$J61-1)),IF(NOT(ISBLANK($M61)),$M61/$J61,$H61/$J61),0),0)</f>
        <v>0</v>
      </c>
      <c r="W61" s="532">
        <f>IFERROR(IF(AND(W$32&gt;=EOMONTH($I61,-1)+1,W$32&lt;=EOMONTH(EOMONTH($I61,-1)+1,$J61-1)),IF(NOT(ISBLANK($M61)),$M61/$J61,$H61/$J61),0),0)</f>
        <v>0</v>
      </c>
      <c r="X61" s="532">
        <f>IFERROR(IF(AND(X$32&gt;=EOMONTH($I61,-1)+1,X$32&lt;=EOMONTH(EOMONTH($I61,-1)+1,$J61-1)),IF(NOT(ISBLANK($M61)),$M61/$J61,$H61/$J61),0),0)</f>
        <v>0</v>
      </c>
      <c r="Y61" s="469">
        <f t="shared" si="30"/>
        <v>0</v>
      </c>
      <c r="Z61" s="532">
        <f>IFERROR(IF(AND(Z$32&gt;=EOMONTH($I61,-1)+1,Z$32&lt;=EOMONTH(EOMONTH($I61,-1)+1,$J61-1)),IF(NOT(ISBLANK($M61)),$M61/$J61,$H61/$J61),0),0)</f>
        <v>0</v>
      </c>
      <c r="AA61" s="532">
        <f>IFERROR(IF(AND(AA$32&gt;=EOMONTH($I61,-1)+1,AA$32&lt;=EOMONTH(EOMONTH($I61,-1)+1,$J61-1)),IF(NOT(ISBLANK($M61)),$M61/$J61,$H61/$J61),0),0)</f>
        <v>0</v>
      </c>
      <c r="AB61" s="532">
        <f>IFERROR(IF(AND(AB$32&gt;=EOMONTH($I61,-1)+1,AB$32&lt;=EOMONTH(EOMONTH($I61,-1)+1,$J61-1)),IF(NOT(ISBLANK($M61)),$M61/$J61,$H61/$J61),0),0)</f>
        <v>0</v>
      </c>
      <c r="AC61" s="469">
        <f t="shared" si="31"/>
        <v>0</v>
      </c>
      <c r="AD61" s="532">
        <f>IFERROR(IF(AND(AD$32&gt;=EOMONTH($I61,-1)+1,AD$32&lt;=EOMONTH(EOMONTH($I61,-1)+1,$J61-1)),IF(NOT(ISBLANK($M61)),$M61/$J61,$H61/$J61),0),0)</f>
        <v>0</v>
      </c>
      <c r="AE61" s="532">
        <f>IFERROR(IF(AND(AE$32&gt;=EOMONTH($I61,-1)+1,AE$32&lt;=EOMONTH(EOMONTH($I61,-1)+1,$J61-1)),IF(NOT(ISBLANK($M61)),$M61/$J61,$H61/$J61),0),0)</f>
        <v>0</v>
      </c>
      <c r="AF61" s="532">
        <f>IFERROR(IF(AND(AF$32&gt;=EOMONTH($I61,-1)+1,AF$32&lt;=EOMONTH(EOMONTH($I61,-1)+1,$J61-1)),IF(NOT(ISBLANK($M61)),$M61/$J61,$H61/$J61),0),0)</f>
        <v>0</v>
      </c>
      <c r="AG61" s="469">
        <f t="shared" si="19"/>
        <v>0</v>
      </c>
      <c r="AH61" s="94">
        <f t="shared" si="20"/>
        <v>0</v>
      </c>
      <c r="AI61" s="1152"/>
      <c r="AJ61" s="1038"/>
      <c r="AK61" s="1042"/>
      <c r="AL61" s="1044">
        <f>L61*AK61</f>
        <v>0</v>
      </c>
      <c r="AM61" s="47">
        <f>B61</f>
        <v>0</v>
      </c>
      <c r="AN61" s="47">
        <f>A61</f>
        <v>0</v>
      </c>
      <c r="AO61" s="62" t="s">
        <v>289</v>
      </c>
      <c r="AP61" s="543" t="str" cm="1">
        <f t="array" aca="1" ref="AP61" ca="1">IF(OR(AM61="",AM61=0),"",IF(SUMPRODUCT(($B$33:$B$82=AM61)*($P$33:$P$82="Previsto")*($R$32:$AF$32&lt;EOMONTH(TODAY(),-1)+1)*($R$33:$AF$82))=0,"",SUMPRODUCT(($B$33:$B$82=AM61)*($P$33:$P$82="Previsto")*($R$32:$AF$32&lt;EOMONTH(TODAY(),-1)+1)*($R$33:$AF$82))))</f>
        <v/>
      </c>
    </row>
    <row r="62" spans="1:42" ht="29.1" customHeight="1" x14ac:dyDescent="0.3">
      <c r="A62" s="1039"/>
      <c r="B62" s="1096"/>
      <c r="C62" s="1098"/>
      <c r="D62" s="1364"/>
      <c r="E62" s="1364"/>
      <c r="F62" s="1547"/>
      <c r="G62" s="1547"/>
      <c r="H62" s="1151"/>
      <c r="I62" s="1155"/>
      <c r="J62" s="1214"/>
      <c r="K62" s="1077"/>
      <c r="L62" s="1056"/>
      <c r="M62" s="1108"/>
      <c r="N62" s="1073"/>
      <c r="O62" s="1043"/>
      <c r="P62" s="96" t="s">
        <v>107</v>
      </c>
      <c r="Q62" s="485">
        <v>0</v>
      </c>
      <c r="R62" s="486"/>
      <c r="S62" s="486"/>
      <c r="T62" s="312"/>
      <c r="U62" s="469">
        <f t="shared" si="29"/>
        <v>0</v>
      </c>
      <c r="V62" s="486"/>
      <c r="W62" s="486"/>
      <c r="X62" s="312"/>
      <c r="Y62" s="469">
        <f t="shared" si="30"/>
        <v>0</v>
      </c>
      <c r="Z62" s="486"/>
      <c r="AA62" s="486"/>
      <c r="AB62" s="312"/>
      <c r="AC62" s="469">
        <f t="shared" si="31"/>
        <v>0</v>
      </c>
      <c r="AD62" s="486"/>
      <c r="AE62" s="486"/>
      <c r="AF62" s="312"/>
      <c r="AG62" s="469">
        <f t="shared" si="19"/>
        <v>0</v>
      </c>
      <c r="AH62" s="94">
        <f t="shared" si="20"/>
        <v>0</v>
      </c>
      <c r="AI62" s="1151"/>
      <c r="AJ62" s="1039"/>
      <c r="AK62" s="1043"/>
      <c r="AL62" s="1045"/>
      <c r="AM62" s="47">
        <f>B61</f>
        <v>0</v>
      </c>
      <c r="AN62" s="47">
        <f>A61</f>
        <v>0</v>
      </c>
      <c r="AO62" s="62" t="s">
        <v>291</v>
      </c>
      <c r="AP62" s="543" t="str" cm="1">
        <f t="array" aca="1" ref="AP62" ca="1">IF(OR(AM61="",AM61=0),"",IF(SUMPRODUCT(($B$33:$B$82=AM61)*(ISNUMBER(SEARCH("Real",$P$33:$P$82)))*($R$32:$AF$32&lt;EOMONTH(TODAY(),-1)+1)*($R$33:$AF$82))=0,"",SUMPRODUCT(($B$33:$B$82=AM61)*(ISNUMBER(SEARCH("Real",$P$33:$P$82)))*($R$32:$AF$32&lt;EOMONTH(TODAY(),-1)+1)*($R$33:$AF$82))))</f>
        <v/>
      </c>
    </row>
    <row r="63" spans="1:42" ht="29.1" customHeight="1" x14ac:dyDescent="0.3">
      <c r="A63" s="1036"/>
      <c r="B63" s="1113"/>
      <c r="C63" s="1115"/>
      <c r="D63" s="1303"/>
      <c r="E63" s="1303"/>
      <c r="F63" s="1117"/>
      <c r="G63" s="1117"/>
      <c r="H63" s="1046"/>
      <c r="I63" s="1158"/>
      <c r="J63" s="1121" t="str">
        <f t="shared" ref="J63" si="40">IF(I63="", "", 12 - MONTH(I63) + 1)</f>
        <v/>
      </c>
      <c r="K63" s="1074"/>
      <c r="L63" s="1307"/>
      <c r="M63" s="1307"/>
      <c r="N63" s="1119"/>
      <c r="O63" s="1057"/>
      <c r="P63" s="91" t="s">
        <v>106</v>
      </c>
      <c r="Q63" s="91">
        <v>0</v>
      </c>
      <c r="R63" s="309">
        <f>IFERROR(IF(AND(R$32&gt;=EOMONTH($I63,-1)+1,R$32&lt;=EOMONTH(EOMONTH($I63,-1)+1,$J63-1)),IF(NOT(ISBLANK($M63)),$M63/$J63,$H63/$J63),0),0)</f>
        <v>0</v>
      </c>
      <c r="S63" s="309">
        <f>IFERROR(IF(AND(S$32&gt;=EOMONTH($I63,-1)+1,S$32&lt;=EOMONTH(EOMONTH($I63,-1)+1,$J63-1)),IF(NOT(ISBLANK($M63)),$M63/$J63,$H63/$J63),0),0)</f>
        <v>0</v>
      </c>
      <c r="T63" s="309">
        <f>IFERROR(IF(AND(T$32&gt;=EOMONTH($I63,-1)+1,T$32&lt;=EOMONTH(EOMONTH($I63,-1)+1,$J63-1)),IF(NOT(ISBLANK($M63)),$M63/$J63,$H63/$J63),0),0)</f>
        <v>0</v>
      </c>
      <c r="U63" s="469">
        <f t="shared" si="29"/>
        <v>0</v>
      </c>
      <c r="V63" s="309">
        <f>IFERROR(IF(AND(V$32&gt;=EOMONTH($I63,-1)+1,V$32&lt;=EOMONTH(EOMONTH($I63,-1)+1,$J63-1)),IF(NOT(ISBLANK($M63)),$M63/$J63,$H63/$J63),0),0)</f>
        <v>0</v>
      </c>
      <c r="W63" s="309">
        <f>IFERROR(IF(AND(W$32&gt;=EOMONTH($I63,-1)+1,W$32&lt;=EOMONTH(EOMONTH($I63,-1)+1,$J63-1)),IF(NOT(ISBLANK($M63)),$M63/$J63,$H63/$J63),0),0)</f>
        <v>0</v>
      </c>
      <c r="X63" s="309">
        <f>IFERROR(IF(AND(X$32&gt;=EOMONTH($I63,-1)+1,X$32&lt;=EOMONTH(EOMONTH($I63,-1)+1,$J63-1)),IF(NOT(ISBLANK($M63)),$M63/$J63,$H63/$J63),0),0)</f>
        <v>0</v>
      </c>
      <c r="Y63" s="469">
        <f t="shared" si="30"/>
        <v>0</v>
      </c>
      <c r="Z63" s="309">
        <f>IFERROR(IF(AND(Z$32&gt;=EOMONTH($I63,-1)+1,Z$32&lt;=EOMONTH(EOMONTH($I63,-1)+1,$J63-1)),IF(NOT(ISBLANK($M63)),$M63/$J63,$H63/$J63),0),0)</f>
        <v>0</v>
      </c>
      <c r="AA63" s="309">
        <f>IFERROR(IF(AND(AA$32&gt;=EOMONTH($I63,-1)+1,AA$32&lt;=EOMONTH(EOMONTH($I63,-1)+1,$J63-1)),IF(NOT(ISBLANK($M63)),$M63/$J63,$H63/$J63),0),0)</f>
        <v>0</v>
      </c>
      <c r="AB63" s="309">
        <f>IFERROR(IF(AND(AB$32&gt;=EOMONTH($I63,-1)+1,AB$32&lt;=EOMONTH(EOMONTH($I63,-1)+1,$J63-1)),IF(NOT(ISBLANK($M63)),$M63/$J63,$H63/$J63),0),0)</f>
        <v>0</v>
      </c>
      <c r="AC63" s="469">
        <f t="shared" si="31"/>
        <v>0</v>
      </c>
      <c r="AD63" s="309">
        <f>IFERROR(IF(AND(AD$32&gt;=EOMONTH($I63,-1)+1,AD$32&lt;=EOMONTH(EOMONTH($I63,-1)+1,$J63-1)),IF(NOT(ISBLANK($M63)),$M63/$J63,$H63/$J63),0),0)</f>
        <v>0</v>
      </c>
      <c r="AE63" s="309">
        <f>IFERROR(IF(AND(AE$32&gt;=EOMONTH($I63,-1)+1,AE$32&lt;=EOMONTH(EOMONTH($I63,-1)+1,$J63-1)),IF(NOT(ISBLANK($M63)),$M63/$J63,$H63/$J63),0),0)</f>
        <v>0</v>
      </c>
      <c r="AF63" s="309">
        <f>IFERROR(IF(AND(AF$32&gt;=EOMONTH($I63,-1)+1,AF$32&lt;=EOMONTH(EOMONTH($I63,-1)+1,$J63-1)),IF(NOT(ISBLANK($M63)),$M63/$J63,$H63/$J63),0),0)</f>
        <v>0</v>
      </c>
      <c r="AG63" s="469">
        <f t="shared" ref="AG63:AG82" si="41">SUM(AD63:AF63)</f>
        <v>0</v>
      </c>
      <c r="AH63" s="116">
        <f t="shared" ref="AH63:AH82" si="42">SUM(R63:T63,V63:X63,Z63:AB63,AD63:AF63)</f>
        <v>0</v>
      </c>
      <c r="AI63" s="1074"/>
      <c r="AJ63" s="1040"/>
      <c r="AK63" s="1048"/>
      <c r="AL63" s="1046">
        <f>L63*AK63</f>
        <v>0</v>
      </c>
      <c r="AM63" s="47">
        <f>B63</f>
        <v>0</v>
      </c>
      <c r="AN63" s="47">
        <f>A63</f>
        <v>0</v>
      </c>
      <c r="AO63" s="62" t="s">
        <v>289</v>
      </c>
      <c r="AP63" s="543" t="str" cm="1">
        <f t="array" aca="1" ref="AP63" ca="1">IF(OR(AM63="",AM63=0),"",IF(SUMPRODUCT(($B$33:$B$82=AM63)*($P$33:$P$82="Previsto")*($R$32:$AF$32&lt;EOMONTH(TODAY(),-1)+1)*($R$33:$AF$82))=0,"",SUMPRODUCT(($B$33:$B$82=AM63)*($P$33:$P$82="Previsto")*($R$32:$AF$32&lt;EOMONTH(TODAY(),-1)+1)*($R$33:$AF$82))))</f>
        <v/>
      </c>
    </row>
    <row r="64" spans="1:42" ht="29.1" customHeight="1" x14ac:dyDescent="0.3">
      <c r="A64" s="1037"/>
      <c r="B64" s="1114"/>
      <c r="C64" s="1116"/>
      <c r="D64" s="1304"/>
      <c r="E64" s="1304"/>
      <c r="F64" s="1118"/>
      <c r="G64" s="1118"/>
      <c r="H64" s="1047"/>
      <c r="I64" s="1159"/>
      <c r="J64" s="1122"/>
      <c r="K64" s="1075"/>
      <c r="L64" s="1054"/>
      <c r="M64" s="1054"/>
      <c r="N64" s="1120"/>
      <c r="O64" s="1058"/>
      <c r="P64" s="91" t="s">
        <v>107</v>
      </c>
      <c r="Q64" s="484">
        <v>0</v>
      </c>
      <c r="R64" s="309"/>
      <c r="S64" s="309"/>
      <c r="T64" s="309"/>
      <c r="U64" s="469">
        <f t="shared" si="29"/>
        <v>0</v>
      </c>
      <c r="V64" s="309"/>
      <c r="W64" s="309"/>
      <c r="X64" s="309"/>
      <c r="Y64" s="469">
        <f t="shared" si="30"/>
        <v>0</v>
      </c>
      <c r="Z64" s="309"/>
      <c r="AA64" s="309"/>
      <c r="AB64" s="309"/>
      <c r="AC64" s="469">
        <f t="shared" si="31"/>
        <v>0</v>
      </c>
      <c r="AD64" s="309"/>
      <c r="AE64" s="309"/>
      <c r="AF64" s="309"/>
      <c r="AG64" s="469">
        <f t="shared" si="41"/>
        <v>0</v>
      </c>
      <c r="AH64" s="483">
        <f t="shared" si="42"/>
        <v>0</v>
      </c>
      <c r="AI64" s="1075"/>
      <c r="AJ64" s="1041"/>
      <c r="AK64" s="1049"/>
      <c r="AL64" s="1047"/>
      <c r="AM64" s="47">
        <f>B63</f>
        <v>0</v>
      </c>
      <c r="AN64" s="47">
        <f>A63</f>
        <v>0</v>
      </c>
      <c r="AO64" s="62" t="s">
        <v>291</v>
      </c>
      <c r="AP64" s="543" t="str" cm="1">
        <f t="array" aca="1" ref="AP64" ca="1">IF(OR(AM63="",AM63=0),"",IF(SUMPRODUCT(($B$33:$B$82=AM63)*(ISNUMBER(SEARCH("Real",$P$33:$P$82)))*($R$32:$AF$32&lt;EOMONTH(TODAY(),-1)+1)*($R$33:$AF$82))=0,"",SUMPRODUCT(($B$33:$B$82=AM63)*(ISNUMBER(SEARCH("Real",$P$33:$P$82)))*($R$32:$AF$32&lt;EOMONTH(TODAY(),-1)+1)*($R$33:$AF$82))))</f>
        <v/>
      </c>
    </row>
    <row r="65" spans="1:42" ht="29.1" customHeight="1" x14ac:dyDescent="0.3">
      <c r="A65" s="1038"/>
      <c r="B65" s="1095"/>
      <c r="C65" s="1097"/>
      <c r="D65" s="1363"/>
      <c r="E65" s="1363"/>
      <c r="F65" s="1150"/>
      <c r="G65" s="1150"/>
      <c r="H65" s="1152"/>
      <c r="I65" s="1154"/>
      <c r="J65" s="1213" t="str">
        <f t="shared" ref="J65" si="43">IF(I65="", "", 12 - MONTH(I65) + 1)</f>
        <v/>
      </c>
      <c r="K65" s="1076"/>
      <c r="L65" s="1055"/>
      <c r="M65" s="1506"/>
      <c r="N65" s="1072"/>
      <c r="O65" s="1042"/>
      <c r="P65" s="96" t="s">
        <v>106</v>
      </c>
      <c r="Q65" s="96">
        <v>0</v>
      </c>
      <c r="R65" s="532">
        <f>IFERROR(IF(AND(R$32&gt;=EOMONTH($I65,-1)+1,R$32&lt;=EOMONTH(EOMONTH($I65,-1)+1,$J65-1)),IF(NOT(ISBLANK($M65)),$M65/$J65,$H65/$J65),0),0)</f>
        <v>0</v>
      </c>
      <c r="S65" s="532">
        <f>IFERROR(IF(AND(S$32&gt;=EOMONTH($I65,-1)+1,S$32&lt;=EOMONTH(EOMONTH($I65,-1)+1,$J65-1)),IF(NOT(ISBLANK($M65)),$M65/$J65,$H65/$J65),0),0)</f>
        <v>0</v>
      </c>
      <c r="T65" s="532">
        <f>IFERROR(IF(AND(T$32&gt;=EOMONTH($I65,-1)+1,T$32&lt;=EOMONTH(EOMONTH($I65,-1)+1,$J65-1)),IF(NOT(ISBLANK($M65)),$M65/$J65,$H65/$J65),0),0)</f>
        <v>0</v>
      </c>
      <c r="U65" s="469">
        <f t="shared" si="29"/>
        <v>0</v>
      </c>
      <c r="V65" s="532">
        <f>IFERROR(IF(AND(V$32&gt;=EOMONTH($I65,-1)+1,V$32&lt;=EOMONTH(EOMONTH($I65,-1)+1,$J65-1)),IF(NOT(ISBLANK($M65)),$M65/$J65,$H65/$J65),0),0)</f>
        <v>0</v>
      </c>
      <c r="W65" s="532">
        <f>IFERROR(IF(AND(W$32&gt;=EOMONTH($I65,-1)+1,W$32&lt;=EOMONTH(EOMONTH($I65,-1)+1,$J65-1)),IF(NOT(ISBLANK($M65)),$M65/$J65,$H65/$J65),0),0)</f>
        <v>0</v>
      </c>
      <c r="X65" s="532">
        <f>IFERROR(IF(AND(X$32&gt;=EOMONTH($I65,-1)+1,X$32&lt;=EOMONTH(EOMONTH($I65,-1)+1,$J65-1)),IF(NOT(ISBLANK($M65)),$M65/$J65,$H65/$J65),0),0)</f>
        <v>0</v>
      </c>
      <c r="Y65" s="469">
        <f t="shared" si="30"/>
        <v>0</v>
      </c>
      <c r="Z65" s="532">
        <f>IFERROR(IF(AND(Z$32&gt;=EOMONTH($I65,-1)+1,Z$32&lt;=EOMONTH(EOMONTH($I65,-1)+1,$J65-1)),IF(NOT(ISBLANK($M65)),$M65/$J65,$H65/$J65),0),0)</f>
        <v>0</v>
      </c>
      <c r="AA65" s="532">
        <f>IFERROR(IF(AND(AA$32&gt;=EOMONTH($I65,-1)+1,AA$32&lt;=EOMONTH(EOMONTH($I65,-1)+1,$J65-1)),IF(NOT(ISBLANK($M65)),$M65/$J65,$H65/$J65),0),0)</f>
        <v>0</v>
      </c>
      <c r="AB65" s="532">
        <f>IFERROR(IF(AND(AB$32&gt;=EOMONTH($I65,-1)+1,AB$32&lt;=EOMONTH(EOMONTH($I65,-1)+1,$J65-1)),IF(NOT(ISBLANK($M65)),$M65/$J65,$H65/$J65),0),0)</f>
        <v>0</v>
      </c>
      <c r="AC65" s="469">
        <f t="shared" si="31"/>
        <v>0</v>
      </c>
      <c r="AD65" s="532">
        <f>IFERROR(IF(AND(AD$32&gt;=EOMONTH($I65,-1)+1,AD$32&lt;=EOMONTH(EOMONTH($I65,-1)+1,$J65-1)),IF(NOT(ISBLANK($M65)),$M65/$J65,$H65/$J65),0),0)</f>
        <v>0</v>
      </c>
      <c r="AE65" s="532">
        <f>IFERROR(IF(AND(AE$32&gt;=EOMONTH($I65,-1)+1,AE$32&lt;=EOMONTH(EOMONTH($I65,-1)+1,$J65-1)),IF(NOT(ISBLANK($M65)),$M65/$J65,$H65/$J65),0),0)</f>
        <v>0</v>
      </c>
      <c r="AF65" s="532">
        <f>IFERROR(IF(AND(AF$32&gt;=EOMONTH($I65,-1)+1,AF$32&lt;=EOMONTH(EOMONTH($I65,-1)+1,$J65-1)),IF(NOT(ISBLANK($M65)),$M65/$J65,$H65/$J65),0),0)</f>
        <v>0</v>
      </c>
      <c r="AG65" s="469">
        <f t="shared" si="41"/>
        <v>0</v>
      </c>
      <c r="AH65" s="94">
        <f t="shared" si="42"/>
        <v>0</v>
      </c>
      <c r="AI65" s="1152"/>
      <c r="AJ65" s="1038"/>
      <c r="AK65" s="1042"/>
      <c r="AL65" s="1044">
        <f>L65*AK65</f>
        <v>0</v>
      </c>
      <c r="AM65" s="47">
        <f>B65</f>
        <v>0</v>
      </c>
      <c r="AN65" s="47">
        <f>A65</f>
        <v>0</v>
      </c>
      <c r="AO65" s="62" t="s">
        <v>289</v>
      </c>
      <c r="AP65" s="543" t="str" cm="1">
        <f t="array" aca="1" ref="AP65" ca="1">IF(OR(AM65="",AM65=0),"",IF(SUMPRODUCT(($B$33:$B$82=AM65)*($P$33:$P$82="Previsto")*($R$32:$AF$32&lt;EOMONTH(TODAY(),-1)+1)*($R$33:$AF$82))=0,"",SUMPRODUCT(($B$33:$B$82=AM65)*($P$33:$P$82="Previsto")*($R$32:$AF$32&lt;EOMONTH(TODAY(),-1)+1)*($R$33:$AF$82))))</f>
        <v/>
      </c>
    </row>
    <row r="66" spans="1:42" ht="29.1" customHeight="1" x14ac:dyDescent="0.3">
      <c r="A66" s="1039"/>
      <c r="B66" s="1096"/>
      <c r="C66" s="1098"/>
      <c r="D66" s="1364"/>
      <c r="E66" s="1364"/>
      <c r="F66" s="1547"/>
      <c r="G66" s="1547"/>
      <c r="H66" s="1151"/>
      <c r="I66" s="1155"/>
      <c r="J66" s="1214"/>
      <c r="K66" s="1077"/>
      <c r="L66" s="1056"/>
      <c r="M66" s="1108"/>
      <c r="N66" s="1073"/>
      <c r="O66" s="1043"/>
      <c r="P66" s="96" t="s">
        <v>107</v>
      </c>
      <c r="Q66" s="485">
        <v>0</v>
      </c>
      <c r="R66" s="486"/>
      <c r="S66" s="486"/>
      <c r="T66" s="312"/>
      <c r="U66" s="469">
        <f t="shared" si="29"/>
        <v>0</v>
      </c>
      <c r="V66" s="486"/>
      <c r="W66" s="486"/>
      <c r="X66" s="312"/>
      <c r="Y66" s="469">
        <f t="shared" si="30"/>
        <v>0</v>
      </c>
      <c r="Z66" s="486"/>
      <c r="AA66" s="486"/>
      <c r="AB66" s="312"/>
      <c r="AC66" s="469">
        <f t="shared" si="31"/>
        <v>0</v>
      </c>
      <c r="AD66" s="486"/>
      <c r="AE66" s="486"/>
      <c r="AF66" s="312"/>
      <c r="AG66" s="469">
        <f t="shared" si="41"/>
        <v>0</v>
      </c>
      <c r="AH66" s="94">
        <f t="shared" si="42"/>
        <v>0</v>
      </c>
      <c r="AI66" s="1151"/>
      <c r="AJ66" s="1039"/>
      <c r="AK66" s="1043"/>
      <c r="AL66" s="1045"/>
      <c r="AM66" s="47">
        <f>B65</f>
        <v>0</v>
      </c>
      <c r="AN66" s="47">
        <f>A65</f>
        <v>0</v>
      </c>
      <c r="AO66" s="62" t="s">
        <v>291</v>
      </c>
      <c r="AP66" s="543" t="str" cm="1">
        <f t="array" aca="1" ref="AP66" ca="1">IF(OR(AM65="",AM65=0),"",IF(SUMPRODUCT(($B$33:$B$82=AM65)*(ISNUMBER(SEARCH("Real",$P$33:$P$82)))*($R$32:$AF$32&lt;EOMONTH(TODAY(),-1)+1)*($R$33:$AF$82))=0,"",SUMPRODUCT(($B$33:$B$82=AM65)*(ISNUMBER(SEARCH("Real",$P$33:$P$82)))*($R$32:$AF$32&lt;EOMONTH(TODAY(),-1)+1)*($R$33:$AF$82))))</f>
        <v/>
      </c>
    </row>
    <row r="67" spans="1:42" ht="29.1" customHeight="1" x14ac:dyDescent="0.3">
      <c r="A67" s="1036"/>
      <c r="B67" s="1113"/>
      <c r="C67" s="1115"/>
      <c r="D67" s="1303"/>
      <c r="E67" s="1303"/>
      <c r="F67" s="1117"/>
      <c r="G67" s="1117"/>
      <c r="H67" s="1046"/>
      <c r="I67" s="1158"/>
      <c r="J67" s="1121" t="str">
        <f t="shared" ref="J67" si="44">IF(I67="", "", 12 - MONTH(I67) + 1)</f>
        <v/>
      </c>
      <c r="K67" s="1074"/>
      <c r="L67" s="1307"/>
      <c r="M67" s="1307"/>
      <c r="N67" s="1119"/>
      <c r="O67" s="1057"/>
      <c r="P67" s="91" t="s">
        <v>106</v>
      </c>
      <c r="Q67" s="91">
        <v>0</v>
      </c>
      <c r="R67" s="309">
        <f>IFERROR(IF(AND(R$32&gt;=EOMONTH($I67,-1)+1,R$32&lt;=EOMONTH(EOMONTH($I67,-1)+1,$J67-1)),IF(NOT(ISBLANK($M67)),$M67/$J67,$H67/$J67),0),0)</f>
        <v>0</v>
      </c>
      <c r="S67" s="309">
        <f>IFERROR(IF(AND(S$32&gt;=EOMONTH($I67,-1)+1,S$32&lt;=EOMONTH(EOMONTH($I67,-1)+1,$J67-1)),IF(NOT(ISBLANK($M67)),$M67/$J67,$H67/$J67),0),0)</f>
        <v>0</v>
      </c>
      <c r="T67" s="309">
        <f>IFERROR(IF(AND(T$32&gt;=EOMONTH($I67,-1)+1,T$32&lt;=EOMONTH(EOMONTH($I67,-1)+1,$J67-1)),IF(NOT(ISBLANK($M67)),$M67/$J67,$H67/$J67),0),0)</f>
        <v>0</v>
      </c>
      <c r="U67" s="469">
        <f t="shared" si="29"/>
        <v>0</v>
      </c>
      <c r="V67" s="309">
        <f>IFERROR(IF(AND(V$32&gt;=EOMONTH($I67,-1)+1,V$32&lt;=EOMONTH(EOMONTH($I67,-1)+1,$J67-1)),IF(NOT(ISBLANK($M67)),$M67/$J67,$H67/$J67),0),0)</f>
        <v>0</v>
      </c>
      <c r="W67" s="309">
        <f>IFERROR(IF(AND(W$32&gt;=EOMONTH($I67,-1)+1,W$32&lt;=EOMONTH(EOMONTH($I67,-1)+1,$J67-1)),IF(NOT(ISBLANK($M67)),$M67/$J67,$H67/$J67),0),0)</f>
        <v>0</v>
      </c>
      <c r="X67" s="309">
        <f>IFERROR(IF(AND(X$32&gt;=EOMONTH($I67,-1)+1,X$32&lt;=EOMONTH(EOMONTH($I67,-1)+1,$J67-1)),IF(NOT(ISBLANK($M67)),$M67/$J67,$H67/$J67),0),0)</f>
        <v>0</v>
      </c>
      <c r="Y67" s="469">
        <f t="shared" si="30"/>
        <v>0</v>
      </c>
      <c r="Z67" s="309">
        <f>IFERROR(IF(AND(Z$32&gt;=EOMONTH($I67,-1)+1,Z$32&lt;=EOMONTH(EOMONTH($I67,-1)+1,$J67-1)),IF(NOT(ISBLANK($M67)),$M67/$J67,$H67/$J67),0),0)</f>
        <v>0</v>
      </c>
      <c r="AA67" s="309">
        <f>IFERROR(IF(AND(AA$32&gt;=EOMONTH($I67,-1)+1,AA$32&lt;=EOMONTH(EOMONTH($I67,-1)+1,$J67-1)),IF(NOT(ISBLANK($M67)),$M67/$J67,$H67/$J67),0),0)</f>
        <v>0</v>
      </c>
      <c r="AB67" s="309">
        <f>IFERROR(IF(AND(AB$32&gt;=EOMONTH($I67,-1)+1,AB$32&lt;=EOMONTH(EOMONTH($I67,-1)+1,$J67-1)),IF(NOT(ISBLANK($M67)),$M67/$J67,$H67/$J67),0),0)</f>
        <v>0</v>
      </c>
      <c r="AC67" s="469">
        <f t="shared" si="31"/>
        <v>0</v>
      </c>
      <c r="AD67" s="309">
        <f>IFERROR(IF(AND(AD$32&gt;=EOMONTH($I67,-1)+1,AD$32&lt;=EOMONTH(EOMONTH($I67,-1)+1,$J67-1)),IF(NOT(ISBLANK($M67)),$M67/$J67,$H67/$J67),0),0)</f>
        <v>0</v>
      </c>
      <c r="AE67" s="309">
        <f>IFERROR(IF(AND(AE$32&gt;=EOMONTH($I67,-1)+1,AE$32&lt;=EOMONTH(EOMONTH($I67,-1)+1,$J67-1)),IF(NOT(ISBLANK($M67)),$M67/$J67,$H67/$J67),0),0)</f>
        <v>0</v>
      </c>
      <c r="AF67" s="309">
        <f>IFERROR(IF(AND(AF$32&gt;=EOMONTH($I67,-1)+1,AF$32&lt;=EOMONTH(EOMONTH($I67,-1)+1,$J67-1)),IF(NOT(ISBLANK($M67)),$M67/$J67,$H67/$J67),0),0)</f>
        <v>0</v>
      </c>
      <c r="AG67" s="469">
        <f t="shared" si="41"/>
        <v>0</v>
      </c>
      <c r="AH67" s="116">
        <f t="shared" si="42"/>
        <v>0</v>
      </c>
      <c r="AI67" s="1074"/>
      <c r="AJ67" s="1040"/>
      <c r="AK67" s="1048"/>
      <c r="AL67" s="1046">
        <f>L67*AK67</f>
        <v>0</v>
      </c>
      <c r="AM67" s="47">
        <f>B67</f>
        <v>0</v>
      </c>
      <c r="AN67" s="47">
        <f>A67</f>
        <v>0</v>
      </c>
      <c r="AO67" s="62" t="s">
        <v>289</v>
      </c>
      <c r="AP67" s="543" t="str" cm="1">
        <f t="array" aca="1" ref="AP67" ca="1">IF(OR(AM67="",AM67=0),"",IF(SUMPRODUCT(($B$33:$B$82=AM67)*($P$33:$P$82="Previsto")*($R$32:$AF$32&lt;EOMONTH(TODAY(),-1)+1)*($R$33:$AF$82))=0,"",SUMPRODUCT(($B$33:$B$82=AM67)*($P$33:$P$82="Previsto")*($R$32:$AF$32&lt;EOMONTH(TODAY(),-1)+1)*($R$33:$AF$82))))</f>
        <v/>
      </c>
    </row>
    <row r="68" spans="1:42" ht="29.1" customHeight="1" x14ac:dyDescent="0.3">
      <c r="A68" s="1037"/>
      <c r="B68" s="1114"/>
      <c r="C68" s="1116"/>
      <c r="D68" s="1304"/>
      <c r="E68" s="1304"/>
      <c r="F68" s="1118"/>
      <c r="G68" s="1118"/>
      <c r="H68" s="1047"/>
      <c r="I68" s="1159"/>
      <c r="J68" s="1122"/>
      <c r="K68" s="1075"/>
      <c r="L68" s="1054"/>
      <c r="M68" s="1054"/>
      <c r="N68" s="1120"/>
      <c r="O68" s="1058"/>
      <c r="P68" s="91" t="s">
        <v>107</v>
      </c>
      <c r="Q68" s="484">
        <v>0</v>
      </c>
      <c r="R68" s="309"/>
      <c r="S68" s="309"/>
      <c r="T68" s="309"/>
      <c r="U68" s="469">
        <f t="shared" si="29"/>
        <v>0</v>
      </c>
      <c r="V68" s="309"/>
      <c r="W68" s="309"/>
      <c r="X68" s="309"/>
      <c r="Y68" s="469">
        <f t="shared" si="30"/>
        <v>0</v>
      </c>
      <c r="Z68" s="309"/>
      <c r="AA68" s="309"/>
      <c r="AB68" s="309"/>
      <c r="AC68" s="469">
        <f t="shared" si="31"/>
        <v>0</v>
      </c>
      <c r="AD68" s="309"/>
      <c r="AE68" s="309"/>
      <c r="AF68" s="309"/>
      <c r="AG68" s="469">
        <f t="shared" si="41"/>
        <v>0</v>
      </c>
      <c r="AH68" s="483">
        <f t="shared" si="42"/>
        <v>0</v>
      </c>
      <c r="AI68" s="1075"/>
      <c r="AJ68" s="1041"/>
      <c r="AK68" s="1049"/>
      <c r="AL68" s="1047"/>
      <c r="AM68" s="47">
        <f>B67</f>
        <v>0</v>
      </c>
      <c r="AN68" s="47">
        <f>A67</f>
        <v>0</v>
      </c>
      <c r="AO68" s="62" t="s">
        <v>291</v>
      </c>
      <c r="AP68" s="543" t="str" cm="1">
        <f t="array" aca="1" ref="AP68" ca="1">IF(OR(AM67="",AM67=0),"",IF(SUMPRODUCT(($B$33:$B$82=AM67)*(ISNUMBER(SEARCH("Real",$P$33:$P$82)))*($R$32:$AF$32&lt;EOMONTH(TODAY(),-1)+1)*($R$33:$AF$82))=0,"",SUMPRODUCT(($B$33:$B$82=AM67)*(ISNUMBER(SEARCH("Real",$P$33:$P$82)))*($R$32:$AF$32&lt;EOMONTH(TODAY(),-1)+1)*($R$33:$AF$82))))</f>
        <v/>
      </c>
    </row>
    <row r="69" spans="1:42" ht="29.1" customHeight="1" x14ac:dyDescent="0.3">
      <c r="A69" s="1038"/>
      <c r="B69" s="1095"/>
      <c r="C69" s="1097"/>
      <c r="D69" s="1363"/>
      <c r="E69" s="1363"/>
      <c r="F69" s="1150"/>
      <c r="G69" s="1150"/>
      <c r="H69" s="1152"/>
      <c r="I69" s="1154"/>
      <c r="J69" s="1213" t="str">
        <f t="shared" ref="J69" si="45">IF(I69="", "", 12 - MONTH(I69) + 1)</f>
        <v/>
      </c>
      <c r="K69" s="1076"/>
      <c r="L69" s="1055"/>
      <c r="M69" s="1506"/>
      <c r="N69" s="1072"/>
      <c r="O69" s="1042"/>
      <c r="P69" s="96" t="s">
        <v>106</v>
      </c>
      <c r="Q69" s="96">
        <v>0</v>
      </c>
      <c r="R69" s="532">
        <f>IFERROR(IF(AND(R$32&gt;=EOMONTH($I69,-1)+1,R$32&lt;=EOMONTH(EOMONTH($I69,-1)+1,$J69-1)),IF(NOT(ISBLANK($M69)),$M69/$J69,$H69/$J69),0),0)</f>
        <v>0</v>
      </c>
      <c r="S69" s="532">
        <f>IFERROR(IF(AND(S$32&gt;=EOMONTH($I69,-1)+1,S$32&lt;=EOMONTH(EOMONTH($I69,-1)+1,$J69-1)),IF(NOT(ISBLANK($M69)),$M69/$J69,$H69/$J69),0),0)</f>
        <v>0</v>
      </c>
      <c r="T69" s="532">
        <f>IFERROR(IF(AND(T$32&gt;=EOMONTH($I69,-1)+1,T$32&lt;=EOMONTH(EOMONTH($I69,-1)+1,$J69-1)),IF(NOT(ISBLANK($M69)),$M69/$J69,$H69/$J69),0),0)</f>
        <v>0</v>
      </c>
      <c r="U69" s="469">
        <f t="shared" si="29"/>
        <v>0</v>
      </c>
      <c r="V69" s="532">
        <f>IFERROR(IF(AND(V$32&gt;=EOMONTH($I69,-1)+1,V$32&lt;=EOMONTH(EOMONTH($I69,-1)+1,$J69-1)),IF(NOT(ISBLANK($M69)),$M69/$J69,$H69/$J69),0),0)</f>
        <v>0</v>
      </c>
      <c r="W69" s="532">
        <f>IFERROR(IF(AND(W$32&gt;=EOMONTH($I69,-1)+1,W$32&lt;=EOMONTH(EOMONTH($I69,-1)+1,$J69-1)),IF(NOT(ISBLANK($M69)),$M69/$J69,$H69/$J69),0),0)</f>
        <v>0</v>
      </c>
      <c r="X69" s="532">
        <f>IFERROR(IF(AND(X$32&gt;=EOMONTH($I69,-1)+1,X$32&lt;=EOMONTH(EOMONTH($I69,-1)+1,$J69-1)),IF(NOT(ISBLANK($M69)),$M69/$J69,$H69/$J69),0),0)</f>
        <v>0</v>
      </c>
      <c r="Y69" s="469">
        <f t="shared" si="30"/>
        <v>0</v>
      </c>
      <c r="Z69" s="532">
        <f>IFERROR(IF(AND(Z$32&gt;=EOMONTH($I69,-1)+1,Z$32&lt;=EOMONTH(EOMONTH($I69,-1)+1,$J69-1)),IF(NOT(ISBLANK($M69)),$M69/$J69,$H69/$J69),0),0)</f>
        <v>0</v>
      </c>
      <c r="AA69" s="532">
        <f>IFERROR(IF(AND(AA$32&gt;=EOMONTH($I69,-1)+1,AA$32&lt;=EOMONTH(EOMONTH($I69,-1)+1,$J69-1)),IF(NOT(ISBLANK($M69)),$M69/$J69,$H69/$J69),0),0)</f>
        <v>0</v>
      </c>
      <c r="AB69" s="532">
        <f>IFERROR(IF(AND(AB$32&gt;=EOMONTH($I69,-1)+1,AB$32&lt;=EOMONTH(EOMONTH($I69,-1)+1,$J69-1)),IF(NOT(ISBLANK($M69)),$M69/$J69,$H69/$J69),0),0)</f>
        <v>0</v>
      </c>
      <c r="AC69" s="469">
        <f t="shared" si="31"/>
        <v>0</v>
      </c>
      <c r="AD69" s="532">
        <f>IFERROR(IF(AND(AD$32&gt;=EOMONTH($I69,-1)+1,AD$32&lt;=EOMONTH(EOMONTH($I69,-1)+1,$J69-1)),IF(NOT(ISBLANK($M69)),$M69/$J69,$H69/$J69),0),0)</f>
        <v>0</v>
      </c>
      <c r="AE69" s="532">
        <f>IFERROR(IF(AND(AE$32&gt;=EOMONTH($I69,-1)+1,AE$32&lt;=EOMONTH(EOMONTH($I69,-1)+1,$J69-1)),IF(NOT(ISBLANK($M69)),$M69/$J69,$H69/$J69),0),0)</f>
        <v>0</v>
      </c>
      <c r="AF69" s="532">
        <f>IFERROR(IF(AND(AF$32&gt;=EOMONTH($I69,-1)+1,AF$32&lt;=EOMONTH(EOMONTH($I69,-1)+1,$J69-1)),IF(NOT(ISBLANK($M69)),$M69/$J69,$H69/$J69),0),0)</f>
        <v>0</v>
      </c>
      <c r="AG69" s="469">
        <f t="shared" si="41"/>
        <v>0</v>
      </c>
      <c r="AH69" s="94">
        <f t="shared" si="42"/>
        <v>0</v>
      </c>
      <c r="AI69" s="1152"/>
      <c r="AJ69" s="1038"/>
      <c r="AK69" s="1042"/>
      <c r="AL69" s="1044">
        <f>L69*AK69</f>
        <v>0</v>
      </c>
      <c r="AM69" s="47">
        <f>B69</f>
        <v>0</v>
      </c>
      <c r="AN69" s="47">
        <f>A69</f>
        <v>0</v>
      </c>
      <c r="AO69" s="62" t="s">
        <v>289</v>
      </c>
      <c r="AP69" s="543" t="str" cm="1">
        <f t="array" aca="1" ref="AP69" ca="1">IF(OR(AM69="",AM69=0),"",IF(SUMPRODUCT(($B$33:$B$82=AM69)*($P$33:$P$82="Previsto")*($R$32:$AF$32&lt;EOMONTH(TODAY(),-1)+1)*($R$33:$AF$82))=0,"",SUMPRODUCT(($B$33:$B$82=AM69)*($P$33:$P$82="Previsto")*($R$32:$AF$32&lt;EOMONTH(TODAY(),-1)+1)*($R$33:$AF$82))))</f>
        <v/>
      </c>
    </row>
    <row r="70" spans="1:42" ht="29.1" customHeight="1" x14ac:dyDescent="0.3">
      <c r="A70" s="1039"/>
      <c r="B70" s="1096"/>
      <c r="C70" s="1098"/>
      <c r="D70" s="1364"/>
      <c r="E70" s="1364"/>
      <c r="F70" s="1547"/>
      <c r="G70" s="1547"/>
      <c r="H70" s="1151"/>
      <c r="I70" s="1155"/>
      <c r="J70" s="1214"/>
      <c r="K70" s="1077"/>
      <c r="L70" s="1056"/>
      <c r="M70" s="1108"/>
      <c r="N70" s="1073"/>
      <c r="O70" s="1043"/>
      <c r="P70" s="96" t="s">
        <v>107</v>
      </c>
      <c r="Q70" s="485">
        <v>0</v>
      </c>
      <c r="R70" s="486"/>
      <c r="S70" s="486"/>
      <c r="T70" s="312"/>
      <c r="U70" s="469">
        <f t="shared" si="29"/>
        <v>0</v>
      </c>
      <c r="V70" s="486"/>
      <c r="W70" s="486"/>
      <c r="X70" s="312"/>
      <c r="Y70" s="469">
        <f t="shared" si="30"/>
        <v>0</v>
      </c>
      <c r="Z70" s="486"/>
      <c r="AA70" s="486"/>
      <c r="AB70" s="312"/>
      <c r="AC70" s="469">
        <f t="shared" si="31"/>
        <v>0</v>
      </c>
      <c r="AD70" s="486"/>
      <c r="AE70" s="486"/>
      <c r="AF70" s="312"/>
      <c r="AG70" s="469">
        <f t="shared" si="41"/>
        <v>0</v>
      </c>
      <c r="AH70" s="94">
        <f t="shared" si="42"/>
        <v>0</v>
      </c>
      <c r="AI70" s="1151"/>
      <c r="AJ70" s="1039"/>
      <c r="AK70" s="1043"/>
      <c r="AL70" s="1045"/>
      <c r="AM70" s="47">
        <f>B69</f>
        <v>0</v>
      </c>
      <c r="AN70" s="47">
        <f>A69</f>
        <v>0</v>
      </c>
      <c r="AO70" s="62" t="s">
        <v>291</v>
      </c>
      <c r="AP70" s="543" t="str" cm="1">
        <f t="array" aca="1" ref="AP70" ca="1">IF(OR(AM69="",AM69=0),"",IF(SUMPRODUCT(($B$33:$B$82=AM69)*(ISNUMBER(SEARCH("Real",$P$33:$P$82)))*($R$32:$AF$32&lt;EOMONTH(TODAY(),-1)+1)*($R$33:$AF$82))=0,"",SUMPRODUCT(($B$33:$B$82=AM69)*(ISNUMBER(SEARCH("Real",$P$33:$P$82)))*($R$32:$AF$32&lt;EOMONTH(TODAY(),-1)+1)*($R$33:$AF$82))))</f>
        <v/>
      </c>
    </row>
    <row r="71" spans="1:42" ht="29.1" customHeight="1" x14ac:dyDescent="0.3">
      <c r="A71" s="1036"/>
      <c r="B71" s="1113"/>
      <c r="C71" s="1115"/>
      <c r="D71" s="1303"/>
      <c r="E71" s="1303"/>
      <c r="F71" s="1117"/>
      <c r="G71" s="1117"/>
      <c r="H71" s="1046"/>
      <c r="I71" s="1158"/>
      <c r="J71" s="1121" t="str">
        <f t="shared" ref="J71" si="46">IF(I71="", "", 12 - MONTH(I71) + 1)</f>
        <v/>
      </c>
      <c r="K71" s="1074"/>
      <c r="L71" s="1307"/>
      <c r="M71" s="1307"/>
      <c r="N71" s="1119"/>
      <c r="O71" s="1057"/>
      <c r="P71" s="91" t="s">
        <v>106</v>
      </c>
      <c r="Q71" s="91">
        <v>0</v>
      </c>
      <c r="R71" s="309">
        <f>IFERROR(IF(AND(R$32&gt;=EOMONTH($I71,-1)+1,R$32&lt;=EOMONTH(EOMONTH($I71,-1)+1,$J71-1)),IF(NOT(ISBLANK($M71)),$M71/$J71,$H71/$J71),0),0)</f>
        <v>0</v>
      </c>
      <c r="S71" s="309">
        <f>IFERROR(IF(AND(S$32&gt;=EOMONTH($I71,-1)+1,S$32&lt;=EOMONTH(EOMONTH($I71,-1)+1,$J71-1)),IF(NOT(ISBLANK($M71)),$M71/$J71,$H71/$J71),0),0)</f>
        <v>0</v>
      </c>
      <c r="T71" s="309">
        <f>IFERROR(IF(AND(T$32&gt;=EOMONTH($I71,-1)+1,T$32&lt;=EOMONTH(EOMONTH($I71,-1)+1,$J71-1)),IF(NOT(ISBLANK($M71)),$M71/$J71,$H71/$J71),0),0)</f>
        <v>0</v>
      </c>
      <c r="U71" s="469">
        <f t="shared" si="29"/>
        <v>0</v>
      </c>
      <c r="V71" s="309">
        <f>IFERROR(IF(AND(V$32&gt;=EOMONTH($I71,-1)+1,V$32&lt;=EOMONTH(EOMONTH($I71,-1)+1,$J71-1)),IF(NOT(ISBLANK($M71)),$M71/$J71,$H71/$J71),0),0)</f>
        <v>0</v>
      </c>
      <c r="W71" s="309">
        <f>IFERROR(IF(AND(W$32&gt;=EOMONTH($I71,-1)+1,W$32&lt;=EOMONTH(EOMONTH($I71,-1)+1,$J71-1)),IF(NOT(ISBLANK($M71)),$M71/$J71,$H71/$J71),0),0)</f>
        <v>0</v>
      </c>
      <c r="X71" s="309">
        <f>IFERROR(IF(AND(X$32&gt;=EOMONTH($I71,-1)+1,X$32&lt;=EOMONTH(EOMONTH($I71,-1)+1,$J71-1)),IF(NOT(ISBLANK($M71)),$M71/$J71,$H71/$J71),0),0)</f>
        <v>0</v>
      </c>
      <c r="Y71" s="469">
        <f t="shared" si="30"/>
        <v>0</v>
      </c>
      <c r="Z71" s="309">
        <f>IFERROR(IF(AND(Z$32&gt;=EOMONTH($I71,-1)+1,Z$32&lt;=EOMONTH(EOMONTH($I71,-1)+1,$J71-1)),IF(NOT(ISBLANK($M71)),$M71/$J71,$H71/$J71),0),0)</f>
        <v>0</v>
      </c>
      <c r="AA71" s="309">
        <f>IFERROR(IF(AND(AA$32&gt;=EOMONTH($I71,-1)+1,AA$32&lt;=EOMONTH(EOMONTH($I71,-1)+1,$J71-1)),IF(NOT(ISBLANK($M71)),$M71/$J71,$H71/$J71),0),0)</f>
        <v>0</v>
      </c>
      <c r="AB71" s="309">
        <f>IFERROR(IF(AND(AB$32&gt;=EOMONTH($I71,-1)+1,AB$32&lt;=EOMONTH(EOMONTH($I71,-1)+1,$J71-1)),IF(NOT(ISBLANK($M71)),$M71/$J71,$H71/$J71),0),0)</f>
        <v>0</v>
      </c>
      <c r="AC71" s="469">
        <f t="shared" si="31"/>
        <v>0</v>
      </c>
      <c r="AD71" s="309">
        <f>IFERROR(IF(AND(AD$32&gt;=EOMONTH($I71,-1)+1,AD$32&lt;=EOMONTH(EOMONTH($I71,-1)+1,$J71-1)),IF(NOT(ISBLANK($M71)),$M71/$J71,$H71/$J71),0),0)</f>
        <v>0</v>
      </c>
      <c r="AE71" s="309">
        <f>IFERROR(IF(AND(AE$32&gt;=EOMONTH($I71,-1)+1,AE$32&lt;=EOMONTH(EOMONTH($I71,-1)+1,$J71-1)),IF(NOT(ISBLANK($M71)),$M71/$J71,$H71/$J71),0),0)</f>
        <v>0</v>
      </c>
      <c r="AF71" s="309">
        <f>IFERROR(IF(AND(AF$32&gt;=EOMONTH($I71,-1)+1,AF$32&lt;=EOMONTH(EOMONTH($I71,-1)+1,$J71-1)),IF(NOT(ISBLANK($M71)),$M71/$J71,$H71/$J71),0),0)</f>
        <v>0</v>
      </c>
      <c r="AG71" s="469">
        <f t="shared" si="41"/>
        <v>0</v>
      </c>
      <c r="AH71" s="116">
        <f t="shared" si="42"/>
        <v>0</v>
      </c>
      <c r="AI71" s="1074"/>
      <c r="AJ71" s="1040"/>
      <c r="AK71" s="1048"/>
      <c r="AL71" s="1046">
        <f>L71*AK71</f>
        <v>0</v>
      </c>
      <c r="AM71" s="47">
        <f>B71</f>
        <v>0</v>
      </c>
      <c r="AN71" s="47">
        <f>A71</f>
        <v>0</v>
      </c>
      <c r="AO71" s="62" t="s">
        <v>289</v>
      </c>
      <c r="AP71" s="543" t="str" cm="1">
        <f t="array" aca="1" ref="AP71" ca="1">IF(OR(AM71="",AM71=0),"",IF(SUMPRODUCT(($B$33:$B$82=AM71)*($P$33:$P$82="Previsto")*($R$32:$AF$32&lt;EOMONTH(TODAY(),-1)+1)*($R$33:$AF$82))=0,"",SUMPRODUCT(($B$33:$B$82=AM71)*($P$33:$P$82="Previsto")*($R$32:$AF$32&lt;EOMONTH(TODAY(),-1)+1)*($R$33:$AF$82))))</f>
        <v/>
      </c>
    </row>
    <row r="72" spans="1:42" ht="29.1" customHeight="1" x14ac:dyDescent="0.3">
      <c r="A72" s="1037"/>
      <c r="B72" s="1114"/>
      <c r="C72" s="1116"/>
      <c r="D72" s="1304"/>
      <c r="E72" s="1304"/>
      <c r="F72" s="1118"/>
      <c r="G72" s="1118"/>
      <c r="H72" s="1047"/>
      <c r="I72" s="1159"/>
      <c r="J72" s="1122"/>
      <c r="K72" s="1075"/>
      <c r="L72" s="1054"/>
      <c r="M72" s="1054"/>
      <c r="N72" s="1120"/>
      <c r="O72" s="1058"/>
      <c r="P72" s="91" t="s">
        <v>107</v>
      </c>
      <c r="Q72" s="484">
        <v>0</v>
      </c>
      <c r="R72" s="309"/>
      <c r="S72" s="309"/>
      <c r="T72" s="309"/>
      <c r="U72" s="469">
        <f t="shared" si="29"/>
        <v>0</v>
      </c>
      <c r="V72" s="309"/>
      <c r="W72" s="309"/>
      <c r="X72" s="309"/>
      <c r="Y72" s="469">
        <f t="shared" si="30"/>
        <v>0</v>
      </c>
      <c r="Z72" s="309"/>
      <c r="AA72" s="309"/>
      <c r="AB72" s="309"/>
      <c r="AC72" s="469">
        <f t="shared" si="31"/>
        <v>0</v>
      </c>
      <c r="AD72" s="309"/>
      <c r="AE72" s="309"/>
      <c r="AF72" s="309"/>
      <c r="AG72" s="469">
        <f t="shared" si="41"/>
        <v>0</v>
      </c>
      <c r="AH72" s="483">
        <f t="shared" si="42"/>
        <v>0</v>
      </c>
      <c r="AI72" s="1075"/>
      <c r="AJ72" s="1041"/>
      <c r="AK72" s="1049"/>
      <c r="AL72" s="1047"/>
      <c r="AM72" s="47">
        <f>B71</f>
        <v>0</v>
      </c>
      <c r="AN72" s="47">
        <f>A71</f>
        <v>0</v>
      </c>
      <c r="AO72" s="62" t="s">
        <v>291</v>
      </c>
      <c r="AP72" s="543" t="str" cm="1">
        <f t="array" aca="1" ref="AP72" ca="1">IF(OR(AM71="",AM71=0),"",IF(SUMPRODUCT(($B$33:$B$82=AM71)*(ISNUMBER(SEARCH("Real",$P$33:$P$82)))*($R$32:$AF$32&lt;EOMONTH(TODAY(),-1)+1)*($R$33:$AF$82))=0,"",SUMPRODUCT(($B$33:$B$82=AM71)*(ISNUMBER(SEARCH("Real",$P$33:$P$82)))*($R$32:$AF$32&lt;EOMONTH(TODAY(),-1)+1)*($R$33:$AF$82))))</f>
        <v/>
      </c>
    </row>
    <row r="73" spans="1:42" ht="29.1" customHeight="1" x14ac:dyDescent="0.3">
      <c r="A73" s="1038"/>
      <c r="B73" s="1095"/>
      <c r="C73" s="1097"/>
      <c r="D73" s="1363"/>
      <c r="E73" s="1363"/>
      <c r="F73" s="1150"/>
      <c r="G73" s="1150"/>
      <c r="H73" s="1152"/>
      <c r="I73" s="1154"/>
      <c r="J73" s="1213" t="str">
        <f t="shared" ref="J73" si="47">IF(I73="", "", 12 - MONTH(I73) + 1)</f>
        <v/>
      </c>
      <c r="K73" s="1076"/>
      <c r="L73" s="1055"/>
      <c r="M73" s="1506"/>
      <c r="N73" s="1072"/>
      <c r="O73" s="1042"/>
      <c r="P73" s="96" t="s">
        <v>106</v>
      </c>
      <c r="Q73" s="96">
        <v>0</v>
      </c>
      <c r="R73" s="532">
        <f>IFERROR(IF(AND(R$32&gt;=EOMONTH($I73,-1)+1,R$32&lt;=EOMONTH(EOMONTH($I73,-1)+1,$J73-1)),IF(NOT(ISBLANK($M73)),$M73/$J73,$H73/$J73),0),0)</f>
        <v>0</v>
      </c>
      <c r="S73" s="532">
        <f>IFERROR(IF(AND(S$32&gt;=EOMONTH($I73,-1)+1,S$32&lt;=EOMONTH(EOMONTH($I73,-1)+1,$J73-1)),IF(NOT(ISBLANK($M73)),$M73/$J73,$H73/$J73),0),0)</f>
        <v>0</v>
      </c>
      <c r="T73" s="532">
        <f>IFERROR(IF(AND(T$32&gt;=EOMONTH($I73,-1)+1,T$32&lt;=EOMONTH(EOMONTH($I73,-1)+1,$J73-1)),IF(NOT(ISBLANK($M73)),$M73/$J73,$H73/$J73),0),0)</f>
        <v>0</v>
      </c>
      <c r="U73" s="469">
        <f t="shared" si="29"/>
        <v>0</v>
      </c>
      <c r="V73" s="532">
        <f>IFERROR(IF(AND(V$32&gt;=EOMONTH($I73,-1)+1,V$32&lt;=EOMONTH(EOMONTH($I73,-1)+1,$J73-1)),IF(NOT(ISBLANK($M73)),$M73/$J73,$H73/$J73),0),0)</f>
        <v>0</v>
      </c>
      <c r="W73" s="532">
        <f>IFERROR(IF(AND(W$32&gt;=EOMONTH($I73,-1)+1,W$32&lt;=EOMONTH(EOMONTH($I73,-1)+1,$J73-1)),IF(NOT(ISBLANK($M73)),$M73/$J73,$H73/$J73),0),0)</f>
        <v>0</v>
      </c>
      <c r="X73" s="532">
        <f>IFERROR(IF(AND(X$32&gt;=EOMONTH($I73,-1)+1,X$32&lt;=EOMONTH(EOMONTH($I73,-1)+1,$J73-1)),IF(NOT(ISBLANK($M73)),$M73/$J73,$H73/$J73),0),0)</f>
        <v>0</v>
      </c>
      <c r="Y73" s="469">
        <f t="shared" si="30"/>
        <v>0</v>
      </c>
      <c r="Z73" s="532">
        <f>IFERROR(IF(AND(Z$32&gt;=EOMONTH($I73,-1)+1,Z$32&lt;=EOMONTH(EOMONTH($I73,-1)+1,$J73-1)),IF(NOT(ISBLANK($M73)),$M73/$J73,$H73/$J73),0),0)</f>
        <v>0</v>
      </c>
      <c r="AA73" s="532">
        <f>IFERROR(IF(AND(AA$32&gt;=EOMONTH($I73,-1)+1,AA$32&lt;=EOMONTH(EOMONTH($I73,-1)+1,$J73-1)),IF(NOT(ISBLANK($M73)),$M73/$J73,$H73/$J73),0),0)</f>
        <v>0</v>
      </c>
      <c r="AB73" s="532">
        <f>IFERROR(IF(AND(AB$32&gt;=EOMONTH($I73,-1)+1,AB$32&lt;=EOMONTH(EOMONTH($I73,-1)+1,$J73-1)),IF(NOT(ISBLANK($M73)),$M73/$J73,$H73/$J73),0),0)</f>
        <v>0</v>
      </c>
      <c r="AC73" s="469">
        <f t="shared" si="31"/>
        <v>0</v>
      </c>
      <c r="AD73" s="532">
        <f>IFERROR(IF(AND(AD$32&gt;=EOMONTH($I73,-1)+1,AD$32&lt;=EOMONTH(EOMONTH($I73,-1)+1,$J73-1)),IF(NOT(ISBLANK($M73)),$M73/$J73,$H73/$J73),0),0)</f>
        <v>0</v>
      </c>
      <c r="AE73" s="532">
        <f>IFERROR(IF(AND(AE$32&gt;=EOMONTH($I73,-1)+1,AE$32&lt;=EOMONTH(EOMONTH($I73,-1)+1,$J73-1)),IF(NOT(ISBLANK($M73)),$M73/$J73,$H73/$J73),0),0)</f>
        <v>0</v>
      </c>
      <c r="AF73" s="532">
        <f>IFERROR(IF(AND(AF$32&gt;=EOMONTH($I73,-1)+1,AF$32&lt;=EOMONTH(EOMONTH($I73,-1)+1,$J73-1)),IF(NOT(ISBLANK($M73)),$M73/$J73,$H73/$J73),0),0)</f>
        <v>0</v>
      </c>
      <c r="AG73" s="469">
        <f t="shared" si="41"/>
        <v>0</v>
      </c>
      <c r="AH73" s="94">
        <f t="shared" si="42"/>
        <v>0</v>
      </c>
      <c r="AI73" s="1152"/>
      <c r="AJ73" s="1038"/>
      <c r="AK73" s="1042"/>
      <c r="AL73" s="1044">
        <f>L73*AK73</f>
        <v>0</v>
      </c>
      <c r="AM73" s="47">
        <f>B73</f>
        <v>0</v>
      </c>
      <c r="AN73" s="47">
        <f>A73</f>
        <v>0</v>
      </c>
      <c r="AO73" s="62" t="s">
        <v>289</v>
      </c>
      <c r="AP73" s="543" t="str" cm="1">
        <f t="array" aca="1" ref="AP73" ca="1">IF(OR(AM73="",AM73=0),"",IF(SUMPRODUCT(($B$33:$B$82=AM73)*($P$33:$P$82="Previsto")*($R$32:$AF$32&lt;EOMONTH(TODAY(),-1)+1)*($R$33:$AF$82))=0,"",SUMPRODUCT(($B$33:$B$82=AM73)*($P$33:$P$82="Previsto")*($R$32:$AF$32&lt;EOMONTH(TODAY(),-1)+1)*($R$33:$AF$82))))</f>
        <v/>
      </c>
    </row>
    <row r="74" spans="1:42" ht="29.1" customHeight="1" x14ac:dyDescent="0.3">
      <c r="A74" s="1039"/>
      <c r="B74" s="1096"/>
      <c r="C74" s="1098"/>
      <c r="D74" s="1364"/>
      <c r="E74" s="1364"/>
      <c r="F74" s="1547"/>
      <c r="G74" s="1547"/>
      <c r="H74" s="1151"/>
      <c r="I74" s="1155"/>
      <c r="J74" s="1214"/>
      <c r="K74" s="1077"/>
      <c r="L74" s="1056"/>
      <c r="M74" s="1108"/>
      <c r="N74" s="1073"/>
      <c r="O74" s="1043"/>
      <c r="P74" s="96" t="s">
        <v>107</v>
      </c>
      <c r="Q74" s="485">
        <v>0</v>
      </c>
      <c r="R74" s="486"/>
      <c r="S74" s="486"/>
      <c r="T74" s="312"/>
      <c r="U74" s="469">
        <f t="shared" si="29"/>
        <v>0</v>
      </c>
      <c r="V74" s="486"/>
      <c r="W74" s="486"/>
      <c r="X74" s="312"/>
      <c r="Y74" s="469">
        <f t="shared" si="30"/>
        <v>0</v>
      </c>
      <c r="Z74" s="486"/>
      <c r="AA74" s="486"/>
      <c r="AB74" s="312"/>
      <c r="AC74" s="469">
        <f t="shared" si="31"/>
        <v>0</v>
      </c>
      <c r="AD74" s="486"/>
      <c r="AE74" s="486"/>
      <c r="AF74" s="312"/>
      <c r="AG74" s="469">
        <f t="shared" si="41"/>
        <v>0</v>
      </c>
      <c r="AH74" s="94">
        <f t="shared" si="42"/>
        <v>0</v>
      </c>
      <c r="AI74" s="1151"/>
      <c r="AJ74" s="1039"/>
      <c r="AK74" s="1043"/>
      <c r="AL74" s="1045"/>
      <c r="AM74" s="47">
        <f>B73</f>
        <v>0</v>
      </c>
      <c r="AN74" s="47">
        <f>A73</f>
        <v>0</v>
      </c>
      <c r="AO74" s="62" t="s">
        <v>291</v>
      </c>
      <c r="AP74" s="543" t="str" cm="1">
        <f t="array" aca="1" ref="AP74" ca="1">IF(OR(AM73="",AM73=0),"",IF(SUMPRODUCT(($B$33:$B$82=AM73)*(ISNUMBER(SEARCH("Real",$P$33:$P$82)))*($R$32:$AF$32&lt;EOMONTH(TODAY(),-1)+1)*($R$33:$AF$82))=0,"",SUMPRODUCT(($B$33:$B$82=AM73)*(ISNUMBER(SEARCH("Real",$P$33:$P$82)))*($R$32:$AF$32&lt;EOMONTH(TODAY(),-1)+1)*($R$33:$AF$82))))</f>
        <v/>
      </c>
    </row>
    <row r="75" spans="1:42" ht="29.1" customHeight="1" x14ac:dyDescent="0.3">
      <c r="A75" s="1036"/>
      <c r="B75" s="1113"/>
      <c r="C75" s="1115"/>
      <c r="D75" s="1303"/>
      <c r="E75" s="1303"/>
      <c r="F75" s="1117"/>
      <c r="G75" s="1117"/>
      <c r="H75" s="1046"/>
      <c r="I75" s="1158"/>
      <c r="J75" s="1121" t="str">
        <f t="shared" ref="J75" si="48">IF(I75="", "", 12 - MONTH(I75) + 1)</f>
        <v/>
      </c>
      <c r="K75" s="1074"/>
      <c r="L75" s="1307"/>
      <c r="M75" s="1307"/>
      <c r="N75" s="1119"/>
      <c r="O75" s="1057"/>
      <c r="P75" s="91" t="s">
        <v>106</v>
      </c>
      <c r="Q75" s="91">
        <v>0</v>
      </c>
      <c r="R75" s="309">
        <f>IFERROR(IF(AND(R$32&gt;=EOMONTH($I75,-1)+1,R$32&lt;=EOMONTH(EOMONTH($I75,-1)+1,$J75-1)),IF(NOT(ISBLANK($M75)),$M75/$J75,$H75/$J75),0),0)</f>
        <v>0</v>
      </c>
      <c r="S75" s="309">
        <f>IFERROR(IF(AND(S$32&gt;=EOMONTH($I75,-1)+1,S$32&lt;=EOMONTH(EOMONTH($I75,-1)+1,$J75-1)),IF(NOT(ISBLANK($M75)),$M75/$J75,$H75/$J75),0),0)</f>
        <v>0</v>
      </c>
      <c r="T75" s="309">
        <f>IFERROR(IF(AND(T$32&gt;=EOMONTH($I75,-1)+1,T$32&lt;=EOMONTH(EOMONTH($I75,-1)+1,$J75-1)),IF(NOT(ISBLANK($M75)),$M75/$J75,$H75/$J75),0),0)</f>
        <v>0</v>
      </c>
      <c r="U75" s="469">
        <f t="shared" si="29"/>
        <v>0</v>
      </c>
      <c r="V75" s="309">
        <f>IFERROR(IF(AND(V$32&gt;=EOMONTH($I75,-1)+1,V$32&lt;=EOMONTH(EOMONTH($I75,-1)+1,$J75-1)),IF(NOT(ISBLANK($M75)),$M75/$J75,$H75/$J75),0),0)</f>
        <v>0</v>
      </c>
      <c r="W75" s="309">
        <f>IFERROR(IF(AND(W$32&gt;=EOMONTH($I75,-1)+1,W$32&lt;=EOMONTH(EOMONTH($I75,-1)+1,$J75-1)),IF(NOT(ISBLANK($M75)),$M75/$J75,$H75/$J75),0),0)</f>
        <v>0</v>
      </c>
      <c r="X75" s="309">
        <f>IFERROR(IF(AND(X$32&gt;=EOMONTH($I75,-1)+1,X$32&lt;=EOMONTH(EOMONTH($I75,-1)+1,$J75-1)),IF(NOT(ISBLANK($M75)),$M75/$J75,$H75/$J75),0),0)</f>
        <v>0</v>
      </c>
      <c r="Y75" s="469">
        <f t="shared" si="30"/>
        <v>0</v>
      </c>
      <c r="Z75" s="309">
        <f>IFERROR(IF(AND(Z$32&gt;=EOMONTH($I75,-1)+1,Z$32&lt;=EOMONTH(EOMONTH($I75,-1)+1,$J75-1)),IF(NOT(ISBLANK($M75)),$M75/$J75,$H75/$J75),0),0)</f>
        <v>0</v>
      </c>
      <c r="AA75" s="309">
        <f>IFERROR(IF(AND(AA$32&gt;=EOMONTH($I75,-1)+1,AA$32&lt;=EOMONTH(EOMONTH($I75,-1)+1,$J75-1)),IF(NOT(ISBLANK($M75)),$M75/$J75,$H75/$J75),0),0)</f>
        <v>0</v>
      </c>
      <c r="AB75" s="309">
        <f>IFERROR(IF(AND(AB$32&gt;=EOMONTH($I75,-1)+1,AB$32&lt;=EOMONTH(EOMONTH($I75,-1)+1,$J75-1)),IF(NOT(ISBLANK($M75)),$M75/$J75,$H75/$J75),0),0)</f>
        <v>0</v>
      </c>
      <c r="AC75" s="469">
        <f t="shared" si="31"/>
        <v>0</v>
      </c>
      <c r="AD75" s="309">
        <f>IFERROR(IF(AND(AD$32&gt;=EOMONTH($I75,-1)+1,AD$32&lt;=EOMONTH(EOMONTH($I75,-1)+1,$J75-1)),IF(NOT(ISBLANK($M75)),$M75/$J75,$H75/$J75),0),0)</f>
        <v>0</v>
      </c>
      <c r="AE75" s="309">
        <f>IFERROR(IF(AND(AE$32&gt;=EOMONTH($I75,-1)+1,AE$32&lt;=EOMONTH(EOMONTH($I75,-1)+1,$J75-1)),IF(NOT(ISBLANK($M75)),$M75/$J75,$H75/$J75),0),0)</f>
        <v>0</v>
      </c>
      <c r="AF75" s="309">
        <f>IFERROR(IF(AND(AF$32&gt;=EOMONTH($I75,-1)+1,AF$32&lt;=EOMONTH(EOMONTH($I75,-1)+1,$J75-1)),IF(NOT(ISBLANK($M75)),$M75/$J75,$H75/$J75),0),0)</f>
        <v>0</v>
      </c>
      <c r="AG75" s="469">
        <f t="shared" si="41"/>
        <v>0</v>
      </c>
      <c r="AH75" s="116">
        <f t="shared" si="42"/>
        <v>0</v>
      </c>
      <c r="AI75" s="1074"/>
      <c r="AJ75" s="1040"/>
      <c r="AK75" s="1048"/>
      <c r="AL75" s="1046">
        <f>L75*AK75</f>
        <v>0</v>
      </c>
      <c r="AM75" s="47">
        <f>B75</f>
        <v>0</v>
      </c>
      <c r="AN75" s="47">
        <f>A75</f>
        <v>0</v>
      </c>
      <c r="AO75" s="62" t="s">
        <v>289</v>
      </c>
      <c r="AP75" s="543" t="str" cm="1">
        <f t="array" aca="1" ref="AP75" ca="1">IF(OR(AM75="",AM75=0),"",IF(SUMPRODUCT(($B$33:$B$82=AM75)*($P$33:$P$82="Previsto")*($R$32:$AF$32&lt;EOMONTH(TODAY(),-1)+1)*($R$33:$AF$82))=0,"",SUMPRODUCT(($B$33:$B$82=AM75)*($P$33:$P$82="Previsto")*($R$32:$AF$32&lt;EOMONTH(TODAY(),-1)+1)*($R$33:$AF$82))))</f>
        <v/>
      </c>
    </row>
    <row r="76" spans="1:42" ht="29.1" customHeight="1" x14ac:dyDescent="0.3">
      <c r="A76" s="1037"/>
      <c r="B76" s="1114"/>
      <c r="C76" s="1116"/>
      <c r="D76" s="1304"/>
      <c r="E76" s="1304"/>
      <c r="F76" s="1118"/>
      <c r="G76" s="1118"/>
      <c r="H76" s="1047"/>
      <c r="I76" s="1159"/>
      <c r="J76" s="1122"/>
      <c r="K76" s="1075"/>
      <c r="L76" s="1054"/>
      <c r="M76" s="1054"/>
      <c r="N76" s="1120"/>
      <c r="O76" s="1058"/>
      <c r="P76" s="91" t="s">
        <v>107</v>
      </c>
      <c r="Q76" s="484">
        <v>0</v>
      </c>
      <c r="R76" s="309"/>
      <c r="S76" s="309"/>
      <c r="T76" s="309"/>
      <c r="U76" s="469">
        <f t="shared" si="29"/>
        <v>0</v>
      </c>
      <c r="V76" s="309"/>
      <c r="W76" s="309"/>
      <c r="X76" s="309"/>
      <c r="Y76" s="469">
        <f t="shared" si="30"/>
        <v>0</v>
      </c>
      <c r="Z76" s="309"/>
      <c r="AA76" s="309"/>
      <c r="AB76" s="309"/>
      <c r="AC76" s="469">
        <f t="shared" si="31"/>
        <v>0</v>
      </c>
      <c r="AD76" s="309"/>
      <c r="AE76" s="309"/>
      <c r="AF76" s="309"/>
      <c r="AG76" s="469">
        <f t="shared" si="41"/>
        <v>0</v>
      </c>
      <c r="AH76" s="483">
        <f t="shared" si="42"/>
        <v>0</v>
      </c>
      <c r="AI76" s="1075"/>
      <c r="AJ76" s="1041"/>
      <c r="AK76" s="1049"/>
      <c r="AL76" s="1047"/>
      <c r="AM76" s="47">
        <f>B75</f>
        <v>0</v>
      </c>
      <c r="AN76" s="47">
        <f>A75</f>
        <v>0</v>
      </c>
      <c r="AO76" s="62" t="s">
        <v>291</v>
      </c>
      <c r="AP76" s="543" t="str" cm="1">
        <f t="array" aca="1" ref="AP76" ca="1">IF(OR(AM75="",AM75=0),"",IF(SUMPRODUCT(($B$33:$B$82=AM75)*(ISNUMBER(SEARCH("Real",$P$33:$P$82)))*($R$32:$AF$32&lt;EOMONTH(TODAY(),-1)+1)*($R$33:$AF$82))=0,"",SUMPRODUCT(($B$33:$B$82=AM75)*(ISNUMBER(SEARCH("Real",$P$33:$P$82)))*($R$32:$AF$32&lt;EOMONTH(TODAY(),-1)+1)*($R$33:$AF$82))))</f>
        <v/>
      </c>
    </row>
    <row r="77" spans="1:42" ht="29.1" customHeight="1" x14ac:dyDescent="0.3">
      <c r="A77" s="1038"/>
      <c r="B77" s="1095"/>
      <c r="C77" s="1097"/>
      <c r="D77" s="1363"/>
      <c r="E77" s="1363"/>
      <c r="F77" s="1150"/>
      <c r="G77" s="1150"/>
      <c r="H77" s="1152"/>
      <c r="I77" s="1154"/>
      <c r="J77" s="1213" t="str">
        <f t="shared" ref="J77" si="49">IF(I77="", "", 12 - MONTH(I77) + 1)</f>
        <v/>
      </c>
      <c r="K77" s="1076"/>
      <c r="L77" s="1055"/>
      <c r="M77" s="1506"/>
      <c r="N77" s="1072"/>
      <c r="O77" s="1042"/>
      <c r="P77" s="96" t="s">
        <v>106</v>
      </c>
      <c r="Q77" s="96">
        <v>0</v>
      </c>
      <c r="R77" s="532">
        <f>IFERROR(IF(AND(R$32&gt;=EOMONTH($I77,-1)+1,R$32&lt;=EOMONTH(EOMONTH($I77,-1)+1,$J77-1)),IF(NOT(ISBLANK($M77)),$M77/$J77,$H77/$J77),0),0)</f>
        <v>0</v>
      </c>
      <c r="S77" s="532">
        <f>IFERROR(IF(AND(S$32&gt;=EOMONTH($I77,-1)+1,S$32&lt;=EOMONTH(EOMONTH($I77,-1)+1,$J77-1)),IF(NOT(ISBLANK($M77)),$M77/$J77,$H77/$J77),0),0)</f>
        <v>0</v>
      </c>
      <c r="T77" s="532">
        <f>IFERROR(IF(AND(T$32&gt;=EOMONTH($I77,-1)+1,T$32&lt;=EOMONTH(EOMONTH($I77,-1)+1,$J77-1)),IF(NOT(ISBLANK($M77)),$M77/$J77,$H77/$J77),0),0)</f>
        <v>0</v>
      </c>
      <c r="U77" s="469">
        <f t="shared" si="29"/>
        <v>0</v>
      </c>
      <c r="V77" s="532">
        <f>IFERROR(IF(AND(V$32&gt;=EOMONTH($I77,-1)+1,V$32&lt;=EOMONTH(EOMONTH($I77,-1)+1,$J77-1)),IF(NOT(ISBLANK($M77)),$M77/$J77,$H77/$J77),0),0)</f>
        <v>0</v>
      </c>
      <c r="W77" s="532">
        <f>IFERROR(IF(AND(W$32&gt;=EOMONTH($I77,-1)+1,W$32&lt;=EOMONTH(EOMONTH($I77,-1)+1,$J77-1)),IF(NOT(ISBLANK($M77)),$M77/$J77,$H77/$J77),0),0)</f>
        <v>0</v>
      </c>
      <c r="X77" s="532">
        <f>IFERROR(IF(AND(X$32&gt;=EOMONTH($I77,-1)+1,X$32&lt;=EOMONTH(EOMONTH($I77,-1)+1,$J77-1)),IF(NOT(ISBLANK($M77)),$M77/$J77,$H77/$J77),0),0)</f>
        <v>0</v>
      </c>
      <c r="Y77" s="469">
        <f t="shared" si="30"/>
        <v>0</v>
      </c>
      <c r="Z77" s="532">
        <f>IFERROR(IF(AND(Z$32&gt;=EOMONTH($I77,-1)+1,Z$32&lt;=EOMONTH(EOMONTH($I77,-1)+1,$J77-1)),IF(NOT(ISBLANK($M77)),$M77/$J77,$H77/$J77),0),0)</f>
        <v>0</v>
      </c>
      <c r="AA77" s="532">
        <f>IFERROR(IF(AND(AA$32&gt;=EOMONTH($I77,-1)+1,AA$32&lt;=EOMONTH(EOMONTH($I77,-1)+1,$J77-1)),IF(NOT(ISBLANK($M77)),$M77/$J77,$H77/$J77),0),0)</f>
        <v>0</v>
      </c>
      <c r="AB77" s="532">
        <f>IFERROR(IF(AND(AB$32&gt;=EOMONTH($I77,-1)+1,AB$32&lt;=EOMONTH(EOMONTH($I77,-1)+1,$J77-1)),IF(NOT(ISBLANK($M77)),$M77/$J77,$H77/$J77),0),0)</f>
        <v>0</v>
      </c>
      <c r="AC77" s="469">
        <f t="shared" si="31"/>
        <v>0</v>
      </c>
      <c r="AD77" s="532">
        <f>IFERROR(IF(AND(AD$32&gt;=EOMONTH($I77,-1)+1,AD$32&lt;=EOMONTH(EOMONTH($I77,-1)+1,$J77-1)),IF(NOT(ISBLANK($M77)),$M77/$J77,$H77/$J77),0),0)</f>
        <v>0</v>
      </c>
      <c r="AE77" s="532">
        <f>IFERROR(IF(AND(AE$32&gt;=EOMONTH($I77,-1)+1,AE$32&lt;=EOMONTH(EOMONTH($I77,-1)+1,$J77-1)),IF(NOT(ISBLANK($M77)),$M77/$J77,$H77/$J77),0),0)</f>
        <v>0</v>
      </c>
      <c r="AF77" s="532">
        <f>IFERROR(IF(AND(AF$32&gt;=EOMONTH($I77,-1)+1,AF$32&lt;=EOMONTH(EOMONTH($I77,-1)+1,$J77-1)),IF(NOT(ISBLANK($M77)),$M77/$J77,$H77/$J77),0),0)</f>
        <v>0</v>
      </c>
      <c r="AG77" s="469">
        <f t="shared" si="41"/>
        <v>0</v>
      </c>
      <c r="AH77" s="94">
        <f t="shared" si="42"/>
        <v>0</v>
      </c>
      <c r="AI77" s="1152"/>
      <c r="AJ77" s="1038"/>
      <c r="AK77" s="1042"/>
      <c r="AL77" s="1044">
        <f>L77*AK77</f>
        <v>0</v>
      </c>
      <c r="AM77" s="47">
        <f>B77</f>
        <v>0</v>
      </c>
      <c r="AN77" s="47">
        <f>A77</f>
        <v>0</v>
      </c>
      <c r="AO77" s="62" t="s">
        <v>289</v>
      </c>
      <c r="AP77" s="543" t="str" cm="1">
        <f t="array" aca="1" ref="AP77" ca="1">IF(OR(AM77="",AM77=0),"",IF(SUMPRODUCT(($B$33:$B$82=AM77)*($P$33:$P$82="Previsto")*($R$32:$AF$32&lt;EOMONTH(TODAY(),-1)+1)*($R$33:$AF$82))=0,"",SUMPRODUCT(($B$33:$B$82=AM77)*($P$33:$P$82="Previsto")*($R$32:$AF$32&lt;EOMONTH(TODAY(),-1)+1)*($R$33:$AF$82))))</f>
        <v/>
      </c>
    </row>
    <row r="78" spans="1:42" ht="29.1" customHeight="1" x14ac:dyDescent="0.3">
      <c r="A78" s="1039"/>
      <c r="B78" s="1096"/>
      <c r="C78" s="1098"/>
      <c r="D78" s="1364"/>
      <c r="E78" s="1364"/>
      <c r="F78" s="1547"/>
      <c r="G78" s="1547"/>
      <c r="H78" s="1151"/>
      <c r="I78" s="1155"/>
      <c r="J78" s="1214"/>
      <c r="K78" s="1077"/>
      <c r="L78" s="1056"/>
      <c r="M78" s="1108"/>
      <c r="N78" s="1073"/>
      <c r="O78" s="1043"/>
      <c r="P78" s="96" t="s">
        <v>107</v>
      </c>
      <c r="Q78" s="485">
        <v>0</v>
      </c>
      <c r="R78" s="486"/>
      <c r="S78" s="486"/>
      <c r="T78" s="312"/>
      <c r="U78" s="469">
        <f t="shared" si="29"/>
        <v>0</v>
      </c>
      <c r="V78" s="486"/>
      <c r="W78" s="486"/>
      <c r="X78" s="312"/>
      <c r="Y78" s="469">
        <f t="shared" si="30"/>
        <v>0</v>
      </c>
      <c r="Z78" s="486"/>
      <c r="AA78" s="486"/>
      <c r="AB78" s="312"/>
      <c r="AC78" s="469">
        <f t="shared" si="31"/>
        <v>0</v>
      </c>
      <c r="AD78" s="486"/>
      <c r="AE78" s="486"/>
      <c r="AF78" s="312"/>
      <c r="AG78" s="469">
        <f t="shared" si="41"/>
        <v>0</v>
      </c>
      <c r="AH78" s="94">
        <f t="shared" si="42"/>
        <v>0</v>
      </c>
      <c r="AI78" s="1151"/>
      <c r="AJ78" s="1039"/>
      <c r="AK78" s="1043"/>
      <c r="AL78" s="1045"/>
      <c r="AM78" s="47">
        <f>B77</f>
        <v>0</v>
      </c>
      <c r="AN78" s="47">
        <f>A77</f>
        <v>0</v>
      </c>
      <c r="AO78" s="62" t="s">
        <v>291</v>
      </c>
      <c r="AP78" s="543" t="str" cm="1">
        <f t="array" aca="1" ref="AP78" ca="1">IF(OR(AM77="",AM77=0),"",IF(SUMPRODUCT(($B$33:$B$82=AM77)*(ISNUMBER(SEARCH("Real",$P$33:$P$82)))*($R$32:$AF$32&lt;EOMONTH(TODAY(),-1)+1)*($R$33:$AF$82))=0,"",SUMPRODUCT(($B$33:$B$82=AM77)*(ISNUMBER(SEARCH("Real",$P$33:$P$82)))*($R$32:$AF$32&lt;EOMONTH(TODAY(),-1)+1)*($R$33:$AF$82))))</f>
        <v/>
      </c>
    </row>
    <row r="79" spans="1:42" ht="29.1" customHeight="1" x14ac:dyDescent="0.3">
      <c r="A79" s="1036"/>
      <c r="B79" s="1113"/>
      <c r="C79" s="1115"/>
      <c r="D79" s="1303"/>
      <c r="E79" s="1303"/>
      <c r="F79" s="1117"/>
      <c r="G79" s="1117"/>
      <c r="H79" s="1046"/>
      <c r="I79" s="1158"/>
      <c r="J79" s="1121" t="str">
        <f t="shared" ref="J79" si="50">IF(I79="", "", 12 - MONTH(I79) + 1)</f>
        <v/>
      </c>
      <c r="K79" s="1074"/>
      <c r="L79" s="1307"/>
      <c r="M79" s="1307"/>
      <c r="N79" s="1119"/>
      <c r="O79" s="1057"/>
      <c r="P79" s="91" t="s">
        <v>106</v>
      </c>
      <c r="Q79" s="91">
        <v>0</v>
      </c>
      <c r="R79" s="309">
        <f>IFERROR(IF(AND(R$32&gt;=EOMONTH($I79,-1)+1,R$32&lt;=EOMONTH(EOMONTH($I79,-1)+1,$J79-1)),IF(NOT(ISBLANK($M79)),$M79/$J79,$H79/$J79),0),0)</f>
        <v>0</v>
      </c>
      <c r="S79" s="309">
        <f>IFERROR(IF(AND(S$32&gt;=EOMONTH($I79,-1)+1,S$32&lt;=EOMONTH(EOMONTH($I79,-1)+1,$J79-1)),IF(NOT(ISBLANK($M79)),$M79/$J79,$H79/$J79),0),0)</f>
        <v>0</v>
      </c>
      <c r="T79" s="309">
        <f>IFERROR(IF(AND(T$32&gt;=EOMONTH($I79,-1)+1,T$32&lt;=EOMONTH(EOMONTH($I79,-1)+1,$J79-1)),IF(NOT(ISBLANK($M79)),$M79/$J79,$H79/$J79),0),0)</f>
        <v>0</v>
      </c>
      <c r="U79" s="469">
        <f t="shared" si="29"/>
        <v>0</v>
      </c>
      <c r="V79" s="309">
        <f>IFERROR(IF(AND(V$32&gt;=EOMONTH($I79,-1)+1,V$32&lt;=EOMONTH(EOMONTH($I79,-1)+1,$J79-1)),IF(NOT(ISBLANK($M79)),$M79/$J79,$H79/$J79),0),0)</f>
        <v>0</v>
      </c>
      <c r="W79" s="309">
        <f>IFERROR(IF(AND(W$32&gt;=EOMONTH($I79,-1)+1,W$32&lt;=EOMONTH(EOMONTH($I79,-1)+1,$J79-1)),IF(NOT(ISBLANK($M79)),$M79/$J79,$H79/$J79),0),0)</f>
        <v>0</v>
      </c>
      <c r="X79" s="309">
        <f>IFERROR(IF(AND(X$32&gt;=EOMONTH($I79,-1)+1,X$32&lt;=EOMONTH(EOMONTH($I79,-1)+1,$J79-1)),IF(NOT(ISBLANK($M79)),$M79/$J79,$H79/$J79),0),0)</f>
        <v>0</v>
      </c>
      <c r="Y79" s="469">
        <f t="shared" si="30"/>
        <v>0</v>
      </c>
      <c r="Z79" s="309">
        <f>IFERROR(IF(AND(Z$32&gt;=EOMONTH($I79,-1)+1,Z$32&lt;=EOMONTH(EOMONTH($I79,-1)+1,$J79-1)),IF(NOT(ISBLANK($M79)),$M79/$J79,$H79/$J79),0),0)</f>
        <v>0</v>
      </c>
      <c r="AA79" s="309">
        <f>IFERROR(IF(AND(AA$32&gt;=EOMONTH($I79,-1)+1,AA$32&lt;=EOMONTH(EOMONTH($I79,-1)+1,$J79-1)),IF(NOT(ISBLANK($M79)),$M79/$J79,$H79/$J79),0),0)</f>
        <v>0</v>
      </c>
      <c r="AB79" s="309">
        <f>IFERROR(IF(AND(AB$32&gt;=EOMONTH($I79,-1)+1,AB$32&lt;=EOMONTH(EOMONTH($I79,-1)+1,$J79-1)),IF(NOT(ISBLANK($M79)),$M79/$J79,$H79/$J79),0),0)</f>
        <v>0</v>
      </c>
      <c r="AC79" s="469">
        <f t="shared" si="31"/>
        <v>0</v>
      </c>
      <c r="AD79" s="309">
        <f>IFERROR(IF(AND(AD$32&gt;=EOMONTH($I79,-1)+1,AD$32&lt;=EOMONTH(EOMONTH($I79,-1)+1,$J79-1)),IF(NOT(ISBLANK($M79)),$M79/$J79,$H79/$J79),0),0)</f>
        <v>0</v>
      </c>
      <c r="AE79" s="309">
        <f>IFERROR(IF(AND(AE$32&gt;=EOMONTH($I79,-1)+1,AE$32&lt;=EOMONTH(EOMONTH($I79,-1)+1,$J79-1)),IF(NOT(ISBLANK($M79)),$M79/$J79,$H79/$J79),0),0)</f>
        <v>0</v>
      </c>
      <c r="AF79" s="309">
        <f>IFERROR(IF(AND(AF$32&gt;=EOMONTH($I79,-1)+1,AF$32&lt;=EOMONTH(EOMONTH($I79,-1)+1,$J79-1)),IF(NOT(ISBLANK($M79)),$M79/$J79,$H79/$J79),0),0)</f>
        <v>0</v>
      </c>
      <c r="AG79" s="469">
        <f t="shared" si="41"/>
        <v>0</v>
      </c>
      <c r="AH79" s="116">
        <f t="shared" si="42"/>
        <v>0</v>
      </c>
      <c r="AI79" s="1074"/>
      <c r="AJ79" s="1040"/>
      <c r="AK79" s="1048"/>
      <c r="AL79" s="1046">
        <f>L79*AK79</f>
        <v>0</v>
      </c>
      <c r="AM79" s="47">
        <f>B79</f>
        <v>0</v>
      </c>
      <c r="AN79" s="47">
        <f>A79</f>
        <v>0</v>
      </c>
      <c r="AO79" s="62" t="s">
        <v>289</v>
      </c>
      <c r="AP79" s="543" t="str" cm="1">
        <f t="array" aca="1" ref="AP79" ca="1">IF(OR(AM79="",AM79=0),"",IF(SUMPRODUCT(($B$33:$B$82=AM79)*($P$33:$P$82="Previsto")*($R$32:$AF$32&lt;EOMONTH(TODAY(),-1)+1)*($R$33:$AF$82))=0,"",SUMPRODUCT(($B$33:$B$82=AM79)*($P$33:$P$82="Previsto")*($R$32:$AF$32&lt;EOMONTH(TODAY(),-1)+1)*($R$33:$AF$82))))</f>
        <v/>
      </c>
    </row>
    <row r="80" spans="1:42" ht="29.1" customHeight="1" x14ac:dyDescent="0.3">
      <c r="A80" s="1037"/>
      <c r="B80" s="1114"/>
      <c r="C80" s="1116"/>
      <c r="D80" s="1304"/>
      <c r="E80" s="1304"/>
      <c r="F80" s="1118"/>
      <c r="G80" s="1118"/>
      <c r="H80" s="1047"/>
      <c r="I80" s="1159"/>
      <c r="J80" s="1122"/>
      <c r="K80" s="1075"/>
      <c r="L80" s="1054"/>
      <c r="M80" s="1054"/>
      <c r="N80" s="1120"/>
      <c r="O80" s="1058"/>
      <c r="P80" s="91" t="s">
        <v>107</v>
      </c>
      <c r="Q80" s="484">
        <v>0</v>
      </c>
      <c r="R80" s="309"/>
      <c r="S80" s="309"/>
      <c r="T80" s="309"/>
      <c r="U80" s="469">
        <f t="shared" si="29"/>
        <v>0</v>
      </c>
      <c r="V80" s="309"/>
      <c r="W80" s="309"/>
      <c r="X80" s="309"/>
      <c r="Y80" s="469">
        <f t="shared" si="30"/>
        <v>0</v>
      </c>
      <c r="Z80" s="309"/>
      <c r="AA80" s="309"/>
      <c r="AB80" s="309"/>
      <c r="AC80" s="469">
        <f t="shared" si="31"/>
        <v>0</v>
      </c>
      <c r="AD80" s="309"/>
      <c r="AE80" s="309"/>
      <c r="AF80" s="309"/>
      <c r="AG80" s="469">
        <f t="shared" si="41"/>
        <v>0</v>
      </c>
      <c r="AH80" s="483">
        <f t="shared" si="42"/>
        <v>0</v>
      </c>
      <c r="AI80" s="1075"/>
      <c r="AJ80" s="1041"/>
      <c r="AK80" s="1049"/>
      <c r="AL80" s="1047"/>
      <c r="AM80" s="47">
        <f>B79</f>
        <v>0</v>
      </c>
      <c r="AN80" s="47">
        <f>A79</f>
        <v>0</v>
      </c>
      <c r="AO80" s="62" t="s">
        <v>291</v>
      </c>
      <c r="AP80" s="543" t="str" cm="1">
        <f t="array" aca="1" ref="AP80" ca="1">IF(OR(AM79="",AM79=0),"",IF(SUMPRODUCT(($B$33:$B$82=AM79)*(ISNUMBER(SEARCH("Real",$P$33:$P$82)))*($R$32:$AF$32&lt;EOMONTH(TODAY(),-1)+1)*($R$33:$AF$82))=0,"",SUMPRODUCT(($B$33:$B$82=AM79)*(ISNUMBER(SEARCH("Real",$P$33:$P$82)))*($R$32:$AF$32&lt;EOMONTH(TODAY(),-1)+1)*($R$33:$AF$82))))</f>
        <v/>
      </c>
    </row>
    <row r="81" spans="1:42" ht="29.1" customHeight="1" x14ac:dyDescent="0.3">
      <c r="A81" s="1038"/>
      <c r="B81" s="1095"/>
      <c r="C81" s="1097"/>
      <c r="D81" s="1363"/>
      <c r="E81" s="1363"/>
      <c r="F81" s="1150"/>
      <c r="G81" s="1150"/>
      <c r="H81" s="1152"/>
      <c r="I81" s="1154"/>
      <c r="J81" s="1213" t="str">
        <f t="shared" ref="J81" si="51">IF(I81="", "", 12 - MONTH(I81) + 1)</f>
        <v/>
      </c>
      <c r="K81" s="1076"/>
      <c r="L81" s="1055"/>
      <c r="M81" s="1506"/>
      <c r="N81" s="1072"/>
      <c r="O81" s="1042"/>
      <c r="P81" s="96" t="s">
        <v>106</v>
      </c>
      <c r="Q81" s="96">
        <v>0</v>
      </c>
      <c r="R81" s="532">
        <f>IFERROR(IF(AND(R$32&gt;=EOMONTH($I81,-1)+1,R$32&lt;=EOMONTH(EOMONTH($I81,-1)+1,$J81-1)),IF(NOT(ISBLANK($M81)),$M81/$J81,$H81/$J81),0),0)</f>
        <v>0</v>
      </c>
      <c r="S81" s="532">
        <f>IFERROR(IF(AND(S$32&gt;=EOMONTH($I81,-1)+1,S$32&lt;=EOMONTH(EOMONTH($I81,-1)+1,$J81-1)),IF(NOT(ISBLANK($M81)),$M81/$J81,$H81/$J81),0),0)</f>
        <v>0</v>
      </c>
      <c r="T81" s="532">
        <f>IFERROR(IF(AND(T$32&gt;=EOMONTH($I81,-1)+1,T$32&lt;=EOMONTH(EOMONTH($I81,-1)+1,$J81-1)),IF(NOT(ISBLANK($M81)),$M81/$J81,$H81/$J81),0),0)</f>
        <v>0</v>
      </c>
      <c r="U81" s="469">
        <f t="shared" si="29"/>
        <v>0</v>
      </c>
      <c r="V81" s="532">
        <f>IFERROR(IF(AND(V$32&gt;=EOMONTH($I81,-1)+1,V$32&lt;=EOMONTH(EOMONTH($I81,-1)+1,$J81-1)),IF(NOT(ISBLANK($M81)),$M81/$J81,$H81/$J81),0),0)</f>
        <v>0</v>
      </c>
      <c r="W81" s="532">
        <f>IFERROR(IF(AND(W$32&gt;=EOMONTH($I81,-1)+1,W$32&lt;=EOMONTH(EOMONTH($I81,-1)+1,$J81-1)),IF(NOT(ISBLANK($M81)),$M81/$J81,$H81/$J81),0),0)</f>
        <v>0</v>
      </c>
      <c r="X81" s="532">
        <f>IFERROR(IF(AND(X$32&gt;=EOMONTH($I81,-1)+1,X$32&lt;=EOMONTH(EOMONTH($I81,-1)+1,$J81-1)),IF(NOT(ISBLANK($M81)),$M81/$J81,$H81/$J81),0),0)</f>
        <v>0</v>
      </c>
      <c r="Y81" s="469">
        <f t="shared" si="30"/>
        <v>0</v>
      </c>
      <c r="Z81" s="532">
        <f>IFERROR(IF(AND(Z$32&gt;=EOMONTH($I81,-1)+1,Z$32&lt;=EOMONTH(EOMONTH($I81,-1)+1,$J81-1)),IF(NOT(ISBLANK($M81)),$M81/$J81,$H81/$J81),0),0)</f>
        <v>0</v>
      </c>
      <c r="AA81" s="532">
        <f>IFERROR(IF(AND(AA$32&gt;=EOMONTH($I81,-1)+1,AA$32&lt;=EOMONTH(EOMONTH($I81,-1)+1,$J81-1)),IF(NOT(ISBLANK($M81)),$M81/$J81,$H81/$J81),0),0)</f>
        <v>0</v>
      </c>
      <c r="AB81" s="532">
        <f>IFERROR(IF(AND(AB$32&gt;=EOMONTH($I81,-1)+1,AB$32&lt;=EOMONTH(EOMONTH($I81,-1)+1,$J81-1)),IF(NOT(ISBLANK($M81)),$M81/$J81,$H81/$J81),0),0)</f>
        <v>0</v>
      </c>
      <c r="AC81" s="469">
        <f t="shared" si="31"/>
        <v>0</v>
      </c>
      <c r="AD81" s="532">
        <f>IFERROR(IF(AND(AD$32&gt;=EOMONTH($I81,-1)+1,AD$32&lt;=EOMONTH(EOMONTH($I81,-1)+1,$J81-1)),IF(NOT(ISBLANK($M81)),$M81/$J81,$H81/$J81),0),0)</f>
        <v>0</v>
      </c>
      <c r="AE81" s="532">
        <f>IFERROR(IF(AND(AE$32&gt;=EOMONTH($I81,-1)+1,AE$32&lt;=EOMONTH(EOMONTH($I81,-1)+1,$J81-1)),IF(NOT(ISBLANK($M81)),$M81/$J81,$H81/$J81),0),0)</f>
        <v>0</v>
      </c>
      <c r="AF81" s="532">
        <f>IFERROR(IF(AND(AF$32&gt;=EOMONTH($I81,-1)+1,AF$32&lt;=EOMONTH(EOMONTH($I81,-1)+1,$J81-1)),IF(NOT(ISBLANK($M81)),$M81/$J81,$H81/$J81),0),0)</f>
        <v>0</v>
      </c>
      <c r="AG81" s="469">
        <f t="shared" si="41"/>
        <v>0</v>
      </c>
      <c r="AH81" s="94">
        <f t="shared" si="42"/>
        <v>0</v>
      </c>
      <c r="AI81" s="1152"/>
      <c r="AJ81" s="1038"/>
      <c r="AK81" s="1042"/>
      <c r="AL81" s="1044">
        <f>L81*AK81</f>
        <v>0</v>
      </c>
      <c r="AM81" s="47">
        <f>B81</f>
        <v>0</v>
      </c>
      <c r="AN81" s="47">
        <f>A81</f>
        <v>0</v>
      </c>
      <c r="AO81" s="62" t="s">
        <v>289</v>
      </c>
      <c r="AP81" s="543" t="str" cm="1">
        <f t="array" aca="1" ref="AP81" ca="1">IF(OR(AM81="",AM81=0),"",IF(SUMPRODUCT(($B$33:$B$82=AM81)*($P$33:$P$82="Previsto")*($R$32:$AF$32&lt;EOMONTH(TODAY(),-1)+1)*($R$33:$AF$82))=0,"",SUMPRODUCT(($B$33:$B$82=AM81)*($P$33:$P$82="Previsto")*($R$32:$AF$32&lt;EOMONTH(TODAY(),-1)+1)*($R$33:$AF$82))))</f>
        <v/>
      </c>
    </row>
    <row r="82" spans="1:42" ht="29.1" customHeight="1" x14ac:dyDescent="0.3">
      <c r="A82" s="1039"/>
      <c r="B82" s="1096"/>
      <c r="C82" s="1098"/>
      <c r="D82" s="1364"/>
      <c r="E82" s="1364"/>
      <c r="F82" s="1547"/>
      <c r="G82" s="1547"/>
      <c r="H82" s="1151"/>
      <c r="I82" s="1155"/>
      <c r="J82" s="1214"/>
      <c r="K82" s="1077"/>
      <c r="L82" s="1056"/>
      <c r="M82" s="1108"/>
      <c r="N82" s="1073"/>
      <c r="O82" s="1043"/>
      <c r="P82" s="96" t="s">
        <v>107</v>
      </c>
      <c r="Q82" s="485">
        <v>0</v>
      </c>
      <c r="R82" s="486"/>
      <c r="S82" s="486"/>
      <c r="T82" s="312"/>
      <c r="U82" s="469">
        <f t="shared" si="29"/>
        <v>0</v>
      </c>
      <c r="V82" s="486"/>
      <c r="W82" s="486"/>
      <c r="X82" s="312"/>
      <c r="Y82" s="469">
        <f t="shared" si="30"/>
        <v>0</v>
      </c>
      <c r="Z82" s="486"/>
      <c r="AA82" s="486"/>
      <c r="AB82" s="312"/>
      <c r="AC82" s="469">
        <f t="shared" si="31"/>
        <v>0</v>
      </c>
      <c r="AD82" s="486"/>
      <c r="AE82" s="486"/>
      <c r="AF82" s="312"/>
      <c r="AG82" s="469">
        <f t="shared" si="41"/>
        <v>0</v>
      </c>
      <c r="AH82" s="94">
        <f t="shared" si="42"/>
        <v>0</v>
      </c>
      <c r="AI82" s="1151"/>
      <c r="AJ82" s="1039"/>
      <c r="AK82" s="1043"/>
      <c r="AL82" s="1045"/>
      <c r="AM82" s="47">
        <f>B81</f>
        <v>0</v>
      </c>
      <c r="AN82" s="47">
        <f>A81</f>
        <v>0</v>
      </c>
      <c r="AO82" s="62" t="s">
        <v>291</v>
      </c>
      <c r="AP82" s="543" t="str" cm="1">
        <f t="array" aca="1" ref="AP82" ca="1">IF(OR(AM81="",AM81=0),"",IF(SUMPRODUCT(($B$33:$B$82=AM81)*(ISNUMBER(SEARCH("Real",$P$33:$P$82)))*($R$32:$AF$32&lt;EOMONTH(TODAY(),-1)+1)*($R$33:$AF$82))=0,"",SUMPRODUCT(($B$33:$B$82=AM81)*(ISNUMBER(SEARCH("Real",$P$33:$P$82)))*($R$32:$AF$32&lt;EOMONTH(TODAY(),-1)+1)*($R$33:$AF$82))))</f>
        <v/>
      </c>
    </row>
    <row r="83" spans="1:42" s="120" customFormat="1" ht="20.85" customHeight="1" x14ac:dyDescent="0.3"/>
    <row r="84" spans="1:42" x14ac:dyDescent="0.3">
      <c r="K84" s="151"/>
      <c r="L84" s="151">
        <v>46023</v>
      </c>
      <c r="M84" s="151">
        <v>46054</v>
      </c>
      <c r="N84" s="151">
        <v>46082</v>
      </c>
      <c r="O84" s="151">
        <v>46113</v>
      </c>
      <c r="P84" s="151">
        <v>46143</v>
      </c>
      <c r="Q84" s="151">
        <v>46174</v>
      </c>
      <c r="R84" s="151">
        <v>46204</v>
      </c>
      <c r="S84" s="151">
        <v>46235</v>
      </c>
      <c r="T84" s="151">
        <v>46266</v>
      </c>
      <c r="U84" s="151">
        <v>46296</v>
      </c>
      <c r="V84" s="151">
        <v>46327</v>
      </c>
      <c r="W84" s="151">
        <v>46357</v>
      </c>
      <c r="X84" s="151" t="s">
        <v>550</v>
      </c>
    </row>
    <row r="85" spans="1:42" x14ac:dyDescent="0.3">
      <c r="K85" s="504" t="s">
        <v>106</v>
      </c>
      <c r="L85" s="152">
        <f>SUMIF($P$33:$P$82,$K$85,R33:R82)</f>
        <v>116666.66666666667</v>
      </c>
      <c r="M85" s="152">
        <f>SUMIF($P$33:$P$82,$K$85,S33:S82)</f>
        <v>116666.66666666667</v>
      </c>
      <c r="N85" s="152">
        <f>SUMIF($P$33:$P$82,$K$85,T33:T82)</f>
        <v>171222.96666666667</v>
      </c>
      <c r="O85" s="152">
        <f>SUMIF($P$33:$P$82,$K$85,V33:V82)</f>
        <v>171222.96666666667</v>
      </c>
      <c r="P85" s="152">
        <f>SUMIF($P$33:$P$82,$K$85,W33:W82)</f>
        <v>171222.96666666667</v>
      </c>
      <c r="Q85" s="152">
        <f>SUMIF($P$33:$P$82,$K$85,X33:X82)</f>
        <v>246532.70809523811</v>
      </c>
      <c r="R85" s="152">
        <f>SUMIF($P$33:$P$82,$K$85,Z33:Z82)</f>
        <v>262532.70809523808</v>
      </c>
      <c r="S85" s="152">
        <f>SUMIF($P$33:$P$82,$K$85,AA33:AA82)</f>
        <v>262532.70809523808</v>
      </c>
      <c r="T85" s="152">
        <f>SUMIF($P$33:$P$82,$K$85,AB33:AB82)</f>
        <v>262532.70809523808</v>
      </c>
      <c r="U85" s="152">
        <f>SUMIF($P$33:$P$82,$K$85,AD33:AD82)</f>
        <v>262532.70809523808</v>
      </c>
      <c r="V85" s="152">
        <f>SUMIF($P$33:$P$82,$K$85,AE33:AE82)</f>
        <v>262532.70809523808</v>
      </c>
      <c r="W85" s="152">
        <f>SUMIF($P$33:$P$82,$K$85,AF33:AF82)</f>
        <v>262532.70809523808</v>
      </c>
      <c r="X85" s="152"/>
    </row>
    <row r="86" spans="1:42" x14ac:dyDescent="0.3">
      <c r="K86" s="505" t="s">
        <v>107</v>
      </c>
      <c r="L86" s="537">
        <f t="shared" ref="L86" si="52">SUMIF($P$33:$P$82,$K$86,R33:R82)</f>
        <v>350457.87</v>
      </c>
      <c r="M86" s="537">
        <f>SUMIF($P$33:$P$82,$K$86,S33:S82)</f>
        <v>329747.52</v>
      </c>
      <c r="N86" s="537">
        <f>SUMIF($P$33:$P$82,$K$86,T33:T82)</f>
        <v>407666.16</v>
      </c>
      <c r="O86" s="537">
        <f>SUMIF($P$33:$P$82,$K$86,V33:V82)</f>
        <v>183255.81</v>
      </c>
      <c r="P86" s="537">
        <f>SUMIF($P$33:$P$82,$K$86,W33:W82)</f>
        <v>144628</v>
      </c>
      <c r="Q86" s="537">
        <f>SUMIF($P$33:$P$82,$K$86,X33:X82)</f>
        <v>0</v>
      </c>
      <c r="R86" s="537">
        <f>SUMIF($P$33:$P$82,$K$86,Z33:Z82)</f>
        <v>0</v>
      </c>
      <c r="S86" s="537">
        <f>SUMIF($P$33:$P$82,$K$86,AA33:AA82)</f>
        <v>0</v>
      </c>
      <c r="T86" s="537">
        <f>SUMIF($P$33:$P$82,$K$86,AB33:AB82)</f>
        <v>0</v>
      </c>
      <c r="U86" s="537">
        <f>SUMIF($P$33:$P$82,$K$86,AD33:AD82)</f>
        <v>0</v>
      </c>
      <c r="V86" s="537">
        <f>SUMIF($P$33:$P$82,$K$86,AE33:AE82)</f>
        <v>0</v>
      </c>
      <c r="W86" s="537">
        <f>SUMIF($P$33:$P$82,$K$86,AF33:AF82)</f>
        <v>0</v>
      </c>
      <c r="X86" s="154"/>
    </row>
    <row r="87" spans="1:42" x14ac:dyDescent="0.3">
      <c r="K87" s="506" t="s">
        <v>566</v>
      </c>
      <c r="L87" s="160" cm="1">
        <f t="array" ref="L87">SUMPRODUCT(($F$33:$F$82&lt;&gt;"")*($F$33:$F$82&lt;=L$84)*(($G$33:$G$82="")+($G$33:$G$82&gt;=L$84)))</f>
        <v>1</v>
      </c>
      <c r="M87" s="160" cm="1">
        <f t="array" ref="M87">SUMPRODUCT(($F$33:$F$82&lt;&gt;"")*($F$33:$F$82&lt;=M$84)*(($G$33:$G$82="")+($G$33:$G$82&gt;=M$84)))</f>
        <v>2</v>
      </c>
      <c r="N87" s="160" cm="1">
        <f t="array" ref="N87">SUMPRODUCT(($F$33:$F$82&lt;&gt;"")*($F$33:$F$82&lt;=N$84)*(($G$33:$G$82="")+($G$33:$G$82&gt;=N$84)))</f>
        <v>1</v>
      </c>
      <c r="O87" s="160" cm="1">
        <f t="array" ref="O87">SUMPRODUCT(($F$33:$F$82&lt;&gt;"")*($F$33:$F$82&lt;=O$84)*(($G$33:$G$82="")+($G$33:$G$82&gt;=O$84)))</f>
        <v>3</v>
      </c>
      <c r="P87" s="160" cm="1">
        <f t="array" ref="P87">SUMPRODUCT(($F$33:$F$82&lt;&gt;"")*($F$33:$F$82&lt;=P$84)*(($G$33:$G$82="")+($G$33:$G$82&gt;=P$84)))</f>
        <v>2</v>
      </c>
      <c r="Q87" s="160" cm="1">
        <f t="array" ref="Q87">SUMPRODUCT(($F$33:$F$82&lt;&gt;"")*($F$33:$F$82&lt;=Q$84)*(($G$33:$G$82="")+($G$33:$G$82&gt;=Q$84)))</f>
        <v>1</v>
      </c>
      <c r="R87" s="160" cm="1">
        <f t="array" ref="R87">SUMPRODUCT(($F$33:$F$82&lt;&gt;"")*($F$33:$F$82&lt;=R$84)*(($G$33:$G$82="")+($G$33:$G$82&gt;=R$84)))</f>
        <v>0</v>
      </c>
      <c r="S87" s="160" cm="1">
        <f t="array" ref="S87">SUMPRODUCT(($F$33:$F$82&lt;&gt;"")*($F$33:$F$82&lt;=S$84)*(($G$33:$G$82="")+($G$33:$G$82&gt;=S$84)))</f>
        <v>0</v>
      </c>
      <c r="T87" s="160" cm="1">
        <f t="array" ref="T87">SUMPRODUCT(($F$33:$F$82&lt;&gt;"")*($F$33:$F$82&lt;=T$84)*(($G$33:$G$82="")+($G$33:$G$82&gt;=T$84)))</f>
        <v>0</v>
      </c>
      <c r="U87" s="160" cm="1">
        <f t="array" ref="U87">SUMPRODUCT(($F$33:$F$82&lt;&gt;"")*($F$33:$F$82&lt;=U$84)*(($G$33:$G$82="")+($G$33:$G$82&gt;=U$84)))</f>
        <v>0</v>
      </c>
      <c r="V87" s="160" cm="1">
        <f t="array" ref="V87">SUMPRODUCT(($F$33:$F$82&lt;&gt;"")*($F$33:$F$82&lt;=V$84)*(($G$33:$G$82="")+($G$33:$G$82&gt;=V$84)))</f>
        <v>0</v>
      </c>
      <c r="W87" s="160" cm="1">
        <f t="array" ref="W87">SUMPRODUCT(($F$33:$F$82&lt;&gt;"")*($F$33:$F$82&lt;=W$84)*(($G$33:$G$82="")+($G$33:$G$82&gt;=W$84)))</f>
        <v>0</v>
      </c>
      <c r="X87" s="160"/>
    </row>
    <row r="88" spans="1:42" x14ac:dyDescent="0.3">
      <c r="K88" s="505" t="s">
        <v>570</v>
      </c>
      <c r="L88" s="154">
        <f>L85</f>
        <v>116666.66666666667</v>
      </c>
      <c r="M88" s="154">
        <f>L88+M85</f>
        <v>233333.33333333334</v>
      </c>
      <c r="N88" s="154">
        <f t="shared" ref="N88:W89" si="53">M88+N85</f>
        <v>404556.30000000005</v>
      </c>
      <c r="O88" s="154">
        <f t="shared" si="53"/>
        <v>575779.26666666672</v>
      </c>
      <c r="P88" s="154">
        <f t="shared" si="53"/>
        <v>747002.2333333334</v>
      </c>
      <c r="Q88" s="154">
        <f>P88+Q85</f>
        <v>993534.94142857147</v>
      </c>
      <c r="R88" s="154">
        <f t="shared" si="53"/>
        <v>1256067.6495238096</v>
      </c>
      <c r="S88" s="154">
        <f t="shared" si="53"/>
        <v>1518600.3576190476</v>
      </c>
      <c r="T88" s="154">
        <f t="shared" si="53"/>
        <v>1781133.0657142857</v>
      </c>
      <c r="U88" s="154">
        <f t="shared" si="53"/>
        <v>2043665.7738095238</v>
      </c>
      <c r="V88" s="154">
        <f t="shared" si="53"/>
        <v>2306198.4819047619</v>
      </c>
      <c r="W88" s="154">
        <f t="shared" si="53"/>
        <v>2568731.19</v>
      </c>
      <c r="X88" s="154"/>
    </row>
    <row r="89" spans="1:42" x14ac:dyDescent="0.3">
      <c r="K89" s="506" t="s">
        <v>574</v>
      </c>
      <c r="L89" s="507">
        <f>L86</f>
        <v>350457.87</v>
      </c>
      <c r="M89" s="507">
        <f>L89+M86</f>
        <v>680205.39</v>
      </c>
      <c r="N89" s="507">
        <f t="shared" si="53"/>
        <v>1087871.55</v>
      </c>
      <c r="O89" s="507">
        <f t="shared" si="53"/>
        <v>1271127.3600000001</v>
      </c>
      <c r="P89" s="507">
        <f t="shared" si="53"/>
        <v>1415755.36</v>
      </c>
      <c r="Q89" s="507">
        <f>P89+Q86</f>
        <v>1415755.36</v>
      </c>
      <c r="R89" s="507">
        <f t="shared" si="53"/>
        <v>1415755.36</v>
      </c>
      <c r="S89" s="507">
        <f t="shared" si="53"/>
        <v>1415755.36</v>
      </c>
      <c r="T89" s="507">
        <f t="shared" si="53"/>
        <v>1415755.36</v>
      </c>
      <c r="U89" s="507">
        <f t="shared" si="53"/>
        <v>1415755.36</v>
      </c>
      <c r="V89" s="507">
        <f t="shared" si="53"/>
        <v>1415755.36</v>
      </c>
      <c r="W89" s="507">
        <f t="shared" si="53"/>
        <v>1415755.36</v>
      </c>
      <c r="X89" s="507"/>
    </row>
    <row r="90" spans="1:42" x14ac:dyDescent="0.3">
      <c r="K90" s="505" t="s">
        <v>578</v>
      </c>
      <c r="L90" s="537"/>
      <c r="M90" s="537"/>
      <c r="N90" s="537"/>
      <c r="O90" s="537"/>
      <c r="P90" s="537"/>
      <c r="Q90" s="537"/>
      <c r="R90" s="537"/>
      <c r="S90" s="537"/>
      <c r="T90" s="537"/>
      <c r="U90" s="537"/>
      <c r="V90" s="537"/>
      <c r="W90" s="537"/>
      <c r="X90" s="154"/>
    </row>
  </sheetData>
  <sheetProtection formatCells="0" formatColumns="0" formatRows="0" insertHyperlinks="0"/>
  <mergeCells count="519">
    <mergeCell ref="AK23:AL23"/>
    <mergeCell ref="I73:I74"/>
    <mergeCell ref="J73:J74"/>
    <mergeCell ref="I75:I76"/>
    <mergeCell ref="J75:J76"/>
    <mergeCell ref="I77:I78"/>
    <mergeCell ref="J77:J78"/>
    <mergeCell ref="R8:AI8"/>
    <mergeCell ref="O41:O42"/>
    <mergeCell ref="N41:N42"/>
    <mergeCell ref="N43:N44"/>
    <mergeCell ref="O55:O56"/>
    <mergeCell ref="N55:N56"/>
    <mergeCell ref="O51:O52"/>
    <mergeCell ref="N51:N52"/>
    <mergeCell ref="O53:O54"/>
    <mergeCell ref="O57:O58"/>
    <mergeCell ref="L65:L66"/>
    <mergeCell ref="M65:M66"/>
    <mergeCell ref="O43:O44"/>
    <mergeCell ref="O39:O40"/>
    <mergeCell ref="O49:O50"/>
    <mergeCell ref="O47:O48"/>
    <mergeCell ref="N39:N40"/>
    <mergeCell ref="G5:H5"/>
    <mergeCell ref="I5:K5"/>
    <mergeCell ref="L5:N5"/>
    <mergeCell ref="O5:P5"/>
    <mergeCell ref="I37:I38"/>
    <mergeCell ref="J37:J38"/>
    <mergeCell ref="K35:K36"/>
    <mergeCell ref="O35:O36"/>
    <mergeCell ref="O37:O38"/>
    <mergeCell ref="O9:Q9"/>
    <mergeCell ref="L37:L38"/>
    <mergeCell ref="M37:M38"/>
    <mergeCell ref="L35:L36"/>
    <mergeCell ref="N35:N36"/>
    <mergeCell ref="N37:N38"/>
    <mergeCell ref="AC1:AG1"/>
    <mergeCell ref="O2:AB2"/>
    <mergeCell ref="AC2:AG2"/>
    <mergeCell ref="A1:N1"/>
    <mergeCell ref="A2:N2"/>
    <mergeCell ref="A4:B4"/>
    <mergeCell ref="E4:F4"/>
    <mergeCell ref="G33:G34"/>
    <mergeCell ref="H33:H34"/>
    <mergeCell ref="L33:L34"/>
    <mergeCell ref="N33:N34"/>
    <mergeCell ref="O33:O34"/>
    <mergeCell ref="L9:N9"/>
    <mergeCell ref="A5:B5"/>
    <mergeCell ref="E5:F5"/>
    <mergeCell ref="H9:J9"/>
    <mergeCell ref="O1:AB1"/>
    <mergeCell ref="C4:D4"/>
    <mergeCell ref="G4:H4"/>
    <mergeCell ref="I4:K4"/>
    <mergeCell ref="L4:N4"/>
    <mergeCell ref="O4:P4"/>
    <mergeCell ref="C5:D5"/>
    <mergeCell ref="A6:B6"/>
    <mergeCell ref="A45:A46"/>
    <mergeCell ref="B45:B46"/>
    <mergeCell ref="C45:C46"/>
    <mergeCell ref="A47:A48"/>
    <mergeCell ref="B47:B48"/>
    <mergeCell ref="C47:C48"/>
    <mergeCell ref="I47:I48"/>
    <mergeCell ref="M35:M36"/>
    <mergeCell ref="K33:K34"/>
    <mergeCell ref="A33:A34"/>
    <mergeCell ref="B33:B34"/>
    <mergeCell ref="C33:C34"/>
    <mergeCell ref="E33:E34"/>
    <mergeCell ref="F33:F34"/>
    <mergeCell ref="A35:A36"/>
    <mergeCell ref="B35:B36"/>
    <mergeCell ref="M33:M34"/>
    <mergeCell ref="D33:D34"/>
    <mergeCell ref="C35:C36"/>
    <mergeCell ref="I33:I34"/>
    <mergeCell ref="J33:J34"/>
    <mergeCell ref="I35:I36"/>
    <mergeCell ref="J35:J36"/>
    <mergeCell ref="I39:I40"/>
    <mergeCell ref="A43:A44"/>
    <mergeCell ref="B43:B44"/>
    <mergeCell ref="C43:C44"/>
    <mergeCell ref="E43:E44"/>
    <mergeCell ref="F43:F44"/>
    <mergeCell ref="G43:G44"/>
    <mergeCell ref="H43:H44"/>
    <mergeCell ref="L43:L44"/>
    <mergeCell ref="M43:M44"/>
    <mergeCell ref="K43:K44"/>
    <mergeCell ref="D43:D44"/>
    <mergeCell ref="I43:I44"/>
    <mergeCell ref="J43:J44"/>
    <mergeCell ref="A51:A52"/>
    <mergeCell ref="B51:B52"/>
    <mergeCell ref="C51:C52"/>
    <mergeCell ref="E51:E52"/>
    <mergeCell ref="F51:F52"/>
    <mergeCell ref="G51:G52"/>
    <mergeCell ref="H51:H52"/>
    <mergeCell ref="L51:L52"/>
    <mergeCell ref="M51:M52"/>
    <mergeCell ref="I51:I52"/>
    <mergeCell ref="J51:J52"/>
    <mergeCell ref="K51:K52"/>
    <mergeCell ref="A49:A50"/>
    <mergeCell ref="B49:B50"/>
    <mergeCell ref="C49:C50"/>
    <mergeCell ref="E49:E50"/>
    <mergeCell ref="F49:F50"/>
    <mergeCell ref="N49:N50"/>
    <mergeCell ref="I49:I50"/>
    <mergeCell ref="J49:J50"/>
    <mergeCell ref="K49:K50"/>
    <mergeCell ref="G49:G50"/>
    <mergeCell ref="H49:H50"/>
    <mergeCell ref="A55:A56"/>
    <mergeCell ref="B55:B56"/>
    <mergeCell ref="C55:C56"/>
    <mergeCell ref="E55:E56"/>
    <mergeCell ref="F55:F56"/>
    <mergeCell ref="G55:G56"/>
    <mergeCell ref="H55:H56"/>
    <mergeCell ref="L55:L56"/>
    <mergeCell ref="M55:M56"/>
    <mergeCell ref="I55:I56"/>
    <mergeCell ref="J55:J56"/>
    <mergeCell ref="K55:K56"/>
    <mergeCell ref="A53:A54"/>
    <mergeCell ref="B53:B54"/>
    <mergeCell ref="C53:C54"/>
    <mergeCell ref="E53:E54"/>
    <mergeCell ref="F53:F54"/>
    <mergeCell ref="N53:N54"/>
    <mergeCell ref="I53:I54"/>
    <mergeCell ref="J53:J54"/>
    <mergeCell ref="K53:K54"/>
    <mergeCell ref="L53:L54"/>
    <mergeCell ref="M53:M54"/>
    <mergeCell ref="A59:A60"/>
    <mergeCell ref="B59:B60"/>
    <mergeCell ref="C59:C60"/>
    <mergeCell ref="E59:E60"/>
    <mergeCell ref="F59:F60"/>
    <mergeCell ref="G59:G60"/>
    <mergeCell ref="H59:H60"/>
    <mergeCell ref="L59:L60"/>
    <mergeCell ref="M59:M60"/>
    <mergeCell ref="I59:I60"/>
    <mergeCell ref="J59:J60"/>
    <mergeCell ref="K59:K60"/>
    <mergeCell ref="A57:A58"/>
    <mergeCell ref="B57:B58"/>
    <mergeCell ref="C57:C58"/>
    <mergeCell ref="E57:E58"/>
    <mergeCell ref="F57:F58"/>
    <mergeCell ref="N57:N58"/>
    <mergeCell ref="I57:I58"/>
    <mergeCell ref="J57:J58"/>
    <mergeCell ref="K57:K58"/>
    <mergeCell ref="L57:L58"/>
    <mergeCell ref="M57:M58"/>
    <mergeCell ref="A63:A64"/>
    <mergeCell ref="B63:B64"/>
    <mergeCell ref="C63:C64"/>
    <mergeCell ref="E63:E64"/>
    <mergeCell ref="F63:F64"/>
    <mergeCell ref="G63:G64"/>
    <mergeCell ref="H63:H64"/>
    <mergeCell ref="L63:L64"/>
    <mergeCell ref="M63:M64"/>
    <mergeCell ref="I63:I64"/>
    <mergeCell ref="J63:J64"/>
    <mergeCell ref="A61:A62"/>
    <mergeCell ref="B61:B62"/>
    <mergeCell ref="C61:C62"/>
    <mergeCell ref="E61:E62"/>
    <mergeCell ref="F61:F62"/>
    <mergeCell ref="N61:N62"/>
    <mergeCell ref="I61:I62"/>
    <mergeCell ref="J61:J62"/>
    <mergeCell ref="K61:K62"/>
    <mergeCell ref="G61:G62"/>
    <mergeCell ref="H61:H62"/>
    <mergeCell ref="M61:M62"/>
    <mergeCell ref="A69:A70"/>
    <mergeCell ref="B69:B70"/>
    <mergeCell ref="C69:C70"/>
    <mergeCell ref="E69:E70"/>
    <mergeCell ref="F69:F70"/>
    <mergeCell ref="A65:A66"/>
    <mergeCell ref="B65:B66"/>
    <mergeCell ref="C65:C66"/>
    <mergeCell ref="E65:E66"/>
    <mergeCell ref="F65:F66"/>
    <mergeCell ref="A67:A68"/>
    <mergeCell ref="B67:B68"/>
    <mergeCell ref="C67:C68"/>
    <mergeCell ref="E67:E68"/>
    <mergeCell ref="F67:F68"/>
    <mergeCell ref="C71:C72"/>
    <mergeCell ref="E71:E72"/>
    <mergeCell ref="F71:F72"/>
    <mergeCell ref="G71:G72"/>
    <mergeCell ref="H71:H72"/>
    <mergeCell ref="L71:L72"/>
    <mergeCell ref="M71:M72"/>
    <mergeCell ref="D71:D72"/>
    <mergeCell ref="L69:L70"/>
    <mergeCell ref="M69:M70"/>
    <mergeCell ref="I69:I70"/>
    <mergeCell ref="J69:J70"/>
    <mergeCell ref="I71:I72"/>
    <mergeCell ref="J71:J72"/>
    <mergeCell ref="G81:G82"/>
    <mergeCell ref="K79:K80"/>
    <mergeCell ref="D79:D80"/>
    <mergeCell ref="D81:D82"/>
    <mergeCell ref="H81:H82"/>
    <mergeCell ref="L81:L82"/>
    <mergeCell ref="M81:M82"/>
    <mergeCell ref="K81:K82"/>
    <mergeCell ref="I79:I80"/>
    <mergeCell ref="J79:J80"/>
    <mergeCell ref="I81:I82"/>
    <mergeCell ref="J81:J82"/>
    <mergeCell ref="A79:A80"/>
    <mergeCell ref="B79:B80"/>
    <mergeCell ref="C79:C80"/>
    <mergeCell ref="E79:E80"/>
    <mergeCell ref="F79:F80"/>
    <mergeCell ref="G79:G80"/>
    <mergeCell ref="H79:H80"/>
    <mergeCell ref="L79:L80"/>
    <mergeCell ref="M79:M80"/>
    <mergeCell ref="N81:N82"/>
    <mergeCell ref="N79:N80"/>
    <mergeCell ref="L49:L50"/>
    <mergeCell ref="M49:M50"/>
    <mergeCell ref="L61:L62"/>
    <mergeCell ref="N77:N78"/>
    <mergeCell ref="A81:A82"/>
    <mergeCell ref="B81:B82"/>
    <mergeCell ref="C81:C82"/>
    <mergeCell ref="E81:E82"/>
    <mergeCell ref="F81:F82"/>
    <mergeCell ref="M75:M76"/>
    <mergeCell ref="D73:D74"/>
    <mergeCell ref="D75:D76"/>
    <mergeCell ref="K63:K64"/>
    <mergeCell ref="K65:K66"/>
    <mergeCell ref="E75:E76"/>
    <mergeCell ref="K69:K70"/>
    <mergeCell ref="K71:K72"/>
    <mergeCell ref="K73:K74"/>
    <mergeCell ref="K75:K76"/>
    <mergeCell ref="G69:G70"/>
    <mergeCell ref="H69:H70"/>
    <mergeCell ref="A71:A72"/>
    <mergeCell ref="B71:B72"/>
    <mergeCell ref="A73:A74"/>
    <mergeCell ref="B73:B74"/>
    <mergeCell ref="C73:C74"/>
    <mergeCell ref="E73:E74"/>
    <mergeCell ref="F73:F74"/>
    <mergeCell ref="E47:E48"/>
    <mergeCell ref="F47:F48"/>
    <mergeCell ref="K37:K38"/>
    <mergeCell ref="K39:K40"/>
    <mergeCell ref="K41:K42"/>
    <mergeCell ref="G47:G48"/>
    <mergeCell ref="H47:H48"/>
    <mergeCell ref="J39:J40"/>
    <mergeCell ref="I41:I42"/>
    <mergeCell ref="J41:J42"/>
    <mergeCell ref="I45:I46"/>
    <mergeCell ref="J45:J46"/>
    <mergeCell ref="J47:J48"/>
    <mergeCell ref="H45:H46"/>
    <mergeCell ref="G45:G46"/>
    <mergeCell ref="K45:K46"/>
    <mergeCell ref="K47:K48"/>
    <mergeCell ref="D45:D46"/>
    <mergeCell ref="D47:D48"/>
    <mergeCell ref="F35:F36"/>
    <mergeCell ref="G35:G36"/>
    <mergeCell ref="H35:H36"/>
    <mergeCell ref="E35:E36"/>
    <mergeCell ref="D69:D70"/>
    <mergeCell ref="D49:D50"/>
    <mergeCell ref="D51:D52"/>
    <mergeCell ref="D53:D54"/>
    <mergeCell ref="D55:D56"/>
    <mergeCell ref="D57:D58"/>
    <mergeCell ref="D59:D60"/>
    <mergeCell ref="D61:D62"/>
    <mergeCell ref="D63:D64"/>
    <mergeCell ref="D65:D66"/>
    <mergeCell ref="D67:D68"/>
    <mergeCell ref="D35:D36"/>
    <mergeCell ref="E45:E46"/>
    <mergeCell ref="F45:F46"/>
    <mergeCell ref="G57:G58"/>
    <mergeCell ref="H57:H58"/>
    <mergeCell ref="G53:G54"/>
    <mergeCell ref="H53:H54"/>
    <mergeCell ref="D77:D78"/>
    <mergeCell ref="F75:F76"/>
    <mergeCell ref="G75:G76"/>
    <mergeCell ref="H75:H76"/>
    <mergeCell ref="L75:L76"/>
    <mergeCell ref="A77:A78"/>
    <mergeCell ref="B77:B78"/>
    <mergeCell ref="C77:C78"/>
    <mergeCell ref="E77:E78"/>
    <mergeCell ref="F77:F78"/>
    <mergeCell ref="G77:G78"/>
    <mergeCell ref="A75:A76"/>
    <mergeCell ref="B75:B76"/>
    <mergeCell ref="C75:C76"/>
    <mergeCell ref="L45:L46"/>
    <mergeCell ref="M45:M46"/>
    <mergeCell ref="O45:O46"/>
    <mergeCell ref="N45:N46"/>
    <mergeCell ref="L41:L42"/>
    <mergeCell ref="M41:M42"/>
    <mergeCell ref="L39:L40"/>
    <mergeCell ref="M39:M40"/>
    <mergeCell ref="M47:M48"/>
    <mergeCell ref="N47:N48"/>
    <mergeCell ref="L47:L48"/>
    <mergeCell ref="A37:A38"/>
    <mergeCell ref="B37:B38"/>
    <mergeCell ref="E37:E38"/>
    <mergeCell ref="F37:F38"/>
    <mergeCell ref="G37:G38"/>
    <mergeCell ref="H37:H38"/>
    <mergeCell ref="A41:A42"/>
    <mergeCell ref="B41:B42"/>
    <mergeCell ref="A39:A40"/>
    <mergeCell ref="B39:B40"/>
    <mergeCell ref="D37:D38"/>
    <mergeCell ref="D39:D40"/>
    <mergeCell ref="D41:D42"/>
    <mergeCell ref="C37:C38"/>
    <mergeCell ref="C41:C42"/>
    <mergeCell ref="C39:C40"/>
    <mergeCell ref="E39:E40"/>
    <mergeCell ref="F39:F40"/>
    <mergeCell ref="G39:G40"/>
    <mergeCell ref="H39:H40"/>
    <mergeCell ref="G41:G42"/>
    <mergeCell ref="H41:H42"/>
    <mergeCell ref="E41:E42"/>
    <mergeCell ref="F41:F42"/>
    <mergeCell ref="AJ55:AJ56"/>
    <mergeCell ref="AJ57:AJ58"/>
    <mergeCell ref="AJ59:AJ60"/>
    <mergeCell ref="AI55:AI56"/>
    <mergeCell ref="AI57:AI58"/>
    <mergeCell ref="AI59:AI60"/>
    <mergeCell ref="AK59:AK60"/>
    <mergeCell ref="AJ49:AJ50"/>
    <mergeCell ref="AJ51:AJ52"/>
    <mergeCell ref="AJ53:AJ54"/>
    <mergeCell ref="AI49:AI50"/>
    <mergeCell ref="AI51:AI52"/>
    <mergeCell ref="AI53:AI54"/>
    <mergeCell ref="AK49:AK50"/>
    <mergeCell ref="O59:O60"/>
    <mergeCell ref="N59:N60"/>
    <mergeCell ref="N73:N74"/>
    <mergeCell ref="N75:N76"/>
    <mergeCell ref="O71:O72"/>
    <mergeCell ref="N69:N70"/>
    <mergeCell ref="N65:N66"/>
    <mergeCell ref="N67:N68"/>
    <mergeCell ref="O61:O62"/>
    <mergeCell ref="G73:G74"/>
    <mergeCell ref="H73:H74"/>
    <mergeCell ref="L73:L74"/>
    <mergeCell ref="M73:M74"/>
    <mergeCell ref="O73:O74"/>
    <mergeCell ref="O69:O70"/>
    <mergeCell ref="N71:N72"/>
    <mergeCell ref="O67:O68"/>
    <mergeCell ref="G65:G66"/>
    <mergeCell ref="H65:H66"/>
    <mergeCell ref="O65:O66"/>
    <mergeCell ref="G67:G68"/>
    <mergeCell ref="H67:H68"/>
    <mergeCell ref="L67:L68"/>
    <mergeCell ref="M67:M68"/>
    <mergeCell ref="K67:K68"/>
    <mergeCell ref="I65:I66"/>
    <mergeCell ref="J65:J66"/>
    <mergeCell ref="I67:I68"/>
    <mergeCell ref="J67:J68"/>
    <mergeCell ref="AI73:AI74"/>
    <mergeCell ref="AI75:AI76"/>
    <mergeCell ref="AI77:AI78"/>
    <mergeCell ref="AJ63:AJ64"/>
    <mergeCell ref="AJ65:AJ66"/>
    <mergeCell ref="AJ67:AJ68"/>
    <mergeCell ref="H77:H78"/>
    <mergeCell ref="L77:L78"/>
    <mergeCell ref="M77:M78"/>
    <mergeCell ref="O77:O78"/>
    <mergeCell ref="O75:O76"/>
    <mergeCell ref="K77:K78"/>
    <mergeCell ref="AI63:AI64"/>
    <mergeCell ref="AI65:AI66"/>
    <mergeCell ref="AI67:AI68"/>
    <mergeCell ref="AI69:AI70"/>
    <mergeCell ref="AI71:AI72"/>
    <mergeCell ref="O63:O64"/>
    <mergeCell ref="N63:N64"/>
    <mergeCell ref="AJ81:AJ82"/>
    <mergeCell ref="AJ75:AJ76"/>
    <mergeCell ref="AJ77:AJ78"/>
    <mergeCell ref="AJ79:AJ80"/>
    <mergeCell ref="AI79:AI80"/>
    <mergeCell ref="AI81:AI82"/>
    <mergeCell ref="AK75:AK76"/>
    <mergeCell ref="O81:O82"/>
    <mergeCell ref="O79:O80"/>
    <mergeCell ref="AI45:AI46"/>
    <mergeCell ref="AI47:AI48"/>
    <mergeCell ref="AJ31:AL31"/>
    <mergeCell ref="AJ33:AJ34"/>
    <mergeCell ref="AK33:AK34"/>
    <mergeCell ref="AL33:AL34"/>
    <mergeCell ref="AJ35:AJ36"/>
    <mergeCell ref="AK35:AK36"/>
    <mergeCell ref="AL35:AL36"/>
    <mergeCell ref="AI33:AI34"/>
    <mergeCell ref="AI35:AI36"/>
    <mergeCell ref="AI61:AI62"/>
    <mergeCell ref="AJ61:AJ62"/>
    <mergeCell ref="AJ37:AJ38"/>
    <mergeCell ref="AK37:AK38"/>
    <mergeCell ref="AL37:AL38"/>
    <mergeCell ref="AJ39:AJ40"/>
    <mergeCell ref="AK39:AK40"/>
    <mergeCell ref="AL39:AL40"/>
    <mergeCell ref="AJ41:AJ42"/>
    <mergeCell ref="AK41:AK42"/>
    <mergeCell ref="AL41:AL42"/>
    <mergeCell ref="AJ43:AJ44"/>
    <mergeCell ref="AK43:AK44"/>
    <mergeCell ref="AL43:AL44"/>
    <mergeCell ref="AJ45:AJ46"/>
    <mergeCell ref="AK45:AK46"/>
    <mergeCell ref="AL45:AL46"/>
    <mergeCell ref="AJ47:AJ48"/>
    <mergeCell ref="AK47:AK48"/>
    <mergeCell ref="AL47:AL48"/>
    <mergeCell ref="AI37:AI38"/>
    <mergeCell ref="AI39:AI40"/>
    <mergeCell ref="AI41:AI42"/>
    <mergeCell ref="AI43:AI44"/>
    <mergeCell ref="AL63:AL64"/>
    <mergeCell ref="AK65:AK66"/>
    <mergeCell ref="AL65:AL66"/>
    <mergeCell ref="AK67:AK68"/>
    <mergeCell ref="AL67:AL68"/>
    <mergeCell ref="AL49:AL50"/>
    <mergeCell ref="AK51:AK52"/>
    <mergeCell ref="AL51:AL52"/>
    <mergeCell ref="AK53:AK54"/>
    <mergeCell ref="AL53:AL54"/>
    <mergeCell ref="AK55:AK56"/>
    <mergeCell ref="AL55:AL56"/>
    <mergeCell ref="AK57:AK58"/>
    <mergeCell ref="AL57:AL58"/>
    <mergeCell ref="AL75:AL76"/>
    <mergeCell ref="AK77:AK78"/>
    <mergeCell ref="AL77:AL78"/>
    <mergeCell ref="AK79:AK80"/>
    <mergeCell ref="AL79:AL80"/>
    <mergeCell ref="AK81:AK82"/>
    <mergeCell ref="AL81:AL82"/>
    <mergeCell ref="AH1:AK1"/>
    <mergeCell ref="AL1:AP1"/>
    <mergeCell ref="AH2:AK2"/>
    <mergeCell ref="AL2:AP2"/>
    <mergeCell ref="AJ69:AJ70"/>
    <mergeCell ref="AK69:AK70"/>
    <mergeCell ref="AL69:AL70"/>
    <mergeCell ref="AJ71:AJ72"/>
    <mergeCell ref="AK71:AK72"/>
    <mergeCell ref="AL71:AL72"/>
    <mergeCell ref="AJ73:AJ74"/>
    <mergeCell ref="AK73:AK74"/>
    <mergeCell ref="AL73:AL74"/>
    <mergeCell ref="AL59:AL60"/>
    <mergeCell ref="AK61:AK62"/>
    <mergeCell ref="AL61:AL62"/>
    <mergeCell ref="AK63:AK64"/>
    <mergeCell ref="C6:D6"/>
    <mergeCell ref="E6:F6"/>
    <mergeCell ref="G6:H6"/>
    <mergeCell ref="I6:K6"/>
    <mergeCell ref="L6:N6"/>
    <mergeCell ref="O6:P6"/>
    <mergeCell ref="A7:B7"/>
    <mergeCell ref="C7:D7"/>
    <mergeCell ref="E7:F7"/>
    <mergeCell ref="G7:H7"/>
    <mergeCell ref="I7:K7"/>
    <mergeCell ref="L7:N7"/>
    <mergeCell ref="O7:P7"/>
  </mergeCells>
  <conditionalFormatting sqref="F11:F14">
    <cfRule type="dataBar" priority="20">
      <dataBar showValue="0">
        <cfvo type="num" val="0"/>
        <cfvo type="num" val="1"/>
        <color rgb="FF00B050"/>
      </dataBar>
      <extLst>
        <ext xmlns:x14="http://schemas.microsoft.com/office/spreadsheetml/2009/9/main" uri="{B025F937-C7B1-47D3-B67F-A62EFF666E3E}">
          <x14:id>{A2379C6A-05FB-4F21-B035-427FCAC95C20}</x14:id>
        </ext>
      </extLst>
    </cfRule>
  </conditionalFormatting>
  <conditionalFormatting sqref="U10:U29">
    <cfRule type="cellIs" dxfId="25" priority="56" operator="between">
      <formula>$S$10</formula>
      <formula>0.01</formula>
    </cfRule>
    <cfRule type="cellIs" dxfId="24" priority="57" operator="greaterThanOrEqual">
      <formula>$S$10</formula>
    </cfRule>
    <cfRule type="cellIs" dxfId="23" priority="58" operator="equal">
      <formula>0</formula>
    </cfRule>
  </conditionalFormatting>
  <conditionalFormatting sqref="W10:W29">
    <cfRule type="cellIs" dxfId="22" priority="4" operator="lessThan">
      <formula>0</formula>
    </cfRule>
  </conditionalFormatting>
  <conditionalFormatting sqref="AD10:AD29">
    <cfRule type="cellIs" dxfId="21" priority="3" operator="lessThanOrEqual">
      <formula>0.81</formula>
    </cfRule>
  </conditionalFormatting>
  <conditionalFormatting sqref="AG10:AG29">
    <cfRule type="containsText" dxfId="20" priority="5" operator="containsText" text="ADIANTADO">
      <formula>NOT(ISERROR(SEARCH("ADIANTADO",AG10)))</formula>
    </cfRule>
    <cfRule type="containsText" dxfId="19" priority="6" operator="containsText" text="FALTA DE ACOMPANHAMENTO">
      <formula>NOT(ISERROR(SEARCH("FALTA DE ACOMPANHAMENTO",AG10)))</formula>
    </cfRule>
    <cfRule type="containsText" dxfId="18" priority="7" operator="containsText" text="Concluído">
      <formula>NOT(ISERROR(SEARCH("Concluído",AG10)))</formula>
    </cfRule>
    <cfRule type="containsText" dxfId="17" priority="8" operator="containsText" text="Conforme Planejado">
      <formula>NOT(ISERROR(SEARCH("Conforme Planejado",AG10)))</formula>
    </cfRule>
    <cfRule type="containsText" dxfId="16" priority="9" operator="containsText" text="PROJETO NÃO INICIADO">
      <formula>NOT(ISERROR(SEARCH("PROJETO NÃO INICIADO",AG10)))</formula>
    </cfRule>
    <cfRule type="containsText" dxfId="15" priority="10" operator="containsText" text="Atraso">
      <formula>NOT(ISERROR(SEARCH("Atraso",AG10)))</formula>
    </cfRule>
  </conditionalFormatting>
  <conditionalFormatting sqref="AI10:AI29">
    <cfRule type="containsText" dxfId="14" priority="14" operator="containsText" text="Concluído">
      <formula>NOT(ISERROR(SEARCH("Concluído",AI10)))</formula>
    </cfRule>
    <cfRule type="containsText" dxfId="13" priority="15" operator="containsText" text="Conforme Planejado">
      <formula>NOT(ISERROR(SEARCH("Conforme Planejado",AI10)))</formula>
    </cfRule>
    <cfRule type="containsText" dxfId="12" priority="16" operator="containsText" text="FALTA PLANEJAMENTO">
      <formula>NOT(ISERROR(SEARCH("FALTA PLANEJAMENTO",AI10)))</formula>
    </cfRule>
    <cfRule type="containsText" dxfId="11" priority="17" operator="containsText" text="Atraso">
      <formula>NOT(ISERROR(SEARCH("Atraso",AI10)))</formula>
    </cfRule>
  </conditionalFormatting>
  <conditionalFormatting sqref="AP33:AP82">
    <cfRule type="cellIs" dxfId="10" priority="1" operator="lessThan">
      <formula>0</formula>
    </cfRule>
  </conditionalFormatting>
  <dataValidations count="3">
    <dataValidation type="list" allowBlank="1" showInputMessage="1" showErrorMessage="1" sqref="O33:O82" xr:uid="{E9C8E1BD-98DC-4045-8857-D92BF3941777}">
      <formula1>"Diadema,Jarinu,Ferraz,Anchieta,São Leopoldo, Multi Unidades"</formula1>
    </dataValidation>
    <dataValidation type="list" allowBlank="1" showInputMessage="1" showErrorMessage="1" sqref="AJ33:AJ82" xr:uid="{4FBA4538-8FE1-4C6A-BA5D-DFFE17E1CA0A}">
      <formula1>"Compras,Vendas,Orçamento,Eng. Corporativa,Eng. Ferraz,Eng. Diadema,Eng. SL,Eng. Anchieta,Eng. Jarinu"</formula1>
    </dataValidation>
    <dataValidation type="list" allowBlank="1" showInputMessage="1" showErrorMessage="1" sqref="A33:A82" xr:uid="{2B248A77-0F17-4B40-BFB3-F2F96C0EBAB1}">
      <formula1>"Kaizen,Redução de Custo, BSW, Estratégia Comercial,Meta Executiva "</formula1>
    </dataValidation>
  </dataValidations>
  <hyperlinks>
    <hyperlink ref="C43" r:id="rId1" xr:uid="{B8C2CF27-E3E2-4932-99F9-FD149EE42AFB}"/>
  </hyperlinks>
  <pageMargins left="0.75" right="0.75" top="1" bottom="1" header="0.5" footer="0.5"/>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97" r:id="rId5" name="Check Box 9">
              <controlPr defaultSize="0" autoFill="0" autoLine="0" autoPict="0">
                <anchor moveWithCells="1">
                  <from>
                    <xdr:col>10</xdr:col>
                    <xdr:colOff>30480</xdr:colOff>
                    <xdr:row>34</xdr:row>
                    <xdr:rowOff>152400</xdr:rowOff>
                  </from>
                  <to>
                    <xdr:col>10</xdr:col>
                    <xdr:colOff>1706880</xdr:colOff>
                    <xdr:row>35</xdr:row>
                    <xdr:rowOff>30480</xdr:rowOff>
                  </to>
                </anchor>
              </controlPr>
            </control>
          </mc:Choice>
        </mc:AlternateContent>
        <mc:AlternateContent xmlns:mc="http://schemas.openxmlformats.org/markup-compatibility/2006">
          <mc:Choice Requires="x14">
            <control shapeId="12298" r:id="rId6" name="Check Box 10">
              <controlPr defaultSize="0" autoFill="0" autoLine="0" autoPict="0">
                <anchor moveWithCells="1">
                  <from>
                    <xdr:col>10</xdr:col>
                    <xdr:colOff>30480</xdr:colOff>
                    <xdr:row>35</xdr:row>
                    <xdr:rowOff>30480</xdr:rowOff>
                  </from>
                  <to>
                    <xdr:col>10</xdr:col>
                    <xdr:colOff>1706880</xdr:colOff>
                    <xdr:row>35</xdr:row>
                    <xdr:rowOff>228600</xdr:rowOff>
                  </to>
                </anchor>
              </controlPr>
            </control>
          </mc:Choice>
        </mc:AlternateContent>
        <mc:AlternateContent xmlns:mc="http://schemas.openxmlformats.org/markup-compatibility/2006">
          <mc:Choice Requires="x14">
            <control shapeId="12300" r:id="rId7" name="Check Box 12">
              <controlPr defaultSize="0" autoFill="0" autoLine="0" autoPict="0">
                <anchor moveWithCells="1">
                  <from>
                    <xdr:col>10</xdr:col>
                    <xdr:colOff>0</xdr:colOff>
                    <xdr:row>36</xdr:row>
                    <xdr:rowOff>266700</xdr:rowOff>
                  </from>
                  <to>
                    <xdr:col>10</xdr:col>
                    <xdr:colOff>1706880</xdr:colOff>
                    <xdr:row>37</xdr:row>
                    <xdr:rowOff>106680</xdr:rowOff>
                  </to>
                </anchor>
              </controlPr>
            </control>
          </mc:Choice>
        </mc:AlternateContent>
        <mc:AlternateContent xmlns:mc="http://schemas.openxmlformats.org/markup-compatibility/2006">
          <mc:Choice Requires="x14">
            <control shapeId="12301" r:id="rId8" name="Check Box 13">
              <controlPr defaultSize="0" autoFill="0" autoLine="0" autoPict="0">
                <anchor moveWithCells="1">
                  <from>
                    <xdr:col>10</xdr:col>
                    <xdr:colOff>0</xdr:colOff>
                    <xdr:row>37</xdr:row>
                    <xdr:rowOff>144780</xdr:rowOff>
                  </from>
                  <to>
                    <xdr:col>10</xdr:col>
                    <xdr:colOff>1706880</xdr:colOff>
                    <xdr:row>38</xdr:row>
                    <xdr:rowOff>0</xdr:rowOff>
                  </to>
                </anchor>
              </controlPr>
            </control>
          </mc:Choice>
        </mc:AlternateContent>
        <mc:AlternateContent xmlns:mc="http://schemas.openxmlformats.org/markup-compatibility/2006">
          <mc:Choice Requires="x14">
            <control shapeId="12302" r:id="rId9" name="Check Box 14">
              <controlPr defaultSize="0" autoFill="0" autoLine="0" autoPict="0">
                <anchor moveWithCells="1">
                  <from>
                    <xdr:col>10</xdr:col>
                    <xdr:colOff>0</xdr:colOff>
                    <xdr:row>36</xdr:row>
                    <xdr:rowOff>30480</xdr:rowOff>
                  </from>
                  <to>
                    <xdr:col>10</xdr:col>
                    <xdr:colOff>1706880</xdr:colOff>
                    <xdr:row>36</xdr:row>
                    <xdr:rowOff>228600</xdr:rowOff>
                  </to>
                </anchor>
              </controlPr>
            </control>
          </mc:Choice>
        </mc:AlternateContent>
        <mc:AlternateContent xmlns:mc="http://schemas.openxmlformats.org/markup-compatibility/2006">
          <mc:Choice Requires="x14">
            <control shapeId="12303" r:id="rId10" name="Check Box 15">
              <controlPr defaultSize="0" autoFill="0" autoLine="0" autoPict="0">
                <anchor moveWithCells="1">
                  <from>
                    <xdr:col>10</xdr:col>
                    <xdr:colOff>0</xdr:colOff>
                    <xdr:row>38</xdr:row>
                    <xdr:rowOff>266700</xdr:rowOff>
                  </from>
                  <to>
                    <xdr:col>10</xdr:col>
                    <xdr:colOff>1706880</xdr:colOff>
                    <xdr:row>39</xdr:row>
                    <xdr:rowOff>106680</xdr:rowOff>
                  </to>
                </anchor>
              </controlPr>
            </control>
          </mc:Choice>
        </mc:AlternateContent>
        <mc:AlternateContent xmlns:mc="http://schemas.openxmlformats.org/markup-compatibility/2006">
          <mc:Choice Requires="x14">
            <control shapeId="12304" r:id="rId11" name="Check Box 16">
              <controlPr defaultSize="0" autoFill="0" autoLine="0" autoPict="0">
                <anchor moveWithCells="1">
                  <from>
                    <xdr:col>10</xdr:col>
                    <xdr:colOff>0</xdr:colOff>
                    <xdr:row>39</xdr:row>
                    <xdr:rowOff>144780</xdr:rowOff>
                  </from>
                  <to>
                    <xdr:col>10</xdr:col>
                    <xdr:colOff>1706880</xdr:colOff>
                    <xdr:row>39</xdr:row>
                    <xdr:rowOff>342900</xdr:rowOff>
                  </to>
                </anchor>
              </controlPr>
            </control>
          </mc:Choice>
        </mc:AlternateContent>
        <mc:AlternateContent xmlns:mc="http://schemas.openxmlformats.org/markup-compatibility/2006">
          <mc:Choice Requires="x14">
            <control shapeId="12305" r:id="rId12" name="Check Box 17">
              <controlPr defaultSize="0" autoFill="0" autoLine="0" autoPict="0">
                <anchor moveWithCells="1">
                  <from>
                    <xdr:col>10</xdr:col>
                    <xdr:colOff>0</xdr:colOff>
                    <xdr:row>38</xdr:row>
                    <xdr:rowOff>30480</xdr:rowOff>
                  </from>
                  <to>
                    <xdr:col>10</xdr:col>
                    <xdr:colOff>1706880</xdr:colOff>
                    <xdr:row>38</xdr:row>
                    <xdr:rowOff>259080</xdr:rowOff>
                  </to>
                </anchor>
              </controlPr>
            </control>
          </mc:Choice>
        </mc:AlternateContent>
        <mc:AlternateContent xmlns:mc="http://schemas.openxmlformats.org/markup-compatibility/2006">
          <mc:Choice Requires="x14">
            <control shapeId="12306" r:id="rId13" name="Check Box 18">
              <controlPr defaultSize="0" autoFill="0" autoLine="0" autoPict="0">
                <anchor moveWithCells="1">
                  <from>
                    <xdr:col>10</xdr:col>
                    <xdr:colOff>0</xdr:colOff>
                    <xdr:row>40</xdr:row>
                    <xdr:rowOff>266700</xdr:rowOff>
                  </from>
                  <to>
                    <xdr:col>10</xdr:col>
                    <xdr:colOff>1706880</xdr:colOff>
                    <xdr:row>41</xdr:row>
                    <xdr:rowOff>106680</xdr:rowOff>
                  </to>
                </anchor>
              </controlPr>
            </control>
          </mc:Choice>
        </mc:AlternateContent>
        <mc:AlternateContent xmlns:mc="http://schemas.openxmlformats.org/markup-compatibility/2006">
          <mc:Choice Requires="x14">
            <control shapeId="12307" r:id="rId14" name="Check Box 19">
              <controlPr defaultSize="0" autoFill="0" autoLine="0" autoPict="0">
                <anchor moveWithCells="1">
                  <from>
                    <xdr:col>10</xdr:col>
                    <xdr:colOff>0</xdr:colOff>
                    <xdr:row>41</xdr:row>
                    <xdr:rowOff>144780</xdr:rowOff>
                  </from>
                  <to>
                    <xdr:col>10</xdr:col>
                    <xdr:colOff>1706880</xdr:colOff>
                    <xdr:row>42</xdr:row>
                    <xdr:rowOff>0</xdr:rowOff>
                  </to>
                </anchor>
              </controlPr>
            </control>
          </mc:Choice>
        </mc:AlternateContent>
        <mc:AlternateContent xmlns:mc="http://schemas.openxmlformats.org/markup-compatibility/2006">
          <mc:Choice Requires="x14">
            <control shapeId="12308" r:id="rId15" name="Check Box 20">
              <controlPr defaultSize="0" autoFill="0" autoLine="0" autoPict="0">
                <anchor moveWithCells="1">
                  <from>
                    <xdr:col>10</xdr:col>
                    <xdr:colOff>0</xdr:colOff>
                    <xdr:row>40</xdr:row>
                    <xdr:rowOff>30480</xdr:rowOff>
                  </from>
                  <to>
                    <xdr:col>10</xdr:col>
                    <xdr:colOff>1706880</xdr:colOff>
                    <xdr:row>40</xdr:row>
                    <xdr:rowOff>228600</xdr:rowOff>
                  </to>
                </anchor>
              </controlPr>
            </control>
          </mc:Choice>
        </mc:AlternateContent>
        <mc:AlternateContent xmlns:mc="http://schemas.openxmlformats.org/markup-compatibility/2006">
          <mc:Choice Requires="x14">
            <control shapeId="12309" r:id="rId16" name="Check Box 21">
              <controlPr defaultSize="0" autoFill="0" autoLine="0" autoPict="0">
                <anchor moveWithCells="1">
                  <from>
                    <xdr:col>10</xdr:col>
                    <xdr:colOff>0</xdr:colOff>
                    <xdr:row>42</xdr:row>
                    <xdr:rowOff>266700</xdr:rowOff>
                  </from>
                  <to>
                    <xdr:col>10</xdr:col>
                    <xdr:colOff>1706880</xdr:colOff>
                    <xdr:row>43</xdr:row>
                    <xdr:rowOff>106680</xdr:rowOff>
                  </to>
                </anchor>
              </controlPr>
            </control>
          </mc:Choice>
        </mc:AlternateContent>
        <mc:AlternateContent xmlns:mc="http://schemas.openxmlformats.org/markup-compatibility/2006">
          <mc:Choice Requires="x14">
            <control shapeId="12310" r:id="rId17" name="Check Box 22">
              <controlPr defaultSize="0" autoFill="0" autoLine="0" autoPict="0">
                <anchor moveWithCells="1">
                  <from>
                    <xdr:col>10</xdr:col>
                    <xdr:colOff>0</xdr:colOff>
                    <xdr:row>43</xdr:row>
                    <xdr:rowOff>144780</xdr:rowOff>
                  </from>
                  <to>
                    <xdr:col>10</xdr:col>
                    <xdr:colOff>1706880</xdr:colOff>
                    <xdr:row>43</xdr:row>
                    <xdr:rowOff>342900</xdr:rowOff>
                  </to>
                </anchor>
              </controlPr>
            </control>
          </mc:Choice>
        </mc:AlternateContent>
        <mc:AlternateContent xmlns:mc="http://schemas.openxmlformats.org/markup-compatibility/2006">
          <mc:Choice Requires="x14">
            <control shapeId="12311" r:id="rId18" name="Check Box 23">
              <controlPr defaultSize="0" autoFill="0" autoLine="0" autoPict="0">
                <anchor moveWithCells="1">
                  <from>
                    <xdr:col>10</xdr:col>
                    <xdr:colOff>0</xdr:colOff>
                    <xdr:row>42</xdr:row>
                    <xdr:rowOff>30480</xdr:rowOff>
                  </from>
                  <to>
                    <xdr:col>10</xdr:col>
                    <xdr:colOff>1706880</xdr:colOff>
                    <xdr:row>42</xdr:row>
                    <xdr:rowOff>259080</xdr:rowOff>
                  </to>
                </anchor>
              </controlPr>
            </control>
          </mc:Choice>
        </mc:AlternateContent>
        <mc:AlternateContent xmlns:mc="http://schemas.openxmlformats.org/markup-compatibility/2006">
          <mc:Choice Requires="x14">
            <control shapeId="12312" r:id="rId19" name="Check Box 24">
              <controlPr defaultSize="0" autoFill="0" autoLine="0" autoPict="0">
                <anchor moveWithCells="1">
                  <from>
                    <xdr:col>10</xdr:col>
                    <xdr:colOff>0</xdr:colOff>
                    <xdr:row>44</xdr:row>
                    <xdr:rowOff>266700</xdr:rowOff>
                  </from>
                  <to>
                    <xdr:col>10</xdr:col>
                    <xdr:colOff>1706880</xdr:colOff>
                    <xdr:row>45</xdr:row>
                    <xdr:rowOff>106680</xdr:rowOff>
                  </to>
                </anchor>
              </controlPr>
            </control>
          </mc:Choice>
        </mc:AlternateContent>
        <mc:AlternateContent xmlns:mc="http://schemas.openxmlformats.org/markup-compatibility/2006">
          <mc:Choice Requires="x14">
            <control shapeId="12313" r:id="rId20" name="Check Box 25">
              <controlPr defaultSize="0" autoFill="0" autoLine="0" autoPict="0">
                <anchor moveWithCells="1">
                  <from>
                    <xdr:col>10</xdr:col>
                    <xdr:colOff>0</xdr:colOff>
                    <xdr:row>45</xdr:row>
                    <xdr:rowOff>144780</xdr:rowOff>
                  </from>
                  <to>
                    <xdr:col>10</xdr:col>
                    <xdr:colOff>1706880</xdr:colOff>
                    <xdr:row>46</xdr:row>
                    <xdr:rowOff>0</xdr:rowOff>
                  </to>
                </anchor>
              </controlPr>
            </control>
          </mc:Choice>
        </mc:AlternateContent>
        <mc:AlternateContent xmlns:mc="http://schemas.openxmlformats.org/markup-compatibility/2006">
          <mc:Choice Requires="x14">
            <control shapeId="12314" r:id="rId21" name="Check Box 26">
              <controlPr defaultSize="0" autoFill="0" autoLine="0" autoPict="0">
                <anchor moveWithCells="1">
                  <from>
                    <xdr:col>10</xdr:col>
                    <xdr:colOff>0</xdr:colOff>
                    <xdr:row>44</xdr:row>
                    <xdr:rowOff>30480</xdr:rowOff>
                  </from>
                  <to>
                    <xdr:col>10</xdr:col>
                    <xdr:colOff>1706880</xdr:colOff>
                    <xdr:row>44</xdr:row>
                    <xdr:rowOff>228600</xdr:rowOff>
                  </to>
                </anchor>
              </controlPr>
            </control>
          </mc:Choice>
        </mc:AlternateContent>
        <mc:AlternateContent xmlns:mc="http://schemas.openxmlformats.org/markup-compatibility/2006">
          <mc:Choice Requires="x14">
            <control shapeId="12315" r:id="rId22" name="Check Box 27">
              <controlPr defaultSize="0" autoFill="0" autoLine="0" autoPict="0">
                <anchor moveWithCells="1">
                  <from>
                    <xdr:col>10</xdr:col>
                    <xdr:colOff>0</xdr:colOff>
                    <xdr:row>46</xdr:row>
                    <xdr:rowOff>266700</xdr:rowOff>
                  </from>
                  <to>
                    <xdr:col>10</xdr:col>
                    <xdr:colOff>1706880</xdr:colOff>
                    <xdr:row>47</xdr:row>
                    <xdr:rowOff>106680</xdr:rowOff>
                  </to>
                </anchor>
              </controlPr>
            </control>
          </mc:Choice>
        </mc:AlternateContent>
        <mc:AlternateContent xmlns:mc="http://schemas.openxmlformats.org/markup-compatibility/2006">
          <mc:Choice Requires="x14">
            <control shapeId="12316" r:id="rId23" name="Check Box 28">
              <controlPr defaultSize="0" autoFill="0" autoLine="0" autoPict="0">
                <anchor moveWithCells="1">
                  <from>
                    <xdr:col>10</xdr:col>
                    <xdr:colOff>0</xdr:colOff>
                    <xdr:row>47</xdr:row>
                    <xdr:rowOff>144780</xdr:rowOff>
                  </from>
                  <to>
                    <xdr:col>10</xdr:col>
                    <xdr:colOff>1706880</xdr:colOff>
                    <xdr:row>47</xdr:row>
                    <xdr:rowOff>342900</xdr:rowOff>
                  </to>
                </anchor>
              </controlPr>
            </control>
          </mc:Choice>
        </mc:AlternateContent>
        <mc:AlternateContent xmlns:mc="http://schemas.openxmlformats.org/markup-compatibility/2006">
          <mc:Choice Requires="x14">
            <control shapeId="12317" r:id="rId24" name="Check Box 29">
              <controlPr defaultSize="0" autoFill="0" autoLine="0" autoPict="0">
                <anchor moveWithCells="1">
                  <from>
                    <xdr:col>10</xdr:col>
                    <xdr:colOff>0</xdr:colOff>
                    <xdr:row>46</xdr:row>
                    <xdr:rowOff>30480</xdr:rowOff>
                  </from>
                  <to>
                    <xdr:col>10</xdr:col>
                    <xdr:colOff>1706880</xdr:colOff>
                    <xdr:row>46</xdr:row>
                    <xdr:rowOff>259080</xdr:rowOff>
                  </to>
                </anchor>
              </controlPr>
            </control>
          </mc:Choice>
        </mc:AlternateContent>
        <mc:AlternateContent xmlns:mc="http://schemas.openxmlformats.org/markup-compatibility/2006">
          <mc:Choice Requires="x14">
            <control shapeId="12318" r:id="rId25" name="Check Box 30">
              <controlPr defaultSize="0" autoFill="0" autoLine="0" autoPict="0">
                <anchor moveWithCells="1">
                  <from>
                    <xdr:col>10</xdr:col>
                    <xdr:colOff>0</xdr:colOff>
                    <xdr:row>48</xdr:row>
                    <xdr:rowOff>266700</xdr:rowOff>
                  </from>
                  <to>
                    <xdr:col>10</xdr:col>
                    <xdr:colOff>1706880</xdr:colOff>
                    <xdr:row>49</xdr:row>
                    <xdr:rowOff>106680</xdr:rowOff>
                  </to>
                </anchor>
              </controlPr>
            </control>
          </mc:Choice>
        </mc:AlternateContent>
        <mc:AlternateContent xmlns:mc="http://schemas.openxmlformats.org/markup-compatibility/2006">
          <mc:Choice Requires="x14">
            <control shapeId="12319" r:id="rId26" name="Check Box 31">
              <controlPr defaultSize="0" autoFill="0" autoLine="0" autoPict="0">
                <anchor moveWithCells="1">
                  <from>
                    <xdr:col>10</xdr:col>
                    <xdr:colOff>0</xdr:colOff>
                    <xdr:row>49</xdr:row>
                    <xdr:rowOff>144780</xdr:rowOff>
                  </from>
                  <to>
                    <xdr:col>10</xdr:col>
                    <xdr:colOff>1706880</xdr:colOff>
                    <xdr:row>50</xdr:row>
                    <xdr:rowOff>0</xdr:rowOff>
                  </to>
                </anchor>
              </controlPr>
            </control>
          </mc:Choice>
        </mc:AlternateContent>
        <mc:AlternateContent xmlns:mc="http://schemas.openxmlformats.org/markup-compatibility/2006">
          <mc:Choice Requires="x14">
            <control shapeId="12320" r:id="rId27" name="Check Box 32">
              <controlPr defaultSize="0" autoFill="0" autoLine="0" autoPict="0">
                <anchor moveWithCells="1">
                  <from>
                    <xdr:col>10</xdr:col>
                    <xdr:colOff>0</xdr:colOff>
                    <xdr:row>48</xdr:row>
                    <xdr:rowOff>30480</xdr:rowOff>
                  </from>
                  <to>
                    <xdr:col>10</xdr:col>
                    <xdr:colOff>1706880</xdr:colOff>
                    <xdr:row>48</xdr:row>
                    <xdr:rowOff>228600</xdr:rowOff>
                  </to>
                </anchor>
              </controlPr>
            </control>
          </mc:Choice>
        </mc:AlternateContent>
        <mc:AlternateContent xmlns:mc="http://schemas.openxmlformats.org/markup-compatibility/2006">
          <mc:Choice Requires="x14">
            <control shapeId="12321" r:id="rId28" name="Check Box 33">
              <controlPr defaultSize="0" autoFill="0" autoLine="0" autoPict="0">
                <anchor moveWithCells="1">
                  <from>
                    <xdr:col>10</xdr:col>
                    <xdr:colOff>0</xdr:colOff>
                    <xdr:row>50</xdr:row>
                    <xdr:rowOff>266700</xdr:rowOff>
                  </from>
                  <to>
                    <xdr:col>10</xdr:col>
                    <xdr:colOff>1706880</xdr:colOff>
                    <xdr:row>51</xdr:row>
                    <xdr:rowOff>106680</xdr:rowOff>
                  </to>
                </anchor>
              </controlPr>
            </control>
          </mc:Choice>
        </mc:AlternateContent>
        <mc:AlternateContent xmlns:mc="http://schemas.openxmlformats.org/markup-compatibility/2006">
          <mc:Choice Requires="x14">
            <control shapeId="12322" r:id="rId29" name="Check Box 34">
              <controlPr defaultSize="0" autoFill="0" autoLine="0" autoPict="0">
                <anchor moveWithCells="1">
                  <from>
                    <xdr:col>10</xdr:col>
                    <xdr:colOff>0</xdr:colOff>
                    <xdr:row>51</xdr:row>
                    <xdr:rowOff>144780</xdr:rowOff>
                  </from>
                  <to>
                    <xdr:col>10</xdr:col>
                    <xdr:colOff>1706880</xdr:colOff>
                    <xdr:row>51</xdr:row>
                    <xdr:rowOff>342900</xdr:rowOff>
                  </to>
                </anchor>
              </controlPr>
            </control>
          </mc:Choice>
        </mc:AlternateContent>
        <mc:AlternateContent xmlns:mc="http://schemas.openxmlformats.org/markup-compatibility/2006">
          <mc:Choice Requires="x14">
            <control shapeId="12323" r:id="rId30" name="Check Box 35">
              <controlPr defaultSize="0" autoFill="0" autoLine="0" autoPict="0">
                <anchor moveWithCells="1">
                  <from>
                    <xdr:col>10</xdr:col>
                    <xdr:colOff>0</xdr:colOff>
                    <xdr:row>50</xdr:row>
                    <xdr:rowOff>30480</xdr:rowOff>
                  </from>
                  <to>
                    <xdr:col>10</xdr:col>
                    <xdr:colOff>1706880</xdr:colOff>
                    <xdr:row>50</xdr:row>
                    <xdr:rowOff>259080</xdr:rowOff>
                  </to>
                </anchor>
              </controlPr>
            </control>
          </mc:Choice>
        </mc:AlternateContent>
        <mc:AlternateContent xmlns:mc="http://schemas.openxmlformats.org/markup-compatibility/2006">
          <mc:Choice Requires="x14">
            <control shapeId="12324" r:id="rId31" name="Check Box 36">
              <controlPr defaultSize="0" autoFill="0" autoLine="0" autoPict="0">
                <anchor moveWithCells="1">
                  <from>
                    <xdr:col>10</xdr:col>
                    <xdr:colOff>0</xdr:colOff>
                    <xdr:row>52</xdr:row>
                    <xdr:rowOff>266700</xdr:rowOff>
                  </from>
                  <to>
                    <xdr:col>10</xdr:col>
                    <xdr:colOff>1706880</xdr:colOff>
                    <xdr:row>53</xdr:row>
                    <xdr:rowOff>106680</xdr:rowOff>
                  </to>
                </anchor>
              </controlPr>
            </control>
          </mc:Choice>
        </mc:AlternateContent>
        <mc:AlternateContent xmlns:mc="http://schemas.openxmlformats.org/markup-compatibility/2006">
          <mc:Choice Requires="x14">
            <control shapeId="12325" r:id="rId32" name="Check Box 37">
              <controlPr defaultSize="0" autoFill="0" autoLine="0" autoPict="0">
                <anchor moveWithCells="1">
                  <from>
                    <xdr:col>10</xdr:col>
                    <xdr:colOff>0</xdr:colOff>
                    <xdr:row>53</xdr:row>
                    <xdr:rowOff>144780</xdr:rowOff>
                  </from>
                  <to>
                    <xdr:col>10</xdr:col>
                    <xdr:colOff>1706880</xdr:colOff>
                    <xdr:row>54</xdr:row>
                    <xdr:rowOff>0</xdr:rowOff>
                  </to>
                </anchor>
              </controlPr>
            </control>
          </mc:Choice>
        </mc:AlternateContent>
        <mc:AlternateContent xmlns:mc="http://schemas.openxmlformats.org/markup-compatibility/2006">
          <mc:Choice Requires="x14">
            <control shapeId="12326" r:id="rId33" name="Check Box 38">
              <controlPr defaultSize="0" autoFill="0" autoLine="0" autoPict="0">
                <anchor moveWithCells="1">
                  <from>
                    <xdr:col>10</xdr:col>
                    <xdr:colOff>0</xdr:colOff>
                    <xdr:row>52</xdr:row>
                    <xdr:rowOff>30480</xdr:rowOff>
                  </from>
                  <to>
                    <xdr:col>10</xdr:col>
                    <xdr:colOff>1706880</xdr:colOff>
                    <xdr:row>52</xdr:row>
                    <xdr:rowOff>228600</xdr:rowOff>
                  </to>
                </anchor>
              </controlPr>
            </control>
          </mc:Choice>
        </mc:AlternateContent>
        <mc:AlternateContent xmlns:mc="http://schemas.openxmlformats.org/markup-compatibility/2006">
          <mc:Choice Requires="x14">
            <control shapeId="12327" r:id="rId34" name="Check Box 39">
              <controlPr defaultSize="0" autoFill="0" autoLine="0" autoPict="0">
                <anchor moveWithCells="1">
                  <from>
                    <xdr:col>10</xdr:col>
                    <xdr:colOff>0</xdr:colOff>
                    <xdr:row>54</xdr:row>
                    <xdr:rowOff>266700</xdr:rowOff>
                  </from>
                  <to>
                    <xdr:col>10</xdr:col>
                    <xdr:colOff>1706880</xdr:colOff>
                    <xdr:row>55</xdr:row>
                    <xdr:rowOff>106680</xdr:rowOff>
                  </to>
                </anchor>
              </controlPr>
            </control>
          </mc:Choice>
        </mc:AlternateContent>
        <mc:AlternateContent xmlns:mc="http://schemas.openxmlformats.org/markup-compatibility/2006">
          <mc:Choice Requires="x14">
            <control shapeId="12328" r:id="rId35" name="Check Box 40">
              <controlPr defaultSize="0" autoFill="0" autoLine="0" autoPict="0">
                <anchor moveWithCells="1">
                  <from>
                    <xdr:col>10</xdr:col>
                    <xdr:colOff>0</xdr:colOff>
                    <xdr:row>55</xdr:row>
                    <xdr:rowOff>144780</xdr:rowOff>
                  </from>
                  <to>
                    <xdr:col>10</xdr:col>
                    <xdr:colOff>1706880</xdr:colOff>
                    <xdr:row>55</xdr:row>
                    <xdr:rowOff>342900</xdr:rowOff>
                  </to>
                </anchor>
              </controlPr>
            </control>
          </mc:Choice>
        </mc:AlternateContent>
        <mc:AlternateContent xmlns:mc="http://schemas.openxmlformats.org/markup-compatibility/2006">
          <mc:Choice Requires="x14">
            <control shapeId="12329" r:id="rId36" name="Check Box 41">
              <controlPr defaultSize="0" autoFill="0" autoLine="0" autoPict="0">
                <anchor moveWithCells="1">
                  <from>
                    <xdr:col>10</xdr:col>
                    <xdr:colOff>0</xdr:colOff>
                    <xdr:row>54</xdr:row>
                    <xdr:rowOff>30480</xdr:rowOff>
                  </from>
                  <to>
                    <xdr:col>10</xdr:col>
                    <xdr:colOff>1706880</xdr:colOff>
                    <xdr:row>54</xdr:row>
                    <xdr:rowOff>259080</xdr:rowOff>
                  </to>
                </anchor>
              </controlPr>
            </control>
          </mc:Choice>
        </mc:AlternateContent>
        <mc:AlternateContent xmlns:mc="http://schemas.openxmlformats.org/markup-compatibility/2006">
          <mc:Choice Requires="x14">
            <control shapeId="12330" r:id="rId37" name="Check Box 42">
              <controlPr defaultSize="0" autoFill="0" autoLine="0" autoPict="0">
                <anchor moveWithCells="1">
                  <from>
                    <xdr:col>10</xdr:col>
                    <xdr:colOff>0</xdr:colOff>
                    <xdr:row>56</xdr:row>
                    <xdr:rowOff>266700</xdr:rowOff>
                  </from>
                  <to>
                    <xdr:col>10</xdr:col>
                    <xdr:colOff>1706880</xdr:colOff>
                    <xdr:row>57</xdr:row>
                    <xdr:rowOff>106680</xdr:rowOff>
                  </to>
                </anchor>
              </controlPr>
            </control>
          </mc:Choice>
        </mc:AlternateContent>
        <mc:AlternateContent xmlns:mc="http://schemas.openxmlformats.org/markup-compatibility/2006">
          <mc:Choice Requires="x14">
            <control shapeId="12331" r:id="rId38" name="Check Box 43">
              <controlPr defaultSize="0" autoFill="0" autoLine="0" autoPict="0">
                <anchor moveWithCells="1">
                  <from>
                    <xdr:col>10</xdr:col>
                    <xdr:colOff>0</xdr:colOff>
                    <xdr:row>57</xdr:row>
                    <xdr:rowOff>144780</xdr:rowOff>
                  </from>
                  <to>
                    <xdr:col>10</xdr:col>
                    <xdr:colOff>1706880</xdr:colOff>
                    <xdr:row>58</xdr:row>
                    <xdr:rowOff>0</xdr:rowOff>
                  </to>
                </anchor>
              </controlPr>
            </control>
          </mc:Choice>
        </mc:AlternateContent>
        <mc:AlternateContent xmlns:mc="http://schemas.openxmlformats.org/markup-compatibility/2006">
          <mc:Choice Requires="x14">
            <control shapeId="12332" r:id="rId39" name="Check Box 44">
              <controlPr defaultSize="0" autoFill="0" autoLine="0" autoPict="0">
                <anchor moveWithCells="1">
                  <from>
                    <xdr:col>10</xdr:col>
                    <xdr:colOff>0</xdr:colOff>
                    <xdr:row>56</xdr:row>
                    <xdr:rowOff>30480</xdr:rowOff>
                  </from>
                  <to>
                    <xdr:col>10</xdr:col>
                    <xdr:colOff>1706880</xdr:colOff>
                    <xdr:row>56</xdr:row>
                    <xdr:rowOff>228600</xdr:rowOff>
                  </to>
                </anchor>
              </controlPr>
            </control>
          </mc:Choice>
        </mc:AlternateContent>
        <mc:AlternateContent xmlns:mc="http://schemas.openxmlformats.org/markup-compatibility/2006">
          <mc:Choice Requires="x14">
            <control shapeId="12333" r:id="rId40" name="Check Box 45">
              <controlPr defaultSize="0" autoFill="0" autoLine="0" autoPict="0">
                <anchor moveWithCells="1">
                  <from>
                    <xdr:col>10</xdr:col>
                    <xdr:colOff>0</xdr:colOff>
                    <xdr:row>58</xdr:row>
                    <xdr:rowOff>266700</xdr:rowOff>
                  </from>
                  <to>
                    <xdr:col>10</xdr:col>
                    <xdr:colOff>1706880</xdr:colOff>
                    <xdr:row>59</xdr:row>
                    <xdr:rowOff>106680</xdr:rowOff>
                  </to>
                </anchor>
              </controlPr>
            </control>
          </mc:Choice>
        </mc:AlternateContent>
        <mc:AlternateContent xmlns:mc="http://schemas.openxmlformats.org/markup-compatibility/2006">
          <mc:Choice Requires="x14">
            <control shapeId="12334" r:id="rId41" name="Check Box 46">
              <controlPr defaultSize="0" autoFill="0" autoLine="0" autoPict="0">
                <anchor moveWithCells="1">
                  <from>
                    <xdr:col>10</xdr:col>
                    <xdr:colOff>0</xdr:colOff>
                    <xdr:row>59</xdr:row>
                    <xdr:rowOff>144780</xdr:rowOff>
                  </from>
                  <to>
                    <xdr:col>10</xdr:col>
                    <xdr:colOff>1706880</xdr:colOff>
                    <xdr:row>59</xdr:row>
                    <xdr:rowOff>342900</xdr:rowOff>
                  </to>
                </anchor>
              </controlPr>
            </control>
          </mc:Choice>
        </mc:AlternateContent>
        <mc:AlternateContent xmlns:mc="http://schemas.openxmlformats.org/markup-compatibility/2006">
          <mc:Choice Requires="x14">
            <control shapeId="12335" r:id="rId42" name="Check Box 47">
              <controlPr defaultSize="0" autoFill="0" autoLine="0" autoPict="0">
                <anchor moveWithCells="1">
                  <from>
                    <xdr:col>10</xdr:col>
                    <xdr:colOff>0</xdr:colOff>
                    <xdr:row>58</xdr:row>
                    <xdr:rowOff>30480</xdr:rowOff>
                  </from>
                  <to>
                    <xdr:col>10</xdr:col>
                    <xdr:colOff>1706880</xdr:colOff>
                    <xdr:row>58</xdr:row>
                    <xdr:rowOff>259080</xdr:rowOff>
                  </to>
                </anchor>
              </controlPr>
            </control>
          </mc:Choice>
        </mc:AlternateContent>
        <mc:AlternateContent xmlns:mc="http://schemas.openxmlformats.org/markup-compatibility/2006">
          <mc:Choice Requires="x14">
            <control shapeId="12336" r:id="rId43" name="Check Box 48">
              <controlPr defaultSize="0" autoFill="0" autoLine="0" autoPict="0">
                <anchor moveWithCells="1">
                  <from>
                    <xdr:col>10</xdr:col>
                    <xdr:colOff>0</xdr:colOff>
                    <xdr:row>60</xdr:row>
                    <xdr:rowOff>266700</xdr:rowOff>
                  </from>
                  <to>
                    <xdr:col>10</xdr:col>
                    <xdr:colOff>1706880</xdr:colOff>
                    <xdr:row>61</xdr:row>
                    <xdr:rowOff>106680</xdr:rowOff>
                  </to>
                </anchor>
              </controlPr>
            </control>
          </mc:Choice>
        </mc:AlternateContent>
        <mc:AlternateContent xmlns:mc="http://schemas.openxmlformats.org/markup-compatibility/2006">
          <mc:Choice Requires="x14">
            <control shapeId="12337" r:id="rId44" name="Check Box 49">
              <controlPr defaultSize="0" autoFill="0" autoLine="0" autoPict="0">
                <anchor moveWithCells="1">
                  <from>
                    <xdr:col>10</xdr:col>
                    <xdr:colOff>0</xdr:colOff>
                    <xdr:row>61</xdr:row>
                    <xdr:rowOff>144780</xdr:rowOff>
                  </from>
                  <to>
                    <xdr:col>10</xdr:col>
                    <xdr:colOff>1706880</xdr:colOff>
                    <xdr:row>62</xdr:row>
                    <xdr:rowOff>0</xdr:rowOff>
                  </to>
                </anchor>
              </controlPr>
            </control>
          </mc:Choice>
        </mc:AlternateContent>
        <mc:AlternateContent xmlns:mc="http://schemas.openxmlformats.org/markup-compatibility/2006">
          <mc:Choice Requires="x14">
            <control shapeId="12338" r:id="rId45" name="Check Box 50">
              <controlPr defaultSize="0" autoFill="0" autoLine="0" autoPict="0">
                <anchor moveWithCells="1">
                  <from>
                    <xdr:col>10</xdr:col>
                    <xdr:colOff>0</xdr:colOff>
                    <xdr:row>60</xdr:row>
                    <xdr:rowOff>30480</xdr:rowOff>
                  </from>
                  <to>
                    <xdr:col>10</xdr:col>
                    <xdr:colOff>1706880</xdr:colOff>
                    <xdr:row>60</xdr:row>
                    <xdr:rowOff>228600</xdr:rowOff>
                  </to>
                </anchor>
              </controlPr>
            </control>
          </mc:Choice>
        </mc:AlternateContent>
        <mc:AlternateContent xmlns:mc="http://schemas.openxmlformats.org/markup-compatibility/2006">
          <mc:Choice Requires="x14">
            <control shapeId="12339" r:id="rId46" name="Check Box 51">
              <controlPr defaultSize="0" autoFill="0" autoLine="0" autoPict="0">
                <anchor moveWithCells="1">
                  <from>
                    <xdr:col>10</xdr:col>
                    <xdr:colOff>0</xdr:colOff>
                    <xdr:row>62</xdr:row>
                    <xdr:rowOff>266700</xdr:rowOff>
                  </from>
                  <to>
                    <xdr:col>10</xdr:col>
                    <xdr:colOff>1706880</xdr:colOff>
                    <xdr:row>63</xdr:row>
                    <xdr:rowOff>106680</xdr:rowOff>
                  </to>
                </anchor>
              </controlPr>
            </control>
          </mc:Choice>
        </mc:AlternateContent>
        <mc:AlternateContent xmlns:mc="http://schemas.openxmlformats.org/markup-compatibility/2006">
          <mc:Choice Requires="x14">
            <control shapeId="12340" r:id="rId47" name="Check Box 52">
              <controlPr defaultSize="0" autoFill="0" autoLine="0" autoPict="0">
                <anchor moveWithCells="1">
                  <from>
                    <xdr:col>10</xdr:col>
                    <xdr:colOff>0</xdr:colOff>
                    <xdr:row>63</xdr:row>
                    <xdr:rowOff>144780</xdr:rowOff>
                  </from>
                  <to>
                    <xdr:col>10</xdr:col>
                    <xdr:colOff>1706880</xdr:colOff>
                    <xdr:row>63</xdr:row>
                    <xdr:rowOff>342900</xdr:rowOff>
                  </to>
                </anchor>
              </controlPr>
            </control>
          </mc:Choice>
        </mc:AlternateContent>
        <mc:AlternateContent xmlns:mc="http://schemas.openxmlformats.org/markup-compatibility/2006">
          <mc:Choice Requires="x14">
            <control shapeId="12341" r:id="rId48" name="Check Box 53">
              <controlPr defaultSize="0" autoFill="0" autoLine="0" autoPict="0">
                <anchor moveWithCells="1">
                  <from>
                    <xdr:col>10</xdr:col>
                    <xdr:colOff>0</xdr:colOff>
                    <xdr:row>62</xdr:row>
                    <xdr:rowOff>30480</xdr:rowOff>
                  </from>
                  <to>
                    <xdr:col>10</xdr:col>
                    <xdr:colOff>1706880</xdr:colOff>
                    <xdr:row>62</xdr:row>
                    <xdr:rowOff>259080</xdr:rowOff>
                  </to>
                </anchor>
              </controlPr>
            </control>
          </mc:Choice>
        </mc:AlternateContent>
        <mc:AlternateContent xmlns:mc="http://schemas.openxmlformats.org/markup-compatibility/2006">
          <mc:Choice Requires="x14">
            <control shapeId="12342" r:id="rId49" name="Check Box 54">
              <controlPr defaultSize="0" autoFill="0" autoLine="0" autoPict="0">
                <anchor moveWithCells="1">
                  <from>
                    <xdr:col>10</xdr:col>
                    <xdr:colOff>0</xdr:colOff>
                    <xdr:row>64</xdr:row>
                    <xdr:rowOff>266700</xdr:rowOff>
                  </from>
                  <to>
                    <xdr:col>10</xdr:col>
                    <xdr:colOff>1706880</xdr:colOff>
                    <xdr:row>65</xdr:row>
                    <xdr:rowOff>106680</xdr:rowOff>
                  </to>
                </anchor>
              </controlPr>
            </control>
          </mc:Choice>
        </mc:AlternateContent>
        <mc:AlternateContent xmlns:mc="http://schemas.openxmlformats.org/markup-compatibility/2006">
          <mc:Choice Requires="x14">
            <control shapeId="12343" r:id="rId50" name="Check Box 55">
              <controlPr defaultSize="0" autoFill="0" autoLine="0" autoPict="0">
                <anchor moveWithCells="1">
                  <from>
                    <xdr:col>10</xdr:col>
                    <xdr:colOff>0</xdr:colOff>
                    <xdr:row>65</xdr:row>
                    <xdr:rowOff>144780</xdr:rowOff>
                  </from>
                  <to>
                    <xdr:col>10</xdr:col>
                    <xdr:colOff>1706880</xdr:colOff>
                    <xdr:row>66</xdr:row>
                    <xdr:rowOff>0</xdr:rowOff>
                  </to>
                </anchor>
              </controlPr>
            </control>
          </mc:Choice>
        </mc:AlternateContent>
        <mc:AlternateContent xmlns:mc="http://schemas.openxmlformats.org/markup-compatibility/2006">
          <mc:Choice Requires="x14">
            <control shapeId="12344" r:id="rId51" name="Check Box 56">
              <controlPr defaultSize="0" autoFill="0" autoLine="0" autoPict="0">
                <anchor moveWithCells="1">
                  <from>
                    <xdr:col>10</xdr:col>
                    <xdr:colOff>0</xdr:colOff>
                    <xdr:row>64</xdr:row>
                    <xdr:rowOff>30480</xdr:rowOff>
                  </from>
                  <to>
                    <xdr:col>10</xdr:col>
                    <xdr:colOff>1706880</xdr:colOff>
                    <xdr:row>64</xdr:row>
                    <xdr:rowOff>228600</xdr:rowOff>
                  </to>
                </anchor>
              </controlPr>
            </control>
          </mc:Choice>
        </mc:AlternateContent>
        <mc:AlternateContent xmlns:mc="http://schemas.openxmlformats.org/markup-compatibility/2006">
          <mc:Choice Requires="x14">
            <control shapeId="12345" r:id="rId52" name="Check Box 57">
              <controlPr defaultSize="0" autoFill="0" autoLine="0" autoPict="0">
                <anchor moveWithCells="1">
                  <from>
                    <xdr:col>10</xdr:col>
                    <xdr:colOff>0</xdr:colOff>
                    <xdr:row>66</xdr:row>
                    <xdr:rowOff>266700</xdr:rowOff>
                  </from>
                  <to>
                    <xdr:col>10</xdr:col>
                    <xdr:colOff>1706880</xdr:colOff>
                    <xdr:row>67</xdr:row>
                    <xdr:rowOff>106680</xdr:rowOff>
                  </to>
                </anchor>
              </controlPr>
            </control>
          </mc:Choice>
        </mc:AlternateContent>
        <mc:AlternateContent xmlns:mc="http://schemas.openxmlformats.org/markup-compatibility/2006">
          <mc:Choice Requires="x14">
            <control shapeId="12346" r:id="rId53" name="Check Box 58">
              <controlPr defaultSize="0" autoFill="0" autoLine="0" autoPict="0">
                <anchor moveWithCells="1">
                  <from>
                    <xdr:col>10</xdr:col>
                    <xdr:colOff>0</xdr:colOff>
                    <xdr:row>67</xdr:row>
                    <xdr:rowOff>144780</xdr:rowOff>
                  </from>
                  <to>
                    <xdr:col>10</xdr:col>
                    <xdr:colOff>1706880</xdr:colOff>
                    <xdr:row>67</xdr:row>
                    <xdr:rowOff>342900</xdr:rowOff>
                  </to>
                </anchor>
              </controlPr>
            </control>
          </mc:Choice>
        </mc:AlternateContent>
        <mc:AlternateContent xmlns:mc="http://schemas.openxmlformats.org/markup-compatibility/2006">
          <mc:Choice Requires="x14">
            <control shapeId="12347" r:id="rId54" name="Check Box 59">
              <controlPr defaultSize="0" autoFill="0" autoLine="0" autoPict="0">
                <anchor moveWithCells="1">
                  <from>
                    <xdr:col>10</xdr:col>
                    <xdr:colOff>0</xdr:colOff>
                    <xdr:row>66</xdr:row>
                    <xdr:rowOff>30480</xdr:rowOff>
                  </from>
                  <to>
                    <xdr:col>10</xdr:col>
                    <xdr:colOff>1706880</xdr:colOff>
                    <xdr:row>66</xdr:row>
                    <xdr:rowOff>259080</xdr:rowOff>
                  </to>
                </anchor>
              </controlPr>
            </control>
          </mc:Choice>
        </mc:AlternateContent>
        <mc:AlternateContent xmlns:mc="http://schemas.openxmlformats.org/markup-compatibility/2006">
          <mc:Choice Requires="x14">
            <control shapeId="12348" r:id="rId55" name="Check Box 60">
              <controlPr defaultSize="0" autoFill="0" autoLine="0" autoPict="0">
                <anchor moveWithCells="1">
                  <from>
                    <xdr:col>10</xdr:col>
                    <xdr:colOff>0</xdr:colOff>
                    <xdr:row>68</xdr:row>
                    <xdr:rowOff>266700</xdr:rowOff>
                  </from>
                  <to>
                    <xdr:col>10</xdr:col>
                    <xdr:colOff>1706880</xdr:colOff>
                    <xdr:row>69</xdr:row>
                    <xdr:rowOff>106680</xdr:rowOff>
                  </to>
                </anchor>
              </controlPr>
            </control>
          </mc:Choice>
        </mc:AlternateContent>
        <mc:AlternateContent xmlns:mc="http://schemas.openxmlformats.org/markup-compatibility/2006">
          <mc:Choice Requires="x14">
            <control shapeId="12349" r:id="rId56" name="Check Box 61">
              <controlPr defaultSize="0" autoFill="0" autoLine="0" autoPict="0">
                <anchor moveWithCells="1">
                  <from>
                    <xdr:col>10</xdr:col>
                    <xdr:colOff>0</xdr:colOff>
                    <xdr:row>69</xdr:row>
                    <xdr:rowOff>144780</xdr:rowOff>
                  </from>
                  <to>
                    <xdr:col>10</xdr:col>
                    <xdr:colOff>1706880</xdr:colOff>
                    <xdr:row>70</xdr:row>
                    <xdr:rowOff>0</xdr:rowOff>
                  </to>
                </anchor>
              </controlPr>
            </control>
          </mc:Choice>
        </mc:AlternateContent>
        <mc:AlternateContent xmlns:mc="http://schemas.openxmlformats.org/markup-compatibility/2006">
          <mc:Choice Requires="x14">
            <control shapeId="12350" r:id="rId57" name="Check Box 62">
              <controlPr defaultSize="0" autoFill="0" autoLine="0" autoPict="0">
                <anchor moveWithCells="1">
                  <from>
                    <xdr:col>10</xdr:col>
                    <xdr:colOff>0</xdr:colOff>
                    <xdr:row>68</xdr:row>
                    <xdr:rowOff>30480</xdr:rowOff>
                  </from>
                  <to>
                    <xdr:col>10</xdr:col>
                    <xdr:colOff>1706880</xdr:colOff>
                    <xdr:row>68</xdr:row>
                    <xdr:rowOff>228600</xdr:rowOff>
                  </to>
                </anchor>
              </controlPr>
            </control>
          </mc:Choice>
        </mc:AlternateContent>
        <mc:AlternateContent xmlns:mc="http://schemas.openxmlformats.org/markup-compatibility/2006">
          <mc:Choice Requires="x14">
            <control shapeId="12351" r:id="rId58" name="Check Box 63">
              <controlPr defaultSize="0" autoFill="0" autoLine="0" autoPict="0">
                <anchor moveWithCells="1">
                  <from>
                    <xdr:col>10</xdr:col>
                    <xdr:colOff>0</xdr:colOff>
                    <xdr:row>70</xdr:row>
                    <xdr:rowOff>266700</xdr:rowOff>
                  </from>
                  <to>
                    <xdr:col>10</xdr:col>
                    <xdr:colOff>1706880</xdr:colOff>
                    <xdr:row>71</xdr:row>
                    <xdr:rowOff>106680</xdr:rowOff>
                  </to>
                </anchor>
              </controlPr>
            </control>
          </mc:Choice>
        </mc:AlternateContent>
        <mc:AlternateContent xmlns:mc="http://schemas.openxmlformats.org/markup-compatibility/2006">
          <mc:Choice Requires="x14">
            <control shapeId="12352" r:id="rId59" name="Check Box 64">
              <controlPr defaultSize="0" autoFill="0" autoLine="0" autoPict="0">
                <anchor moveWithCells="1">
                  <from>
                    <xdr:col>10</xdr:col>
                    <xdr:colOff>0</xdr:colOff>
                    <xdr:row>71</xdr:row>
                    <xdr:rowOff>144780</xdr:rowOff>
                  </from>
                  <to>
                    <xdr:col>10</xdr:col>
                    <xdr:colOff>1706880</xdr:colOff>
                    <xdr:row>71</xdr:row>
                    <xdr:rowOff>342900</xdr:rowOff>
                  </to>
                </anchor>
              </controlPr>
            </control>
          </mc:Choice>
        </mc:AlternateContent>
        <mc:AlternateContent xmlns:mc="http://schemas.openxmlformats.org/markup-compatibility/2006">
          <mc:Choice Requires="x14">
            <control shapeId="12353" r:id="rId60" name="Check Box 65">
              <controlPr defaultSize="0" autoFill="0" autoLine="0" autoPict="0">
                <anchor moveWithCells="1">
                  <from>
                    <xdr:col>10</xdr:col>
                    <xdr:colOff>0</xdr:colOff>
                    <xdr:row>70</xdr:row>
                    <xdr:rowOff>30480</xdr:rowOff>
                  </from>
                  <to>
                    <xdr:col>10</xdr:col>
                    <xdr:colOff>1706880</xdr:colOff>
                    <xdr:row>70</xdr:row>
                    <xdr:rowOff>259080</xdr:rowOff>
                  </to>
                </anchor>
              </controlPr>
            </control>
          </mc:Choice>
        </mc:AlternateContent>
        <mc:AlternateContent xmlns:mc="http://schemas.openxmlformats.org/markup-compatibility/2006">
          <mc:Choice Requires="x14">
            <control shapeId="12354" r:id="rId61" name="Check Box 66">
              <controlPr defaultSize="0" autoFill="0" autoLine="0" autoPict="0">
                <anchor moveWithCells="1">
                  <from>
                    <xdr:col>10</xdr:col>
                    <xdr:colOff>0</xdr:colOff>
                    <xdr:row>72</xdr:row>
                    <xdr:rowOff>266700</xdr:rowOff>
                  </from>
                  <to>
                    <xdr:col>10</xdr:col>
                    <xdr:colOff>1706880</xdr:colOff>
                    <xdr:row>73</xdr:row>
                    <xdr:rowOff>106680</xdr:rowOff>
                  </to>
                </anchor>
              </controlPr>
            </control>
          </mc:Choice>
        </mc:AlternateContent>
        <mc:AlternateContent xmlns:mc="http://schemas.openxmlformats.org/markup-compatibility/2006">
          <mc:Choice Requires="x14">
            <control shapeId="12355" r:id="rId62" name="Check Box 67">
              <controlPr defaultSize="0" autoFill="0" autoLine="0" autoPict="0">
                <anchor moveWithCells="1">
                  <from>
                    <xdr:col>10</xdr:col>
                    <xdr:colOff>0</xdr:colOff>
                    <xdr:row>73</xdr:row>
                    <xdr:rowOff>144780</xdr:rowOff>
                  </from>
                  <to>
                    <xdr:col>10</xdr:col>
                    <xdr:colOff>1706880</xdr:colOff>
                    <xdr:row>74</xdr:row>
                    <xdr:rowOff>30480</xdr:rowOff>
                  </to>
                </anchor>
              </controlPr>
            </control>
          </mc:Choice>
        </mc:AlternateContent>
        <mc:AlternateContent xmlns:mc="http://schemas.openxmlformats.org/markup-compatibility/2006">
          <mc:Choice Requires="x14">
            <control shapeId="12356" r:id="rId63" name="Check Box 68">
              <controlPr defaultSize="0" autoFill="0" autoLine="0" autoPict="0">
                <anchor moveWithCells="1">
                  <from>
                    <xdr:col>10</xdr:col>
                    <xdr:colOff>0</xdr:colOff>
                    <xdr:row>72</xdr:row>
                    <xdr:rowOff>30480</xdr:rowOff>
                  </from>
                  <to>
                    <xdr:col>10</xdr:col>
                    <xdr:colOff>1706880</xdr:colOff>
                    <xdr:row>72</xdr:row>
                    <xdr:rowOff>228600</xdr:rowOff>
                  </to>
                </anchor>
              </controlPr>
            </control>
          </mc:Choice>
        </mc:AlternateContent>
        <mc:AlternateContent xmlns:mc="http://schemas.openxmlformats.org/markup-compatibility/2006">
          <mc:Choice Requires="x14">
            <control shapeId="12357" r:id="rId64" name="Check Box 69">
              <controlPr defaultSize="0" autoFill="0" autoLine="0" autoPict="0">
                <anchor moveWithCells="1">
                  <from>
                    <xdr:col>10</xdr:col>
                    <xdr:colOff>0</xdr:colOff>
                    <xdr:row>74</xdr:row>
                    <xdr:rowOff>266700</xdr:rowOff>
                  </from>
                  <to>
                    <xdr:col>10</xdr:col>
                    <xdr:colOff>1706880</xdr:colOff>
                    <xdr:row>75</xdr:row>
                    <xdr:rowOff>106680</xdr:rowOff>
                  </to>
                </anchor>
              </controlPr>
            </control>
          </mc:Choice>
        </mc:AlternateContent>
        <mc:AlternateContent xmlns:mc="http://schemas.openxmlformats.org/markup-compatibility/2006">
          <mc:Choice Requires="x14">
            <control shapeId="12358" r:id="rId65" name="Check Box 70">
              <controlPr defaultSize="0" autoFill="0" autoLine="0" autoPict="0">
                <anchor moveWithCells="1">
                  <from>
                    <xdr:col>10</xdr:col>
                    <xdr:colOff>0</xdr:colOff>
                    <xdr:row>75</xdr:row>
                    <xdr:rowOff>144780</xdr:rowOff>
                  </from>
                  <to>
                    <xdr:col>10</xdr:col>
                    <xdr:colOff>1706880</xdr:colOff>
                    <xdr:row>75</xdr:row>
                    <xdr:rowOff>342900</xdr:rowOff>
                  </to>
                </anchor>
              </controlPr>
            </control>
          </mc:Choice>
        </mc:AlternateContent>
        <mc:AlternateContent xmlns:mc="http://schemas.openxmlformats.org/markup-compatibility/2006">
          <mc:Choice Requires="x14">
            <control shapeId="12359" r:id="rId66" name="Check Box 71">
              <controlPr defaultSize="0" autoFill="0" autoLine="0" autoPict="0">
                <anchor moveWithCells="1">
                  <from>
                    <xdr:col>10</xdr:col>
                    <xdr:colOff>0</xdr:colOff>
                    <xdr:row>74</xdr:row>
                    <xdr:rowOff>30480</xdr:rowOff>
                  </from>
                  <to>
                    <xdr:col>10</xdr:col>
                    <xdr:colOff>1706880</xdr:colOff>
                    <xdr:row>74</xdr:row>
                    <xdr:rowOff>259080</xdr:rowOff>
                  </to>
                </anchor>
              </controlPr>
            </control>
          </mc:Choice>
        </mc:AlternateContent>
        <mc:AlternateContent xmlns:mc="http://schemas.openxmlformats.org/markup-compatibility/2006">
          <mc:Choice Requires="x14">
            <control shapeId="12360" r:id="rId67" name="Check Box 72">
              <controlPr defaultSize="0" autoFill="0" autoLine="0" autoPict="0">
                <anchor moveWithCells="1">
                  <from>
                    <xdr:col>10</xdr:col>
                    <xdr:colOff>0</xdr:colOff>
                    <xdr:row>76</xdr:row>
                    <xdr:rowOff>266700</xdr:rowOff>
                  </from>
                  <to>
                    <xdr:col>10</xdr:col>
                    <xdr:colOff>1706880</xdr:colOff>
                    <xdr:row>77</xdr:row>
                    <xdr:rowOff>106680</xdr:rowOff>
                  </to>
                </anchor>
              </controlPr>
            </control>
          </mc:Choice>
        </mc:AlternateContent>
        <mc:AlternateContent xmlns:mc="http://schemas.openxmlformats.org/markup-compatibility/2006">
          <mc:Choice Requires="x14">
            <control shapeId="12361" r:id="rId68" name="Check Box 73">
              <controlPr defaultSize="0" autoFill="0" autoLine="0" autoPict="0">
                <anchor moveWithCells="1">
                  <from>
                    <xdr:col>10</xdr:col>
                    <xdr:colOff>0</xdr:colOff>
                    <xdr:row>77</xdr:row>
                    <xdr:rowOff>144780</xdr:rowOff>
                  </from>
                  <to>
                    <xdr:col>10</xdr:col>
                    <xdr:colOff>1706880</xdr:colOff>
                    <xdr:row>78</xdr:row>
                    <xdr:rowOff>30480</xdr:rowOff>
                  </to>
                </anchor>
              </controlPr>
            </control>
          </mc:Choice>
        </mc:AlternateContent>
        <mc:AlternateContent xmlns:mc="http://schemas.openxmlformats.org/markup-compatibility/2006">
          <mc:Choice Requires="x14">
            <control shapeId="12362" r:id="rId69" name="Check Box 74">
              <controlPr defaultSize="0" autoFill="0" autoLine="0" autoPict="0">
                <anchor moveWithCells="1">
                  <from>
                    <xdr:col>10</xdr:col>
                    <xdr:colOff>0</xdr:colOff>
                    <xdr:row>76</xdr:row>
                    <xdr:rowOff>30480</xdr:rowOff>
                  </from>
                  <to>
                    <xdr:col>10</xdr:col>
                    <xdr:colOff>1706880</xdr:colOff>
                    <xdr:row>76</xdr:row>
                    <xdr:rowOff>228600</xdr:rowOff>
                  </to>
                </anchor>
              </controlPr>
            </control>
          </mc:Choice>
        </mc:AlternateContent>
        <mc:AlternateContent xmlns:mc="http://schemas.openxmlformats.org/markup-compatibility/2006">
          <mc:Choice Requires="x14">
            <control shapeId="12363" r:id="rId70" name="Check Box 75">
              <controlPr defaultSize="0" autoFill="0" autoLine="0" autoPict="0">
                <anchor moveWithCells="1">
                  <from>
                    <xdr:col>10</xdr:col>
                    <xdr:colOff>0</xdr:colOff>
                    <xdr:row>78</xdr:row>
                    <xdr:rowOff>266700</xdr:rowOff>
                  </from>
                  <to>
                    <xdr:col>10</xdr:col>
                    <xdr:colOff>1706880</xdr:colOff>
                    <xdr:row>79</xdr:row>
                    <xdr:rowOff>106680</xdr:rowOff>
                  </to>
                </anchor>
              </controlPr>
            </control>
          </mc:Choice>
        </mc:AlternateContent>
        <mc:AlternateContent xmlns:mc="http://schemas.openxmlformats.org/markup-compatibility/2006">
          <mc:Choice Requires="x14">
            <control shapeId="12364" r:id="rId71" name="Check Box 76">
              <controlPr defaultSize="0" autoFill="0" autoLine="0" autoPict="0">
                <anchor moveWithCells="1">
                  <from>
                    <xdr:col>10</xdr:col>
                    <xdr:colOff>0</xdr:colOff>
                    <xdr:row>79</xdr:row>
                    <xdr:rowOff>144780</xdr:rowOff>
                  </from>
                  <to>
                    <xdr:col>10</xdr:col>
                    <xdr:colOff>1706880</xdr:colOff>
                    <xdr:row>79</xdr:row>
                    <xdr:rowOff>342900</xdr:rowOff>
                  </to>
                </anchor>
              </controlPr>
            </control>
          </mc:Choice>
        </mc:AlternateContent>
        <mc:AlternateContent xmlns:mc="http://schemas.openxmlformats.org/markup-compatibility/2006">
          <mc:Choice Requires="x14">
            <control shapeId="12365" r:id="rId72" name="Check Box 77">
              <controlPr defaultSize="0" autoFill="0" autoLine="0" autoPict="0">
                <anchor moveWithCells="1">
                  <from>
                    <xdr:col>10</xdr:col>
                    <xdr:colOff>0</xdr:colOff>
                    <xdr:row>78</xdr:row>
                    <xdr:rowOff>30480</xdr:rowOff>
                  </from>
                  <to>
                    <xdr:col>10</xdr:col>
                    <xdr:colOff>1706880</xdr:colOff>
                    <xdr:row>78</xdr:row>
                    <xdr:rowOff>259080</xdr:rowOff>
                  </to>
                </anchor>
              </controlPr>
            </control>
          </mc:Choice>
        </mc:AlternateContent>
        <mc:AlternateContent xmlns:mc="http://schemas.openxmlformats.org/markup-compatibility/2006">
          <mc:Choice Requires="x14">
            <control shapeId="12366" r:id="rId73" name="Check Box 78">
              <controlPr defaultSize="0" autoFill="0" autoLine="0" autoPict="0">
                <anchor moveWithCells="1">
                  <from>
                    <xdr:col>10</xdr:col>
                    <xdr:colOff>0</xdr:colOff>
                    <xdr:row>80</xdr:row>
                    <xdr:rowOff>266700</xdr:rowOff>
                  </from>
                  <to>
                    <xdr:col>10</xdr:col>
                    <xdr:colOff>1706880</xdr:colOff>
                    <xdr:row>81</xdr:row>
                    <xdr:rowOff>106680</xdr:rowOff>
                  </to>
                </anchor>
              </controlPr>
            </control>
          </mc:Choice>
        </mc:AlternateContent>
        <mc:AlternateContent xmlns:mc="http://schemas.openxmlformats.org/markup-compatibility/2006">
          <mc:Choice Requires="x14">
            <control shapeId="12367" r:id="rId74" name="Check Box 79">
              <controlPr defaultSize="0" autoFill="0" autoLine="0" autoPict="0">
                <anchor moveWithCells="1">
                  <from>
                    <xdr:col>10</xdr:col>
                    <xdr:colOff>0</xdr:colOff>
                    <xdr:row>81</xdr:row>
                    <xdr:rowOff>144780</xdr:rowOff>
                  </from>
                  <to>
                    <xdr:col>10</xdr:col>
                    <xdr:colOff>1706880</xdr:colOff>
                    <xdr:row>82</xdr:row>
                    <xdr:rowOff>0</xdr:rowOff>
                  </to>
                </anchor>
              </controlPr>
            </control>
          </mc:Choice>
        </mc:AlternateContent>
        <mc:AlternateContent xmlns:mc="http://schemas.openxmlformats.org/markup-compatibility/2006">
          <mc:Choice Requires="x14">
            <control shapeId="12368" r:id="rId75" name="Check Box 80">
              <controlPr defaultSize="0" autoFill="0" autoLine="0" autoPict="0">
                <anchor moveWithCells="1">
                  <from>
                    <xdr:col>10</xdr:col>
                    <xdr:colOff>0</xdr:colOff>
                    <xdr:row>80</xdr:row>
                    <xdr:rowOff>30480</xdr:rowOff>
                  </from>
                  <to>
                    <xdr:col>10</xdr:col>
                    <xdr:colOff>1706880</xdr:colOff>
                    <xdr:row>80</xdr:row>
                    <xdr:rowOff>228600</xdr:rowOff>
                  </to>
                </anchor>
              </controlPr>
            </control>
          </mc:Choice>
        </mc:AlternateContent>
        <mc:AlternateContent xmlns:mc="http://schemas.openxmlformats.org/markup-compatibility/2006">
          <mc:Choice Requires="x14">
            <control shapeId="12369" r:id="rId76" name="Check Box 81">
              <controlPr defaultSize="0" autoFill="0" autoLine="0" autoPict="0">
                <anchor moveWithCells="1">
                  <from>
                    <xdr:col>10</xdr:col>
                    <xdr:colOff>0</xdr:colOff>
                    <xdr:row>32</xdr:row>
                    <xdr:rowOff>266700</xdr:rowOff>
                  </from>
                  <to>
                    <xdr:col>10</xdr:col>
                    <xdr:colOff>1706880</xdr:colOff>
                    <xdr:row>33</xdr:row>
                    <xdr:rowOff>106680</xdr:rowOff>
                  </to>
                </anchor>
              </controlPr>
            </control>
          </mc:Choice>
        </mc:AlternateContent>
        <mc:AlternateContent xmlns:mc="http://schemas.openxmlformats.org/markup-compatibility/2006">
          <mc:Choice Requires="x14">
            <control shapeId="12370" r:id="rId77" name="Check Box 82">
              <controlPr defaultSize="0" autoFill="0" autoLine="0" autoPict="0">
                <anchor moveWithCells="1">
                  <from>
                    <xdr:col>10</xdr:col>
                    <xdr:colOff>0</xdr:colOff>
                    <xdr:row>33</xdr:row>
                    <xdr:rowOff>144780</xdr:rowOff>
                  </from>
                  <to>
                    <xdr:col>10</xdr:col>
                    <xdr:colOff>1706880</xdr:colOff>
                    <xdr:row>34</xdr:row>
                    <xdr:rowOff>0</xdr:rowOff>
                  </to>
                </anchor>
              </controlPr>
            </control>
          </mc:Choice>
        </mc:AlternateContent>
        <mc:AlternateContent xmlns:mc="http://schemas.openxmlformats.org/markup-compatibility/2006">
          <mc:Choice Requires="x14">
            <control shapeId="12371" r:id="rId78" name="Check Box 83">
              <controlPr defaultSize="0" autoFill="0" autoLine="0" autoPict="0">
                <anchor moveWithCells="1">
                  <from>
                    <xdr:col>10</xdr:col>
                    <xdr:colOff>0</xdr:colOff>
                    <xdr:row>32</xdr:row>
                    <xdr:rowOff>30480</xdr:rowOff>
                  </from>
                  <to>
                    <xdr:col>10</xdr:col>
                    <xdr:colOff>1706880</xdr:colOff>
                    <xdr:row>32</xdr:row>
                    <xdr:rowOff>228600</xdr:rowOff>
                  </to>
                </anchor>
              </controlPr>
            </control>
          </mc:Choice>
        </mc:AlternateContent>
        <mc:AlternateContent xmlns:mc="http://schemas.openxmlformats.org/markup-compatibility/2006">
          <mc:Choice Requires="x14">
            <control shapeId="12379" r:id="rId79" name="Check Box 91">
              <controlPr defaultSize="0" autoFill="0" autoLine="0" autoPict="0">
                <anchor moveWithCells="1">
                  <from>
                    <xdr:col>10</xdr:col>
                    <xdr:colOff>0</xdr:colOff>
                    <xdr:row>45</xdr:row>
                    <xdr:rowOff>144780</xdr:rowOff>
                  </from>
                  <to>
                    <xdr:col>10</xdr:col>
                    <xdr:colOff>1706880</xdr:colOff>
                    <xdr:row>46</xdr:row>
                    <xdr:rowOff>0</xdr:rowOff>
                  </to>
                </anchor>
              </controlPr>
            </control>
          </mc:Choice>
        </mc:AlternateContent>
        <mc:AlternateContent xmlns:mc="http://schemas.openxmlformats.org/markup-compatibility/2006">
          <mc:Choice Requires="x14">
            <control shapeId="12380" r:id="rId80" name="Check Box 92">
              <controlPr defaultSize="0" autoFill="0" autoLine="0" autoPict="0">
                <anchor moveWithCells="1">
                  <from>
                    <xdr:col>10</xdr:col>
                    <xdr:colOff>0</xdr:colOff>
                    <xdr:row>44</xdr:row>
                    <xdr:rowOff>30480</xdr:rowOff>
                  </from>
                  <to>
                    <xdr:col>10</xdr:col>
                    <xdr:colOff>1706880</xdr:colOff>
                    <xdr:row>44</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A2379C6A-05FB-4F21-B035-427FCAC95C20}">
            <x14:dataBar minLength="0" maxLength="100" border="1" direction="leftToRight">
              <x14:cfvo type="num">
                <xm:f>0</xm:f>
              </x14:cfvo>
              <x14:cfvo type="num">
                <xm:f>1</xm:f>
              </x14:cfvo>
              <x14:borderColor rgb="FF000099"/>
              <x14:negativeFillColor rgb="FFFF0000"/>
              <x14:axisColor rgb="FF000000"/>
            </x14:dataBar>
          </x14:cfRule>
          <xm:sqref>F11:F14</xm:sqref>
        </x14:conditionalFormatting>
        <x14:conditionalFormatting xmlns:xm="http://schemas.microsoft.com/office/excel/2006/main">
          <x14:cfRule type="iconSet" priority="18" id="{5271D1A4-765C-4941-A52D-2DDFA39087A2}">
            <x14:iconSet iconSet="3Stars">
              <x14:cfvo type="percent">
                <xm:f>0</xm:f>
              </x14:cfvo>
              <x14:cfvo type="percent">
                <xm:f>33</xm:f>
              </x14:cfvo>
              <x14:cfvo type="percent">
                <xm:f>67</xm:f>
              </x14:cfvo>
            </x14:iconSet>
          </x14:cfRule>
          <xm:sqref>R10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C53E119-1D02-4926-91F9-802755B4E584}">
          <x14:formula1>
            <xm:f>Parâmetros!$A$31:$A$33</xm:f>
          </x14:formula1>
          <xm:sqref>N35 N47 N51:N82 N41 N49 N33 N39 N37 N45 N43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29C5-D9E2-4F6F-AE1F-02D7288BE740}">
  <dimension ref="A1:AL73"/>
  <sheetViews>
    <sheetView topLeftCell="D1" zoomScale="55" zoomScaleNormal="55" workbookViewId="0">
      <selection activeCell="D8" sqref="D8"/>
    </sheetView>
  </sheetViews>
  <sheetFormatPr defaultColWidth="8.5546875" defaultRowHeight="14.4" x14ac:dyDescent="0.3"/>
  <cols>
    <col min="1" max="1" width="20.44140625"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38.44140625" style="62" customWidth="1"/>
    <col min="10" max="10" width="11.44140625" style="62" customWidth="1"/>
    <col min="11" max="32" width="13.44140625" style="62" customWidth="1"/>
    <col min="33" max="33" width="36.44140625" style="62" customWidth="1"/>
    <col min="34" max="34" width="16" style="62" bestFit="1" customWidth="1"/>
    <col min="35" max="35" width="16.44140625" style="62" bestFit="1" customWidth="1"/>
    <col min="36" max="36" width="8.5546875" style="62" bestFit="1" customWidth="1"/>
    <col min="37" max="16384" width="8.5546875" style="62"/>
  </cols>
  <sheetData>
    <row r="1" spans="1:38" ht="50.1" customHeight="1" x14ac:dyDescent="0.3">
      <c r="A1" s="1181" t="s">
        <v>2541</v>
      </c>
      <c r="B1" s="1182"/>
      <c r="C1" s="1182"/>
      <c r="D1" s="1182"/>
      <c r="E1" s="1182"/>
      <c r="F1" s="1182"/>
      <c r="G1" s="1182"/>
      <c r="H1" s="1182"/>
      <c r="I1" s="1182"/>
      <c r="J1" s="1182"/>
      <c r="K1" s="1182"/>
      <c r="L1" s="1182"/>
      <c r="M1" s="1182"/>
      <c r="N1" s="1182"/>
      <c r="O1" s="1181"/>
      <c r="P1" s="1182"/>
      <c r="Q1" s="1182"/>
      <c r="R1" s="1182"/>
      <c r="S1" s="1182"/>
      <c r="T1" s="1182"/>
      <c r="U1" s="1182"/>
      <c r="V1" s="1182"/>
      <c r="W1" s="1182"/>
      <c r="X1" s="1182"/>
      <c r="Y1" s="1182"/>
      <c r="Z1" s="1182"/>
      <c r="AA1" s="1182"/>
      <c r="AB1" s="1182"/>
      <c r="AC1" s="1181"/>
      <c r="AD1" s="1182"/>
      <c r="AE1" s="1182"/>
      <c r="AF1" s="1182"/>
      <c r="AG1" s="1182"/>
      <c r="AH1" s="1181"/>
      <c r="AI1" s="1182"/>
      <c r="AJ1" s="1182"/>
      <c r="AK1" s="1182"/>
      <c r="AL1" s="1182"/>
    </row>
    <row r="2" spans="1:38" ht="25.35" customHeight="1" x14ac:dyDescent="0.3">
      <c r="A2" s="1183" t="s">
        <v>46</v>
      </c>
      <c r="B2" s="1184"/>
      <c r="C2" s="1184"/>
      <c r="D2" s="1184"/>
      <c r="E2" s="1184"/>
      <c r="F2" s="1184"/>
      <c r="G2" s="1184"/>
      <c r="H2" s="1184"/>
      <c r="I2" s="1184"/>
      <c r="J2" s="1184"/>
      <c r="K2" s="1184"/>
      <c r="L2" s="1184"/>
      <c r="M2" s="1184"/>
      <c r="N2" s="1184"/>
      <c r="O2" s="1183"/>
      <c r="P2" s="1184"/>
      <c r="Q2" s="1184"/>
      <c r="R2" s="1184"/>
      <c r="S2" s="1184"/>
      <c r="T2" s="1184"/>
      <c r="U2" s="1184"/>
      <c r="V2" s="1184"/>
      <c r="W2" s="1184"/>
      <c r="X2" s="1184"/>
      <c r="Y2" s="1184"/>
      <c r="Z2" s="1184"/>
      <c r="AA2" s="1184"/>
      <c r="AB2" s="1184"/>
      <c r="AC2" s="1183"/>
      <c r="AD2" s="1184"/>
      <c r="AE2" s="1184"/>
      <c r="AF2" s="1184"/>
      <c r="AG2" s="1184"/>
      <c r="AH2" s="1183"/>
      <c r="AI2" s="1184"/>
      <c r="AJ2" s="1184"/>
      <c r="AK2" s="1184"/>
      <c r="AL2" s="1184"/>
    </row>
    <row r="3" spans="1:38"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row>
    <row r="4" spans="1:38" ht="22.35" customHeight="1" x14ac:dyDescent="0.3">
      <c r="A4" s="1185" t="s">
        <v>2206</v>
      </c>
      <c r="B4" s="1185"/>
      <c r="C4" s="1186" t="s">
        <v>48</v>
      </c>
      <c r="D4" s="1186"/>
      <c r="E4" s="1187" t="s">
        <v>50</v>
      </c>
      <c r="F4" s="1187"/>
      <c r="G4" s="1188" t="s">
        <v>51</v>
      </c>
      <c r="H4" s="1188"/>
      <c r="I4" s="1188"/>
      <c r="J4" s="1185" t="s">
        <v>53</v>
      </c>
      <c r="K4" s="1660"/>
      <c r="L4" s="1660"/>
      <c r="M4" s="1185" t="s">
        <v>54</v>
      </c>
      <c r="N4" s="1660"/>
      <c r="O4" s="47"/>
      <c r="P4" s="47"/>
      <c r="Q4" s="47"/>
      <c r="R4" s="47"/>
      <c r="S4" s="47"/>
      <c r="T4" s="47"/>
      <c r="U4" s="47"/>
      <c r="V4" s="47"/>
      <c r="W4" s="47"/>
      <c r="X4" s="47"/>
      <c r="Y4" s="47"/>
      <c r="Z4" s="47"/>
      <c r="AA4" s="47"/>
      <c r="AB4" s="47"/>
      <c r="AC4" s="47"/>
      <c r="AD4" s="47"/>
      <c r="AE4" s="47"/>
      <c r="AF4" s="47"/>
      <c r="AG4" s="47"/>
      <c r="AH4" s="47"/>
      <c r="AI4" s="47"/>
      <c r="AJ4" s="47"/>
      <c r="AK4" s="47"/>
      <c r="AL4" s="47"/>
    </row>
    <row r="5" spans="1:38" ht="45" customHeight="1" x14ac:dyDescent="0.3">
      <c r="A5" s="1196">
        <f>Parâmetros!E10</f>
        <v>1709000</v>
      </c>
      <c r="B5" s="1196"/>
      <c r="C5" s="1197">
        <f>SUM(G17:G68)</f>
        <v>0</v>
      </c>
      <c r="D5" s="1197"/>
      <c r="E5" s="1198">
        <f>SUM(I17:I68)</f>
        <v>0</v>
      </c>
      <c r="F5" s="1198"/>
      <c r="G5" s="1078">
        <f>SUMIF(L17:L68,"Real",AE17:AE68)</f>
        <v>0</v>
      </c>
      <c r="H5" s="1078"/>
      <c r="I5" s="1078"/>
      <c r="J5" s="1684">
        <f>G5/A5</f>
        <v>0</v>
      </c>
      <c r="K5" s="1685"/>
      <c r="L5" s="1685"/>
      <c r="M5" s="1060">
        <f>SUM(H9:H11)</f>
        <v>0</v>
      </c>
      <c r="N5" s="1061"/>
      <c r="O5" s="47"/>
      <c r="P5" s="47"/>
      <c r="Q5" s="47"/>
      <c r="R5" s="47"/>
      <c r="S5" s="47"/>
      <c r="T5" s="47"/>
      <c r="U5" s="47"/>
      <c r="V5" s="47"/>
      <c r="W5" s="47"/>
      <c r="X5" s="47"/>
      <c r="Y5" s="47"/>
      <c r="Z5" s="47"/>
      <c r="AA5" s="47"/>
      <c r="AB5" s="47"/>
      <c r="AC5" s="47"/>
      <c r="AD5" s="47"/>
      <c r="AE5" s="47"/>
      <c r="AF5" s="47"/>
      <c r="AG5" s="47"/>
      <c r="AH5" s="47"/>
      <c r="AI5" s="47"/>
      <c r="AJ5" s="47"/>
      <c r="AK5" s="47"/>
      <c r="AL5" s="47"/>
    </row>
    <row r="6" spans="1:38"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c r="AH6" s="47"/>
      <c r="AI6" s="47"/>
      <c r="AJ6" s="47"/>
      <c r="AK6" s="47"/>
      <c r="AL6" s="47"/>
    </row>
    <row r="7" spans="1:38" ht="22.35" customHeight="1" x14ac:dyDescent="0.3">
      <c r="A7" s="1059" t="s">
        <v>129</v>
      </c>
      <c r="B7" s="1059"/>
      <c r="C7" s="1059"/>
      <c r="D7" s="1059"/>
      <c r="E7" s="1059"/>
      <c r="F7" s="29"/>
      <c r="G7" s="1059" t="s">
        <v>59</v>
      </c>
      <c r="H7" s="1059"/>
      <c r="I7" s="1059"/>
      <c r="J7" s="20"/>
      <c r="K7" s="1059" t="s">
        <v>2358</v>
      </c>
      <c r="L7" s="1059"/>
      <c r="M7" s="1059"/>
      <c r="N7" s="20"/>
      <c r="O7" s="47"/>
      <c r="P7" s="47"/>
      <c r="Q7" s="47"/>
      <c r="R7" s="47"/>
      <c r="S7" s="47"/>
      <c r="T7" s="47"/>
      <c r="U7" s="47"/>
      <c r="V7" s="47"/>
      <c r="W7" s="47"/>
      <c r="X7" s="47"/>
      <c r="Y7" s="47"/>
      <c r="Z7" s="47"/>
      <c r="AA7" s="47"/>
      <c r="AB7" s="47"/>
      <c r="AC7" s="47"/>
      <c r="AD7" s="47"/>
      <c r="AE7" s="47"/>
      <c r="AF7" s="47"/>
      <c r="AG7" s="47"/>
      <c r="AH7" s="1203" t="s">
        <v>227</v>
      </c>
      <c r="AI7" s="1203"/>
      <c r="AJ7" s="47"/>
      <c r="AK7" s="47"/>
      <c r="AL7" s="47"/>
    </row>
    <row r="8" spans="1:38" ht="18" customHeight="1" x14ac:dyDescent="0.3">
      <c r="A8" s="15" t="s">
        <v>62</v>
      </c>
      <c r="B8" s="15" t="s">
        <v>63</v>
      </c>
      <c r="C8" s="15" t="s">
        <v>64</v>
      </c>
      <c r="D8" s="15" t="s">
        <v>66</v>
      </c>
      <c r="E8" s="15" t="s">
        <v>131</v>
      </c>
      <c r="F8" s="29"/>
      <c r="G8" s="15" t="s">
        <v>67</v>
      </c>
      <c r="H8" s="15" t="s">
        <v>63</v>
      </c>
      <c r="I8" s="15" t="s">
        <v>68</v>
      </c>
      <c r="J8" s="20"/>
      <c r="K8" s="454" t="s">
        <v>2359</v>
      </c>
      <c r="L8" s="442">
        <f>COUNTIF($K$17:$K$68,K8)</f>
        <v>0</v>
      </c>
      <c r="M8" s="448">
        <f>SUMIF($L$31:$L$114,K8,$H$31:$H$114)</f>
        <v>0</v>
      </c>
      <c r="N8" s="20"/>
      <c r="O8" s="47"/>
      <c r="P8" s="47"/>
      <c r="Q8" s="47"/>
      <c r="R8" s="47"/>
      <c r="S8" s="47"/>
      <c r="T8" s="47"/>
      <c r="U8" s="47"/>
      <c r="V8" s="47"/>
      <c r="W8" s="47"/>
      <c r="X8" s="47"/>
      <c r="Y8" s="47"/>
      <c r="Z8" s="47"/>
      <c r="AA8" s="47"/>
      <c r="AB8" s="47"/>
      <c r="AC8" s="47"/>
      <c r="AD8" s="47"/>
      <c r="AE8" s="47"/>
      <c r="AF8" s="47"/>
      <c r="AG8" s="47"/>
      <c r="AH8" s="476" t="s">
        <v>232</v>
      </c>
      <c r="AI8" s="476" t="s">
        <v>233</v>
      </c>
      <c r="AJ8" s="47"/>
      <c r="AK8" s="47"/>
      <c r="AL8" s="47"/>
    </row>
    <row r="9" spans="1:38" ht="18" customHeight="1" x14ac:dyDescent="0.3">
      <c r="A9" s="16" t="s">
        <v>76</v>
      </c>
      <c r="B9" s="17">
        <f>COUNTIF($A$17:$A$68,A9)</f>
        <v>0</v>
      </c>
      <c r="C9" s="18">
        <f>SUMIF($A$17:$A$100,A9,$G$17:$G$100)</f>
        <v>0</v>
      </c>
      <c r="D9" s="60" t="str">
        <f>IF($C$13=0,"",C9/$C$13)</f>
        <v/>
      </c>
      <c r="E9" s="19" t="str">
        <f>D9</f>
        <v/>
      </c>
      <c r="F9" s="29"/>
      <c r="G9" s="21" t="s">
        <v>77</v>
      </c>
      <c r="H9" s="24">
        <f>COUNTIF($J$17:$J$68,G9)</f>
        <v>0</v>
      </c>
      <c r="I9" s="193">
        <f>SUMIF($J$17:$J$68,G9,$G$17:$G$68)</f>
        <v>0</v>
      </c>
      <c r="J9" s="20"/>
      <c r="K9" s="455" t="s">
        <v>24</v>
      </c>
      <c r="L9" s="443">
        <f t="shared" ref="L9:L13" si="0">COUNTIF($K$17:$K$68,K9)</f>
        <v>0</v>
      </c>
      <c r="M9" s="449">
        <f t="shared" ref="M9:M13" si="1">SUMIF($L$31:$L$114,K9,$H$31:$H$114)</f>
        <v>0</v>
      </c>
      <c r="N9" s="20"/>
      <c r="O9" s="47"/>
      <c r="P9" s="47"/>
      <c r="Q9" s="47"/>
      <c r="R9" s="47"/>
      <c r="S9" s="47"/>
      <c r="T9" s="47"/>
      <c r="U9" s="47"/>
      <c r="V9" s="47"/>
      <c r="W9" s="47"/>
      <c r="X9" s="47"/>
      <c r="Y9" s="47"/>
      <c r="Z9" s="47"/>
      <c r="AA9" s="47"/>
      <c r="AB9" s="47"/>
      <c r="AC9" s="47"/>
      <c r="AD9" s="47"/>
      <c r="AE9" s="47"/>
      <c r="AF9" s="47"/>
      <c r="AG9" s="47"/>
      <c r="AH9" s="239" t="s">
        <v>26</v>
      </c>
      <c r="AI9" s="477">
        <f>SUMIF($AH$55:$AH$106,AH9,$AJ$55:$AJ$106)</f>
        <v>0</v>
      </c>
      <c r="AJ9" s="47"/>
      <c r="AK9" s="47"/>
      <c r="AL9" s="47"/>
    </row>
    <row r="10" spans="1:38" ht="15.6" customHeight="1" x14ac:dyDescent="0.3">
      <c r="A10" s="16" t="s">
        <v>79</v>
      </c>
      <c r="B10" s="17">
        <f>COUNTIF($A$17:$A$68,A10)</f>
        <v>0</v>
      </c>
      <c r="C10" s="18">
        <f t="shared" ref="C10:C12" si="2">SUMIF($A$17:$A$100,A10,$G$17:$G$100)</f>
        <v>0</v>
      </c>
      <c r="D10" s="60" t="str">
        <f t="shared" ref="D10:D11" si="3">IF($C$13=0,"",C10/$C$13)</f>
        <v/>
      </c>
      <c r="E10" s="19" t="str">
        <f t="shared" ref="E10:E11" si="4">D10</f>
        <v/>
      </c>
      <c r="F10" s="29"/>
      <c r="G10" s="22" t="s">
        <v>80</v>
      </c>
      <c r="H10" s="25">
        <f>COUNTIF($J$17:$J$68,G10)</f>
        <v>0</v>
      </c>
      <c r="I10" s="194">
        <f>SUMIF($J$17:$J$68,G10,$G$17:$G$68)</f>
        <v>0</v>
      </c>
      <c r="J10" s="20"/>
      <c r="K10" s="456" t="s">
        <v>25</v>
      </c>
      <c r="L10" s="444">
        <f t="shared" si="0"/>
        <v>0</v>
      </c>
      <c r="M10" s="450">
        <f t="shared" si="1"/>
        <v>0</v>
      </c>
      <c r="N10" s="20"/>
      <c r="O10" s="47"/>
      <c r="P10" s="47"/>
      <c r="Q10" s="47"/>
      <c r="R10" s="47"/>
      <c r="S10" s="47"/>
      <c r="T10" s="47"/>
      <c r="U10" s="47"/>
      <c r="V10" s="47"/>
      <c r="W10" s="47"/>
      <c r="X10" s="47"/>
      <c r="Y10" s="47"/>
      <c r="Z10" s="47"/>
      <c r="AA10" s="47"/>
      <c r="AB10" s="47"/>
      <c r="AC10" s="47"/>
      <c r="AD10" s="47"/>
      <c r="AE10" s="47"/>
      <c r="AF10" s="47"/>
      <c r="AG10" s="47"/>
      <c r="AH10" s="265" t="s">
        <v>27</v>
      </c>
      <c r="AI10" s="478">
        <f>SUMIF($AH$55:$AH$106,AH10,$AJ$55:$AJ$106)</f>
        <v>0</v>
      </c>
      <c r="AJ10" s="47"/>
      <c r="AK10" s="47"/>
      <c r="AL10" s="47"/>
    </row>
    <row r="11" spans="1:38" ht="15.6" customHeight="1" x14ac:dyDescent="0.3">
      <c r="A11" s="16" t="s">
        <v>82</v>
      </c>
      <c r="B11" s="17">
        <f>COUNTIF($A$17:$A$68,A11)</f>
        <v>0</v>
      </c>
      <c r="C11" s="18">
        <f t="shared" si="2"/>
        <v>0</v>
      </c>
      <c r="D11" s="60" t="str">
        <f t="shared" si="3"/>
        <v/>
      </c>
      <c r="E11" s="19" t="str">
        <f t="shared" si="4"/>
        <v/>
      </c>
      <c r="F11" s="29"/>
      <c r="G11" s="23" t="s">
        <v>83</v>
      </c>
      <c r="H11" s="26">
        <f>COUNTIF($J$17:$J$68,G11)</f>
        <v>0</v>
      </c>
      <c r="I11" s="195">
        <f>SUMIF($J$17:$J$68,G11,$G$17:$G$68)</f>
        <v>0</v>
      </c>
      <c r="J11" s="20"/>
      <c r="K11" s="457" t="s">
        <v>22</v>
      </c>
      <c r="L11" s="445">
        <f t="shared" si="0"/>
        <v>0</v>
      </c>
      <c r="M11" s="451">
        <f t="shared" si="1"/>
        <v>0</v>
      </c>
      <c r="N11" s="20"/>
      <c r="O11" s="47"/>
      <c r="P11" s="47"/>
      <c r="Q11" s="47"/>
      <c r="R11" s="47"/>
      <c r="S11" s="47"/>
      <c r="T11" s="47"/>
      <c r="U11" s="47"/>
      <c r="V11" s="47"/>
      <c r="W11" s="47"/>
      <c r="X11" s="47"/>
      <c r="Y11" s="47"/>
      <c r="Z11" s="47"/>
      <c r="AA11" s="47"/>
      <c r="AB11" s="47"/>
      <c r="AC11" s="47"/>
      <c r="AD11" s="47"/>
      <c r="AE11" s="47"/>
      <c r="AF11" s="47"/>
      <c r="AG11" s="47"/>
      <c r="AH11" s="239" t="s">
        <v>249</v>
      </c>
      <c r="AI11" s="477">
        <f>SUMIF($AH$55:$AH$106,AH11,$AJ$55:$AJ$106)</f>
        <v>0</v>
      </c>
      <c r="AJ11" s="47"/>
      <c r="AK11" s="47"/>
      <c r="AL11" s="47"/>
    </row>
    <row r="12" spans="1:38" ht="15.6" customHeight="1" x14ac:dyDescent="0.3">
      <c r="A12" s="16" t="s">
        <v>85</v>
      </c>
      <c r="B12" s="17">
        <f>COUNTIF($A$17:$A$68,A12)</f>
        <v>0</v>
      </c>
      <c r="C12" s="18">
        <f t="shared" si="2"/>
        <v>0</v>
      </c>
      <c r="D12" s="60" t="str">
        <f t="shared" ref="D12" si="5">IF($C$13=0,"",C12/$C$13)</f>
        <v/>
      </c>
      <c r="E12" s="19" t="str">
        <f t="shared" ref="E12" si="6">D12</f>
        <v/>
      </c>
      <c r="F12" s="29"/>
      <c r="G12" s="20"/>
      <c r="H12" s="20"/>
      <c r="I12" s="20"/>
      <c r="J12" s="20"/>
      <c r="K12" s="458" t="s">
        <v>2542</v>
      </c>
      <c r="L12" s="446">
        <f t="shared" si="0"/>
        <v>0</v>
      </c>
      <c r="M12" s="452">
        <f t="shared" si="1"/>
        <v>0</v>
      </c>
      <c r="N12" s="20"/>
      <c r="O12" s="47"/>
      <c r="P12" s="47"/>
      <c r="Q12" s="47"/>
      <c r="R12" s="47"/>
      <c r="S12" s="47"/>
      <c r="T12" s="47"/>
      <c r="U12" s="47"/>
      <c r="V12" s="47"/>
      <c r="W12" s="47"/>
      <c r="X12" s="47"/>
      <c r="Y12" s="47"/>
      <c r="Z12" s="47"/>
      <c r="AA12" s="47"/>
      <c r="AB12" s="47"/>
      <c r="AC12" s="47"/>
      <c r="AD12" s="47"/>
      <c r="AE12" s="47"/>
      <c r="AF12" s="47"/>
      <c r="AG12" s="47"/>
      <c r="AH12" s="265" t="s">
        <v>250</v>
      </c>
      <c r="AI12" s="478">
        <f>SUMIF($AH$55:$AH$106,AH12,$AJ$55:$AJ$106)</f>
        <v>0</v>
      </c>
      <c r="AJ12" s="47"/>
      <c r="AK12" s="47"/>
      <c r="AL12" s="47"/>
    </row>
    <row r="13" spans="1:38" ht="18" customHeight="1" x14ac:dyDescent="0.3">
      <c r="A13" s="173" t="s">
        <v>29</v>
      </c>
      <c r="B13" s="174">
        <f>SUM(B9:B12)</f>
        <v>0</v>
      </c>
      <c r="C13" s="30">
        <f>SUM(C9:C12)</f>
        <v>0</v>
      </c>
      <c r="D13" s="171">
        <f>SUM(D9:D12)</f>
        <v>0</v>
      </c>
      <c r="E13" s="20"/>
      <c r="F13" s="29"/>
      <c r="G13" s="20"/>
      <c r="H13" s="20"/>
      <c r="I13" s="20"/>
      <c r="J13" s="20"/>
      <c r="K13" s="459" t="s">
        <v>2360</v>
      </c>
      <c r="L13" s="447">
        <f t="shared" si="0"/>
        <v>0</v>
      </c>
      <c r="M13" s="453">
        <f t="shared" si="1"/>
        <v>0</v>
      </c>
      <c r="N13" s="20"/>
      <c r="O13" s="47"/>
      <c r="P13" s="47"/>
      <c r="Q13" s="47"/>
      <c r="R13" s="47"/>
      <c r="S13" s="47"/>
      <c r="T13" s="47"/>
      <c r="U13" s="47"/>
      <c r="V13" s="47"/>
      <c r="W13" s="47"/>
      <c r="X13" s="47"/>
      <c r="Y13" s="47"/>
      <c r="Z13" s="47"/>
      <c r="AA13" s="47"/>
      <c r="AB13" s="47"/>
      <c r="AC13" s="47"/>
      <c r="AD13" s="47"/>
      <c r="AE13" s="47"/>
      <c r="AF13" s="47"/>
      <c r="AG13" s="47"/>
      <c r="AH13" s="239" t="s">
        <v>251</v>
      </c>
      <c r="AI13" s="477">
        <f>SUMIF($AH$55:$AH$106,AH13,$AJ$55:$AJ$106)</f>
        <v>0</v>
      </c>
      <c r="AJ13" s="47"/>
      <c r="AK13" s="47"/>
      <c r="AL13" s="47"/>
    </row>
    <row r="14" spans="1:38"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J14" s="47"/>
      <c r="AK14" s="47"/>
      <c r="AL14" s="47"/>
    </row>
    <row r="15" spans="1:38" ht="15.6" x14ac:dyDescent="0.3">
      <c r="A15" s="208" t="s">
        <v>252</v>
      </c>
      <c r="B15" s="208"/>
      <c r="C15" s="208"/>
      <c r="D15" s="208"/>
      <c r="E15" s="208"/>
      <c r="F15" s="208"/>
      <c r="G15" s="208"/>
      <c r="H15" s="208"/>
      <c r="I15" s="208"/>
      <c r="J15" s="82"/>
      <c r="K15" s="208"/>
      <c r="L15" s="82"/>
      <c r="M15" s="82"/>
      <c r="N15" s="204" t="s">
        <v>253</v>
      </c>
      <c r="O15" s="204"/>
      <c r="P15" s="204"/>
      <c r="Q15" s="204"/>
      <c r="R15" s="204" t="s">
        <v>254</v>
      </c>
      <c r="S15" s="204"/>
      <c r="T15" s="204"/>
      <c r="U15" s="204"/>
      <c r="V15" s="204" t="s">
        <v>255</v>
      </c>
      <c r="W15" s="204"/>
      <c r="X15" s="204"/>
      <c r="Y15" s="204"/>
      <c r="Z15" s="204" t="s">
        <v>256</v>
      </c>
      <c r="AA15" s="204"/>
      <c r="AB15" s="204"/>
      <c r="AC15" s="204"/>
      <c r="AD15" s="83"/>
      <c r="AE15" s="83"/>
      <c r="AF15" s="82"/>
      <c r="AG15" s="82"/>
      <c r="AH15" s="1204"/>
      <c r="AI15" s="1204"/>
      <c r="AJ15" s="1204"/>
    </row>
    <row r="16" spans="1:38" ht="36" x14ac:dyDescent="0.3">
      <c r="A16" s="84" t="s">
        <v>914</v>
      </c>
      <c r="B16" s="84" t="s">
        <v>259</v>
      </c>
      <c r="C16" s="84" t="s">
        <v>261</v>
      </c>
      <c r="D16" s="84" t="s">
        <v>262</v>
      </c>
      <c r="E16" s="84" t="s">
        <v>263</v>
      </c>
      <c r="F16" s="84" t="s">
        <v>264</v>
      </c>
      <c r="G16" s="84" t="s">
        <v>2210</v>
      </c>
      <c r="H16" s="7" t="s">
        <v>916</v>
      </c>
      <c r="I16" s="7" t="s">
        <v>270</v>
      </c>
      <c r="J16" s="84" t="s">
        <v>67</v>
      </c>
      <c r="K16" s="84" t="s">
        <v>2223</v>
      </c>
      <c r="L16" s="84"/>
      <c r="M16" s="84" t="s">
        <v>272</v>
      </c>
      <c r="N16" s="85">
        <v>46023</v>
      </c>
      <c r="O16" s="85">
        <v>46054</v>
      </c>
      <c r="P16" s="85">
        <v>46082</v>
      </c>
      <c r="Q16" s="86" t="s">
        <v>273</v>
      </c>
      <c r="R16" s="85">
        <v>46113</v>
      </c>
      <c r="S16" s="85">
        <v>46143</v>
      </c>
      <c r="T16" s="85">
        <v>46174</v>
      </c>
      <c r="U16" s="86" t="s">
        <v>274</v>
      </c>
      <c r="V16" s="85">
        <v>46204</v>
      </c>
      <c r="W16" s="85">
        <v>46235</v>
      </c>
      <c r="X16" s="85">
        <v>46266</v>
      </c>
      <c r="Y16" s="86" t="s">
        <v>275</v>
      </c>
      <c r="Z16" s="85">
        <v>46296</v>
      </c>
      <c r="AA16" s="85">
        <v>46327</v>
      </c>
      <c r="AB16" s="85">
        <v>46357</v>
      </c>
      <c r="AC16" s="84" t="s">
        <v>276</v>
      </c>
      <c r="AD16" s="84" t="s">
        <v>277</v>
      </c>
      <c r="AE16" s="84" t="s">
        <v>277</v>
      </c>
      <c r="AF16" s="84" t="s">
        <v>2212</v>
      </c>
      <c r="AG16" s="84" t="s">
        <v>278</v>
      </c>
      <c r="AH16" s="84" t="s">
        <v>227</v>
      </c>
      <c r="AI16" s="84" t="s">
        <v>279</v>
      </c>
      <c r="AJ16" s="84" t="s">
        <v>280</v>
      </c>
    </row>
    <row r="17" spans="1:36" s="120" customFormat="1" ht="20.85" customHeight="1" x14ac:dyDescent="0.3">
      <c r="A17" s="1040"/>
      <c r="B17" s="1040"/>
      <c r="C17" s="1303"/>
      <c r="D17" s="1040"/>
      <c r="E17" s="1117"/>
      <c r="F17" s="1117"/>
      <c r="G17" s="1046"/>
      <c r="H17" s="1686"/>
      <c r="I17" s="1682"/>
      <c r="J17" s="1048"/>
      <c r="K17" s="1062"/>
      <c r="L17" s="88" t="s">
        <v>106</v>
      </c>
      <c r="M17" s="91">
        <v>0</v>
      </c>
      <c r="N17" s="88"/>
      <c r="O17" s="88"/>
      <c r="P17" s="88"/>
      <c r="Q17" s="89">
        <f>SUM(N17:P17)</f>
        <v>0</v>
      </c>
      <c r="R17" s="88"/>
      <c r="S17" s="88"/>
      <c r="T17" s="88"/>
      <c r="U17" s="89">
        <f t="shared" ref="U17:U42" si="7">SUM(R17:T17)</f>
        <v>0</v>
      </c>
      <c r="V17" s="88"/>
      <c r="W17" s="88"/>
      <c r="X17" s="88"/>
      <c r="Y17" s="89">
        <f t="shared" ref="Y17:Y68" si="8">SUM(V17:X17)</f>
        <v>0</v>
      </c>
      <c r="Z17" s="88"/>
      <c r="AA17" s="88"/>
      <c r="AB17" s="88"/>
      <c r="AC17" s="89">
        <f t="shared" ref="AC17:AC68" si="9">SUM(Z17:AB17)</f>
        <v>0</v>
      </c>
      <c r="AD17" s="90"/>
      <c r="AE17" s="88">
        <f>SUM(R17,V17,Z17,AD17)</f>
        <v>0</v>
      </c>
      <c r="AF17" s="118" t="str">
        <f t="shared" ref="AF17:AF48" si="10">IF(K17=0,"0",AE17/K17)</f>
        <v>0</v>
      </c>
      <c r="AG17" s="1048" t="str">
        <f ca="1">IF(OR(F17="", G17=""), "", IF(TODAY()&lt;F17, 0, IF(TODAY()&gt;G17, 1, (TODAY()-F17+1)/(G17-F17+1))))</f>
        <v/>
      </c>
      <c r="AH17" s="1040"/>
      <c r="AI17" s="1048"/>
      <c r="AJ17" s="1046">
        <f>G17*AI17</f>
        <v>0</v>
      </c>
    </row>
    <row r="18" spans="1:36" s="120" customFormat="1" ht="20.85" customHeight="1" x14ac:dyDescent="0.3">
      <c r="A18" s="1041"/>
      <c r="B18" s="1041"/>
      <c r="C18" s="1304"/>
      <c r="D18" s="1041"/>
      <c r="E18" s="1118"/>
      <c r="F18" s="1118"/>
      <c r="G18" s="1047"/>
      <c r="H18" s="1687"/>
      <c r="I18" s="1683"/>
      <c r="J18" s="1049"/>
      <c r="K18" s="1063"/>
      <c r="L18" s="88" t="s">
        <v>107</v>
      </c>
      <c r="M18" s="484">
        <v>0</v>
      </c>
      <c r="N18" s="88"/>
      <c r="O18" s="88"/>
      <c r="P18" s="88"/>
      <c r="Q18" s="89">
        <f>SUM(N18:P18)</f>
        <v>0</v>
      </c>
      <c r="R18" s="88"/>
      <c r="S18" s="88"/>
      <c r="T18" s="88"/>
      <c r="U18" s="89">
        <f t="shared" si="7"/>
        <v>0</v>
      </c>
      <c r="V18" s="88"/>
      <c r="W18" s="88"/>
      <c r="X18" s="88"/>
      <c r="Y18" s="89">
        <f t="shared" si="8"/>
        <v>0</v>
      </c>
      <c r="Z18" s="88"/>
      <c r="AA18" s="88"/>
      <c r="AB18" s="88"/>
      <c r="AC18" s="89">
        <f t="shared" si="9"/>
        <v>0</v>
      </c>
      <c r="AD18" s="90"/>
      <c r="AE18" s="88">
        <f t="shared" ref="AE18:AE68" si="11">SUM(R18,V18,Z18,AD18)</f>
        <v>0</v>
      </c>
      <c r="AF18" s="118" t="str">
        <f t="shared" si="10"/>
        <v>0</v>
      </c>
      <c r="AG18" s="1049"/>
      <c r="AH18" s="1041"/>
      <c r="AI18" s="1049"/>
      <c r="AJ18" s="1047"/>
    </row>
    <row r="19" spans="1:36" s="120" customFormat="1" ht="20.85" customHeight="1" x14ac:dyDescent="0.3">
      <c r="A19" s="1142"/>
      <c r="B19" s="1099"/>
      <c r="C19" s="1363"/>
      <c r="D19" s="1099"/>
      <c r="E19" s="1101"/>
      <c r="F19" s="1101"/>
      <c r="G19" s="1672"/>
      <c r="H19" s="1674"/>
      <c r="I19" s="1680"/>
      <c r="J19" s="1367"/>
      <c r="K19" s="1064"/>
      <c r="L19" s="94" t="s">
        <v>106</v>
      </c>
      <c r="M19" s="96">
        <v>0</v>
      </c>
      <c r="N19" s="94"/>
      <c r="O19" s="94"/>
      <c r="P19" s="94"/>
      <c r="Q19" s="89">
        <f t="shared" ref="Q19:Q43" si="12">SUM(N19:P19)</f>
        <v>0</v>
      </c>
      <c r="R19" s="94"/>
      <c r="S19" s="94"/>
      <c r="T19" s="94"/>
      <c r="U19" s="89">
        <f t="shared" si="7"/>
        <v>0</v>
      </c>
      <c r="V19" s="94"/>
      <c r="W19" s="94"/>
      <c r="X19" s="94"/>
      <c r="Y19" s="89">
        <f t="shared" si="8"/>
        <v>0</v>
      </c>
      <c r="Z19" s="94"/>
      <c r="AA19" s="94"/>
      <c r="AB19" s="94"/>
      <c r="AC19" s="89">
        <f t="shared" si="9"/>
        <v>0</v>
      </c>
      <c r="AD19" s="95"/>
      <c r="AE19" s="94">
        <f t="shared" si="11"/>
        <v>0</v>
      </c>
      <c r="AF19" s="123" t="str">
        <f t="shared" si="10"/>
        <v>0</v>
      </c>
      <c r="AG19" s="1367" t="str">
        <f ca="1">IF(OR(F19="", G19=""), "", IF(TODAY()&lt;F19, 0, IF(TODAY()&gt;G19, 1, (TODAY()-F19+1)/(G19-F19+1))))</f>
        <v/>
      </c>
      <c r="AH19" s="1038"/>
      <c r="AI19" s="1042"/>
      <c r="AJ19" s="1044">
        <f>G19*AI19</f>
        <v>0</v>
      </c>
    </row>
    <row r="20" spans="1:36" s="120" customFormat="1" ht="20.85" customHeight="1" x14ac:dyDescent="0.3">
      <c r="A20" s="1143"/>
      <c r="B20" s="1100"/>
      <c r="C20" s="1364"/>
      <c r="D20" s="1100"/>
      <c r="E20" s="1102"/>
      <c r="F20" s="1102"/>
      <c r="G20" s="1673"/>
      <c r="H20" s="1675"/>
      <c r="I20" s="1681"/>
      <c r="J20" s="1368"/>
      <c r="K20" s="1065"/>
      <c r="L20" s="94" t="s">
        <v>107</v>
      </c>
      <c r="M20" s="485">
        <v>0</v>
      </c>
      <c r="N20" s="94"/>
      <c r="O20" s="94"/>
      <c r="P20" s="94"/>
      <c r="Q20" s="89">
        <f t="shared" si="12"/>
        <v>0</v>
      </c>
      <c r="R20" s="94"/>
      <c r="S20" s="94"/>
      <c r="T20" s="94"/>
      <c r="U20" s="89">
        <f t="shared" si="7"/>
        <v>0</v>
      </c>
      <c r="V20" s="94"/>
      <c r="W20" s="94"/>
      <c r="X20" s="94"/>
      <c r="Y20" s="89">
        <f t="shared" si="8"/>
        <v>0</v>
      </c>
      <c r="Z20" s="94"/>
      <c r="AA20" s="94"/>
      <c r="AB20" s="94"/>
      <c r="AC20" s="89">
        <f t="shared" si="9"/>
        <v>0</v>
      </c>
      <c r="AD20" s="95"/>
      <c r="AE20" s="94">
        <f t="shared" si="11"/>
        <v>0</v>
      </c>
      <c r="AF20" s="123" t="str">
        <f t="shared" si="10"/>
        <v>0</v>
      </c>
      <c r="AG20" s="1368"/>
      <c r="AH20" s="1039"/>
      <c r="AI20" s="1043"/>
      <c r="AJ20" s="1045"/>
    </row>
    <row r="21" spans="1:36" s="120" customFormat="1" ht="20.85" customHeight="1" x14ac:dyDescent="0.3">
      <c r="A21" s="1040"/>
      <c r="B21" s="1040"/>
      <c r="C21" s="1303"/>
      <c r="D21" s="1040"/>
      <c r="E21" s="1117"/>
      <c r="F21" s="1117"/>
      <c r="G21" s="1046"/>
      <c r="H21" s="1670"/>
      <c r="I21" s="1682"/>
      <c r="J21" s="1048"/>
      <c r="K21" s="1062"/>
      <c r="L21" s="88" t="s">
        <v>106</v>
      </c>
      <c r="M21" s="91">
        <v>0</v>
      </c>
      <c r="N21" s="88"/>
      <c r="O21" s="88"/>
      <c r="P21" s="88"/>
      <c r="Q21" s="89">
        <f t="shared" si="12"/>
        <v>0</v>
      </c>
      <c r="R21" s="88"/>
      <c r="S21" s="88"/>
      <c r="T21" s="88"/>
      <c r="U21" s="89">
        <f t="shared" si="7"/>
        <v>0</v>
      </c>
      <c r="V21" s="88"/>
      <c r="W21" s="88"/>
      <c r="X21" s="88"/>
      <c r="Y21" s="89">
        <f t="shared" si="8"/>
        <v>0</v>
      </c>
      <c r="Z21" s="88"/>
      <c r="AA21" s="88"/>
      <c r="AB21" s="88"/>
      <c r="AC21" s="89">
        <f t="shared" si="9"/>
        <v>0</v>
      </c>
      <c r="AD21" s="90"/>
      <c r="AE21" s="88">
        <f t="shared" si="11"/>
        <v>0</v>
      </c>
      <c r="AF21" s="118" t="str">
        <f t="shared" si="10"/>
        <v>0</v>
      </c>
      <c r="AG21" s="1048" t="str">
        <f ca="1">IF(OR(F21="", G21=""), "", IF(TODAY()&lt;F21, 0, IF(TODAY()&gt;G21, 1, (TODAY()-F21+1)/(G21-F21+1))))</f>
        <v/>
      </c>
      <c r="AH21" s="1040"/>
      <c r="AI21" s="1048"/>
      <c r="AJ21" s="1046">
        <f>G21*AI21</f>
        <v>0</v>
      </c>
    </row>
    <row r="22" spans="1:36" s="120" customFormat="1" ht="20.85" customHeight="1" x14ac:dyDescent="0.3">
      <c r="A22" s="1041"/>
      <c r="B22" s="1041"/>
      <c r="C22" s="1304"/>
      <c r="D22" s="1041"/>
      <c r="E22" s="1118"/>
      <c r="F22" s="1118"/>
      <c r="G22" s="1047"/>
      <c r="H22" s="1671"/>
      <c r="I22" s="1683"/>
      <c r="J22" s="1049"/>
      <c r="K22" s="1063"/>
      <c r="L22" s="88" t="s">
        <v>107</v>
      </c>
      <c r="M22" s="484">
        <v>0</v>
      </c>
      <c r="N22" s="88"/>
      <c r="O22" s="88"/>
      <c r="P22" s="88"/>
      <c r="Q22" s="89">
        <f t="shared" si="12"/>
        <v>0</v>
      </c>
      <c r="R22" s="88"/>
      <c r="S22" s="88"/>
      <c r="T22" s="88"/>
      <c r="U22" s="89">
        <f t="shared" si="7"/>
        <v>0</v>
      </c>
      <c r="V22" s="88"/>
      <c r="W22" s="88"/>
      <c r="X22" s="88"/>
      <c r="Y22" s="89">
        <f t="shared" si="8"/>
        <v>0</v>
      </c>
      <c r="Z22" s="88"/>
      <c r="AA22" s="88"/>
      <c r="AB22" s="88"/>
      <c r="AC22" s="89">
        <f t="shared" si="9"/>
        <v>0</v>
      </c>
      <c r="AD22" s="90"/>
      <c r="AE22" s="88">
        <f t="shared" si="11"/>
        <v>0</v>
      </c>
      <c r="AF22" s="118" t="str">
        <f t="shared" si="10"/>
        <v>0</v>
      </c>
      <c r="AG22" s="1049"/>
      <c r="AH22" s="1041"/>
      <c r="AI22" s="1049"/>
      <c r="AJ22" s="1047"/>
    </row>
    <row r="23" spans="1:36" s="120" customFormat="1" ht="20.85" customHeight="1" x14ac:dyDescent="0.3">
      <c r="A23" s="1142"/>
      <c r="B23" s="1099"/>
      <c r="C23" s="1363"/>
      <c r="D23" s="1099"/>
      <c r="E23" s="1101"/>
      <c r="F23" s="1101"/>
      <c r="G23" s="1672"/>
      <c r="H23" s="1674"/>
      <c r="I23" s="1680"/>
      <c r="J23" s="1367"/>
      <c r="K23" s="1064"/>
      <c r="L23" s="94" t="s">
        <v>106</v>
      </c>
      <c r="M23" s="96">
        <v>0</v>
      </c>
      <c r="N23" s="94"/>
      <c r="O23" s="94"/>
      <c r="P23" s="94"/>
      <c r="Q23" s="89">
        <f t="shared" si="12"/>
        <v>0</v>
      </c>
      <c r="R23" s="94"/>
      <c r="S23" s="94"/>
      <c r="T23" s="94"/>
      <c r="U23" s="89">
        <f t="shared" si="7"/>
        <v>0</v>
      </c>
      <c r="V23" s="94"/>
      <c r="W23" s="94"/>
      <c r="X23" s="94"/>
      <c r="Y23" s="89">
        <f t="shared" si="8"/>
        <v>0</v>
      </c>
      <c r="Z23" s="94"/>
      <c r="AA23" s="94"/>
      <c r="AB23" s="94"/>
      <c r="AC23" s="89">
        <f t="shared" si="9"/>
        <v>0</v>
      </c>
      <c r="AD23" s="95"/>
      <c r="AE23" s="94">
        <f t="shared" si="11"/>
        <v>0</v>
      </c>
      <c r="AF23" s="123" t="str">
        <f t="shared" si="10"/>
        <v>0</v>
      </c>
      <c r="AG23" s="1367" t="str">
        <f ca="1">IF(OR(F23="", G23=""), "", IF(TODAY()&lt;F23, 0, IF(TODAY()&gt;G23, 1, (TODAY()-F23+1)/(G23-F23+1))))</f>
        <v/>
      </c>
      <c r="AH23" s="1038"/>
      <c r="AI23" s="1042"/>
      <c r="AJ23" s="1044">
        <f>G23*AI23</f>
        <v>0</v>
      </c>
    </row>
    <row r="24" spans="1:36" s="120" customFormat="1" ht="20.85" customHeight="1" x14ac:dyDescent="0.3">
      <c r="A24" s="1143"/>
      <c r="B24" s="1100"/>
      <c r="C24" s="1364"/>
      <c r="D24" s="1100"/>
      <c r="E24" s="1102"/>
      <c r="F24" s="1102"/>
      <c r="G24" s="1673"/>
      <c r="H24" s="1675"/>
      <c r="I24" s="1681"/>
      <c r="J24" s="1368"/>
      <c r="K24" s="1065"/>
      <c r="L24" s="94" t="s">
        <v>107</v>
      </c>
      <c r="M24" s="485">
        <v>0</v>
      </c>
      <c r="N24" s="94"/>
      <c r="O24" s="94"/>
      <c r="P24" s="94"/>
      <c r="Q24" s="89">
        <f t="shared" si="12"/>
        <v>0</v>
      </c>
      <c r="R24" s="94"/>
      <c r="S24" s="94"/>
      <c r="T24" s="94"/>
      <c r="U24" s="89">
        <f t="shared" si="7"/>
        <v>0</v>
      </c>
      <c r="V24" s="94"/>
      <c r="W24" s="94"/>
      <c r="X24" s="94"/>
      <c r="Y24" s="89">
        <f t="shared" si="8"/>
        <v>0</v>
      </c>
      <c r="Z24" s="94"/>
      <c r="AA24" s="94"/>
      <c r="AB24" s="94"/>
      <c r="AC24" s="89">
        <f t="shared" si="9"/>
        <v>0</v>
      </c>
      <c r="AD24" s="95"/>
      <c r="AE24" s="94">
        <f t="shared" si="11"/>
        <v>0</v>
      </c>
      <c r="AF24" s="123" t="str">
        <f t="shared" si="10"/>
        <v>0</v>
      </c>
      <c r="AG24" s="1368"/>
      <c r="AH24" s="1039"/>
      <c r="AI24" s="1043"/>
      <c r="AJ24" s="1045"/>
    </row>
    <row r="25" spans="1:36" s="120" customFormat="1" ht="20.85" customHeight="1" x14ac:dyDescent="0.3">
      <c r="A25" s="1040"/>
      <c r="B25" s="1040"/>
      <c r="C25" s="1303"/>
      <c r="D25" s="1040"/>
      <c r="E25" s="1117"/>
      <c r="F25" s="1117"/>
      <c r="G25" s="1046"/>
      <c r="H25" s="1670"/>
      <c r="I25" s="1682"/>
      <c r="J25" s="1048"/>
      <c r="K25" s="1062"/>
      <c r="L25" s="88" t="s">
        <v>106</v>
      </c>
      <c r="M25" s="91">
        <v>0</v>
      </c>
      <c r="N25" s="88"/>
      <c r="O25" s="88"/>
      <c r="P25" s="88"/>
      <c r="Q25" s="89">
        <f t="shared" si="12"/>
        <v>0</v>
      </c>
      <c r="R25" s="88"/>
      <c r="S25" s="88"/>
      <c r="T25" s="88"/>
      <c r="U25" s="89">
        <f t="shared" si="7"/>
        <v>0</v>
      </c>
      <c r="V25" s="88"/>
      <c r="W25" s="88"/>
      <c r="X25" s="88"/>
      <c r="Y25" s="89">
        <f t="shared" si="8"/>
        <v>0</v>
      </c>
      <c r="Z25" s="88"/>
      <c r="AA25" s="88"/>
      <c r="AB25" s="88"/>
      <c r="AC25" s="89">
        <f t="shared" si="9"/>
        <v>0</v>
      </c>
      <c r="AD25" s="90"/>
      <c r="AE25" s="88">
        <f t="shared" si="11"/>
        <v>0</v>
      </c>
      <c r="AF25" s="118" t="str">
        <f t="shared" si="10"/>
        <v>0</v>
      </c>
      <c r="AG25" s="1048" t="str">
        <f ca="1">IF(OR(F25="", G25=""), "", IF(TODAY()&lt;F25, 0, IF(TODAY()&gt;G25, 1, (TODAY()-F25+1)/(G25-F25+1))))</f>
        <v/>
      </c>
      <c r="AH25" s="1040"/>
      <c r="AI25" s="1048"/>
      <c r="AJ25" s="1046">
        <f>G25*AI25</f>
        <v>0</v>
      </c>
    </row>
    <row r="26" spans="1:36" s="120" customFormat="1" ht="20.85" customHeight="1" x14ac:dyDescent="0.3">
      <c r="A26" s="1041"/>
      <c r="B26" s="1041"/>
      <c r="C26" s="1304"/>
      <c r="D26" s="1041"/>
      <c r="E26" s="1118"/>
      <c r="F26" s="1118"/>
      <c r="G26" s="1047"/>
      <c r="H26" s="1671"/>
      <c r="I26" s="1683"/>
      <c r="J26" s="1049"/>
      <c r="K26" s="1063"/>
      <c r="L26" s="88" t="s">
        <v>107</v>
      </c>
      <c r="M26" s="484">
        <v>0</v>
      </c>
      <c r="N26" s="88"/>
      <c r="O26" s="88"/>
      <c r="P26" s="88"/>
      <c r="Q26" s="89">
        <f t="shared" si="12"/>
        <v>0</v>
      </c>
      <c r="R26" s="88"/>
      <c r="S26" s="88"/>
      <c r="T26" s="88"/>
      <c r="U26" s="89">
        <f t="shared" si="7"/>
        <v>0</v>
      </c>
      <c r="V26" s="88"/>
      <c r="W26" s="88"/>
      <c r="X26" s="88"/>
      <c r="Y26" s="89">
        <f t="shared" si="8"/>
        <v>0</v>
      </c>
      <c r="Z26" s="88"/>
      <c r="AA26" s="88"/>
      <c r="AB26" s="88"/>
      <c r="AC26" s="89">
        <f t="shared" si="9"/>
        <v>0</v>
      </c>
      <c r="AD26" s="90"/>
      <c r="AE26" s="88">
        <f t="shared" si="11"/>
        <v>0</v>
      </c>
      <c r="AF26" s="118" t="str">
        <f t="shared" si="10"/>
        <v>0</v>
      </c>
      <c r="AG26" s="1049"/>
      <c r="AH26" s="1041"/>
      <c r="AI26" s="1049"/>
      <c r="AJ26" s="1047"/>
    </row>
    <row r="27" spans="1:36" s="120" customFormat="1" ht="20.85" customHeight="1" x14ac:dyDescent="0.3">
      <c r="A27" s="1142"/>
      <c r="B27" s="1099"/>
      <c r="C27" s="1363"/>
      <c r="D27" s="1099"/>
      <c r="E27" s="1101"/>
      <c r="F27" s="1101"/>
      <c r="G27" s="1672"/>
      <c r="H27" s="1674"/>
      <c r="I27" s="1680"/>
      <c r="J27" s="1367"/>
      <c r="K27" s="1064"/>
      <c r="L27" s="94" t="s">
        <v>106</v>
      </c>
      <c r="M27" s="96">
        <v>0</v>
      </c>
      <c r="N27" s="94"/>
      <c r="O27" s="94"/>
      <c r="P27" s="94"/>
      <c r="Q27" s="89">
        <f t="shared" si="12"/>
        <v>0</v>
      </c>
      <c r="R27" s="94"/>
      <c r="S27" s="94"/>
      <c r="T27" s="94"/>
      <c r="U27" s="89">
        <f t="shared" si="7"/>
        <v>0</v>
      </c>
      <c r="V27" s="94"/>
      <c r="W27" s="94"/>
      <c r="X27" s="94"/>
      <c r="Y27" s="89">
        <f t="shared" si="8"/>
        <v>0</v>
      </c>
      <c r="Z27" s="94"/>
      <c r="AA27" s="94"/>
      <c r="AB27" s="94"/>
      <c r="AC27" s="89">
        <f t="shared" si="9"/>
        <v>0</v>
      </c>
      <c r="AD27" s="95"/>
      <c r="AE27" s="94">
        <f t="shared" si="11"/>
        <v>0</v>
      </c>
      <c r="AF27" s="123" t="str">
        <f t="shared" si="10"/>
        <v>0</v>
      </c>
      <c r="AG27" s="1367" t="str">
        <f ca="1">IF(OR(F27="", G27=""), "", IF(TODAY()&lt;F27, 0, IF(TODAY()&gt;G27, 1, (TODAY()-F27+1)/(G27-F27+1))))</f>
        <v/>
      </c>
      <c r="AH27" s="1038"/>
      <c r="AI27" s="1042"/>
      <c r="AJ27" s="1044">
        <f>G27*AI27</f>
        <v>0</v>
      </c>
    </row>
    <row r="28" spans="1:36" s="120" customFormat="1" ht="20.85" customHeight="1" x14ac:dyDescent="0.3">
      <c r="A28" s="1143"/>
      <c r="B28" s="1100"/>
      <c r="C28" s="1364"/>
      <c r="D28" s="1100"/>
      <c r="E28" s="1102"/>
      <c r="F28" s="1102"/>
      <c r="G28" s="1673"/>
      <c r="H28" s="1675"/>
      <c r="I28" s="1681"/>
      <c r="J28" s="1368"/>
      <c r="K28" s="1065"/>
      <c r="L28" s="94" t="s">
        <v>107</v>
      </c>
      <c r="M28" s="485">
        <v>0</v>
      </c>
      <c r="N28" s="94"/>
      <c r="O28" s="94"/>
      <c r="P28" s="94"/>
      <c r="Q28" s="89">
        <f t="shared" si="12"/>
        <v>0</v>
      </c>
      <c r="R28" s="94"/>
      <c r="S28" s="94"/>
      <c r="T28" s="94"/>
      <c r="U28" s="89">
        <f t="shared" si="7"/>
        <v>0</v>
      </c>
      <c r="V28" s="94"/>
      <c r="W28" s="94"/>
      <c r="X28" s="94"/>
      <c r="Y28" s="89">
        <f t="shared" si="8"/>
        <v>0</v>
      </c>
      <c r="Z28" s="94"/>
      <c r="AA28" s="94"/>
      <c r="AB28" s="94"/>
      <c r="AC28" s="89">
        <f t="shared" si="9"/>
        <v>0</v>
      </c>
      <c r="AD28" s="95"/>
      <c r="AE28" s="94">
        <f t="shared" si="11"/>
        <v>0</v>
      </c>
      <c r="AF28" s="123" t="str">
        <f t="shared" si="10"/>
        <v>0</v>
      </c>
      <c r="AG28" s="1368"/>
      <c r="AH28" s="1039"/>
      <c r="AI28" s="1043"/>
      <c r="AJ28" s="1045"/>
    </row>
    <row r="29" spans="1:36" s="120" customFormat="1" ht="20.85" customHeight="1" x14ac:dyDescent="0.3">
      <c r="A29" s="1040"/>
      <c r="B29" s="1040"/>
      <c r="C29" s="1303"/>
      <c r="D29" s="1040"/>
      <c r="E29" s="1117"/>
      <c r="F29" s="1117"/>
      <c r="G29" s="1046"/>
      <c r="H29" s="1670"/>
      <c r="I29" s="1682"/>
      <c r="J29" s="1048"/>
      <c r="K29" s="1062"/>
      <c r="L29" s="88" t="s">
        <v>106</v>
      </c>
      <c r="M29" s="91">
        <v>0</v>
      </c>
      <c r="N29" s="88"/>
      <c r="O29" s="88"/>
      <c r="P29" s="88"/>
      <c r="Q29" s="89">
        <f t="shared" si="12"/>
        <v>0</v>
      </c>
      <c r="R29" s="88"/>
      <c r="S29" s="88"/>
      <c r="T29" s="88"/>
      <c r="U29" s="89">
        <f t="shared" si="7"/>
        <v>0</v>
      </c>
      <c r="V29" s="88"/>
      <c r="W29" s="88"/>
      <c r="X29" s="88"/>
      <c r="Y29" s="89">
        <f t="shared" si="8"/>
        <v>0</v>
      </c>
      <c r="Z29" s="88"/>
      <c r="AA29" s="88"/>
      <c r="AB29" s="88"/>
      <c r="AC29" s="89">
        <f t="shared" si="9"/>
        <v>0</v>
      </c>
      <c r="AD29" s="90"/>
      <c r="AE29" s="88">
        <f t="shared" si="11"/>
        <v>0</v>
      </c>
      <c r="AF29" s="118" t="str">
        <f t="shared" si="10"/>
        <v>0</v>
      </c>
      <c r="AG29" s="1048" t="str">
        <f ca="1">IF(OR(F29="", G29=""), "", IF(TODAY()&lt;F29, 0, IF(TODAY()&gt;G29, 1, (TODAY()-F29+1)/(G29-F29+1))))</f>
        <v/>
      </c>
      <c r="AH29" s="1040"/>
      <c r="AI29" s="1048"/>
      <c r="AJ29" s="1046">
        <f>G29*AI29</f>
        <v>0</v>
      </c>
    </row>
    <row r="30" spans="1:36" s="120" customFormat="1" ht="20.85" customHeight="1" x14ac:dyDescent="0.3">
      <c r="A30" s="1041"/>
      <c r="B30" s="1041"/>
      <c r="C30" s="1304"/>
      <c r="D30" s="1041"/>
      <c r="E30" s="1118"/>
      <c r="F30" s="1118"/>
      <c r="G30" s="1047"/>
      <c r="H30" s="1671"/>
      <c r="I30" s="1683"/>
      <c r="J30" s="1049"/>
      <c r="K30" s="1063"/>
      <c r="L30" s="88" t="s">
        <v>107</v>
      </c>
      <c r="M30" s="484">
        <v>0</v>
      </c>
      <c r="N30" s="88"/>
      <c r="O30" s="88"/>
      <c r="P30" s="88"/>
      <c r="Q30" s="89">
        <f t="shared" si="12"/>
        <v>0</v>
      </c>
      <c r="R30" s="88"/>
      <c r="S30" s="88"/>
      <c r="T30" s="88"/>
      <c r="U30" s="89">
        <f t="shared" si="7"/>
        <v>0</v>
      </c>
      <c r="V30" s="88"/>
      <c r="W30" s="88"/>
      <c r="X30" s="88"/>
      <c r="Y30" s="89">
        <f t="shared" si="8"/>
        <v>0</v>
      </c>
      <c r="Z30" s="88"/>
      <c r="AA30" s="88"/>
      <c r="AB30" s="88"/>
      <c r="AC30" s="89">
        <f t="shared" si="9"/>
        <v>0</v>
      </c>
      <c r="AD30" s="90"/>
      <c r="AE30" s="88">
        <f t="shared" si="11"/>
        <v>0</v>
      </c>
      <c r="AF30" s="118" t="str">
        <f t="shared" si="10"/>
        <v>0</v>
      </c>
      <c r="AG30" s="1049"/>
      <c r="AH30" s="1041"/>
      <c r="AI30" s="1049"/>
      <c r="AJ30" s="1047"/>
    </row>
    <row r="31" spans="1:36" s="120" customFormat="1" ht="20.85" customHeight="1" x14ac:dyDescent="0.3">
      <c r="A31" s="1142"/>
      <c r="B31" s="1099"/>
      <c r="C31" s="1363"/>
      <c r="D31" s="1099"/>
      <c r="E31" s="1101"/>
      <c r="F31" s="1101"/>
      <c r="G31" s="1672"/>
      <c r="H31" s="1674"/>
      <c r="I31" s="1680"/>
      <c r="J31" s="1367"/>
      <c r="K31" s="1064"/>
      <c r="L31" s="94" t="s">
        <v>106</v>
      </c>
      <c r="M31" s="96">
        <v>0</v>
      </c>
      <c r="N31" s="94"/>
      <c r="O31" s="94"/>
      <c r="P31" s="94"/>
      <c r="Q31" s="89">
        <f t="shared" si="12"/>
        <v>0</v>
      </c>
      <c r="R31" s="94"/>
      <c r="S31" s="94"/>
      <c r="T31" s="94"/>
      <c r="U31" s="89">
        <f t="shared" si="7"/>
        <v>0</v>
      </c>
      <c r="V31" s="94"/>
      <c r="W31" s="94"/>
      <c r="X31" s="94"/>
      <c r="Y31" s="89">
        <f t="shared" si="8"/>
        <v>0</v>
      </c>
      <c r="Z31" s="94"/>
      <c r="AA31" s="94"/>
      <c r="AB31" s="94"/>
      <c r="AC31" s="89">
        <f t="shared" si="9"/>
        <v>0</v>
      </c>
      <c r="AD31" s="95"/>
      <c r="AE31" s="94">
        <f t="shared" si="11"/>
        <v>0</v>
      </c>
      <c r="AF31" s="123" t="str">
        <f t="shared" si="10"/>
        <v>0</v>
      </c>
      <c r="AG31" s="1367" t="str">
        <f ca="1">IF(OR(F31="", G31=""), "", IF(TODAY()&lt;F31, 0, IF(TODAY()&gt;G31, 1, (TODAY()-F31+1)/(G31-F31+1))))</f>
        <v/>
      </c>
      <c r="AH31" s="1038"/>
      <c r="AI31" s="1042"/>
      <c r="AJ31" s="1044">
        <f>G31*AI31</f>
        <v>0</v>
      </c>
    </row>
    <row r="32" spans="1:36" s="120" customFormat="1" ht="20.85" customHeight="1" x14ac:dyDescent="0.3">
      <c r="A32" s="1143"/>
      <c r="B32" s="1100"/>
      <c r="C32" s="1364"/>
      <c r="D32" s="1100"/>
      <c r="E32" s="1102"/>
      <c r="F32" s="1102"/>
      <c r="G32" s="1673"/>
      <c r="H32" s="1675"/>
      <c r="I32" s="1681"/>
      <c r="J32" s="1368"/>
      <c r="K32" s="1065"/>
      <c r="L32" s="94" t="s">
        <v>107</v>
      </c>
      <c r="M32" s="485">
        <v>0</v>
      </c>
      <c r="N32" s="94"/>
      <c r="O32" s="94"/>
      <c r="P32" s="94"/>
      <c r="Q32" s="89">
        <f t="shared" si="12"/>
        <v>0</v>
      </c>
      <c r="R32" s="94"/>
      <c r="S32" s="94"/>
      <c r="T32" s="94"/>
      <c r="U32" s="89">
        <f t="shared" si="7"/>
        <v>0</v>
      </c>
      <c r="V32" s="94"/>
      <c r="W32" s="94"/>
      <c r="X32" s="94"/>
      <c r="Y32" s="89">
        <f t="shared" si="8"/>
        <v>0</v>
      </c>
      <c r="Z32" s="94"/>
      <c r="AA32" s="94"/>
      <c r="AB32" s="94"/>
      <c r="AC32" s="89">
        <f t="shared" si="9"/>
        <v>0</v>
      </c>
      <c r="AD32" s="95"/>
      <c r="AE32" s="94">
        <f t="shared" si="11"/>
        <v>0</v>
      </c>
      <c r="AF32" s="123" t="str">
        <f t="shared" si="10"/>
        <v>0</v>
      </c>
      <c r="AG32" s="1368"/>
      <c r="AH32" s="1039"/>
      <c r="AI32" s="1043"/>
      <c r="AJ32" s="1045"/>
    </row>
    <row r="33" spans="1:36" s="120" customFormat="1" ht="20.85" customHeight="1" x14ac:dyDescent="0.3">
      <c r="A33" s="1040"/>
      <c r="B33" s="1040"/>
      <c r="C33" s="1303"/>
      <c r="D33" s="1040"/>
      <c r="E33" s="1117"/>
      <c r="F33" s="1117"/>
      <c r="G33" s="1046"/>
      <c r="H33" s="1670"/>
      <c r="I33" s="1682"/>
      <c r="J33" s="1048"/>
      <c r="K33" s="1062"/>
      <c r="L33" s="88" t="s">
        <v>106</v>
      </c>
      <c r="M33" s="91">
        <v>0</v>
      </c>
      <c r="N33" s="88"/>
      <c r="O33" s="88"/>
      <c r="P33" s="88"/>
      <c r="Q33" s="89">
        <f t="shared" si="12"/>
        <v>0</v>
      </c>
      <c r="R33" s="88"/>
      <c r="S33" s="88"/>
      <c r="T33" s="88"/>
      <c r="U33" s="89">
        <f t="shared" si="7"/>
        <v>0</v>
      </c>
      <c r="V33" s="88"/>
      <c r="W33" s="88"/>
      <c r="X33" s="88"/>
      <c r="Y33" s="89">
        <f t="shared" si="8"/>
        <v>0</v>
      </c>
      <c r="Z33" s="88"/>
      <c r="AA33" s="88"/>
      <c r="AB33" s="88"/>
      <c r="AC33" s="89">
        <f t="shared" si="9"/>
        <v>0</v>
      </c>
      <c r="AD33" s="90"/>
      <c r="AE33" s="88">
        <f t="shared" si="11"/>
        <v>0</v>
      </c>
      <c r="AF33" s="118" t="str">
        <f t="shared" si="10"/>
        <v>0</v>
      </c>
      <c r="AG33" s="1048" t="str">
        <f ca="1">IF(OR(F33="", G33=""), "", IF(TODAY()&lt;F33, 0, IF(TODAY()&gt;G33, 1, (TODAY()-F33+1)/(G33-F33+1))))</f>
        <v/>
      </c>
      <c r="AH33" s="1040"/>
      <c r="AI33" s="1048"/>
      <c r="AJ33" s="1046">
        <f>G33*AI33</f>
        <v>0</v>
      </c>
    </row>
    <row r="34" spans="1:36" s="120" customFormat="1" ht="20.85" customHeight="1" x14ac:dyDescent="0.3">
      <c r="A34" s="1041"/>
      <c r="B34" s="1041"/>
      <c r="C34" s="1304"/>
      <c r="D34" s="1041"/>
      <c r="E34" s="1118"/>
      <c r="F34" s="1118"/>
      <c r="G34" s="1047"/>
      <c r="H34" s="1671"/>
      <c r="I34" s="1683"/>
      <c r="J34" s="1049"/>
      <c r="K34" s="1063"/>
      <c r="L34" s="88" t="s">
        <v>107</v>
      </c>
      <c r="M34" s="484">
        <v>0</v>
      </c>
      <c r="N34" s="88"/>
      <c r="O34" s="88"/>
      <c r="P34" s="88"/>
      <c r="Q34" s="89">
        <f t="shared" si="12"/>
        <v>0</v>
      </c>
      <c r="R34" s="88"/>
      <c r="S34" s="88"/>
      <c r="T34" s="88"/>
      <c r="U34" s="89">
        <f t="shared" si="7"/>
        <v>0</v>
      </c>
      <c r="V34" s="88"/>
      <c r="W34" s="88"/>
      <c r="X34" s="88"/>
      <c r="Y34" s="89">
        <f t="shared" si="8"/>
        <v>0</v>
      </c>
      <c r="Z34" s="88"/>
      <c r="AA34" s="88"/>
      <c r="AB34" s="88"/>
      <c r="AC34" s="89">
        <f t="shared" si="9"/>
        <v>0</v>
      </c>
      <c r="AD34" s="90"/>
      <c r="AE34" s="88">
        <f t="shared" si="11"/>
        <v>0</v>
      </c>
      <c r="AF34" s="118" t="str">
        <f t="shared" si="10"/>
        <v>0</v>
      </c>
      <c r="AG34" s="1049"/>
      <c r="AH34" s="1041"/>
      <c r="AI34" s="1049"/>
      <c r="AJ34" s="1047"/>
    </row>
    <row r="35" spans="1:36" s="120" customFormat="1" ht="20.85" customHeight="1" x14ac:dyDescent="0.3">
      <c r="A35" s="1142"/>
      <c r="B35" s="1099"/>
      <c r="C35" s="1363"/>
      <c r="D35" s="1099"/>
      <c r="E35" s="1101"/>
      <c r="F35" s="1101"/>
      <c r="G35" s="1672"/>
      <c r="H35" s="1674"/>
      <c r="I35" s="1680"/>
      <c r="J35" s="1367"/>
      <c r="K35" s="1064"/>
      <c r="L35" s="94" t="s">
        <v>106</v>
      </c>
      <c r="M35" s="96">
        <v>0</v>
      </c>
      <c r="N35" s="94"/>
      <c r="O35" s="94"/>
      <c r="P35" s="94"/>
      <c r="Q35" s="89">
        <f t="shared" si="12"/>
        <v>0</v>
      </c>
      <c r="R35" s="94"/>
      <c r="S35" s="94"/>
      <c r="T35" s="94"/>
      <c r="U35" s="89">
        <f t="shared" si="7"/>
        <v>0</v>
      </c>
      <c r="V35" s="94"/>
      <c r="W35" s="94"/>
      <c r="X35" s="94"/>
      <c r="Y35" s="89">
        <f t="shared" si="8"/>
        <v>0</v>
      </c>
      <c r="Z35" s="94"/>
      <c r="AA35" s="94"/>
      <c r="AB35" s="94"/>
      <c r="AC35" s="89">
        <f t="shared" si="9"/>
        <v>0</v>
      </c>
      <c r="AD35" s="95"/>
      <c r="AE35" s="94">
        <f t="shared" si="11"/>
        <v>0</v>
      </c>
      <c r="AF35" s="123" t="str">
        <f t="shared" si="10"/>
        <v>0</v>
      </c>
      <c r="AG35" s="1367" t="str">
        <f ca="1">IF(OR(F35="", G35=""), "", IF(TODAY()&lt;F35, 0, IF(TODAY()&gt;G35, 1, (TODAY()-F35+1)/(G35-F35+1))))</f>
        <v/>
      </c>
      <c r="AH35" s="1038"/>
      <c r="AI35" s="1042"/>
      <c r="AJ35" s="1044">
        <f>G35*AI35</f>
        <v>0</v>
      </c>
    </row>
    <row r="36" spans="1:36" s="120" customFormat="1" ht="20.85" customHeight="1" x14ac:dyDescent="0.3">
      <c r="A36" s="1143"/>
      <c r="B36" s="1100"/>
      <c r="C36" s="1364"/>
      <c r="D36" s="1100"/>
      <c r="E36" s="1102"/>
      <c r="F36" s="1102"/>
      <c r="G36" s="1673"/>
      <c r="H36" s="1675"/>
      <c r="I36" s="1681"/>
      <c r="J36" s="1368"/>
      <c r="K36" s="1065"/>
      <c r="L36" s="94" t="s">
        <v>107</v>
      </c>
      <c r="M36" s="485">
        <v>0</v>
      </c>
      <c r="N36" s="94"/>
      <c r="O36" s="94"/>
      <c r="P36" s="94"/>
      <c r="Q36" s="89">
        <f t="shared" si="12"/>
        <v>0</v>
      </c>
      <c r="R36" s="94"/>
      <c r="S36" s="94"/>
      <c r="T36" s="94"/>
      <c r="U36" s="89">
        <f t="shared" si="7"/>
        <v>0</v>
      </c>
      <c r="V36" s="94"/>
      <c r="W36" s="94"/>
      <c r="X36" s="94"/>
      <c r="Y36" s="89">
        <f t="shared" si="8"/>
        <v>0</v>
      </c>
      <c r="Z36" s="94"/>
      <c r="AA36" s="94"/>
      <c r="AB36" s="94"/>
      <c r="AC36" s="89">
        <f t="shared" si="9"/>
        <v>0</v>
      </c>
      <c r="AD36" s="95"/>
      <c r="AE36" s="94">
        <f t="shared" si="11"/>
        <v>0</v>
      </c>
      <c r="AF36" s="123" t="str">
        <f t="shared" si="10"/>
        <v>0</v>
      </c>
      <c r="AG36" s="1368"/>
      <c r="AH36" s="1039"/>
      <c r="AI36" s="1043"/>
      <c r="AJ36" s="1045"/>
    </row>
    <row r="37" spans="1:36" s="120" customFormat="1" ht="20.85" customHeight="1" x14ac:dyDescent="0.3">
      <c r="A37" s="1040"/>
      <c r="B37" s="1040"/>
      <c r="C37" s="1303"/>
      <c r="D37" s="1040"/>
      <c r="E37" s="1117"/>
      <c r="F37" s="1117"/>
      <c r="G37" s="1046"/>
      <c r="H37" s="1670"/>
      <c r="I37" s="1682"/>
      <c r="J37" s="1048"/>
      <c r="K37" s="1062"/>
      <c r="L37" s="88" t="s">
        <v>106</v>
      </c>
      <c r="M37" s="91">
        <v>0</v>
      </c>
      <c r="N37" s="88"/>
      <c r="O37" s="88"/>
      <c r="P37" s="88"/>
      <c r="Q37" s="89">
        <f t="shared" si="12"/>
        <v>0</v>
      </c>
      <c r="R37" s="88"/>
      <c r="S37" s="88"/>
      <c r="T37" s="88"/>
      <c r="U37" s="89">
        <f t="shared" si="7"/>
        <v>0</v>
      </c>
      <c r="V37" s="88"/>
      <c r="W37" s="88"/>
      <c r="X37" s="88"/>
      <c r="Y37" s="89">
        <f t="shared" si="8"/>
        <v>0</v>
      </c>
      <c r="Z37" s="88"/>
      <c r="AA37" s="88"/>
      <c r="AB37" s="88"/>
      <c r="AC37" s="89">
        <f t="shared" si="9"/>
        <v>0</v>
      </c>
      <c r="AD37" s="90"/>
      <c r="AE37" s="88">
        <f t="shared" si="11"/>
        <v>0</v>
      </c>
      <c r="AF37" s="118" t="str">
        <f t="shared" si="10"/>
        <v>0</v>
      </c>
      <c r="AG37" s="1048" t="str">
        <f ca="1">IF(OR(F37="", G37=""), "", IF(TODAY()&lt;F37, 0, IF(TODAY()&gt;G37, 1, (TODAY()-F37+1)/(G37-F37+1))))</f>
        <v/>
      </c>
      <c r="AH37" s="1040"/>
      <c r="AI37" s="1048"/>
      <c r="AJ37" s="1046">
        <f>G37*AI37</f>
        <v>0</v>
      </c>
    </row>
    <row r="38" spans="1:36" s="120" customFormat="1" ht="20.85" customHeight="1" x14ac:dyDescent="0.3">
      <c r="A38" s="1041"/>
      <c r="B38" s="1041"/>
      <c r="C38" s="1304"/>
      <c r="D38" s="1041"/>
      <c r="E38" s="1118"/>
      <c r="F38" s="1118"/>
      <c r="G38" s="1047"/>
      <c r="H38" s="1671"/>
      <c r="I38" s="1683"/>
      <c r="J38" s="1049"/>
      <c r="K38" s="1063"/>
      <c r="L38" s="88" t="s">
        <v>107</v>
      </c>
      <c r="M38" s="484">
        <v>0</v>
      </c>
      <c r="N38" s="88"/>
      <c r="O38" s="88"/>
      <c r="P38" s="88"/>
      <c r="Q38" s="89">
        <f t="shared" si="12"/>
        <v>0</v>
      </c>
      <c r="R38" s="88"/>
      <c r="S38" s="88"/>
      <c r="T38" s="88"/>
      <c r="U38" s="89">
        <f t="shared" si="7"/>
        <v>0</v>
      </c>
      <c r="V38" s="88"/>
      <c r="W38" s="88"/>
      <c r="X38" s="88"/>
      <c r="Y38" s="89">
        <f t="shared" si="8"/>
        <v>0</v>
      </c>
      <c r="Z38" s="88"/>
      <c r="AA38" s="88"/>
      <c r="AB38" s="88"/>
      <c r="AC38" s="89">
        <f t="shared" si="9"/>
        <v>0</v>
      </c>
      <c r="AD38" s="90"/>
      <c r="AE38" s="88">
        <f t="shared" si="11"/>
        <v>0</v>
      </c>
      <c r="AF38" s="118" t="str">
        <f t="shared" si="10"/>
        <v>0</v>
      </c>
      <c r="AG38" s="1049"/>
      <c r="AH38" s="1041"/>
      <c r="AI38" s="1049"/>
      <c r="AJ38" s="1047"/>
    </row>
    <row r="39" spans="1:36" s="120" customFormat="1" ht="20.85" customHeight="1" x14ac:dyDescent="0.3">
      <c r="A39" s="1142"/>
      <c r="B39" s="1099"/>
      <c r="C39" s="1363"/>
      <c r="D39" s="1099"/>
      <c r="E39" s="1101"/>
      <c r="F39" s="1101"/>
      <c r="G39" s="1672"/>
      <c r="H39" s="1674"/>
      <c r="I39" s="1680"/>
      <c r="J39" s="1367"/>
      <c r="K39" s="1064"/>
      <c r="L39" s="94" t="s">
        <v>106</v>
      </c>
      <c r="M39" s="96">
        <v>0</v>
      </c>
      <c r="N39" s="94"/>
      <c r="O39" s="94"/>
      <c r="P39" s="94"/>
      <c r="Q39" s="89">
        <f t="shared" si="12"/>
        <v>0</v>
      </c>
      <c r="R39" s="94"/>
      <c r="S39" s="94"/>
      <c r="T39" s="94"/>
      <c r="U39" s="89">
        <f t="shared" si="7"/>
        <v>0</v>
      </c>
      <c r="V39" s="94"/>
      <c r="W39" s="94"/>
      <c r="X39" s="94"/>
      <c r="Y39" s="89">
        <f t="shared" si="8"/>
        <v>0</v>
      </c>
      <c r="Z39" s="94"/>
      <c r="AA39" s="94"/>
      <c r="AB39" s="94"/>
      <c r="AC39" s="89">
        <f t="shared" si="9"/>
        <v>0</v>
      </c>
      <c r="AD39" s="95"/>
      <c r="AE39" s="94">
        <f t="shared" si="11"/>
        <v>0</v>
      </c>
      <c r="AF39" s="123" t="str">
        <f t="shared" si="10"/>
        <v>0</v>
      </c>
      <c r="AG39" s="1367" t="str">
        <f ca="1">IF(OR(F39="", G39=""), "", IF(TODAY()&lt;F39, 0, IF(TODAY()&gt;G39, 1, (TODAY()-F39+1)/(G39-F39+1))))</f>
        <v/>
      </c>
      <c r="AH39" s="1038"/>
      <c r="AI39" s="1042"/>
      <c r="AJ39" s="1044">
        <f>G39*AI39</f>
        <v>0</v>
      </c>
    </row>
    <row r="40" spans="1:36" s="120" customFormat="1" ht="20.85" customHeight="1" x14ac:dyDescent="0.3">
      <c r="A40" s="1143"/>
      <c r="B40" s="1100"/>
      <c r="C40" s="1364"/>
      <c r="D40" s="1100"/>
      <c r="E40" s="1102"/>
      <c r="F40" s="1102"/>
      <c r="G40" s="1673"/>
      <c r="H40" s="1675"/>
      <c r="I40" s="1681"/>
      <c r="J40" s="1368"/>
      <c r="K40" s="1065"/>
      <c r="L40" s="94" t="s">
        <v>107</v>
      </c>
      <c r="M40" s="485">
        <v>0</v>
      </c>
      <c r="N40" s="94"/>
      <c r="O40" s="94"/>
      <c r="P40" s="94"/>
      <c r="Q40" s="89">
        <f t="shared" si="12"/>
        <v>0</v>
      </c>
      <c r="R40" s="94"/>
      <c r="S40" s="94"/>
      <c r="T40" s="94"/>
      <c r="U40" s="89">
        <f t="shared" si="7"/>
        <v>0</v>
      </c>
      <c r="V40" s="94"/>
      <c r="W40" s="94"/>
      <c r="X40" s="94"/>
      <c r="Y40" s="89">
        <f t="shared" si="8"/>
        <v>0</v>
      </c>
      <c r="Z40" s="94"/>
      <c r="AA40" s="94"/>
      <c r="AB40" s="94"/>
      <c r="AC40" s="89">
        <f t="shared" si="9"/>
        <v>0</v>
      </c>
      <c r="AD40" s="95"/>
      <c r="AE40" s="94">
        <f t="shared" si="11"/>
        <v>0</v>
      </c>
      <c r="AF40" s="123" t="str">
        <f t="shared" si="10"/>
        <v>0</v>
      </c>
      <c r="AG40" s="1368"/>
      <c r="AH40" s="1039"/>
      <c r="AI40" s="1043"/>
      <c r="AJ40" s="1045"/>
    </row>
    <row r="41" spans="1:36" s="120" customFormat="1" ht="20.85" customHeight="1" x14ac:dyDescent="0.3">
      <c r="A41" s="1040"/>
      <c r="B41" s="1040"/>
      <c r="C41" s="1303"/>
      <c r="D41" s="1040"/>
      <c r="E41" s="1117"/>
      <c r="F41" s="1117"/>
      <c r="G41" s="1046"/>
      <c r="H41" s="1670"/>
      <c r="I41" s="1682"/>
      <c r="J41" s="1048"/>
      <c r="K41" s="1062"/>
      <c r="L41" s="88" t="s">
        <v>106</v>
      </c>
      <c r="M41" s="91">
        <v>0</v>
      </c>
      <c r="N41" s="88"/>
      <c r="O41" s="88"/>
      <c r="P41" s="88"/>
      <c r="Q41" s="89">
        <f t="shared" si="12"/>
        <v>0</v>
      </c>
      <c r="R41" s="88"/>
      <c r="S41" s="88"/>
      <c r="T41" s="88"/>
      <c r="U41" s="89">
        <f t="shared" si="7"/>
        <v>0</v>
      </c>
      <c r="V41" s="88"/>
      <c r="W41" s="88"/>
      <c r="X41" s="88"/>
      <c r="Y41" s="89">
        <f t="shared" si="8"/>
        <v>0</v>
      </c>
      <c r="Z41" s="88"/>
      <c r="AA41" s="88"/>
      <c r="AB41" s="88"/>
      <c r="AC41" s="89">
        <f t="shared" si="9"/>
        <v>0</v>
      </c>
      <c r="AD41" s="90"/>
      <c r="AE41" s="88">
        <f t="shared" si="11"/>
        <v>0</v>
      </c>
      <c r="AF41" s="118" t="str">
        <f t="shared" si="10"/>
        <v>0</v>
      </c>
      <c r="AG41" s="1048" t="str">
        <f ca="1">IF(OR(F41="", G41=""), "", IF(TODAY()&lt;F41, 0, IF(TODAY()&gt;G41, 1, (TODAY()-F41+1)/(G41-F41+1))))</f>
        <v/>
      </c>
      <c r="AH41" s="1040"/>
      <c r="AI41" s="1048"/>
      <c r="AJ41" s="1046">
        <f>G41*AI41</f>
        <v>0</v>
      </c>
    </row>
    <row r="42" spans="1:36" s="120" customFormat="1" ht="20.85" customHeight="1" x14ac:dyDescent="0.3">
      <c r="A42" s="1041"/>
      <c r="B42" s="1041"/>
      <c r="C42" s="1304"/>
      <c r="D42" s="1041"/>
      <c r="E42" s="1118"/>
      <c r="F42" s="1118"/>
      <c r="G42" s="1047"/>
      <c r="H42" s="1671"/>
      <c r="I42" s="1683"/>
      <c r="J42" s="1049"/>
      <c r="K42" s="1063"/>
      <c r="L42" s="88" t="s">
        <v>107</v>
      </c>
      <c r="M42" s="484">
        <v>0</v>
      </c>
      <c r="N42" s="88"/>
      <c r="O42" s="88"/>
      <c r="P42" s="88"/>
      <c r="Q42" s="89">
        <f t="shared" si="12"/>
        <v>0</v>
      </c>
      <c r="R42" s="88"/>
      <c r="S42" s="88"/>
      <c r="T42" s="88"/>
      <c r="U42" s="89">
        <f t="shared" si="7"/>
        <v>0</v>
      </c>
      <c r="V42" s="88"/>
      <c r="W42" s="88"/>
      <c r="X42" s="88"/>
      <c r="Y42" s="89">
        <f t="shared" si="8"/>
        <v>0</v>
      </c>
      <c r="Z42" s="88"/>
      <c r="AA42" s="88"/>
      <c r="AB42" s="88"/>
      <c r="AC42" s="89">
        <f t="shared" si="9"/>
        <v>0</v>
      </c>
      <c r="AD42" s="90"/>
      <c r="AE42" s="88">
        <f t="shared" si="11"/>
        <v>0</v>
      </c>
      <c r="AF42" s="118" t="str">
        <f t="shared" si="10"/>
        <v>0</v>
      </c>
      <c r="AG42" s="1049"/>
      <c r="AH42" s="1041"/>
      <c r="AI42" s="1049"/>
      <c r="AJ42" s="1047"/>
    </row>
    <row r="43" spans="1:36" s="120" customFormat="1" ht="20.85" customHeight="1" x14ac:dyDescent="0.3">
      <c r="A43" s="1142"/>
      <c r="B43" s="1099"/>
      <c r="C43" s="1363"/>
      <c r="D43" s="1099"/>
      <c r="E43" s="1101"/>
      <c r="F43" s="1101"/>
      <c r="G43" s="1672"/>
      <c r="H43" s="1674"/>
      <c r="I43" s="1680"/>
      <c r="J43" s="1367"/>
      <c r="K43" s="1064"/>
      <c r="L43" s="94" t="s">
        <v>106</v>
      </c>
      <c r="M43" s="96">
        <v>0</v>
      </c>
      <c r="N43" s="94"/>
      <c r="O43" s="94"/>
      <c r="P43" s="94"/>
      <c r="Q43" s="89">
        <f t="shared" si="12"/>
        <v>0</v>
      </c>
      <c r="R43" s="94"/>
      <c r="S43" s="94"/>
      <c r="T43" s="94"/>
      <c r="U43" s="89">
        <f t="shared" ref="U43:U56" si="13">SUM(R43:T43)</f>
        <v>0</v>
      </c>
      <c r="V43" s="94"/>
      <c r="W43" s="94"/>
      <c r="X43" s="94"/>
      <c r="Y43" s="89">
        <f t="shared" si="8"/>
        <v>0</v>
      </c>
      <c r="Z43" s="94"/>
      <c r="AA43" s="94"/>
      <c r="AB43" s="94"/>
      <c r="AC43" s="89">
        <f t="shared" si="9"/>
        <v>0</v>
      </c>
      <c r="AD43" s="95"/>
      <c r="AE43" s="94">
        <f t="shared" si="11"/>
        <v>0</v>
      </c>
      <c r="AF43" s="123" t="str">
        <f t="shared" si="10"/>
        <v>0</v>
      </c>
      <c r="AG43" s="1367" t="str">
        <f ca="1">IF(OR(F43="", G43=""), "", IF(TODAY()&lt;F43, 0, IF(TODAY()&gt;G43, 1, (TODAY()-F43+1)/(G43-F43+1))))</f>
        <v/>
      </c>
      <c r="AH43" s="1038"/>
      <c r="AI43" s="1042"/>
      <c r="AJ43" s="1044">
        <f>G43*AI43</f>
        <v>0</v>
      </c>
    </row>
    <row r="44" spans="1:36" s="120" customFormat="1" ht="20.85" customHeight="1" x14ac:dyDescent="0.3">
      <c r="A44" s="1143"/>
      <c r="B44" s="1100"/>
      <c r="C44" s="1364"/>
      <c r="D44" s="1100"/>
      <c r="E44" s="1102"/>
      <c r="F44" s="1102"/>
      <c r="G44" s="1673"/>
      <c r="H44" s="1675"/>
      <c r="I44" s="1681"/>
      <c r="J44" s="1368"/>
      <c r="K44" s="1065"/>
      <c r="L44" s="94" t="s">
        <v>107</v>
      </c>
      <c r="M44" s="485">
        <v>0</v>
      </c>
      <c r="N44" s="94"/>
      <c r="O44" s="94"/>
      <c r="P44" s="94"/>
      <c r="Q44" s="89">
        <f t="shared" ref="Q44:Q56" si="14">SUM(N44:P44)</f>
        <v>0</v>
      </c>
      <c r="R44" s="94"/>
      <c r="S44" s="94"/>
      <c r="T44" s="94"/>
      <c r="U44" s="89">
        <f t="shared" si="13"/>
        <v>0</v>
      </c>
      <c r="V44" s="94"/>
      <c r="W44" s="94"/>
      <c r="X44" s="94"/>
      <c r="Y44" s="89">
        <f t="shared" si="8"/>
        <v>0</v>
      </c>
      <c r="Z44" s="94"/>
      <c r="AA44" s="94"/>
      <c r="AB44" s="94"/>
      <c r="AC44" s="89">
        <f t="shared" si="9"/>
        <v>0</v>
      </c>
      <c r="AD44" s="95"/>
      <c r="AE44" s="94">
        <f t="shared" si="11"/>
        <v>0</v>
      </c>
      <c r="AF44" s="123" t="str">
        <f t="shared" si="10"/>
        <v>0</v>
      </c>
      <c r="AG44" s="1368"/>
      <c r="AH44" s="1039"/>
      <c r="AI44" s="1043"/>
      <c r="AJ44" s="1045"/>
    </row>
    <row r="45" spans="1:36" s="120" customFormat="1" ht="20.85" customHeight="1" x14ac:dyDescent="0.3">
      <c r="A45" s="1040"/>
      <c r="B45" s="1040"/>
      <c r="C45" s="1303"/>
      <c r="D45" s="1040"/>
      <c r="E45" s="1117"/>
      <c r="F45" s="1117"/>
      <c r="G45" s="1046"/>
      <c r="H45" s="1670"/>
      <c r="I45" s="1682"/>
      <c r="J45" s="1048"/>
      <c r="K45" s="1062"/>
      <c r="L45" s="88" t="s">
        <v>106</v>
      </c>
      <c r="M45" s="91">
        <v>0</v>
      </c>
      <c r="N45" s="88"/>
      <c r="O45" s="88"/>
      <c r="P45" s="88"/>
      <c r="Q45" s="89">
        <f t="shared" si="14"/>
        <v>0</v>
      </c>
      <c r="R45" s="88"/>
      <c r="S45" s="88"/>
      <c r="T45" s="88"/>
      <c r="U45" s="89">
        <f t="shared" si="13"/>
        <v>0</v>
      </c>
      <c r="V45" s="88"/>
      <c r="W45" s="88"/>
      <c r="X45" s="88"/>
      <c r="Y45" s="89">
        <f t="shared" si="8"/>
        <v>0</v>
      </c>
      <c r="Z45" s="88"/>
      <c r="AA45" s="88"/>
      <c r="AB45" s="88"/>
      <c r="AC45" s="89">
        <f t="shared" si="9"/>
        <v>0</v>
      </c>
      <c r="AD45" s="90"/>
      <c r="AE45" s="88">
        <f t="shared" si="11"/>
        <v>0</v>
      </c>
      <c r="AF45" s="118" t="str">
        <f t="shared" si="10"/>
        <v>0</v>
      </c>
      <c r="AG45" s="1048" t="str">
        <f ca="1">IF(OR(F45="", G45=""), "", IF(TODAY()&lt;F45, 0, IF(TODAY()&gt;G45, 1, (TODAY()-F45+1)/(G45-F45+1))))</f>
        <v/>
      </c>
      <c r="AH45" s="1040"/>
      <c r="AI45" s="1048"/>
      <c r="AJ45" s="1046">
        <f>G45*AI45</f>
        <v>0</v>
      </c>
    </row>
    <row r="46" spans="1:36" s="120" customFormat="1" ht="20.85" customHeight="1" x14ac:dyDescent="0.3">
      <c r="A46" s="1041"/>
      <c r="B46" s="1041"/>
      <c r="C46" s="1304"/>
      <c r="D46" s="1041"/>
      <c r="E46" s="1118"/>
      <c r="F46" s="1118"/>
      <c r="G46" s="1047"/>
      <c r="H46" s="1671"/>
      <c r="I46" s="1683"/>
      <c r="J46" s="1049"/>
      <c r="K46" s="1063"/>
      <c r="L46" s="88" t="s">
        <v>107</v>
      </c>
      <c r="M46" s="484">
        <v>0</v>
      </c>
      <c r="N46" s="88"/>
      <c r="O46" s="88"/>
      <c r="P46" s="88"/>
      <c r="Q46" s="89">
        <f t="shared" si="14"/>
        <v>0</v>
      </c>
      <c r="R46" s="88"/>
      <c r="S46" s="88"/>
      <c r="T46" s="88"/>
      <c r="U46" s="89">
        <f t="shared" si="13"/>
        <v>0</v>
      </c>
      <c r="V46" s="88"/>
      <c r="W46" s="88"/>
      <c r="X46" s="88"/>
      <c r="Y46" s="89">
        <f t="shared" si="8"/>
        <v>0</v>
      </c>
      <c r="Z46" s="88"/>
      <c r="AA46" s="88"/>
      <c r="AB46" s="88"/>
      <c r="AC46" s="89">
        <f t="shared" si="9"/>
        <v>0</v>
      </c>
      <c r="AD46" s="90"/>
      <c r="AE46" s="88">
        <f t="shared" si="11"/>
        <v>0</v>
      </c>
      <c r="AF46" s="118" t="str">
        <f t="shared" si="10"/>
        <v>0</v>
      </c>
      <c r="AG46" s="1049"/>
      <c r="AH46" s="1041"/>
      <c r="AI46" s="1049"/>
      <c r="AJ46" s="1047"/>
    </row>
    <row r="47" spans="1:36" s="120" customFormat="1" ht="20.85" customHeight="1" x14ac:dyDescent="0.3">
      <c r="A47" s="1142"/>
      <c r="B47" s="1099"/>
      <c r="C47" s="1363"/>
      <c r="D47" s="1099"/>
      <c r="E47" s="1101"/>
      <c r="F47" s="1101"/>
      <c r="G47" s="1672"/>
      <c r="H47" s="1674"/>
      <c r="I47" s="1680"/>
      <c r="J47" s="1367"/>
      <c r="K47" s="1064"/>
      <c r="L47" s="94" t="s">
        <v>106</v>
      </c>
      <c r="M47" s="96">
        <v>0</v>
      </c>
      <c r="N47" s="94"/>
      <c r="O47" s="94"/>
      <c r="P47" s="94"/>
      <c r="Q47" s="89">
        <f t="shared" si="14"/>
        <v>0</v>
      </c>
      <c r="R47" s="94"/>
      <c r="S47" s="94"/>
      <c r="T47" s="94"/>
      <c r="U47" s="89">
        <f t="shared" si="13"/>
        <v>0</v>
      </c>
      <c r="V47" s="94"/>
      <c r="W47" s="94"/>
      <c r="X47" s="94"/>
      <c r="Y47" s="89">
        <f t="shared" si="8"/>
        <v>0</v>
      </c>
      <c r="Z47" s="94"/>
      <c r="AA47" s="94"/>
      <c r="AB47" s="94"/>
      <c r="AC47" s="89">
        <f t="shared" si="9"/>
        <v>0</v>
      </c>
      <c r="AD47" s="95"/>
      <c r="AE47" s="94">
        <f t="shared" si="11"/>
        <v>0</v>
      </c>
      <c r="AF47" s="123" t="str">
        <f t="shared" si="10"/>
        <v>0</v>
      </c>
      <c r="AG47" s="1367" t="str">
        <f ca="1">IF(OR(F47="", G47=""), "", IF(TODAY()&lt;F47, 0, IF(TODAY()&gt;G47, 1, (TODAY()-F47+1)/(G47-F47+1))))</f>
        <v/>
      </c>
      <c r="AH47" s="1038"/>
      <c r="AI47" s="1042"/>
      <c r="AJ47" s="1044">
        <f>G47*AI47</f>
        <v>0</v>
      </c>
    </row>
    <row r="48" spans="1:36" s="120" customFormat="1" ht="20.85" customHeight="1" x14ac:dyDescent="0.3">
      <c r="A48" s="1143"/>
      <c r="B48" s="1100"/>
      <c r="C48" s="1364"/>
      <c r="D48" s="1100"/>
      <c r="E48" s="1102"/>
      <c r="F48" s="1102"/>
      <c r="G48" s="1673"/>
      <c r="H48" s="1675"/>
      <c r="I48" s="1681"/>
      <c r="J48" s="1368"/>
      <c r="K48" s="1065"/>
      <c r="L48" s="94" t="s">
        <v>107</v>
      </c>
      <c r="M48" s="485">
        <v>0</v>
      </c>
      <c r="N48" s="94"/>
      <c r="O48" s="94"/>
      <c r="P48" s="94"/>
      <c r="Q48" s="89">
        <f t="shared" si="14"/>
        <v>0</v>
      </c>
      <c r="R48" s="94"/>
      <c r="S48" s="94"/>
      <c r="T48" s="94"/>
      <c r="U48" s="89">
        <f t="shared" si="13"/>
        <v>0</v>
      </c>
      <c r="V48" s="94"/>
      <c r="W48" s="94"/>
      <c r="X48" s="94"/>
      <c r="Y48" s="89">
        <f t="shared" si="8"/>
        <v>0</v>
      </c>
      <c r="Z48" s="94"/>
      <c r="AA48" s="94"/>
      <c r="AB48" s="94"/>
      <c r="AC48" s="89">
        <f t="shared" si="9"/>
        <v>0</v>
      </c>
      <c r="AD48" s="95"/>
      <c r="AE48" s="94">
        <f t="shared" si="11"/>
        <v>0</v>
      </c>
      <c r="AF48" s="123" t="str">
        <f t="shared" si="10"/>
        <v>0</v>
      </c>
      <c r="AG48" s="1368"/>
      <c r="AH48" s="1039"/>
      <c r="AI48" s="1043"/>
      <c r="AJ48" s="1045"/>
    </row>
    <row r="49" spans="1:36" s="120" customFormat="1" ht="20.85" customHeight="1" x14ac:dyDescent="0.3">
      <c r="A49" s="1040"/>
      <c r="B49" s="1040"/>
      <c r="C49" s="1303"/>
      <c r="D49" s="1040"/>
      <c r="E49" s="1117"/>
      <c r="F49" s="1117"/>
      <c r="G49" s="1046"/>
      <c r="H49" s="1670"/>
      <c r="I49" s="1682"/>
      <c r="J49" s="1048"/>
      <c r="K49" s="1062"/>
      <c r="L49" s="88" t="s">
        <v>106</v>
      </c>
      <c r="M49" s="91">
        <v>0</v>
      </c>
      <c r="N49" s="88"/>
      <c r="O49" s="88"/>
      <c r="P49" s="88"/>
      <c r="Q49" s="89">
        <f t="shared" si="14"/>
        <v>0</v>
      </c>
      <c r="R49" s="88"/>
      <c r="S49" s="88"/>
      <c r="T49" s="88"/>
      <c r="U49" s="89">
        <f t="shared" si="13"/>
        <v>0</v>
      </c>
      <c r="V49" s="88"/>
      <c r="W49" s="88"/>
      <c r="X49" s="88"/>
      <c r="Y49" s="89">
        <f t="shared" si="8"/>
        <v>0</v>
      </c>
      <c r="Z49" s="88"/>
      <c r="AA49" s="88"/>
      <c r="AB49" s="88"/>
      <c r="AC49" s="89">
        <f t="shared" si="9"/>
        <v>0</v>
      </c>
      <c r="AD49" s="90"/>
      <c r="AE49" s="88">
        <f t="shared" si="11"/>
        <v>0</v>
      </c>
      <c r="AF49" s="118" t="str">
        <f t="shared" ref="AF49:AF68" si="15">IF(K49=0,"0",AE49/K49)</f>
        <v>0</v>
      </c>
      <c r="AG49" s="1048" t="str">
        <f ca="1">IF(OR(F49="", G49=""), "", IF(TODAY()&lt;F49, 0, IF(TODAY()&gt;G49, 1, (TODAY()-F49+1)/(G49-F49+1))))</f>
        <v/>
      </c>
      <c r="AH49" s="1040"/>
      <c r="AI49" s="1048"/>
      <c r="AJ49" s="1046">
        <f>G49*AI49</f>
        <v>0</v>
      </c>
    </row>
    <row r="50" spans="1:36" s="120" customFormat="1" ht="20.85" customHeight="1" x14ac:dyDescent="0.3">
      <c r="A50" s="1041"/>
      <c r="B50" s="1041"/>
      <c r="C50" s="1304"/>
      <c r="D50" s="1041"/>
      <c r="E50" s="1118"/>
      <c r="F50" s="1118"/>
      <c r="G50" s="1047"/>
      <c r="H50" s="1671"/>
      <c r="I50" s="1683"/>
      <c r="J50" s="1049"/>
      <c r="K50" s="1063"/>
      <c r="L50" s="88" t="s">
        <v>107</v>
      </c>
      <c r="M50" s="484">
        <v>0</v>
      </c>
      <c r="N50" s="88"/>
      <c r="O50" s="88"/>
      <c r="P50" s="88"/>
      <c r="Q50" s="89">
        <f t="shared" si="14"/>
        <v>0</v>
      </c>
      <c r="R50" s="88"/>
      <c r="S50" s="88"/>
      <c r="T50" s="88"/>
      <c r="U50" s="89">
        <f t="shared" si="13"/>
        <v>0</v>
      </c>
      <c r="V50" s="88"/>
      <c r="W50" s="88"/>
      <c r="X50" s="88"/>
      <c r="Y50" s="89">
        <f t="shared" si="8"/>
        <v>0</v>
      </c>
      <c r="Z50" s="88"/>
      <c r="AA50" s="88"/>
      <c r="AB50" s="88"/>
      <c r="AC50" s="89">
        <f t="shared" si="9"/>
        <v>0</v>
      </c>
      <c r="AD50" s="90"/>
      <c r="AE50" s="88">
        <f t="shared" si="11"/>
        <v>0</v>
      </c>
      <c r="AF50" s="118" t="str">
        <f t="shared" si="15"/>
        <v>0</v>
      </c>
      <c r="AG50" s="1049"/>
      <c r="AH50" s="1041"/>
      <c r="AI50" s="1049"/>
      <c r="AJ50" s="1047"/>
    </row>
    <row r="51" spans="1:36" s="120" customFormat="1" ht="20.85" customHeight="1" x14ac:dyDescent="0.3">
      <c r="A51" s="1142"/>
      <c r="B51" s="1099"/>
      <c r="C51" s="1363"/>
      <c r="D51" s="1099"/>
      <c r="E51" s="1101"/>
      <c r="F51" s="1101"/>
      <c r="G51" s="1672"/>
      <c r="H51" s="1674"/>
      <c r="I51" s="1680"/>
      <c r="J51" s="1367"/>
      <c r="K51" s="1064"/>
      <c r="L51" s="94" t="s">
        <v>106</v>
      </c>
      <c r="M51" s="96">
        <v>0</v>
      </c>
      <c r="N51" s="94"/>
      <c r="O51" s="94"/>
      <c r="P51" s="94"/>
      <c r="Q51" s="89">
        <f t="shared" si="14"/>
        <v>0</v>
      </c>
      <c r="R51" s="94"/>
      <c r="S51" s="94"/>
      <c r="T51" s="94"/>
      <c r="U51" s="89">
        <f t="shared" si="13"/>
        <v>0</v>
      </c>
      <c r="V51" s="94"/>
      <c r="W51" s="94"/>
      <c r="X51" s="94"/>
      <c r="Y51" s="89">
        <f t="shared" si="8"/>
        <v>0</v>
      </c>
      <c r="Z51" s="94"/>
      <c r="AA51" s="94"/>
      <c r="AB51" s="94"/>
      <c r="AC51" s="89">
        <f t="shared" si="9"/>
        <v>0</v>
      </c>
      <c r="AD51" s="95"/>
      <c r="AE51" s="94">
        <f t="shared" si="11"/>
        <v>0</v>
      </c>
      <c r="AF51" s="123" t="str">
        <f t="shared" si="15"/>
        <v>0</v>
      </c>
      <c r="AG51" s="1367" t="str">
        <f ca="1">IF(OR(F51="", G51=""), "", IF(TODAY()&lt;F51, 0, IF(TODAY()&gt;G51, 1, (TODAY()-F51+1)/(G51-F51+1))))</f>
        <v/>
      </c>
      <c r="AH51" s="1038"/>
      <c r="AI51" s="1042"/>
      <c r="AJ51" s="1044">
        <f>G51*AI51</f>
        <v>0</v>
      </c>
    </row>
    <row r="52" spans="1:36" s="120" customFormat="1" ht="20.85" customHeight="1" x14ac:dyDescent="0.3">
      <c r="A52" s="1143"/>
      <c r="B52" s="1100"/>
      <c r="C52" s="1364"/>
      <c r="D52" s="1100"/>
      <c r="E52" s="1102"/>
      <c r="F52" s="1102"/>
      <c r="G52" s="1673"/>
      <c r="H52" s="1675"/>
      <c r="I52" s="1681"/>
      <c r="J52" s="1368"/>
      <c r="K52" s="1065"/>
      <c r="L52" s="94" t="s">
        <v>107</v>
      </c>
      <c r="M52" s="485">
        <v>0</v>
      </c>
      <c r="N52" s="94"/>
      <c r="O52" s="94"/>
      <c r="P52" s="94"/>
      <c r="Q52" s="89">
        <f t="shared" si="14"/>
        <v>0</v>
      </c>
      <c r="R52" s="94"/>
      <c r="S52" s="94"/>
      <c r="T52" s="94"/>
      <c r="U52" s="89">
        <f t="shared" si="13"/>
        <v>0</v>
      </c>
      <c r="V52" s="94"/>
      <c r="W52" s="94"/>
      <c r="X52" s="94"/>
      <c r="Y52" s="89">
        <f t="shared" si="8"/>
        <v>0</v>
      </c>
      <c r="Z52" s="94"/>
      <c r="AA52" s="94"/>
      <c r="AB52" s="94"/>
      <c r="AC52" s="89">
        <f t="shared" si="9"/>
        <v>0</v>
      </c>
      <c r="AD52" s="95"/>
      <c r="AE52" s="94">
        <f t="shared" si="11"/>
        <v>0</v>
      </c>
      <c r="AF52" s="123" t="str">
        <f t="shared" si="15"/>
        <v>0</v>
      </c>
      <c r="AG52" s="1368"/>
      <c r="AH52" s="1039"/>
      <c r="AI52" s="1043"/>
      <c r="AJ52" s="1045"/>
    </row>
    <row r="53" spans="1:36" s="120" customFormat="1" ht="20.85" customHeight="1" x14ac:dyDescent="0.3">
      <c r="A53" s="1040"/>
      <c r="B53" s="1040"/>
      <c r="C53" s="1303"/>
      <c r="D53" s="1040"/>
      <c r="E53" s="1117"/>
      <c r="F53" s="1117"/>
      <c r="G53" s="1046"/>
      <c r="H53" s="1670"/>
      <c r="I53" s="1682"/>
      <c r="J53" s="1048"/>
      <c r="K53" s="1062"/>
      <c r="L53" s="88" t="s">
        <v>106</v>
      </c>
      <c r="M53" s="91">
        <v>0</v>
      </c>
      <c r="N53" s="88"/>
      <c r="O53" s="88"/>
      <c r="P53" s="88"/>
      <c r="Q53" s="89">
        <f t="shared" si="14"/>
        <v>0</v>
      </c>
      <c r="R53" s="88"/>
      <c r="S53" s="88"/>
      <c r="T53" s="88"/>
      <c r="U53" s="89">
        <f t="shared" si="13"/>
        <v>0</v>
      </c>
      <c r="V53" s="88"/>
      <c r="W53" s="88"/>
      <c r="X53" s="88"/>
      <c r="Y53" s="89">
        <f t="shared" si="8"/>
        <v>0</v>
      </c>
      <c r="Z53" s="88"/>
      <c r="AA53" s="88"/>
      <c r="AB53" s="88"/>
      <c r="AC53" s="89">
        <f t="shared" si="9"/>
        <v>0</v>
      </c>
      <c r="AD53" s="90"/>
      <c r="AE53" s="88">
        <f t="shared" si="11"/>
        <v>0</v>
      </c>
      <c r="AF53" s="118" t="str">
        <f t="shared" si="15"/>
        <v>0</v>
      </c>
      <c r="AG53" s="1048" t="str">
        <f ca="1">IF(OR(F53="", G53=""), "", IF(TODAY()&lt;F53, 0, IF(TODAY()&gt;G53, 1, (TODAY()-F53+1)/(G53-F53+1))))</f>
        <v/>
      </c>
      <c r="AH53" s="1040"/>
      <c r="AI53" s="1048"/>
      <c r="AJ53" s="1046">
        <f>G53*AI53</f>
        <v>0</v>
      </c>
    </row>
    <row r="54" spans="1:36" s="120" customFormat="1" ht="20.85" customHeight="1" x14ac:dyDescent="0.3">
      <c r="A54" s="1041"/>
      <c r="B54" s="1041"/>
      <c r="C54" s="1304"/>
      <c r="D54" s="1041"/>
      <c r="E54" s="1118"/>
      <c r="F54" s="1118"/>
      <c r="G54" s="1047"/>
      <c r="H54" s="1671"/>
      <c r="I54" s="1683"/>
      <c r="J54" s="1049"/>
      <c r="K54" s="1063"/>
      <c r="L54" s="88" t="s">
        <v>107</v>
      </c>
      <c r="M54" s="484">
        <v>0</v>
      </c>
      <c r="N54" s="88"/>
      <c r="O54" s="88"/>
      <c r="P54" s="88"/>
      <c r="Q54" s="89">
        <f t="shared" si="14"/>
        <v>0</v>
      </c>
      <c r="R54" s="88"/>
      <c r="S54" s="88"/>
      <c r="T54" s="88"/>
      <c r="U54" s="89">
        <f t="shared" si="13"/>
        <v>0</v>
      </c>
      <c r="V54" s="88"/>
      <c r="W54" s="88"/>
      <c r="X54" s="88"/>
      <c r="Y54" s="89">
        <f t="shared" si="8"/>
        <v>0</v>
      </c>
      <c r="Z54" s="88"/>
      <c r="AA54" s="88"/>
      <c r="AB54" s="88"/>
      <c r="AC54" s="89">
        <f t="shared" si="9"/>
        <v>0</v>
      </c>
      <c r="AD54" s="90"/>
      <c r="AE54" s="88">
        <f t="shared" si="11"/>
        <v>0</v>
      </c>
      <c r="AF54" s="118" t="str">
        <f t="shared" si="15"/>
        <v>0</v>
      </c>
      <c r="AG54" s="1049"/>
      <c r="AH54" s="1041"/>
      <c r="AI54" s="1049"/>
      <c r="AJ54" s="1047"/>
    </row>
    <row r="55" spans="1:36" s="120" customFormat="1" ht="20.85" customHeight="1" x14ac:dyDescent="0.3">
      <c r="A55" s="1142"/>
      <c r="B55" s="1099"/>
      <c r="C55" s="1363"/>
      <c r="D55" s="1099"/>
      <c r="E55" s="1101"/>
      <c r="F55" s="1101"/>
      <c r="G55" s="1672"/>
      <c r="H55" s="1674"/>
      <c r="I55" s="1680"/>
      <c r="J55" s="1367"/>
      <c r="K55" s="1064"/>
      <c r="L55" s="94" t="s">
        <v>106</v>
      </c>
      <c r="M55" s="96">
        <v>0</v>
      </c>
      <c r="N55" s="94"/>
      <c r="O55" s="94"/>
      <c r="P55" s="94"/>
      <c r="Q55" s="89">
        <f t="shared" si="14"/>
        <v>0</v>
      </c>
      <c r="R55" s="94"/>
      <c r="S55" s="94"/>
      <c r="T55" s="94"/>
      <c r="U55" s="89">
        <f t="shared" si="13"/>
        <v>0</v>
      </c>
      <c r="V55" s="94"/>
      <c r="W55" s="94"/>
      <c r="X55" s="94"/>
      <c r="Y55" s="89">
        <f t="shared" si="8"/>
        <v>0</v>
      </c>
      <c r="Z55" s="94"/>
      <c r="AA55" s="94"/>
      <c r="AB55" s="94"/>
      <c r="AC55" s="89">
        <f t="shared" si="9"/>
        <v>0</v>
      </c>
      <c r="AD55" s="95"/>
      <c r="AE55" s="94">
        <f t="shared" si="11"/>
        <v>0</v>
      </c>
      <c r="AF55" s="123" t="str">
        <f t="shared" si="15"/>
        <v>0</v>
      </c>
      <c r="AG55" s="1367" t="str">
        <f ca="1">IF(OR(F55="", G55=""), "", IF(TODAY()&lt;F55, 0, IF(TODAY()&gt;G55, 1, (TODAY()-F55+1)/(G55-F55+1))))</f>
        <v/>
      </c>
      <c r="AH55" s="1038"/>
      <c r="AI55" s="1042"/>
      <c r="AJ55" s="1044">
        <f>G55*AI55</f>
        <v>0</v>
      </c>
    </row>
    <row r="56" spans="1:36" s="120" customFormat="1" ht="20.85" customHeight="1" x14ac:dyDescent="0.3">
      <c r="A56" s="1143"/>
      <c r="B56" s="1100"/>
      <c r="C56" s="1364"/>
      <c r="D56" s="1100"/>
      <c r="E56" s="1102"/>
      <c r="F56" s="1102"/>
      <c r="G56" s="1673"/>
      <c r="H56" s="1675"/>
      <c r="I56" s="1681"/>
      <c r="J56" s="1368"/>
      <c r="K56" s="1065"/>
      <c r="L56" s="94" t="s">
        <v>107</v>
      </c>
      <c r="M56" s="485">
        <v>0</v>
      </c>
      <c r="N56" s="94"/>
      <c r="O56" s="94"/>
      <c r="P56" s="94"/>
      <c r="Q56" s="89">
        <f t="shared" si="14"/>
        <v>0</v>
      </c>
      <c r="R56" s="94"/>
      <c r="S56" s="94"/>
      <c r="T56" s="94"/>
      <c r="U56" s="89">
        <f t="shared" si="13"/>
        <v>0</v>
      </c>
      <c r="V56" s="94"/>
      <c r="W56" s="94"/>
      <c r="X56" s="94"/>
      <c r="Y56" s="89">
        <f t="shared" si="8"/>
        <v>0</v>
      </c>
      <c r="Z56" s="94"/>
      <c r="AA56" s="94"/>
      <c r="AB56" s="94"/>
      <c r="AC56" s="89">
        <f t="shared" si="9"/>
        <v>0</v>
      </c>
      <c r="AD56" s="95"/>
      <c r="AE56" s="94">
        <f t="shared" si="11"/>
        <v>0</v>
      </c>
      <c r="AF56" s="123" t="str">
        <f t="shared" si="15"/>
        <v>0</v>
      </c>
      <c r="AG56" s="1368"/>
      <c r="AH56" s="1039"/>
      <c r="AI56" s="1043"/>
      <c r="AJ56" s="1045"/>
    </row>
    <row r="57" spans="1:36" s="120" customFormat="1" ht="20.85" customHeight="1" x14ac:dyDescent="0.3">
      <c r="A57" s="1040"/>
      <c r="B57" s="1040"/>
      <c r="C57" s="1303"/>
      <c r="D57" s="1040"/>
      <c r="E57" s="1117"/>
      <c r="F57" s="1117"/>
      <c r="G57" s="1046"/>
      <c r="H57" s="1670"/>
      <c r="I57" s="1682"/>
      <c r="J57" s="1048"/>
      <c r="K57" s="1062"/>
      <c r="L57" s="88" t="s">
        <v>106</v>
      </c>
      <c r="M57" s="91">
        <v>0</v>
      </c>
      <c r="N57" s="88"/>
      <c r="O57" s="88"/>
      <c r="P57" s="88"/>
      <c r="Q57" s="89">
        <f t="shared" ref="Q57:Q68" si="16">SUM(N57:P57)</f>
        <v>0</v>
      </c>
      <c r="R57" s="88"/>
      <c r="S57" s="88"/>
      <c r="T57" s="88"/>
      <c r="U57" s="89">
        <f t="shared" ref="U57:U68" si="17">SUM(R57:T57)</f>
        <v>0</v>
      </c>
      <c r="V57" s="88"/>
      <c r="W57" s="88"/>
      <c r="X57" s="88"/>
      <c r="Y57" s="89">
        <f t="shared" si="8"/>
        <v>0</v>
      </c>
      <c r="Z57" s="88"/>
      <c r="AA57" s="88"/>
      <c r="AB57" s="88"/>
      <c r="AC57" s="89">
        <f t="shared" si="9"/>
        <v>0</v>
      </c>
      <c r="AD57" s="90"/>
      <c r="AE57" s="88">
        <f t="shared" si="11"/>
        <v>0</v>
      </c>
      <c r="AF57" s="118" t="str">
        <f t="shared" si="15"/>
        <v>0</v>
      </c>
      <c r="AG57" s="1048" t="str">
        <f ca="1">IF(OR(F57="", G57=""), "", IF(TODAY()&lt;F57, 0, IF(TODAY()&gt;G57, 1, (TODAY()-F57+1)/(G57-F57+1))))</f>
        <v/>
      </c>
      <c r="AH57" s="1040"/>
      <c r="AI57" s="1048"/>
      <c r="AJ57" s="1046">
        <f>G57*AI57</f>
        <v>0</v>
      </c>
    </row>
    <row r="58" spans="1:36" s="120" customFormat="1" ht="20.85" customHeight="1" x14ac:dyDescent="0.3">
      <c r="A58" s="1041"/>
      <c r="B58" s="1041"/>
      <c r="C58" s="1304"/>
      <c r="D58" s="1041"/>
      <c r="E58" s="1118"/>
      <c r="F58" s="1118"/>
      <c r="G58" s="1047"/>
      <c r="H58" s="1671"/>
      <c r="I58" s="1683"/>
      <c r="J58" s="1049"/>
      <c r="K58" s="1063"/>
      <c r="L58" s="88" t="s">
        <v>107</v>
      </c>
      <c r="M58" s="484">
        <v>0</v>
      </c>
      <c r="N58" s="88"/>
      <c r="O58" s="88"/>
      <c r="P58" s="88"/>
      <c r="Q58" s="89">
        <f t="shared" si="16"/>
        <v>0</v>
      </c>
      <c r="R58" s="88"/>
      <c r="S58" s="88"/>
      <c r="T58" s="88"/>
      <c r="U58" s="89">
        <f t="shared" si="17"/>
        <v>0</v>
      </c>
      <c r="V58" s="88"/>
      <c r="W58" s="88"/>
      <c r="X58" s="88"/>
      <c r="Y58" s="89">
        <f t="shared" si="8"/>
        <v>0</v>
      </c>
      <c r="Z58" s="88"/>
      <c r="AA58" s="88"/>
      <c r="AB58" s="88"/>
      <c r="AC58" s="89">
        <f t="shared" si="9"/>
        <v>0</v>
      </c>
      <c r="AD58" s="90"/>
      <c r="AE58" s="88">
        <f t="shared" si="11"/>
        <v>0</v>
      </c>
      <c r="AF58" s="118" t="str">
        <f t="shared" si="15"/>
        <v>0</v>
      </c>
      <c r="AG58" s="1049"/>
      <c r="AH58" s="1041"/>
      <c r="AI58" s="1049"/>
      <c r="AJ58" s="1047"/>
    </row>
    <row r="59" spans="1:36" s="120" customFormat="1" ht="20.85" customHeight="1" x14ac:dyDescent="0.3">
      <c r="A59" s="1142"/>
      <c r="B59" s="1099"/>
      <c r="C59" s="1363"/>
      <c r="D59" s="1099"/>
      <c r="E59" s="1101"/>
      <c r="F59" s="1101"/>
      <c r="G59" s="1672"/>
      <c r="H59" s="1674"/>
      <c r="I59" s="1680"/>
      <c r="J59" s="1367"/>
      <c r="K59" s="1064"/>
      <c r="L59" s="94" t="s">
        <v>106</v>
      </c>
      <c r="M59" s="96">
        <v>0</v>
      </c>
      <c r="N59" s="94"/>
      <c r="O59" s="94"/>
      <c r="P59" s="94"/>
      <c r="Q59" s="89">
        <f t="shared" si="16"/>
        <v>0</v>
      </c>
      <c r="R59" s="94"/>
      <c r="S59" s="94"/>
      <c r="T59" s="94"/>
      <c r="U59" s="89">
        <f t="shared" si="17"/>
        <v>0</v>
      </c>
      <c r="V59" s="94"/>
      <c r="W59" s="94"/>
      <c r="X59" s="94"/>
      <c r="Y59" s="89">
        <f t="shared" si="8"/>
        <v>0</v>
      </c>
      <c r="Z59" s="94"/>
      <c r="AA59" s="94"/>
      <c r="AB59" s="94"/>
      <c r="AC59" s="89">
        <f t="shared" si="9"/>
        <v>0</v>
      </c>
      <c r="AD59" s="95"/>
      <c r="AE59" s="94">
        <f t="shared" si="11"/>
        <v>0</v>
      </c>
      <c r="AF59" s="123" t="str">
        <f t="shared" si="15"/>
        <v>0</v>
      </c>
      <c r="AG59" s="1367" t="str">
        <f ca="1">IF(OR(F59="", G59=""), "", IF(TODAY()&lt;F59, 0, IF(TODAY()&gt;G59, 1, (TODAY()-F59+1)/(G59-F59+1))))</f>
        <v/>
      </c>
      <c r="AH59" s="1038"/>
      <c r="AI59" s="1042"/>
      <c r="AJ59" s="1044">
        <f>G59*AI59</f>
        <v>0</v>
      </c>
    </row>
    <row r="60" spans="1:36" s="120" customFormat="1" ht="20.85" customHeight="1" x14ac:dyDescent="0.3">
      <c r="A60" s="1143"/>
      <c r="B60" s="1100"/>
      <c r="C60" s="1364"/>
      <c r="D60" s="1100"/>
      <c r="E60" s="1102"/>
      <c r="F60" s="1102"/>
      <c r="G60" s="1673"/>
      <c r="H60" s="1675"/>
      <c r="I60" s="1681"/>
      <c r="J60" s="1368"/>
      <c r="K60" s="1065"/>
      <c r="L60" s="94" t="s">
        <v>107</v>
      </c>
      <c r="M60" s="485">
        <v>0</v>
      </c>
      <c r="N60" s="94"/>
      <c r="O60" s="94"/>
      <c r="P60" s="94"/>
      <c r="Q60" s="89">
        <f t="shared" si="16"/>
        <v>0</v>
      </c>
      <c r="R60" s="94"/>
      <c r="S60" s="94"/>
      <c r="T60" s="94"/>
      <c r="U60" s="89">
        <f t="shared" si="17"/>
        <v>0</v>
      </c>
      <c r="V60" s="94"/>
      <c r="W60" s="94"/>
      <c r="X60" s="94"/>
      <c r="Y60" s="89">
        <f t="shared" si="8"/>
        <v>0</v>
      </c>
      <c r="Z60" s="94"/>
      <c r="AA60" s="94"/>
      <c r="AB60" s="94"/>
      <c r="AC60" s="89">
        <f t="shared" si="9"/>
        <v>0</v>
      </c>
      <c r="AD60" s="95"/>
      <c r="AE60" s="94">
        <f t="shared" si="11"/>
        <v>0</v>
      </c>
      <c r="AF60" s="123" t="str">
        <f t="shared" si="15"/>
        <v>0</v>
      </c>
      <c r="AG60" s="1368"/>
      <c r="AH60" s="1039"/>
      <c r="AI60" s="1043"/>
      <c r="AJ60" s="1045"/>
    </row>
    <row r="61" spans="1:36" s="120" customFormat="1" ht="20.85" customHeight="1" x14ac:dyDescent="0.3">
      <c r="A61" s="1040"/>
      <c r="B61" s="1040"/>
      <c r="C61" s="1303"/>
      <c r="D61" s="1040"/>
      <c r="E61" s="1117"/>
      <c r="F61" s="1117"/>
      <c r="G61" s="1046"/>
      <c r="H61" s="1670"/>
      <c r="I61" s="1682"/>
      <c r="J61" s="1048"/>
      <c r="K61" s="1062"/>
      <c r="L61" s="88" t="s">
        <v>106</v>
      </c>
      <c r="M61" s="91">
        <v>0</v>
      </c>
      <c r="N61" s="88"/>
      <c r="O61" s="88"/>
      <c r="P61" s="88"/>
      <c r="Q61" s="89">
        <f t="shared" si="16"/>
        <v>0</v>
      </c>
      <c r="R61" s="88"/>
      <c r="S61" s="88"/>
      <c r="T61" s="88"/>
      <c r="U61" s="89">
        <f t="shared" si="17"/>
        <v>0</v>
      </c>
      <c r="V61" s="88"/>
      <c r="W61" s="88"/>
      <c r="X61" s="88"/>
      <c r="Y61" s="89">
        <f t="shared" si="8"/>
        <v>0</v>
      </c>
      <c r="Z61" s="88"/>
      <c r="AA61" s="88"/>
      <c r="AB61" s="88"/>
      <c r="AC61" s="89">
        <f t="shared" si="9"/>
        <v>0</v>
      </c>
      <c r="AD61" s="90"/>
      <c r="AE61" s="88">
        <f t="shared" si="11"/>
        <v>0</v>
      </c>
      <c r="AF61" s="118" t="str">
        <f t="shared" si="15"/>
        <v>0</v>
      </c>
      <c r="AG61" s="1048" t="str">
        <f ca="1">IF(OR(F61="", G61=""), "", IF(TODAY()&lt;F61, 0, IF(TODAY()&gt;G61, 1, (TODAY()-F61+1)/(G61-F61+1))))</f>
        <v/>
      </c>
      <c r="AH61" s="1040"/>
      <c r="AI61" s="1048"/>
      <c r="AJ61" s="1046">
        <f>G61*AI61</f>
        <v>0</v>
      </c>
    </row>
    <row r="62" spans="1:36" s="120" customFormat="1" ht="20.85" customHeight="1" x14ac:dyDescent="0.3">
      <c r="A62" s="1041"/>
      <c r="B62" s="1041"/>
      <c r="C62" s="1304"/>
      <c r="D62" s="1041"/>
      <c r="E62" s="1118"/>
      <c r="F62" s="1118"/>
      <c r="G62" s="1047"/>
      <c r="H62" s="1671"/>
      <c r="I62" s="1683"/>
      <c r="J62" s="1049"/>
      <c r="K62" s="1063"/>
      <c r="L62" s="88" t="s">
        <v>107</v>
      </c>
      <c r="M62" s="484">
        <v>0</v>
      </c>
      <c r="N62" s="88"/>
      <c r="O62" s="88"/>
      <c r="P62" s="88"/>
      <c r="Q62" s="89">
        <f t="shared" si="16"/>
        <v>0</v>
      </c>
      <c r="R62" s="88"/>
      <c r="S62" s="88"/>
      <c r="T62" s="88"/>
      <c r="U62" s="89">
        <f t="shared" si="17"/>
        <v>0</v>
      </c>
      <c r="V62" s="88"/>
      <c r="W62" s="88"/>
      <c r="X62" s="88"/>
      <c r="Y62" s="89">
        <f t="shared" si="8"/>
        <v>0</v>
      </c>
      <c r="Z62" s="88"/>
      <c r="AA62" s="88"/>
      <c r="AB62" s="88"/>
      <c r="AC62" s="89">
        <f t="shared" si="9"/>
        <v>0</v>
      </c>
      <c r="AD62" s="90"/>
      <c r="AE62" s="88">
        <f t="shared" si="11"/>
        <v>0</v>
      </c>
      <c r="AF62" s="118" t="str">
        <f t="shared" si="15"/>
        <v>0</v>
      </c>
      <c r="AG62" s="1049"/>
      <c r="AH62" s="1041"/>
      <c r="AI62" s="1049"/>
      <c r="AJ62" s="1047"/>
    </row>
    <row r="63" spans="1:36" s="120" customFormat="1" ht="20.85" customHeight="1" x14ac:dyDescent="0.3">
      <c r="A63" s="1142"/>
      <c r="B63" s="1099"/>
      <c r="C63" s="1363"/>
      <c r="D63" s="1099"/>
      <c r="E63" s="1101"/>
      <c r="F63" s="1101"/>
      <c r="G63" s="1672"/>
      <c r="H63" s="1674"/>
      <c r="I63" s="1680"/>
      <c r="J63" s="1367"/>
      <c r="K63" s="1064"/>
      <c r="L63" s="94" t="s">
        <v>106</v>
      </c>
      <c r="M63" s="96">
        <v>0</v>
      </c>
      <c r="N63" s="94"/>
      <c r="O63" s="94"/>
      <c r="P63" s="94"/>
      <c r="Q63" s="89">
        <f t="shared" si="16"/>
        <v>0</v>
      </c>
      <c r="R63" s="94"/>
      <c r="S63" s="94"/>
      <c r="T63" s="94"/>
      <c r="U63" s="89">
        <f t="shared" si="17"/>
        <v>0</v>
      </c>
      <c r="V63" s="94"/>
      <c r="W63" s="94"/>
      <c r="X63" s="94"/>
      <c r="Y63" s="89">
        <f t="shared" si="8"/>
        <v>0</v>
      </c>
      <c r="Z63" s="94"/>
      <c r="AA63" s="94"/>
      <c r="AB63" s="94"/>
      <c r="AC63" s="89">
        <f t="shared" si="9"/>
        <v>0</v>
      </c>
      <c r="AD63" s="95"/>
      <c r="AE63" s="94">
        <f t="shared" si="11"/>
        <v>0</v>
      </c>
      <c r="AF63" s="123" t="str">
        <f t="shared" si="15"/>
        <v>0</v>
      </c>
      <c r="AG63" s="1367" t="str">
        <f ca="1">IF(OR(F63="", G63=""), "", IF(TODAY()&lt;F63, 0, IF(TODAY()&gt;G63, 1, (TODAY()-F63+1)/(G63-F63+1))))</f>
        <v/>
      </c>
      <c r="AH63" s="1038"/>
      <c r="AI63" s="1042"/>
      <c r="AJ63" s="1044">
        <f>G63*AI63</f>
        <v>0</v>
      </c>
    </row>
    <row r="64" spans="1:36" s="120" customFormat="1" ht="20.85" customHeight="1" x14ac:dyDescent="0.3">
      <c r="A64" s="1143"/>
      <c r="B64" s="1100"/>
      <c r="C64" s="1364"/>
      <c r="D64" s="1100"/>
      <c r="E64" s="1102"/>
      <c r="F64" s="1102"/>
      <c r="G64" s="1673"/>
      <c r="H64" s="1675"/>
      <c r="I64" s="1681"/>
      <c r="J64" s="1368"/>
      <c r="K64" s="1065"/>
      <c r="L64" s="94" t="s">
        <v>107</v>
      </c>
      <c r="M64" s="485">
        <v>0</v>
      </c>
      <c r="N64" s="94"/>
      <c r="O64" s="94"/>
      <c r="P64" s="94"/>
      <c r="Q64" s="89">
        <f t="shared" si="16"/>
        <v>0</v>
      </c>
      <c r="R64" s="94"/>
      <c r="S64" s="94"/>
      <c r="T64" s="94"/>
      <c r="U64" s="89">
        <f t="shared" si="17"/>
        <v>0</v>
      </c>
      <c r="V64" s="94"/>
      <c r="W64" s="94"/>
      <c r="X64" s="94"/>
      <c r="Y64" s="89">
        <f t="shared" si="8"/>
        <v>0</v>
      </c>
      <c r="Z64" s="94"/>
      <c r="AA64" s="94"/>
      <c r="AB64" s="94"/>
      <c r="AC64" s="89">
        <f t="shared" si="9"/>
        <v>0</v>
      </c>
      <c r="AD64" s="95"/>
      <c r="AE64" s="94">
        <f t="shared" si="11"/>
        <v>0</v>
      </c>
      <c r="AF64" s="123" t="str">
        <f t="shared" si="15"/>
        <v>0</v>
      </c>
      <c r="AG64" s="1368"/>
      <c r="AH64" s="1039"/>
      <c r="AI64" s="1043"/>
      <c r="AJ64" s="1045"/>
    </row>
    <row r="65" spans="1:36" s="120" customFormat="1" ht="20.85" customHeight="1" x14ac:dyDescent="0.3">
      <c r="A65" s="1040"/>
      <c r="B65" s="1040"/>
      <c r="C65" s="1303"/>
      <c r="D65" s="1040"/>
      <c r="E65" s="1117"/>
      <c r="F65" s="1117"/>
      <c r="G65" s="1046"/>
      <c r="H65" s="1670"/>
      <c r="I65" s="1682"/>
      <c r="J65" s="1048"/>
      <c r="K65" s="1062"/>
      <c r="L65" s="88" t="s">
        <v>106</v>
      </c>
      <c r="M65" s="91">
        <v>0</v>
      </c>
      <c r="N65" s="88"/>
      <c r="O65" s="88"/>
      <c r="P65" s="88"/>
      <c r="Q65" s="89">
        <f t="shared" si="16"/>
        <v>0</v>
      </c>
      <c r="R65" s="88"/>
      <c r="S65" s="88"/>
      <c r="T65" s="88"/>
      <c r="U65" s="89">
        <f t="shared" si="17"/>
        <v>0</v>
      </c>
      <c r="V65" s="88"/>
      <c r="W65" s="88"/>
      <c r="X65" s="88"/>
      <c r="Y65" s="89">
        <f t="shared" si="8"/>
        <v>0</v>
      </c>
      <c r="Z65" s="88"/>
      <c r="AA65" s="88"/>
      <c r="AB65" s="88"/>
      <c r="AC65" s="89">
        <f t="shared" si="9"/>
        <v>0</v>
      </c>
      <c r="AD65" s="90"/>
      <c r="AE65" s="88">
        <f t="shared" si="11"/>
        <v>0</v>
      </c>
      <c r="AF65" s="118" t="str">
        <f t="shared" si="15"/>
        <v>0</v>
      </c>
      <c r="AG65" s="1048" t="str">
        <f ca="1">IF(OR(F65="", G65=""), "", IF(TODAY()&lt;F65, 0, IF(TODAY()&gt;G65, 1, (TODAY()-F65+1)/(G65-F65+1))))</f>
        <v/>
      </c>
      <c r="AH65" s="1040"/>
      <c r="AI65" s="1048"/>
      <c r="AJ65" s="1046">
        <f>G65*AI65</f>
        <v>0</v>
      </c>
    </row>
    <row r="66" spans="1:36" s="120" customFormat="1" ht="20.85" customHeight="1" x14ac:dyDescent="0.3">
      <c r="A66" s="1041"/>
      <c r="B66" s="1041"/>
      <c r="C66" s="1304"/>
      <c r="D66" s="1041"/>
      <c r="E66" s="1118"/>
      <c r="F66" s="1118"/>
      <c r="G66" s="1047"/>
      <c r="H66" s="1671"/>
      <c r="I66" s="1683"/>
      <c r="J66" s="1049"/>
      <c r="K66" s="1063"/>
      <c r="L66" s="88" t="s">
        <v>107</v>
      </c>
      <c r="M66" s="484">
        <v>0</v>
      </c>
      <c r="N66" s="88"/>
      <c r="O66" s="88"/>
      <c r="P66" s="88"/>
      <c r="Q66" s="89">
        <f t="shared" si="16"/>
        <v>0</v>
      </c>
      <c r="R66" s="88"/>
      <c r="S66" s="88"/>
      <c r="T66" s="88"/>
      <c r="U66" s="89">
        <f t="shared" si="17"/>
        <v>0</v>
      </c>
      <c r="V66" s="88"/>
      <c r="W66" s="88"/>
      <c r="X66" s="88"/>
      <c r="Y66" s="89">
        <f t="shared" si="8"/>
        <v>0</v>
      </c>
      <c r="Z66" s="88"/>
      <c r="AA66" s="88"/>
      <c r="AB66" s="88"/>
      <c r="AC66" s="89">
        <f t="shared" si="9"/>
        <v>0</v>
      </c>
      <c r="AD66" s="90"/>
      <c r="AE66" s="88">
        <f t="shared" si="11"/>
        <v>0</v>
      </c>
      <c r="AF66" s="118" t="str">
        <f t="shared" si="15"/>
        <v>0</v>
      </c>
      <c r="AG66" s="1049"/>
      <c r="AH66" s="1041"/>
      <c r="AI66" s="1049"/>
      <c r="AJ66" s="1047"/>
    </row>
    <row r="67" spans="1:36" s="120" customFormat="1" ht="20.85" customHeight="1" x14ac:dyDescent="0.3">
      <c r="A67" s="1142"/>
      <c r="B67" s="1099"/>
      <c r="C67" s="1363"/>
      <c r="D67" s="1099"/>
      <c r="E67" s="1101"/>
      <c r="F67" s="1101"/>
      <c r="G67" s="1672"/>
      <c r="H67" s="1674"/>
      <c r="I67" s="1680"/>
      <c r="J67" s="1367"/>
      <c r="K67" s="1064"/>
      <c r="L67" s="94" t="s">
        <v>106</v>
      </c>
      <c r="M67" s="96">
        <v>0</v>
      </c>
      <c r="N67" s="94"/>
      <c r="O67" s="94"/>
      <c r="P67" s="94"/>
      <c r="Q67" s="89">
        <f t="shared" si="16"/>
        <v>0</v>
      </c>
      <c r="R67" s="94"/>
      <c r="S67" s="94"/>
      <c r="T67" s="94"/>
      <c r="U67" s="89">
        <f t="shared" si="17"/>
        <v>0</v>
      </c>
      <c r="V67" s="94"/>
      <c r="W67" s="94"/>
      <c r="X67" s="94"/>
      <c r="Y67" s="89">
        <f t="shared" si="8"/>
        <v>0</v>
      </c>
      <c r="Z67" s="94"/>
      <c r="AA67" s="94"/>
      <c r="AB67" s="94"/>
      <c r="AC67" s="89">
        <f t="shared" si="9"/>
        <v>0</v>
      </c>
      <c r="AD67" s="95"/>
      <c r="AE67" s="94">
        <f t="shared" si="11"/>
        <v>0</v>
      </c>
      <c r="AF67" s="123" t="str">
        <f t="shared" si="15"/>
        <v>0</v>
      </c>
      <c r="AG67" s="1367" t="str">
        <f ca="1">IF(OR(F67="", G67=""), "", IF(TODAY()&lt;F67, 0, IF(TODAY()&gt;G67, 1, (TODAY()-F67+1)/(G67-F67+1))))</f>
        <v/>
      </c>
      <c r="AH67" s="1038"/>
      <c r="AI67" s="1042"/>
      <c r="AJ67" s="1044">
        <f>G67*AI67</f>
        <v>0</v>
      </c>
    </row>
    <row r="68" spans="1:36" s="120" customFormat="1" ht="20.85" customHeight="1" x14ac:dyDescent="0.3">
      <c r="A68" s="1143"/>
      <c r="B68" s="1100"/>
      <c r="C68" s="1364"/>
      <c r="D68" s="1100"/>
      <c r="E68" s="1102"/>
      <c r="F68" s="1102"/>
      <c r="G68" s="1673"/>
      <c r="H68" s="1675"/>
      <c r="I68" s="1681"/>
      <c r="J68" s="1368"/>
      <c r="K68" s="1065"/>
      <c r="L68" s="94" t="s">
        <v>107</v>
      </c>
      <c r="M68" s="485">
        <v>0</v>
      </c>
      <c r="N68" s="94"/>
      <c r="O68" s="94"/>
      <c r="P68" s="94"/>
      <c r="Q68" s="89">
        <f t="shared" si="16"/>
        <v>0</v>
      </c>
      <c r="R68" s="94"/>
      <c r="S68" s="94"/>
      <c r="T68" s="94"/>
      <c r="U68" s="89">
        <f t="shared" si="17"/>
        <v>0</v>
      </c>
      <c r="V68" s="94"/>
      <c r="W68" s="94"/>
      <c r="X68" s="94"/>
      <c r="Y68" s="89">
        <f t="shared" si="8"/>
        <v>0</v>
      </c>
      <c r="Z68" s="94"/>
      <c r="AA68" s="94"/>
      <c r="AB68" s="94"/>
      <c r="AC68" s="89">
        <f t="shared" si="9"/>
        <v>0</v>
      </c>
      <c r="AD68" s="95"/>
      <c r="AE68" s="94">
        <f t="shared" si="11"/>
        <v>0</v>
      </c>
      <c r="AF68" s="123" t="str">
        <f t="shared" si="15"/>
        <v>0</v>
      </c>
      <c r="AG68" s="1368"/>
      <c r="AH68" s="1039"/>
      <c r="AI68" s="1043"/>
      <c r="AJ68" s="1045"/>
    </row>
    <row r="69" spans="1:36" s="120" customFormat="1" ht="20.85" customHeight="1" x14ac:dyDescent="0.3">
      <c r="AH69" s="62"/>
    </row>
    <row r="70" spans="1:36" x14ac:dyDescent="0.3">
      <c r="K70" s="151"/>
      <c r="L70" s="151">
        <v>46023</v>
      </c>
      <c r="M70" s="151">
        <v>46054</v>
      </c>
      <c r="N70" s="151">
        <v>46082</v>
      </c>
      <c r="O70" s="151">
        <v>46113</v>
      </c>
      <c r="P70" s="151">
        <v>46143</v>
      </c>
      <c r="Q70" s="151">
        <v>46174</v>
      </c>
      <c r="R70" s="151">
        <v>46204</v>
      </c>
      <c r="S70" s="151">
        <v>46235</v>
      </c>
      <c r="T70" s="151">
        <v>46266</v>
      </c>
      <c r="U70" s="151">
        <v>46296</v>
      </c>
      <c r="V70" s="151">
        <v>46327</v>
      </c>
      <c r="W70" s="151">
        <v>46357</v>
      </c>
      <c r="X70" s="151" t="s">
        <v>550</v>
      </c>
    </row>
    <row r="71" spans="1:36" x14ac:dyDescent="0.3">
      <c r="K71" s="151" t="s">
        <v>106</v>
      </c>
      <c r="L71" s="152" cm="1">
        <f t="array" ref="L71">SUMPRODUCT(
($L$17:$L$68="Previsto")*
INDEX($N$17:$AC$68,0,MATCH(L$70,$N$16:$AC$16,0))
)</f>
        <v>0</v>
      </c>
      <c r="M71" s="152" cm="1">
        <f t="array" ref="M71">SUMPRODUCT(
($L$17:$L$68="Previsto")*
INDEX($N$17:$AC$68,0,MATCH(M$70,$N$16:$AC$16,0))
)</f>
        <v>0</v>
      </c>
      <c r="N71" s="152" cm="1">
        <f t="array" ref="N71">SUMPRODUCT(
($L$17:$L$68="Previsto")*
INDEX($N$17:$AC$68,0,MATCH(N$70,$N$16:$AC$16,0))
)</f>
        <v>0</v>
      </c>
      <c r="O71" s="152" cm="1">
        <f t="array" ref="O71">SUMPRODUCT(
($L$17:$L$68="Previsto")*
INDEX($N$17:$AC$68,0,MATCH(O$70,$N$16:$AC$16,0))
)</f>
        <v>0</v>
      </c>
      <c r="P71" s="152" cm="1">
        <f t="array" ref="P71">SUMPRODUCT(
($L$17:$L$68="Previsto")*
INDEX($N$17:$AC$68,0,MATCH(P$70,$N$16:$AC$16,0))
)</f>
        <v>0</v>
      </c>
      <c r="Q71" s="152" cm="1">
        <f t="array" ref="Q71">SUMPRODUCT(
($L$17:$L$68="Previsto")*
INDEX($N$17:$AC$68,0,MATCH(Q$70,$N$16:$AC$16,0))
)</f>
        <v>0</v>
      </c>
      <c r="R71" s="152" cm="1">
        <f t="array" ref="R71">SUMPRODUCT(
($L$17:$L$68="Previsto")*
INDEX($N$17:$AC$68,0,MATCH(R$70,$N$16:$AC$16,0))
)</f>
        <v>0</v>
      </c>
      <c r="S71" s="152" cm="1">
        <f t="array" ref="S71">SUMPRODUCT(
($L$17:$L$68="Previsto")*
INDEX($N$17:$AC$68,0,MATCH(S$70,$N$16:$AC$16,0))
)</f>
        <v>0</v>
      </c>
      <c r="T71" s="152" cm="1">
        <f t="array" ref="T71">SUMPRODUCT(
($L$17:$L$68="Previsto")*
INDEX($N$17:$AC$68,0,MATCH(T$70,$N$16:$AC$16,0))
)</f>
        <v>0</v>
      </c>
      <c r="U71" s="152" cm="1">
        <f t="array" ref="U71">SUMPRODUCT(
($L$17:$L$68="Previsto")*
INDEX($N$17:$AC$68,0,MATCH(U$70,$N$16:$AC$16,0))
)</f>
        <v>0</v>
      </c>
      <c r="V71" s="152" cm="1">
        <f t="array" ref="V71">SUMPRODUCT(
($L$17:$L$68="Previsto")*
INDEX($N$17:$AC$68,0,MATCH(V$70,$N$16:$AC$16,0))
)</f>
        <v>0</v>
      </c>
      <c r="W71" s="152" cm="1">
        <f t="array" ref="W71">SUMPRODUCT(
($L$17:$L$68="Previsto")*
INDEX($N$17:$AC$68,0,MATCH(W$70,$N$16:$AC$16,0))
)</f>
        <v>0</v>
      </c>
      <c r="X71" s="152">
        <f>SUM(L71:W71)</f>
        <v>0</v>
      </c>
    </row>
    <row r="72" spans="1:36" x14ac:dyDescent="0.3">
      <c r="K72" s="153" t="s">
        <v>107</v>
      </c>
      <c r="L72" s="154" cm="1">
        <f t="array" ref="L72">SUMPRODUCT(
($L$17:$L$68="Real")*
INDEX($N$17:$AC$68,0,MATCH(L$70,$N$16:$AC$16,0))
)</f>
        <v>0</v>
      </c>
      <c r="M72" s="154" cm="1">
        <f t="array" ref="M72">SUMPRODUCT(
($L$17:$L$68="Real")*
INDEX($N$17:$AC$68,0,MATCH(M$70,$N$16:$AC$16,0))
)</f>
        <v>0</v>
      </c>
      <c r="N72" s="154" cm="1">
        <f t="array" ref="N72">SUMPRODUCT(
($L$17:$L$68="Real")*
INDEX($N$17:$AC$68,0,MATCH(N$70,$N$16:$AC$16,0))
)</f>
        <v>0</v>
      </c>
      <c r="O72" s="154" cm="1">
        <f t="array" ref="O72">SUMPRODUCT(
($L$17:$L$68="Real")*
INDEX($N$17:$AC$68,0,MATCH(O$70,$N$16:$AC$16,0))
)</f>
        <v>0</v>
      </c>
      <c r="P72" s="154" cm="1">
        <f t="array" ref="P72">SUMPRODUCT(
($L$17:$L$68="Real")*
INDEX($N$17:$AC$68,0,MATCH(P$70,$N$16:$AC$16,0))
)</f>
        <v>0</v>
      </c>
      <c r="Q72" s="154" cm="1">
        <f t="array" ref="Q72">SUMPRODUCT(
($L$17:$L$68="Real")*
INDEX($N$17:$AC$68,0,MATCH(Q$70,$N$16:$AC$16,0))
)</f>
        <v>0</v>
      </c>
      <c r="R72" s="154" cm="1">
        <f t="array" ref="R72">SUMPRODUCT(
($L$17:$L$68="Real")*
INDEX($N$17:$AC$68,0,MATCH(R$70,$N$16:$AC$16,0))
)</f>
        <v>0</v>
      </c>
      <c r="S72" s="154" cm="1">
        <f t="array" ref="S72">SUMPRODUCT(
($L$17:$L$68="Real")*
INDEX($N$17:$AC$68,0,MATCH(S$70,$N$16:$AC$16,0))
)</f>
        <v>0</v>
      </c>
      <c r="T72" s="154" cm="1">
        <f t="array" ref="T72">SUMPRODUCT(
($L$17:$L$68="Real")*
INDEX($N$17:$AC$68,0,MATCH(T$70,$N$16:$AC$16,0))
)</f>
        <v>0</v>
      </c>
      <c r="U72" s="154" cm="1">
        <f t="array" ref="U72">SUMPRODUCT(
($L$17:$L$68="Real")*
INDEX($N$17:$AC$68,0,MATCH(U$70,$N$16:$AC$16,0))
)</f>
        <v>0</v>
      </c>
      <c r="V72" s="154" cm="1">
        <f t="array" ref="V72">SUMPRODUCT(
($L$17:$L$68="Real")*
INDEX($N$17:$AC$68,0,MATCH(V$70,$N$16:$AC$16,0))
)</f>
        <v>0</v>
      </c>
      <c r="W72" s="154" cm="1">
        <f t="array" ref="W72">SUMPRODUCT(
($L$17:$L$68="Real")*
INDEX($N$17:$AC$68,0,MATCH(W$70,$N$16:$AC$16,0))
)</f>
        <v>0</v>
      </c>
      <c r="X72" s="154">
        <f>SUM(L72:W72)</f>
        <v>0</v>
      </c>
    </row>
    <row r="73" spans="1:36" x14ac:dyDescent="0.3">
      <c r="K73" s="160" t="s">
        <v>566</v>
      </c>
      <c r="L73" s="160" cm="1">
        <f t="array" ref="L73">SUMPRODUCT(
($E$17:$E$68&lt;&gt;"")*
($E$17:$E$68&lt;=L$70)*
(($F$17:$F$68="")+($F$17:$F$68&gt;=L$70))
)</f>
        <v>0</v>
      </c>
      <c r="M73" s="160" cm="1">
        <f t="array" ref="M73">SUMPRODUCT(
($E$17:$E$68&lt;&gt;"")*
($E$17:$E$68&lt;=M$70)*
(($F$17:$F$68="")+($F$17:$F$68&gt;=M$70))
)</f>
        <v>0</v>
      </c>
      <c r="N73" s="160" cm="1">
        <f t="array" ref="N73">SUMPRODUCT(
($E$17:$E$68&lt;&gt;"")*
($E$17:$E$68&lt;=N$70)*
(($F$17:$F$68="")+($F$17:$F$68&gt;=N$70))
)</f>
        <v>0</v>
      </c>
      <c r="O73" s="160" cm="1">
        <f t="array" ref="O73">SUMPRODUCT(
($E$17:$E$68&lt;&gt;"")*
($E$17:$E$68&lt;=O$70)*
(($F$17:$F$68="")+($F$17:$F$68&gt;=O$70))
)</f>
        <v>0</v>
      </c>
      <c r="P73" s="160" cm="1">
        <f t="array" ref="P73">SUMPRODUCT(
($E$17:$E$68&lt;&gt;"")*
($E$17:$E$68&lt;=P$70)*
(($F$17:$F$68="")+($F$17:$F$68&gt;=P$70))
)</f>
        <v>0</v>
      </c>
      <c r="Q73" s="160" cm="1">
        <f t="array" ref="Q73">SUMPRODUCT(
($E$17:$E$68&lt;&gt;"")*
($E$17:$E$68&lt;=Q$70)*
(($F$17:$F$68="")+($F$17:$F$68&gt;=Q$70))
)</f>
        <v>0</v>
      </c>
      <c r="R73" s="160" cm="1">
        <f t="array" ref="R73">SUMPRODUCT(
($E$17:$E$68&lt;&gt;"")*
($E$17:$E$68&lt;=R$70)*
(($F$17:$F$68="")+($F$17:$F$68&gt;=R$70))
)</f>
        <v>0</v>
      </c>
      <c r="S73" s="160" cm="1">
        <f t="array" ref="S73">SUMPRODUCT(
($E$17:$E$68&lt;&gt;"")*
($E$17:$E$68&lt;=S$70)*
(($F$17:$F$68="")+($F$17:$F$68&gt;=S$70))
)</f>
        <v>0</v>
      </c>
      <c r="T73" s="160" cm="1">
        <f t="array" ref="T73">SUMPRODUCT(
($E$17:$E$68&lt;&gt;"")*
($E$17:$E$68&lt;=T$70)*
(($F$17:$F$68="")+($F$17:$F$68&gt;=T$70))
)</f>
        <v>0</v>
      </c>
      <c r="U73" s="160" cm="1">
        <f t="array" ref="U73">SUMPRODUCT(
($E$17:$E$68&lt;&gt;"")*
($E$17:$E$68&lt;=U$70)*
(($F$17:$F$68="")+($F$17:$F$68&gt;=U$70))
)</f>
        <v>0</v>
      </c>
      <c r="V73" s="160" cm="1">
        <f t="array" ref="V73">SUMPRODUCT(
($E$17:$E$68&lt;&gt;"")*
($E$17:$E$68&lt;=V$70)*
(($F$17:$F$68="")+($F$17:$F$68&gt;=V$70))
)</f>
        <v>0</v>
      </c>
      <c r="W73" s="160" cm="1">
        <f t="array" ref="W73">SUMPRODUCT(
($E$17:$E$68&lt;&gt;"")*
($E$17:$E$68&lt;=W$70)*
(($F$17:$F$68="")+($F$17:$F$68&gt;=W$70))
)</f>
        <v>0</v>
      </c>
      <c r="X73" s="160"/>
    </row>
  </sheetData>
  <sheetProtection formatCells="0" formatColumns="0" formatRows="0" insertHyperlinks="0"/>
  <mergeCells count="415">
    <mergeCell ref="O1:AB1"/>
    <mergeCell ref="AC1:AG1"/>
    <mergeCell ref="O2:AB2"/>
    <mergeCell ref="AC2:AG2"/>
    <mergeCell ref="A1:N1"/>
    <mergeCell ref="A2:N2"/>
    <mergeCell ref="A4:B4"/>
    <mergeCell ref="C4:D4"/>
    <mergeCell ref="E4:F4"/>
    <mergeCell ref="G4:I4"/>
    <mergeCell ref="J4:L4"/>
    <mergeCell ref="M4:N4"/>
    <mergeCell ref="K17:K18"/>
    <mergeCell ref="J17:J18"/>
    <mergeCell ref="M5:N5"/>
    <mergeCell ref="A7:E7"/>
    <mergeCell ref="G7:I7"/>
    <mergeCell ref="A5:B5"/>
    <mergeCell ref="C5:D5"/>
    <mergeCell ref="E5:F5"/>
    <mergeCell ref="G5:I5"/>
    <mergeCell ref="J5:L5"/>
    <mergeCell ref="A17:A18"/>
    <mergeCell ref="B17:B18"/>
    <mergeCell ref="C17:C18"/>
    <mergeCell ref="D17:D18"/>
    <mergeCell ref="E17:E18"/>
    <mergeCell ref="F17:F18"/>
    <mergeCell ref="G17:G18"/>
    <mergeCell ref="H17:H18"/>
    <mergeCell ref="I17:I18"/>
    <mergeCell ref="K7:M7"/>
    <mergeCell ref="K21:K22"/>
    <mergeCell ref="F19:F20"/>
    <mergeCell ref="G19:G20"/>
    <mergeCell ref="H19:H20"/>
    <mergeCell ref="I19:I20"/>
    <mergeCell ref="K19:K20"/>
    <mergeCell ref="A19:A20"/>
    <mergeCell ref="B19:B20"/>
    <mergeCell ref="C19:C20"/>
    <mergeCell ref="D19:D20"/>
    <mergeCell ref="E19:E20"/>
    <mergeCell ref="J19:J20"/>
    <mergeCell ref="J21:J22"/>
    <mergeCell ref="A21:A22"/>
    <mergeCell ref="B21:B22"/>
    <mergeCell ref="C21:C22"/>
    <mergeCell ref="D21:D22"/>
    <mergeCell ref="E21:E22"/>
    <mergeCell ref="F21:F22"/>
    <mergeCell ref="G21:G22"/>
    <mergeCell ref="H21:H22"/>
    <mergeCell ref="I21:I22"/>
    <mergeCell ref="K25:K26"/>
    <mergeCell ref="F23:F24"/>
    <mergeCell ref="G23:G24"/>
    <mergeCell ref="H23:H24"/>
    <mergeCell ref="I23:I24"/>
    <mergeCell ref="K23:K24"/>
    <mergeCell ref="A23:A24"/>
    <mergeCell ref="B23:B24"/>
    <mergeCell ref="C23:C24"/>
    <mergeCell ref="D23:D24"/>
    <mergeCell ref="E23:E24"/>
    <mergeCell ref="J23:J24"/>
    <mergeCell ref="J25:J26"/>
    <mergeCell ref="A25:A26"/>
    <mergeCell ref="B25:B26"/>
    <mergeCell ref="C25:C26"/>
    <mergeCell ref="D25:D26"/>
    <mergeCell ref="E25:E26"/>
    <mergeCell ref="F25:F26"/>
    <mergeCell ref="G25:G26"/>
    <mergeCell ref="H25:H26"/>
    <mergeCell ref="I25:I26"/>
    <mergeCell ref="K29:K30"/>
    <mergeCell ref="F27:F28"/>
    <mergeCell ref="G27:G28"/>
    <mergeCell ref="H27:H28"/>
    <mergeCell ref="I27:I28"/>
    <mergeCell ref="K27:K28"/>
    <mergeCell ref="A27:A28"/>
    <mergeCell ref="B27:B28"/>
    <mergeCell ref="C27:C28"/>
    <mergeCell ref="D27:D28"/>
    <mergeCell ref="E27:E28"/>
    <mergeCell ref="J27:J28"/>
    <mergeCell ref="J29:J30"/>
    <mergeCell ref="A29:A30"/>
    <mergeCell ref="B29:B30"/>
    <mergeCell ref="C29:C30"/>
    <mergeCell ref="D29:D30"/>
    <mergeCell ref="E29:E30"/>
    <mergeCell ref="F29:F30"/>
    <mergeCell ref="G29:G30"/>
    <mergeCell ref="H29:H30"/>
    <mergeCell ref="I29:I30"/>
    <mergeCell ref="K33:K34"/>
    <mergeCell ref="F31:F32"/>
    <mergeCell ref="G31:G32"/>
    <mergeCell ref="H31:H32"/>
    <mergeCell ref="I31:I32"/>
    <mergeCell ref="K31:K32"/>
    <mergeCell ref="A31:A32"/>
    <mergeCell ref="B31:B32"/>
    <mergeCell ref="C31:C32"/>
    <mergeCell ref="D31:D32"/>
    <mergeCell ref="E31:E32"/>
    <mergeCell ref="J31:J32"/>
    <mergeCell ref="J33:J34"/>
    <mergeCell ref="A33:A34"/>
    <mergeCell ref="B33:B34"/>
    <mergeCell ref="C33:C34"/>
    <mergeCell ref="D33:D34"/>
    <mergeCell ref="E33:E34"/>
    <mergeCell ref="F33:F34"/>
    <mergeCell ref="G33:G34"/>
    <mergeCell ref="H33:H34"/>
    <mergeCell ref="I33:I34"/>
    <mergeCell ref="K37:K38"/>
    <mergeCell ref="F35:F36"/>
    <mergeCell ref="G35:G36"/>
    <mergeCell ref="H35:H36"/>
    <mergeCell ref="I35:I36"/>
    <mergeCell ref="K35:K36"/>
    <mergeCell ref="A35:A36"/>
    <mergeCell ref="B35:B36"/>
    <mergeCell ref="C35:C36"/>
    <mergeCell ref="D35:D36"/>
    <mergeCell ref="E35:E36"/>
    <mergeCell ref="J35:J36"/>
    <mergeCell ref="J37:J38"/>
    <mergeCell ref="A37:A38"/>
    <mergeCell ref="B37:B38"/>
    <mergeCell ref="C37:C38"/>
    <mergeCell ref="D37:D38"/>
    <mergeCell ref="E37:E38"/>
    <mergeCell ref="F37:F38"/>
    <mergeCell ref="G37:G38"/>
    <mergeCell ref="H37:H38"/>
    <mergeCell ref="I37:I38"/>
    <mergeCell ref="K41:K42"/>
    <mergeCell ref="F39:F40"/>
    <mergeCell ref="G39:G40"/>
    <mergeCell ref="H39:H40"/>
    <mergeCell ref="I39:I40"/>
    <mergeCell ref="K39:K40"/>
    <mergeCell ref="A39:A40"/>
    <mergeCell ref="B39:B40"/>
    <mergeCell ref="C39:C40"/>
    <mergeCell ref="D39:D40"/>
    <mergeCell ref="E39:E40"/>
    <mergeCell ref="J39:J40"/>
    <mergeCell ref="J41:J42"/>
    <mergeCell ref="A41:A42"/>
    <mergeCell ref="B41:B42"/>
    <mergeCell ref="C41:C42"/>
    <mergeCell ref="D41:D42"/>
    <mergeCell ref="E41:E42"/>
    <mergeCell ref="F41:F42"/>
    <mergeCell ref="G41:G42"/>
    <mergeCell ref="H41:H42"/>
    <mergeCell ref="I41:I42"/>
    <mergeCell ref="K45:K46"/>
    <mergeCell ref="F43:F44"/>
    <mergeCell ref="G43:G44"/>
    <mergeCell ref="H43:H44"/>
    <mergeCell ref="I43:I44"/>
    <mergeCell ref="K43:K44"/>
    <mergeCell ref="A43:A44"/>
    <mergeCell ref="B43:B44"/>
    <mergeCell ref="C43:C44"/>
    <mergeCell ref="D43:D44"/>
    <mergeCell ref="E43:E44"/>
    <mergeCell ref="J43:J44"/>
    <mergeCell ref="J45:J46"/>
    <mergeCell ref="A45:A46"/>
    <mergeCell ref="B45:B46"/>
    <mergeCell ref="C45:C46"/>
    <mergeCell ref="D45:D46"/>
    <mergeCell ref="E45:E46"/>
    <mergeCell ref="F45:F46"/>
    <mergeCell ref="G45:G46"/>
    <mergeCell ref="H45:H46"/>
    <mergeCell ref="I45:I46"/>
    <mergeCell ref="K49:K50"/>
    <mergeCell ref="F47:F48"/>
    <mergeCell ref="G47:G48"/>
    <mergeCell ref="H47:H48"/>
    <mergeCell ref="I47:I48"/>
    <mergeCell ref="K47:K48"/>
    <mergeCell ref="A47:A48"/>
    <mergeCell ref="B47:B48"/>
    <mergeCell ref="C47:C48"/>
    <mergeCell ref="D47:D48"/>
    <mergeCell ref="E47:E48"/>
    <mergeCell ref="J47:J48"/>
    <mergeCell ref="J49:J50"/>
    <mergeCell ref="A49:A50"/>
    <mergeCell ref="B49:B50"/>
    <mergeCell ref="C49:C50"/>
    <mergeCell ref="D49:D50"/>
    <mergeCell ref="E49:E50"/>
    <mergeCell ref="F49:F50"/>
    <mergeCell ref="G49:G50"/>
    <mergeCell ref="H49:H50"/>
    <mergeCell ref="I49:I50"/>
    <mergeCell ref="K53:K54"/>
    <mergeCell ref="F51:F52"/>
    <mergeCell ref="G51:G52"/>
    <mergeCell ref="H51:H52"/>
    <mergeCell ref="I51:I52"/>
    <mergeCell ref="K51:K52"/>
    <mergeCell ref="A51:A52"/>
    <mergeCell ref="B51:B52"/>
    <mergeCell ref="C51:C52"/>
    <mergeCell ref="D51:D52"/>
    <mergeCell ref="E51:E52"/>
    <mergeCell ref="J51:J52"/>
    <mergeCell ref="J53:J54"/>
    <mergeCell ref="A53:A54"/>
    <mergeCell ref="B53:B54"/>
    <mergeCell ref="C53:C54"/>
    <mergeCell ref="D53:D54"/>
    <mergeCell ref="E53:E54"/>
    <mergeCell ref="F53:F54"/>
    <mergeCell ref="G53:G54"/>
    <mergeCell ref="H53:H54"/>
    <mergeCell ref="I53:I54"/>
    <mergeCell ref="K57:K58"/>
    <mergeCell ref="F55:F56"/>
    <mergeCell ref="G55:G56"/>
    <mergeCell ref="H55:H56"/>
    <mergeCell ref="I55:I56"/>
    <mergeCell ref="K55:K56"/>
    <mergeCell ref="A55:A56"/>
    <mergeCell ref="B55:B56"/>
    <mergeCell ref="C55:C56"/>
    <mergeCell ref="D55:D56"/>
    <mergeCell ref="E55:E56"/>
    <mergeCell ref="J55:J56"/>
    <mergeCell ref="J57:J58"/>
    <mergeCell ref="A57:A58"/>
    <mergeCell ref="B57:B58"/>
    <mergeCell ref="C57:C58"/>
    <mergeCell ref="D57:D58"/>
    <mergeCell ref="E57:E58"/>
    <mergeCell ref="F57:F58"/>
    <mergeCell ref="G57:G58"/>
    <mergeCell ref="H57:H58"/>
    <mergeCell ref="I57:I58"/>
    <mergeCell ref="K61:K62"/>
    <mergeCell ref="F59:F60"/>
    <mergeCell ref="G59:G60"/>
    <mergeCell ref="H59:H60"/>
    <mergeCell ref="I59:I60"/>
    <mergeCell ref="K59:K60"/>
    <mergeCell ref="A59:A60"/>
    <mergeCell ref="B59:B60"/>
    <mergeCell ref="C59:C60"/>
    <mergeCell ref="D59:D60"/>
    <mergeCell ref="E59:E60"/>
    <mergeCell ref="J59:J60"/>
    <mergeCell ref="J61:J62"/>
    <mergeCell ref="A61:A62"/>
    <mergeCell ref="B61:B62"/>
    <mergeCell ref="C61:C62"/>
    <mergeCell ref="D61:D62"/>
    <mergeCell ref="E61:E62"/>
    <mergeCell ref="F61:F62"/>
    <mergeCell ref="G61:G62"/>
    <mergeCell ref="H61:H62"/>
    <mergeCell ref="I61:I62"/>
    <mergeCell ref="K65:K66"/>
    <mergeCell ref="F63:F64"/>
    <mergeCell ref="G63:G64"/>
    <mergeCell ref="H63:H64"/>
    <mergeCell ref="I63:I64"/>
    <mergeCell ref="K63:K64"/>
    <mergeCell ref="A63:A64"/>
    <mergeCell ref="B63:B64"/>
    <mergeCell ref="C63:C64"/>
    <mergeCell ref="D63:D64"/>
    <mergeCell ref="E63:E64"/>
    <mergeCell ref="J63:J64"/>
    <mergeCell ref="J65:J66"/>
    <mergeCell ref="A65:A66"/>
    <mergeCell ref="B65:B66"/>
    <mergeCell ref="C65:C66"/>
    <mergeCell ref="D65:D66"/>
    <mergeCell ref="E65:E66"/>
    <mergeCell ref="F65:F66"/>
    <mergeCell ref="G65:G66"/>
    <mergeCell ref="H65:H66"/>
    <mergeCell ref="I65:I66"/>
    <mergeCell ref="F67:F68"/>
    <mergeCell ref="G67:G68"/>
    <mergeCell ref="H67:H68"/>
    <mergeCell ref="I67:I68"/>
    <mergeCell ref="K67:K68"/>
    <mergeCell ref="A67:A68"/>
    <mergeCell ref="B67:B68"/>
    <mergeCell ref="C67:C68"/>
    <mergeCell ref="D67:D68"/>
    <mergeCell ref="E67:E68"/>
    <mergeCell ref="J67:J68"/>
    <mergeCell ref="AH1:AL1"/>
    <mergeCell ref="AH2:AL2"/>
    <mergeCell ref="AH7:AI7"/>
    <mergeCell ref="AH15:AJ15"/>
    <mergeCell ref="AH17:AH18"/>
    <mergeCell ref="AI17:AI18"/>
    <mergeCell ref="AJ17:AJ18"/>
    <mergeCell ref="AH19:AH20"/>
    <mergeCell ref="AI19:AI20"/>
    <mergeCell ref="AJ19:AJ20"/>
    <mergeCell ref="AG17:AG18"/>
    <mergeCell ref="AG19:AG20"/>
    <mergeCell ref="AG21:AG22"/>
    <mergeCell ref="AH21:AH22"/>
    <mergeCell ref="AI21:AI22"/>
    <mergeCell ref="AJ21:AJ22"/>
    <mergeCell ref="AG23:AG24"/>
    <mergeCell ref="AH23:AH24"/>
    <mergeCell ref="AI23:AI24"/>
    <mergeCell ref="AJ23:AJ24"/>
    <mergeCell ref="AG25:AG26"/>
    <mergeCell ref="AH25:AH26"/>
    <mergeCell ref="AI25:AI26"/>
    <mergeCell ref="AJ25:AJ26"/>
    <mergeCell ref="AG27:AG28"/>
    <mergeCell ref="AH27:AH28"/>
    <mergeCell ref="AI27:AI28"/>
    <mergeCell ref="AJ27:AJ28"/>
    <mergeCell ref="AG29:AG30"/>
    <mergeCell ref="AH29:AH30"/>
    <mergeCell ref="AI29:AI30"/>
    <mergeCell ref="AJ29:AJ30"/>
    <mergeCell ref="AG31:AG32"/>
    <mergeCell ref="AH31:AH32"/>
    <mergeCell ref="AI31:AI32"/>
    <mergeCell ref="AJ31:AJ32"/>
    <mergeCell ref="AG33:AG34"/>
    <mergeCell ref="AH33:AH34"/>
    <mergeCell ref="AI33:AI34"/>
    <mergeCell ref="AJ33:AJ34"/>
    <mergeCell ref="AG35:AG36"/>
    <mergeCell ref="AH35:AH36"/>
    <mergeCell ref="AI35:AI36"/>
    <mergeCell ref="AJ35:AJ36"/>
    <mergeCell ref="AG37:AG38"/>
    <mergeCell ref="AH37:AH38"/>
    <mergeCell ref="AI37:AI38"/>
    <mergeCell ref="AJ37:AJ38"/>
    <mergeCell ref="AG39:AG40"/>
    <mergeCell ref="AH39:AH40"/>
    <mergeCell ref="AI39:AI40"/>
    <mergeCell ref="AJ39:AJ40"/>
    <mergeCell ref="AG41:AG42"/>
    <mergeCell ref="AH41:AH42"/>
    <mergeCell ref="AI41:AI42"/>
    <mergeCell ref="AJ41:AJ42"/>
    <mergeCell ref="AG43:AG44"/>
    <mergeCell ref="AH43:AH44"/>
    <mergeCell ref="AI43:AI44"/>
    <mergeCell ref="AJ43:AJ44"/>
    <mergeCell ref="AG45:AG46"/>
    <mergeCell ref="AH45:AH46"/>
    <mergeCell ref="AI45:AI46"/>
    <mergeCell ref="AJ45:AJ46"/>
    <mergeCell ref="AG47:AG48"/>
    <mergeCell ref="AH47:AH48"/>
    <mergeCell ref="AI47:AI48"/>
    <mergeCell ref="AJ47:AJ48"/>
    <mergeCell ref="AG49:AG50"/>
    <mergeCell ref="AH49:AH50"/>
    <mergeCell ref="AI49:AI50"/>
    <mergeCell ref="AJ49:AJ50"/>
    <mergeCell ref="AG51:AG52"/>
    <mergeCell ref="AH51:AH52"/>
    <mergeCell ref="AI51:AI52"/>
    <mergeCell ref="AJ51:AJ52"/>
    <mergeCell ref="AG53:AG54"/>
    <mergeCell ref="AH53:AH54"/>
    <mergeCell ref="AI53:AI54"/>
    <mergeCell ref="AJ53:AJ54"/>
    <mergeCell ref="AG55:AG56"/>
    <mergeCell ref="AH55:AH56"/>
    <mergeCell ref="AI55:AI56"/>
    <mergeCell ref="AJ55:AJ56"/>
    <mergeCell ref="AG57:AG58"/>
    <mergeCell ref="AH57:AH58"/>
    <mergeCell ref="AI57:AI58"/>
    <mergeCell ref="AJ57:AJ58"/>
    <mergeCell ref="AG59:AG60"/>
    <mergeCell ref="AH59:AH60"/>
    <mergeCell ref="AI59:AI60"/>
    <mergeCell ref="AJ59:AJ60"/>
    <mergeCell ref="AG67:AG68"/>
    <mergeCell ref="AH67:AH68"/>
    <mergeCell ref="AI67:AI68"/>
    <mergeCell ref="AJ67:AJ68"/>
    <mergeCell ref="AG61:AG62"/>
    <mergeCell ref="AH61:AH62"/>
    <mergeCell ref="AI61:AI62"/>
    <mergeCell ref="AJ61:AJ62"/>
    <mergeCell ref="AG63:AG64"/>
    <mergeCell ref="AH63:AH64"/>
    <mergeCell ref="AI63:AI64"/>
    <mergeCell ref="AJ63:AJ64"/>
    <mergeCell ref="AG65:AG66"/>
    <mergeCell ref="AH65:AH66"/>
    <mergeCell ref="AI65:AI66"/>
    <mergeCell ref="AJ65:AJ66"/>
  </mergeCells>
  <conditionalFormatting sqref="E9:E12">
    <cfRule type="dataBar" priority="1">
      <dataBar showValue="0">
        <cfvo type="num" val="0"/>
        <cfvo type="num" val="1"/>
        <color rgb="FF00B050"/>
      </dataBar>
      <extLst>
        <ext xmlns:x14="http://schemas.microsoft.com/office/spreadsheetml/2009/9/main" uri="{B025F937-C7B1-47D3-B67F-A62EFF666E3E}">
          <x14:id>{99F2A3CB-1540-4D41-B4C3-CE6D67E5E5A8}</x14:id>
        </ext>
      </extLst>
    </cfRule>
  </conditionalFormatting>
  <dataValidations count="2">
    <dataValidation type="list" allowBlank="1" showInputMessage="1" showErrorMessage="1" sqref="K17:K68" xr:uid="{3B95A059-6B69-41C0-8429-158DC14F60F7}">
      <formula1>"Diadema,Jarinu,Ferraz,Anchieta,São Leopoldo, Multi Unidades"</formula1>
    </dataValidation>
    <dataValidation type="list" allowBlank="1" showInputMessage="1" showErrorMessage="1" sqref="AH17:AH68" xr:uid="{31D3058D-78D6-4CCB-872A-A632FB3F3568}">
      <formula1>$AH$47:$AH$51</formula1>
    </dataValidation>
  </dataValidations>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99F2A3CB-1540-4D41-B4C3-CE6D67E5E5A8}">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BF902E6F-2665-428F-93CC-5E137CAA95B0}">
          <x14:formula1>
            <xm:f>Parâmetros!$A$31:$A$33</xm:f>
          </x14:formula1>
          <xm:sqref>J17 J19 J21:J68</xm:sqref>
        </x14:dataValidation>
        <x14:dataValidation type="list" allowBlank="1" showInputMessage="1" showErrorMessage="1" xr:uid="{791927D5-181F-435E-BE63-F8B06474238C}">
          <x14:formula1>
            <xm:f>Parâmetros!$A$24:$A$27</xm:f>
          </x14:formula1>
          <xm:sqref>A17:A68</xm:sqref>
        </x14:dataValidation>
        <x14:dataValidation type="list" allowBlank="1" showInputMessage="1" showErrorMessage="1" xr:uid="{64AB8FEC-4118-4E42-84F0-768244DF02C4}">
          <x14:formula1>
            <xm:f>Parâmetros!$A$28:$A$29</xm:f>
          </x14:formula1>
          <xm:sqref>H17:H68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E488-456C-4219-B3C9-A02C081A37D1}">
  <dimension ref="A1:G34"/>
  <sheetViews>
    <sheetView topLeftCell="A18" workbookViewId="0">
      <selection activeCell="F25" sqref="F25:F27"/>
    </sheetView>
  </sheetViews>
  <sheetFormatPr defaultRowHeight="14.4" x14ac:dyDescent="0.3"/>
  <cols>
    <col min="1" max="1" width="10.5546875" bestFit="1" customWidth="1"/>
  </cols>
  <sheetData>
    <row r="1" spans="1:7" x14ac:dyDescent="0.3">
      <c r="A1" t="s">
        <v>21</v>
      </c>
      <c r="B1" s="836">
        <v>46135</v>
      </c>
      <c r="C1" s="836">
        <v>46142</v>
      </c>
      <c r="D1" s="836">
        <v>46149</v>
      </c>
      <c r="E1" s="836">
        <v>46156</v>
      </c>
      <c r="F1" s="836">
        <v>46163</v>
      </c>
      <c r="G1" s="836">
        <v>46170</v>
      </c>
    </row>
    <row r="2" spans="1:7" x14ac:dyDescent="0.3">
      <c r="A2" t="s">
        <v>2543</v>
      </c>
      <c r="B2" s="837">
        <v>0.61</v>
      </c>
      <c r="C2" s="837">
        <v>0.61</v>
      </c>
      <c r="D2" s="837">
        <v>0.64</v>
      </c>
      <c r="E2" s="837">
        <v>0.64</v>
      </c>
      <c r="F2" s="837">
        <v>0.6428571428571429</v>
      </c>
    </row>
    <row r="3" spans="1:7" x14ac:dyDescent="0.3">
      <c r="A3" t="s">
        <v>2544</v>
      </c>
      <c r="B3" s="837">
        <v>0.39</v>
      </c>
      <c r="C3" s="837">
        <v>0.39</v>
      </c>
      <c r="D3" s="837">
        <v>0.39</v>
      </c>
      <c r="E3" s="837">
        <v>0.39</v>
      </c>
      <c r="F3" s="837">
        <v>0.39285714285714285</v>
      </c>
      <c r="G3" s="837"/>
    </row>
    <row r="4" spans="1:7" x14ac:dyDescent="0.3">
      <c r="A4" t="s">
        <v>2545</v>
      </c>
      <c r="B4" s="837">
        <v>0.77</v>
      </c>
      <c r="C4" s="837">
        <v>0.77</v>
      </c>
      <c r="D4" s="837">
        <v>0.85</v>
      </c>
      <c r="E4" s="837">
        <v>0.85</v>
      </c>
      <c r="F4" s="837">
        <v>0.84615384615384615</v>
      </c>
      <c r="G4" s="837"/>
    </row>
    <row r="5" spans="1:7" x14ac:dyDescent="0.3">
      <c r="A5" t="s">
        <v>2546</v>
      </c>
      <c r="B5" s="837">
        <v>0.5</v>
      </c>
      <c r="C5" s="837">
        <v>0.5</v>
      </c>
      <c r="D5" s="837">
        <v>0.5</v>
      </c>
      <c r="E5" s="837">
        <v>0.5</v>
      </c>
      <c r="F5" s="837">
        <v>0.5</v>
      </c>
      <c r="G5" s="837"/>
    </row>
    <row r="6" spans="1:7" x14ac:dyDescent="0.3">
      <c r="A6" t="s">
        <v>2547</v>
      </c>
      <c r="B6" s="837">
        <v>0</v>
      </c>
      <c r="C6" s="837">
        <v>0</v>
      </c>
      <c r="D6" s="837">
        <v>0</v>
      </c>
      <c r="E6" s="837">
        <v>0</v>
      </c>
      <c r="F6" s="837">
        <v>0</v>
      </c>
      <c r="G6" s="837"/>
    </row>
    <row r="8" spans="1:7" x14ac:dyDescent="0.3">
      <c r="A8" t="s">
        <v>24</v>
      </c>
      <c r="B8" s="836">
        <v>46135</v>
      </c>
      <c r="C8" s="836">
        <v>46142</v>
      </c>
      <c r="D8" s="836">
        <v>46149</v>
      </c>
      <c r="E8" s="836">
        <v>46156</v>
      </c>
      <c r="F8" s="836">
        <v>46163</v>
      </c>
      <c r="G8" s="836">
        <v>46170</v>
      </c>
    </row>
    <row r="9" spans="1:7" x14ac:dyDescent="0.3">
      <c r="A9" t="s">
        <v>2543</v>
      </c>
      <c r="B9" s="837">
        <v>0.54</v>
      </c>
      <c r="C9" s="837">
        <v>0.56999999999999995</v>
      </c>
      <c r="D9" s="837">
        <v>0.61</v>
      </c>
      <c r="E9" s="837">
        <v>0.68</v>
      </c>
      <c r="F9" s="837">
        <v>0.6428571428571429</v>
      </c>
    </row>
    <row r="10" spans="1:7" x14ac:dyDescent="0.3">
      <c r="A10" t="s">
        <v>2544</v>
      </c>
      <c r="B10" s="837">
        <v>0.39</v>
      </c>
      <c r="C10" s="837">
        <v>0.39</v>
      </c>
      <c r="D10" s="837">
        <v>0.39</v>
      </c>
      <c r="E10" s="837">
        <v>0.39</v>
      </c>
      <c r="F10" s="837">
        <v>0.39285714285714285</v>
      </c>
      <c r="G10" s="837"/>
    </row>
    <row r="11" spans="1:7" x14ac:dyDescent="0.3">
      <c r="A11" t="s">
        <v>2545</v>
      </c>
      <c r="B11" s="837">
        <v>0.69</v>
      </c>
      <c r="C11" s="837">
        <v>0.77</v>
      </c>
      <c r="D11" s="837">
        <v>0.85</v>
      </c>
      <c r="E11" s="837">
        <v>0.85</v>
      </c>
      <c r="F11" s="837">
        <v>0.84615384615384615</v>
      </c>
      <c r="G11" s="837"/>
    </row>
    <row r="12" spans="1:7" x14ac:dyDescent="0.3">
      <c r="A12" t="s">
        <v>2546</v>
      </c>
      <c r="B12" s="837">
        <v>0.28999999999999998</v>
      </c>
      <c r="C12" s="837">
        <v>0.28999999999999998</v>
      </c>
      <c r="D12" s="837">
        <v>0.28999999999999998</v>
      </c>
      <c r="E12" s="837">
        <v>0.35714285714285715</v>
      </c>
      <c r="F12" s="837">
        <v>0.35714285714285715</v>
      </c>
      <c r="G12" s="837"/>
    </row>
    <row r="13" spans="1:7" x14ac:dyDescent="0.3">
      <c r="A13" t="s">
        <v>2547</v>
      </c>
      <c r="B13" s="837">
        <v>1</v>
      </c>
      <c r="C13" s="837">
        <v>1</v>
      </c>
      <c r="D13" s="837">
        <v>1</v>
      </c>
      <c r="E13" s="837">
        <v>1</v>
      </c>
      <c r="F13" s="837">
        <v>1</v>
      </c>
      <c r="G13" s="837"/>
    </row>
    <row r="15" spans="1:7" x14ac:dyDescent="0.3">
      <c r="A15" t="s">
        <v>25</v>
      </c>
      <c r="B15" s="836">
        <v>46135</v>
      </c>
      <c r="C15" s="836">
        <v>46142</v>
      </c>
      <c r="D15" s="836">
        <v>46149</v>
      </c>
      <c r="E15" s="836">
        <v>46156</v>
      </c>
      <c r="F15" s="836">
        <v>46163</v>
      </c>
      <c r="G15" s="836">
        <v>46170</v>
      </c>
    </row>
    <row r="16" spans="1:7" x14ac:dyDescent="0.3">
      <c r="A16" t="s">
        <v>2543</v>
      </c>
      <c r="B16" s="837">
        <v>0.43</v>
      </c>
      <c r="C16" s="837">
        <v>0.64</v>
      </c>
      <c r="D16" s="837">
        <v>0.64</v>
      </c>
      <c r="E16" s="837">
        <v>0.64</v>
      </c>
      <c r="F16" s="837">
        <v>0.6785714285714286</v>
      </c>
    </row>
    <row r="17" spans="1:7" x14ac:dyDescent="0.3">
      <c r="A17" t="s">
        <v>2544</v>
      </c>
      <c r="B17" s="837">
        <v>0.43</v>
      </c>
      <c r="C17" s="837">
        <v>0.43</v>
      </c>
      <c r="D17" s="837">
        <v>0.43</v>
      </c>
      <c r="E17" s="837">
        <v>0.43</v>
      </c>
      <c r="F17" s="837">
        <v>0.42857142857142855</v>
      </c>
      <c r="G17" s="837"/>
    </row>
    <row r="18" spans="1:7" x14ac:dyDescent="0.3">
      <c r="A18" t="s">
        <v>2545</v>
      </c>
      <c r="B18" s="837">
        <v>0.46</v>
      </c>
      <c r="C18" s="837">
        <v>0.77</v>
      </c>
      <c r="D18" s="837">
        <v>0.77</v>
      </c>
      <c r="E18" s="837">
        <v>0.76923076923076927</v>
      </c>
      <c r="F18" s="837">
        <v>0.84615384615384615</v>
      </c>
      <c r="G18" s="837"/>
    </row>
    <row r="19" spans="1:7" x14ac:dyDescent="0.3">
      <c r="A19" t="s">
        <v>2546</v>
      </c>
      <c r="B19" s="837">
        <v>0.43</v>
      </c>
      <c r="C19" s="837">
        <v>0.56999999999999995</v>
      </c>
      <c r="D19" s="837">
        <v>0.56999999999999995</v>
      </c>
      <c r="E19" s="837">
        <v>0.5714285714285714</v>
      </c>
      <c r="F19" s="837">
        <v>0.5714285714285714</v>
      </c>
      <c r="G19" s="837"/>
    </row>
    <row r="20" spans="1:7" x14ac:dyDescent="0.3">
      <c r="A20" t="s">
        <v>2547</v>
      </c>
      <c r="B20" s="837">
        <v>0</v>
      </c>
      <c r="C20" s="837">
        <v>0</v>
      </c>
      <c r="D20" s="837">
        <v>0</v>
      </c>
      <c r="E20" s="837">
        <v>0</v>
      </c>
      <c r="F20" s="837">
        <v>0</v>
      </c>
      <c r="G20" s="837"/>
    </row>
    <row r="22" spans="1:7" x14ac:dyDescent="0.3">
      <c r="A22" t="s">
        <v>2548</v>
      </c>
      <c r="B22" s="836">
        <v>46135</v>
      </c>
      <c r="C22" s="836">
        <v>46142</v>
      </c>
      <c r="D22" s="836">
        <v>46149</v>
      </c>
      <c r="E22" s="836">
        <v>46156</v>
      </c>
      <c r="F22" s="836">
        <v>46163</v>
      </c>
      <c r="G22" s="836">
        <v>46170</v>
      </c>
    </row>
    <row r="23" spans="1:7" x14ac:dyDescent="0.3">
      <c r="A23" t="s">
        <v>2543</v>
      </c>
      <c r="B23" s="837">
        <v>0.79</v>
      </c>
      <c r="C23" s="838">
        <v>0.71</v>
      </c>
      <c r="D23" s="837">
        <v>0.62</v>
      </c>
      <c r="E23" s="837">
        <v>0.93</v>
      </c>
      <c r="F23" s="837">
        <v>0.6428571428571429</v>
      </c>
    </row>
    <row r="24" spans="1:7" x14ac:dyDescent="0.3">
      <c r="A24" t="s">
        <v>2544</v>
      </c>
      <c r="B24" s="837">
        <v>0.36</v>
      </c>
      <c r="C24" s="837">
        <v>0.36</v>
      </c>
      <c r="D24" s="837">
        <v>0.36</v>
      </c>
      <c r="E24" s="837">
        <v>0.36</v>
      </c>
      <c r="F24" s="837">
        <v>0.35714285714285715</v>
      </c>
      <c r="G24" s="837"/>
    </row>
    <row r="25" spans="1:7" x14ac:dyDescent="0.3">
      <c r="A25" t="s">
        <v>2545</v>
      </c>
      <c r="B25" s="837">
        <v>0.85</v>
      </c>
      <c r="C25" s="838">
        <v>0.77</v>
      </c>
      <c r="D25" s="837">
        <v>0.85</v>
      </c>
      <c r="E25" s="837">
        <v>0.92</v>
      </c>
      <c r="F25" s="837">
        <v>0.69230769230769229</v>
      </c>
      <c r="G25" s="837"/>
    </row>
    <row r="26" spans="1:7" x14ac:dyDescent="0.3">
      <c r="A26" t="s">
        <v>2546</v>
      </c>
      <c r="B26" s="837">
        <v>0.71</v>
      </c>
      <c r="C26" s="838">
        <v>0.64</v>
      </c>
      <c r="D26" s="837">
        <v>0.79</v>
      </c>
      <c r="E26" s="837">
        <v>0.8571428571428571</v>
      </c>
      <c r="F26" s="837">
        <v>0.5714285714285714</v>
      </c>
      <c r="G26" s="837"/>
    </row>
    <row r="27" spans="1:7" x14ac:dyDescent="0.3">
      <c r="A27" t="s">
        <v>2547</v>
      </c>
      <c r="B27" s="837">
        <v>1</v>
      </c>
      <c r="C27" s="837">
        <v>1</v>
      </c>
      <c r="D27" s="837">
        <v>1</v>
      </c>
      <c r="E27" s="837">
        <v>1</v>
      </c>
      <c r="F27" s="837">
        <v>1</v>
      </c>
      <c r="G27" s="837"/>
    </row>
    <row r="29" spans="1:7" x14ac:dyDescent="0.3">
      <c r="A29" t="s">
        <v>22</v>
      </c>
      <c r="B29" s="836">
        <v>46135</v>
      </c>
      <c r="C29" s="836">
        <v>46142</v>
      </c>
      <c r="D29" s="836">
        <v>46149</v>
      </c>
      <c r="E29" s="836">
        <v>46156</v>
      </c>
      <c r="F29" s="836">
        <v>46163</v>
      </c>
      <c r="G29" s="836">
        <v>46170</v>
      </c>
    </row>
    <row r="30" spans="1:7" x14ac:dyDescent="0.3">
      <c r="A30" t="s">
        <v>2543</v>
      </c>
      <c r="B30" s="837">
        <v>0.75</v>
      </c>
      <c r="C30" s="837">
        <v>0.75</v>
      </c>
      <c r="D30" s="837">
        <v>0.75</v>
      </c>
      <c r="E30" s="837">
        <v>0.75</v>
      </c>
      <c r="F30" s="837">
        <v>0.75</v>
      </c>
    </row>
    <row r="31" spans="1:7" x14ac:dyDescent="0.3">
      <c r="A31" t="s">
        <v>2544</v>
      </c>
      <c r="B31" s="837">
        <v>0.28999999999999998</v>
      </c>
      <c r="C31" s="837">
        <v>0.28999999999999998</v>
      </c>
      <c r="D31" s="837">
        <v>0.28999999999999998</v>
      </c>
      <c r="E31" s="837">
        <v>0.28999999999999998</v>
      </c>
      <c r="F31" s="837">
        <v>0.2857142857142857</v>
      </c>
      <c r="G31" s="837"/>
    </row>
    <row r="32" spans="1:7" x14ac:dyDescent="0.3">
      <c r="A32" t="s">
        <v>2545</v>
      </c>
      <c r="B32" s="837">
        <v>0.85</v>
      </c>
      <c r="C32" s="837">
        <v>0.85</v>
      </c>
      <c r="D32" s="837">
        <v>0.85</v>
      </c>
      <c r="E32" s="837">
        <v>0.84615384615384615</v>
      </c>
      <c r="F32" s="837">
        <v>0.84615384615384615</v>
      </c>
      <c r="G32" s="837"/>
    </row>
    <row r="33" spans="1:7" x14ac:dyDescent="0.3">
      <c r="A33" t="s">
        <v>2546</v>
      </c>
      <c r="B33" s="837">
        <v>0.64</v>
      </c>
      <c r="C33" s="837">
        <v>0.64</v>
      </c>
      <c r="D33" s="837">
        <v>0.64</v>
      </c>
      <c r="E33" s="837">
        <v>0.6428571428571429</v>
      </c>
      <c r="F33" s="837">
        <v>0.6428571428571429</v>
      </c>
      <c r="G33" s="837"/>
    </row>
    <row r="34" spans="1:7" x14ac:dyDescent="0.3">
      <c r="A34" t="s">
        <v>2547</v>
      </c>
      <c r="B34" s="837">
        <v>1</v>
      </c>
      <c r="C34" s="837">
        <v>1</v>
      </c>
      <c r="D34" s="837">
        <v>1</v>
      </c>
      <c r="E34" s="837">
        <v>1</v>
      </c>
      <c r="F34" s="837">
        <v>1</v>
      </c>
      <c r="G34" s="837"/>
    </row>
  </sheetData>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0197-2D2C-4501-974E-27EA491570C7}">
  <dimension ref="A1:AF265"/>
  <sheetViews>
    <sheetView showGridLines="0" topLeftCell="L1" zoomScale="70" zoomScaleNormal="70" workbookViewId="0">
      <selection activeCell="W1" sqref="W1:W1048576"/>
    </sheetView>
  </sheetViews>
  <sheetFormatPr defaultRowHeight="14.4" x14ac:dyDescent="0.3"/>
  <cols>
    <col min="2" max="2" width="19" bestFit="1" customWidth="1"/>
    <col min="3" max="3" width="52.44140625" customWidth="1"/>
    <col min="4" max="4" width="7.77734375" style="362" customWidth="1"/>
    <col min="5" max="5" width="8" style="362" bestFit="1" customWidth="1"/>
    <col min="6" max="6" width="13.44140625" customWidth="1"/>
    <col min="7" max="7" width="16.44140625" bestFit="1" customWidth="1"/>
    <col min="8" max="8" width="16.44140625" customWidth="1"/>
    <col min="9" max="9" width="17.5546875" bestFit="1" customWidth="1"/>
    <col min="10" max="10" width="15.5546875" bestFit="1" customWidth="1"/>
    <col min="11" max="11" width="14.44140625" bestFit="1" customWidth="1"/>
    <col min="12" max="12" width="15.21875" bestFit="1" customWidth="1"/>
    <col min="13" max="13" width="14.33203125" bestFit="1" customWidth="1"/>
    <col min="14" max="14" width="17.44140625" bestFit="1" customWidth="1"/>
    <col min="15" max="16" width="15.21875" customWidth="1"/>
    <col min="17" max="17" width="15.21875" bestFit="1" customWidth="1"/>
    <col min="18" max="18" width="20.109375" bestFit="1" customWidth="1"/>
    <col min="19" max="19" width="94.109375" bestFit="1" customWidth="1"/>
    <col min="20" max="20" width="27.44140625" bestFit="1" customWidth="1"/>
    <col min="21" max="21" width="20.109375" bestFit="1" customWidth="1"/>
    <col min="22" max="22" width="29.33203125" bestFit="1" customWidth="1"/>
    <col min="23" max="24" width="17.21875" bestFit="1" customWidth="1"/>
    <col min="25" max="26" width="20.5546875" bestFit="1" customWidth="1"/>
    <col min="27" max="27" width="15.21875" bestFit="1" customWidth="1"/>
    <col min="29" max="29" width="8.44140625" customWidth="1"/>
    <col min="32" max="32" width="18.44140625" bestFit="1" customWidth="1"/>
    <col min="33" max="33" width="11.44140625" bestFit="1" customWidth="1"/>
  </cols>
  <sheetData>
    <row r="1" spans="1:32" ht="14.85" customHeight="1" x14ac:dyDescent="0.3">
      <c r="A1" s="274" t="s">
        <v>21</v>
      </c>
      <c r="B1" s="274"/>
      <c r="C1" s="274"/>
      <c r="D1" s="805"/>
      <c r="E1" s="805"/>
      <c r="L1" s="47"/>
      <c r="M1" s="47"/>
      <c r="N1" s="47"/>
      <c r="O1" s="47"/>
      <c r="P1" s="47"/>
      <c r="R1" s="597"/>
      <c r="S1" s="597"/>
      <c r="T1" s="597" t="s">
        <v>2549</v>
      </c>
      <c r="U1" s="597"/>
      <c r="V1" s="597"/>
      <c r="W1" s="597"/>
    </row>
    <row r="2" spans="1:32" ht="14.85" customHeight="1" x14ac:dyDescent="0.3">
      <c r="A2" s="274"/>
      <c r="B2" s="274"/>
      <c r="C2" s="274"/>
      <c r="D2" s="805"/>
      <c r="E2" s="805"/>
      <c r="J2" s="1678" t="s">
        <v>2550</v>
      </c>
      <c r="K2" s="1678"/>
      <c r="Q2" s="597"/>
      <c r="R2" s="597"/>
      <c r="S2" s="597"/>
      <c r="T2" s="597"/>
      <c r="U2" s="597"/>
    </row>
    <row r="3" spans="1:32" ht="14.85" customHeight="1" x14ac:dyDescent="0.3">
      <c r="B3" t="s">
        <v>891</v>
      </c>
      <c r="C3" t="s">
        <v>2551</v>
      </c>
      <c r="D3" s="362" t="s">
        <v>167</v>
      </c>
      <c r="E3" s="362" t="s">
        <v>122</v>
      </c>
      <c r="F3" t="str">
        <f>$A$1</f>
        <v>Diadema</v>
      </c>
      <c r="G3" t="s">
        <v>2552</v>
      </c>
      <c r="H3" t="s">
        <v>2553</v>
      </c>
      <c r="I3" t="s">
        <v>2554</v>
      </c>
      <c r="J3" s="594" t="s">
        <v>106</v>
      </c>
      <c r="K3" s="594" t="s">
        <v>107</v>
      </c>
      <c r="L3" t="s">
        <v>2555</v>
      </c>
      <c r="M3" s="1035" t="s">
        <v>2585</v>
      </c>
      <c r="N3" s="1035" t="s">
        <v>2586</v>
      </c>
      <c r="Q3" s="597"/>
      <c r="R3" s="597"/>
      <c r="S3" s="597"/>
      <c r="T3" s="597"/>
      <c r="U3" s="594" t="s">
        <v>2555</v>
      </c>
      <c r="V3" s="594" t="s">
        <v>2556</v>
      </c>
      <c r="W3" s="594" t="s">
        <v>107</v>
      </c>
      <c r="X3" t="s">
        <v>2552</v>
      </c>
      <c r="Y3" t="s">
        <v>2554</v>
      </c>
      <c r="Z3" t="s">
        <v>2553</v>
      </c>
      <c r="AF3" s="235"/>
    </row>
    <row r="4" spans="1:32" ht="14.55" x14ac:dyDescent="0.3">
      <c r="A4" cm="1">
        <f t="array" ref="A4:A63">_xlfn.SEQUENCE(60)</f>
        <v>1</v>
      </c>
      <c r="B4" s="235">
        <f>MAX(Diadema!$I$55:$I$176)</f>
        <v>450000.00900000002</v>
      </c>
      <c r="C4" t="str">
        <f>IFERROR(
   HYPERLINK(
      INDEX(Diadema!$D$55:$D$176,
             MATCH(B4,Diadema!$I$55:$I$176,0)
      ),
      INDEX(Diadema!$C$55:$C$176,
             MATCH(B4,Diadema!$I$55:$I$176,0)
      )
   ),
   ""
)</f>
        <v>29 - DA000489Z_DA000490Z - STC Scania M_</v>
      </c>
      <c r="D4" s="806">
        <f>IFERROR(B4/SUM($B$4:$B$63)," ")</f>
        <v>9.7358633687966378E-2</v>
      </c>
      <c r="E4" s="362">
        <f>D4</f>
        <v>9.7358633687966378E-2</v>
      </c>
      <c r="F4" t="str">
        <f t="shared" ref="F4:F63" si="0">$A$1</f>
        <v>Diadema</v>
      </c>
      <c r="G4" s="235" t="str">
        <f>_xlfn.XLOOKUP(C4,Diadema!$C$55:$C$176,Diadema!$O$55:$O$176)</f>
        <v>✓ Concluído</v>
      </c>
      <c r="H4" s="235" t="str">
        <f>_xlfn.XLOOKUP(C4,Diadema!$C$55:$C$176,Diadema!$M$55:$M$176," ")</f>
        <v>OK</v>
      </c>
      <c r="I4" s="803">
        <f>_xlfn.XLOOKUP(C4,Diadema!$C$55:$C$176,Diadema!$J$55:$J$176)</f>
        <v>46082</v>
      </c>
      <c r="J4" s="235">
        <f ca="1">INDEX(Diadema!$AP$55:$AP$176, MATCH(C4, Diadema!$C$55:$C$176, 0))</f>
        <v>133927.13699999999</v>
      </c>
      <c r="K4" s="235" cm="1">
        <f t="array" aca="1" ref="K4" ca="1">INDEX(Diadema!$AP$55:$AP$176, MATCH(C4, Diadema!$C$55:$C$176, 0) + 1)</f>
        <v>182981.17848009121</v>
      </c>
      <c r="L4" s="235">
        <f>INDEX(Diadema!$AI$55:$AI$176, MATCH(C4, Diadema!$C$55:$C$176, 0))</f>
        <v>446423.79</v>
      </c>
      <c r="M4" s="235"/>
      <c r="N4" s="235"/>
      <c r="O4" s="235"/>
      <c r="P4" s="235"/>
      <c r="Q4" cm="1">
        <f t="array" ref="Q4:Q203">_xlfn.SEQUENCE(200)</f>
        <v>1</v>
      </c>
      <c r="R4" s="275">
        <f>MAX(B:B)</f>
        <v>4008000</v>
      </c>
      <c r="S4" t="str">
        <f t="shared" ref="S4:S35" si="1">_xlfn.XLOOKUP(R4,B:B,C:C)</f>
        <v>Venda de Equipamentos</v>
      </c>
      <c r="T4" t="str">
        <f t="shared" ref="T4:T35" si="2">_xlfn.XLOOKUP(S4,C:C,F:F)</f>
        <v>Compras</v>
      </c>
      <c r="U4" s="275">
        <f>_xlfn.XLOOKUP(S4,C:C,L:L)</f>
        <v>334000</v>
      </c>
      <c r="V4" s="235" t="str">
        <f ca="1">_xlfn.XLOOKUP(S4,C:C,J:J)</f>
        <v/>
      </c>
      <c r="W4" s="235" t="str">
        <f ca="1">_xlfn.XLOOKUP(S4,C:C,K:K)</f>
        <v/>
      </c>
      <c r="X4" t="str">
        <f t="shared" ref="X4:X35" si="3">_xlfn.XLOOKUP(S4,C:C,G:G)</f>
        <v>⏳ Em Execução</v>
      </c>
      <c r="Y4" s="803">
        <f t="shared" ref="Y4:Y35" si="4">_xlfn.XLOOKUP(S4,C:C,I:I)</f>
        <v>46357</v>
      </c>
      <c r="Z4" t="str">
        <f t="shared" ref="Z4:Z35" si="5">IF(_xlfn.XLOOKUP(S4,C:C,H:H) = 0, "", _xlfn.XLOOKUP(S4,C:C,H:H))</f>
        <v/>
      </c>
    </row>
    <row r="5" spans="1:32" ht="14.55" x14ac:dyDescent="0.3">
      <c r="A5">
        <v>2</v>
      </c>
      <c r="B5" s="235">
        <f>IFERROR(LARGE(Diadema!$I$55:$I$176,A5)," ")</f>
        <v>331600</v>
      </c>
      <c r="C5" t="str">
        <f>IFERROR(
   HYPERLINK(
      INDEX(Diadema!$D$55:$D$176,
             MATCH(B5,Diadema!$I$55:$I$176,0)
      ),
      INDEX(Diadema!$C$55:$C$176,
             MATCH(B5,Diadema!$I$55:$I$176,0)
      )
   ),
   ""
)</f>
        <v>01 - Redução de peso bruto DA000489A</v>
      </c>
      <c r="D5" s="806">
        <f t="shared" ref="D5:D63" si="6">IFERROR(B5/SUM($B$4:$B$63)," ")</f>
        <v>7.1742493967216006E-2</v>
      </c>
      <c r="E5" s="362">
        <f>IFERROR(D5+E4," ")</f>
        <v>0.16910112765518237</v>
      </c>
      <c r="F5" t="str">
        <f t="shared" si="0"/>
        <v>Diadema</v>
      </c>
      <c r="G5" s="235" t="str">
        <f>_xlfn.XLOOKUP(C5,Diadema!$C$55:$C$176,Diadema!$O$55:$O$176)</f>
        <v>✓ Concluído</v>
      </c>
      <c r="H5" s="235" t="str">
        <f>_xlfn.XLOOKUP(C5,Diadema!$C$55:$C$176,Diadema!$M$55:$M$176," ")</f>
        <v>OK</v>
      </c>
      <c r="I5" s="803">
        <f>_xlfn.XLOOKUP(C5,Diadema!$C$55:$C$176,Diadema!$J$55:$J$176)</f>
        <v>46082</v>
      </c>
      <c r="J5" s="235">
        <f ca="1">INDEX(Diadema!$AP$55:$AP$176, MATCH(C5, Diadema!$C$55:$C$176, 0))</f>
        <v>48053.487000000008</v>
      </c>
      <c r="K5" s="235" cm="1">
        <f t="array" aca="1" ref="K5" ca="1">INDEX(Diadema!$AP$55:$AP$176, MATCH(C5, Diadema!$C$55:$C$176, 0) + 1)</f>
        <v>51688.192766560009</v>
      </c>
      <c r="L5" s="235">
        <f>INDEX(Diadema!$AI$55:$AI$176, MATCH(C5, Diadema!$C$55:$C$176, 0))</f>
        <v>160178.29000000004</v>
      </c>
      <c r="M5" s="235"/>
      <c r="N5" s="235"/>
      <c r="O5" s="235"/>
      <c r="P5" s="235"/>
      <c r="Q5">
        <v>2</v>
      </c>
      <c r="R5" s="275">
        <f t="shared" ref="R5:R36" si="7">IFERROR(LARGE(B:B,Q5)," ")</f>
        <v>3256202</v>
      </c>
      <c r="S5" t="str">
        <f t="shared" si="1"/>
        <v>Projeto DANA - Mudança de CH para BQ</v>
      </c>
      <c r="T5" t="str">
        <f t="shared" si="2"/>
        <v>Compras</v>
      </c>
      <c r="U5" s="275">
        <f t="shared" ref="U5:U68" si="8">_xlfn.XLOOKUP(S5,C:C,L:L)</f>
        <v>842612.59250000003</v>
      </c>
      <c r="V5" s="235" t="str">
        <f t="shared" ref="V5:V36" ca="1" si="9">IFERROR(_xlfn.XLOOKUP(S5,C:C,J:J), "")</f>
        <v/>
      </c>
      <c r="W5" s="235" t="str">
        <f t="shared" ref="W5:W36" ca="1" si="10">IFERROR(_xlfn.XLOOKUP(S5,C:C,K:K), "")</f>
        <v/>
      </c>
      <c r="X5" t="str">
        <f t="shared" si="3"/>
        <v>✓ Concluído</v>
      </c>
      <c r="Y5" s="803">
        <f t="shared" si="4"/>
        <v>46174</v>
      </c>
      <c r="Z5" t="str">
        <f t="shared" si="5"/>
        <v>OK</v>
      </c>
    </row>
    <row r="6" spans="1:32" ht="14.55" x14ac:dyDescent="0.3">
      <c r="A6">
        <v>3</v>
      </c>
      <c r="B6" s="235">
        <f>IFERROR(LARGE(Diadema!$I$55:$I$176,A6)," ")</f>
        <v>288000.00300000003</v>
      </c>
      <c r="C6" t="str">
        <f>IFERROR(
   HYPERLINK(
      INDEX(Diadema!$D$55:$D$176,
             MATCH(B6,Diadema!$I$55:$I$176,0)
      ),
      INDEX(Diadema!$C$55:$C$176,
             MATCH(B6,Diadema!$I$55:$I$176,0)
      )
   ),
   ""
)</f>
        <v>06 - Produtividade</v>
      </c>
      <c r="D6" s="806">
        <f t="shared" si="6"/>
        <v>6.2309524963165545E-2</v>
      </c>
      <c r="E6" s="362">
        <f t="shared" ref="E6:E48" si="11">IFERROR(D6+E5," ")</f>
        <v>0.23141065261834792</v>
      </c>
      <c r="F6" t="str">
        <f t="shared" si="0"/>
        <v>Diadema</v>
      </c>
      <c r="G6" s="235" t="str">
        <f>_xlfn.XLOOKUP(C6,Diadema!$C$55:$C$176,Diadema!$O$55:$O$176)</f>
        <v>✓ Concluído</v>
      </c>
      <c r="H6" s="235" t="str">
        <f>_xlfn.XLOOKUP(C6,Diadema!$C$55:$C$176,Diadema!$M$55:$M$176," ")</f>
        <v>OK</v>
      </c>
      <c r="I6" s="803">
        <f>_xlfn.XLOOKUP(C6,Diadema!$C$55:$C$176,Diadema!$J$55:$J$176)</f>
        <v>46143</v>
      </c>
      <c r="J6" s="235">
        <f ca="1">INDEX(Diadema!$AP$55:$AP$176, MATCH(C6, Diadema!$C$55:$C$176, 0))</f>
        <v>9959.19</v>
      </c>
      <c r="K6" s="235" cm="1">
        <f t="array" aca="1" ref="K6" ca="1">INDEX(Diadema!$AP$55:$AP$176, MATCH(C6, Diadema!$C$55:$C$176, 0) + 1)</f>
        <v>-31423.7</v>
      </c>
      <c r="L6" s="235">
        <f>INDEX(Diadema!$AI$55:$AI$176, MATCH(C6, Diadema!$C$55:$C$176, 0))</f>
        <v>79673.51999999999</v>
      </c>
      <c r="M6" s="235"/>
      <c r="N6" s="235"/>
      <c r="O6" s="235"/>
      <c r="P6" s="235"/>
      <c r="Q6">
        <v>3</v>
      </c>
      <c r="R6" s="275">
        <f t="shared" si="7"/>
        <v>3000000</v>
      </c>
      <c r="S6" t="str">
        <f t="shared" si="1"/>
        <v>01 - Clientes com baixa margem de contribuição.</v>
      </c>
      <c r="T6" t="str">
        <f t="shared" si="2"/>
        <v>Ferraz</v>
      </c>
      <c r="U6" s="275">
        <f t="shared" si="8"/>
        <v>0</v>
      </c>
      <c r="V6" s="235" t="str">
        <f t="shared" ca="1" si="9"/>
        <v/>
      </c>
      <c r="W6" s="235" t="str">
        <f t="shared" ca="1" si="10"/>
        <v/>
      </c>
      <c r="X6" t="str">
        <f t="shared" si="3"/>
        <v>⏳ Em Execução</v>
      </c>
      <c r="Y6" s="803">
        <f t="shared" si="4"/>
        <v>0</v>
      </c>
      <c r="Z6" t="str">
        <f t="shared" si="5"/>
        <v/>
      </c>
    </row>
    <row r="7" spans="1:32" x14ac:dyDescent="0.3">
      <c r="A7">
        <v>4</v>
      </c>
      <c r="B7" s="235">
        <f>IFERROR(LARGE(Diadema!$I$55:$I$176,A7)," ")</f>
        <v>288000</v>
      </c>
      <c r="C7" t="str">
        <f>IFERROR(
   HYPERLINK(
      INDEX(Diadema!$D$55:$D$176,
             MATCH(B7,Diadema!$I$55:$I$176,0)
      ),
      INDEX(Diadema!$C$55:$C$176,
             MATCH(B7,Diadema!$I$55:$I$176,0)
      )
   ),
   ""
)</f>
        <v>26 - Redução_de_MP - DJ000059Z_DJ000060Z</v>
      </c>
      <c r="D7" s="806">
        <f t="shared" si="6"/>
        <v>6.2309524314107995E-2</v>
      </c>
      <c r="E7" s="362">
        <f t="shared" si="11"/>
        <v>0.29372017693245589</v>
      </c>
      <c r="F7" t="str">
        <f t="shared" si="0"/>
        <v>Diadema</v>
      </c>
      <c r="G7" s="235" t="str">
        <f>_xlfn.XLOOKUP(C7,Diadema!$C$55:$C$176,Diadema!$O$55:$O$176)</f>
        <v>✓ Concluído</v>
      </c>
      <c r="H7" s="235" t="str">
        <f>_xlfn.XLOOKUP(C7,Diadema!$C$55:$C$176,Diadema!$M$55:$M$176," ")</f>
        <v>OK</v>
      </c>
      <c r="I7" s="803">
        <f>_xlfn.XLOOKUP(C7,Diadema!$C$55:$C$176,Diadema!$J$55:$J$176)</f>
        <v>46143</v>
      </c>
      <c r="J7" s="235">
        <f ca="1">INDEX(Diadema!$AP$55:$AP$176, MATCH(C7, Diadema!$C$55:$C$176, 0))</f>
        <v>21877.252499999999</v>
      </c>
      <c r="K7" s="235" cm="1">
        <f t="array" aca="1" ref="K7" ca="1">INDEX(Diadema!$AP$55:$AP$176, MATCH(C7, Diadema!$C$55:$C$176, 0) + 1)</f>
        <v>15968.797579189981</v>
      </c>
      <c r="L7" s="235">
        <f>INDEX(Diadema!$AI$55:$AI$176, MATCH(C7, Diadema!$C$55:$C$176, 0))</f>
        <v>175018.01999999996</v>
      </c>
      <c r="M7" s="235"/>
      <c r="N7" s="235"/>
      <c r="O7" s="235"/>
      <c r="P7" s="235"/>
      <c r="Q7">
        <v>4</v>
      </c>
      <c r="R7" s="275">
        <f t="shared" si="7"/>
        <v>2674685</v>
      </c>
      <c r="S7" t="str">
        <f t="shared" si="1"/>
        <v>Negociação de preços materiais carcaça Dana</v>
      </c>
      <c r="T7" t="str">
        <f t="shared" si="2"/>
        <v>Compras</v>
      </c>
      <c r="U7" s="275">
        <f t="shared" si="8"/>
        <v>2430268.7933333335</v>
      </c>
      <c r="V7" s="235">
        <f t="shared" ca="1" si="9"/>
        <v>1104667.6333333333</v>
      </c>
      <c r="W7" s="235">
        <f t="shared" ca="1" si="10"/>
        <v>570440.18000000005</v>
      </c>
      <c r="X7" t="str">
        <f t="shared" si="3"/>
        <v>✓ Concluído</v>
      </c>
      <c r="Y7" s="803">
        <f t="shared" si="4"/>
        <v>45992</v>
      </c>
      <c r="Z7" t="str">
        <f t="shared" si="5"/>
        <v>OK</v>
      </c>
    </row>
    <row r="8" spans="1:32" ht="14.55" x14ac:dyDescent="0.3">
      <c r="A8">
        <v>5</v>
      </c>
      <c r="B8" s="235">
        <f>IFERROR(LARGE(Diadema!$I$55:$I$176,A8)," ")</f>
        <v>270000</v>
      </c>
      <c r="C8" t="str">
        <f>IFERROR(
   HYPERLINK(
      INDEX(Diadema!$D$55:$D$176,
             MATCH(B8,Diadema!$I$55:$I$176,0)
      ),
      INDEX(Diadema!$C$55:$C$176,
             MATCH(B8,Diadema!$I$55:$I$176,0)
      )
   ),
   ""
)</f>
        <v>23 - Redução do peso bruto VW000581Z / VW000582Z</v>
      </c>
      <c r="D8" s="806">
        <f t="shared" si="6"/>
        <v>5.8415179044476247E-2</v>
      </c>
      <c r="E8" s="362">
        <f t="shared" si="11"/>
        <v>0.35213535597693213</v>
      </c>
      <c r="F8" t="str">
        <f t="shared" si="0"/>
        <v>Diadema</v>
      </c>
      <c r="G8" s="235" t="str">
        <f>_xlfn.XLOOKUP(C8,Diadema!$C$55:$C$176,Diadema!$O$55:$O$176)</f>
        <v>⏳ Em Execução</v>
      </c>
      <c r="H8" s="235" t="str">
        <f>_xlfn.XLOOKUP(C8,Diadema!$C$55:$C$176,Diadema!$M$55:$M$176," ")</f>
        <v>OK</v>
      </c>
      <c r="I8" s="803">
        <f>_xlfn.XLOOKUP(C8,Diadema!$C$55:$C$176,Diadema!$J$55:$J$176)</f>
        <v>46174</v>
      </c>
      <c r="J8" s="235" t="str">
        <f ca="1">INDEX(Diadema!$AP$55:$AP$176, MATCH(C8, Diadema!$C$55:$C$176, 0))</f>
        <v/>
      </c>
      <c r="K8" s="235" t="str" cm="1">
        <f t="array" aca="1" ref="K8" ca="1">INDEX(Diadema!$AP$55:$AP$176, MATCH(C8, Diadema!$C$55:$C$176, 0) + 1)</f>
        <v/>
      </c>
      <c r="L8" s="235">
        <f>INDEX(Diadema!$AI$55:$AI$176, MATCH(C8, Diadema!$C$55:$C$176, 0))</f>
        <v>128107.04000000001</v>
      </c>
      <c r="M8" s="235"/>
      <c r="N8" s="235"/>
      <c r="O8" s="235"/>
      <c r="P8" s="235"/>
      <c r="Q8">
        <v>5</v>
      </c>
      <c r="R8" s="275">
        <f t="shared" si="7"/>
        <v>1138260</v>
      </c>
      <c r="S8" t="str">
        <f t="shared" si="1"/>
        <v>Ex Tarifário Transfer Norda</v>
      </c>
      <c r="T8" t="str">
        <f t="shared" si="2"/>
        <v>Compras</v>
      </c>
      <c r="U8" s="275">
        <f t="shared" si="8"/>
        <v>284565</v>
      </c>
      <c r="V8" s="235" t="str">
        <f t="shared" ca="1" si="9"/>
        <v/>
      </c>
      <c r="W8" s="235" t="str">
        <f t="shared" ca="1" si="10"/>
        <v/>
      </c>
      <c r="X8" t="str">
        <f t="shared" si="3"/>
        <v>⏳ Em Execução</v>
      </c>
      <c r="Y8" s="803">
        <f t="shared" si="4"/>
        <v>46311</v>
      </c>
      <c r="Z8" t="str">
        <f t="shared" si="5"/>
        <v/>
      </c>
    </row>
    <row r="9" spans="1:32" ht="14.55" x14ac:dyDescent="0.3">
      <c r="A9">
        <v>6</v>
      </c>
      <c r="B9" s="235">
        <f>IFERROR(LARGE(Diadema!$I$55:$I$176,A9)," ")</f>
        <v>236000</v>
      </c>
      <c r="C9" t="str">
        <f>IFERROR(
   HYPERLINK(
      INDEX(Diadema!$D$55:$D$176,
             MATCH(B9,Diadema!$I$55:$I$176,0)
      ),
      INDEX(Diadema!$C$55:$C$176,
             MATCH(B9,Diadema!$I$55:$I$176,0)
      )
   ),
   ""
)</f>
        <v>52 - Redução de MP - GM000458Z / GM000459Z</v>
      </c>
      <c r="D9" s="806">
        <f t="shared" si="6"/>
        <v>5.1059193535171833E-2</v>
      </c>
      <c r="E9" s="362">
        <f t="shared" si="11"/>
        <v>0.40319454951210398</v>
      </c>
      <c r="F9" t="str">
        <f t="shared" si="0"/>
        <v>Diadema</v>
      </c>
      <c r="G9" s="235" t="str">
        <f>_xlfn.XLOOKUP(C9,Diadema!$C$55:$C$176,Diadema!$O$55:$O$176)</f>
        <v>✓ Concluído</v>
      </c>
      <c r="H9" s="235" t="str">
        <f>_xlfn.XLOOKUP(C9,Diadema!$C$55:$C$176,Diadema!$M$55:$M$176," ")</f>
        <v>OK</v>
      </c>
      <c r="I9" s="803">
        <f>_xlfn.XLOOKUP(C9,Diadema!$C$55:$C$176,Diadema!$J$55:$J$176)</f>
        <v>46174</v>
      </c>
      <c r="J9" s="235" t="str">
        <f ca="1">INDEX(Diadema!$AP$55:$AP$176, MATCH(C9, Diadema!$C$55:$C$176, 0))</f>
        <v/>
      </c>
      <c r="K9" s="235" t="str" cm="1">
        <f t="array" aca="1" ref="K9" ca="1">INDEX(Diadema!$AP$55:$AP$176, MATCH(C9, Diadema!$C$55:$C$176, 0) + 1)</f>
        <v/>
      </c>
      <c r="L9" s="235">
        <f>INDEX(Diadema!$AI$55:$AI$176, MATCH(C9, Diadema!$C$55:$C$176, 0))</f>
        <v>138092.84</v>
      </c>
      <c r="M9" s="235"/>
      <c r="N9" s="235"/>
      <c r="O9" s="235"/>
      <c r="P9" s="235"/>
      <c r="Q9">
        <v>6</v>
      </c>
      <c r="R9" s="275">
        <f t="shared" si="7"/>
        <v>1063359</v>
      </c>
      <c r="S9" t="str">
        <f t="shared" si="1"/>
        <v>06 - Redução consumo MTP aplicando tolerância mínima</v>
      </c>
      <c r="T9" t="str">
        <f t="shared" si="2"/>
        <v>Jarinu</v>
      </c>
      <c r="U9" s="275">
        <f t="shared" si="8"/>
        <v>286457.56</v>
      </c>
      <c r="V9" s="235" t="str">
        <f t="shared" ca="1" si="9"/>
        <v/>
      </c>
      <c r="W9" s="235" t="str">
        <f t="shared" ca="1" si="10"/>
        <v/>
      </c>
      <c r="X9" t="str">
        <f t="shared" si="3"/>
        <v>⏳ Em Execução</v>
      </c>
      <c r="Y9" s="803">
        <f t="shared" si="4"/>
        <v>46174</v>
      </c>
      <c r="Z9" t="str">
        <f t="shared" si="5"/>
        <v>OK</v>
      </c>
    </row>
    <row r="10" spans="1:32" ht="14.55" x14ac:dyDescent="0.3">
      <c r="A10">
        <v>7</v>
      </c>
      <c r="B10" s="235">
        <f>IFERROR(LARGE(Diadema!$I$55:$I$176,A10)," ")</f>
        <v>230000</v>
      </c>
      <c r="C10" t="str">
        <f>IFERROR(
   HYPERLINK(
      INDEX(Diadema!$D$55:$D$176,
             MATCH(B10,Diadema!$I$55:$I$176,0)
      ),
      INDEX(Diadema!$C$55:$C$176,
             MATCH(B10,Diadema!$I$55:$I$176,0)
      )
   ),
   ""
)</f>
        <v>44 - Mudança de fonte Usiminas para Arcelor</v>
      </c>
      <c r="D10" s="806">
        <f t="shared" si="6"/>
        <v>4.9761078445294579E-2</v>
      </c>
      <c r="E10" s="362">
        <f t="shared" si="11"/>
        <v>0.45295562795739858</v>
      </c>
      <c r="F10" t="str">
        <f t="shared" si="0"/>
        <v>Diadema</v>
      </c>
      <c r="G10" s="235" t="str">
        <f>_xlfn.XLOOKUP(C10,Diadema!$C$55:$C$176,Diadema!$O$55:$O$176)</f>
        <v>⏳ Em Execução</v>
      </c>
      <c r="H10" s="235" t="str">
        <f>_xlfn.XLOOKUP(C10,Diadema!$C$55:$C$176,Diadema!$M$55:$M$176," ")</f>
        <v>OK</v>
      </c>
      <c r="I10" s="803">
        <f>_xlfn.XLOOKUP(C10,Diadema!$C$55:$C$176,Diadema!$J$55:$J$176)</f>
        <v>46204</v>
      </c>
      <c r="J10" s="235" t="str">
        <f ca="1">INDEX(Diadema!$AP$55:$AP$176, MATCH(C10, Diadema!$C$55:$C$176, 0))</f>
        <v/>
      </c>
      <c r="K10" s="235" t="str" cm="1">
        <f t="array" aca="1" ref="K10" ca="1">INDEX(Diadema!$AP$55:$AP$176, MATCH(C10, Diadema!$C$55:$C$176, 0) + 1)</f>
        <v/>
      </c>
      <c r="L10" s="235">
        <f>INDEX(Diadema!$AI$55:$AI$176, MATCH(C10, Diadema!$C$55:$C$176, 0))</f>
        <v>115000</v>
      </c>
      <c r="M10" s="235"/>
      <c r="N10" s="235"/>
      <c r="O10" s="235"/>
      <c r="P10" s="235"/>
      <c r="Q10">
        <v>7</v>
      </c>
      <c r="R10" s="275">
        <f t="shared" si="7"/>
        <v>733701.49999999988</v>
      </c>
      <c r="S10" t="str">
        <f t="shared" si="1"/>
        <v>08 - Reestruturação</v>
      </c>
      <c r="T10" t="str">
        <f t="shared" si="2"/>
        <v>São leopoldo</v>
      </c>
      <c r="U10" s="275">
        <f t="shared" si="8"/>
        <v>520985.22899999993</v>
      </c>
      <c r="V10" s="235">
        <f t="shared" ca="1" si="9"/>
        <v>520985.22899999993</v>
      </c>
      <c r="W10" s="235">
        <f t="shared" ca="1" si="10"/>
        <v>699813</v>
      </c>
      <c r="X10" t="str">
        <f t="shared" si="3"/>
        <v>✓ Concluído</v>
      </c>
      <c r="Y10" s="803">
        <f t="shared" si="4"/>
        <v>46082</v>
      </c>
      <c r="Z10" t="str">
        <f t="shared" si="5"/>
        <v>OK</v>
      </c>
    </row>
    <row r="11" spans="1:32" ht="14.55" x14ac:dyDescent="0.3">
      <c r="A11">
        <v>8</v>
      </c>
      <c r="B11" s="235">
        <f>IFERROR(LARGE(Diadema!$I$55:$I$176,A11)," ")</f>
        <v>228000</v>
      </c>
      <c r="C11" t="str">
        <f>IFERROR(
   HYPERLINK(
      INDEX(Diadema!$D$55:$D$176,
             MATCH(B11,Diadema!$I$55:$I$176,0)
      ),
      INDEX(Diadema!$C$55:$C$176,
             MATCH(B11,Diadema!$I$55:$I$176,0)
      )
   ),
   ""
)</f>
        <v>16 - Eficiência de MO na linha de Solda e Montagem</v>
      </c>
      <c r="D11" s="806">
        <f t="shared" si="6"/>
        <v>4.9328373415335497E-2</v>
      </c>
      <c r="E11" s="362">
        <f t="shared" si="11"/>
        <v>0.5022840013727341</v>
      </c>
      <c r="F11" t="str">
        <f t="shared" si="0"/>
        <v>Diadema</v>
      </c>
      <c r="G11" s="235" t="str">
        <f>_xlfn.XLOOKUP(C11,Diadema!$C$55:$C$176,Diadema!$O$55:$O$176)</f>
        <v>✓ Concluído</v>
      </c>
      <c r="H11" s="235" t="str">
        <f>_xlfn.XLOOKUP(C11,Diadema!$C$55:$C$176,Diadema!$M$55:$M$176," ")</f>
        <v>OK</v>
      </c>
      <c r="I11" s="803">
        <f>_xlfn.XLOOKUP(C11,Diadema!$C$55:$C$176,Diadema!$J$55:$J$176)</f>
        <v>46082</v>
      </c>
      <c r="J11" s="235">
        <f ca="1">INDEX(Diadema!$AP$55:$AP$176, MATCH(C11, Diadema!$C$55:$C$176, 0))</f>
        <v>37413.057000000001</v>
      </c>
      <c r="K11" s="235" cm="1">
        <f t="array" aca="1" ref="K11" ca="1">INDEX(Diadema!$AP$55:$AP$176, MATCH(C11, Diadema!$C$55:$C$176, 0) + 1)</f>
        <v>12885.189999999999</v>
      </c>
      <c r="L11" s="235">
        <f>INDEX(Diadema!$AI$55:$AI$176, MATCH(C11, Diadema!$C$55:$C$176, 0))</f>
        <v>124710.19</v>
      </c>
      <c r="M11" s="235"/>
      <c r="N11" s="235"/>
      <c r="O11" s="235"/>
      <c r="P11" s="235"/>
      <c r="Q11">
        <v>8</v>
      </c>
      <c r="R11" s="275">
        <f t="shared" si="7"/>
        <v>700000</v>
      </c>
      <c r="S11" t="str">
        <f t="shared" si="1"/>
        <v>16 - Tolerância das MP's</v>
      </c>
      <c r="T11" t="str">
        <f t="shared" si="2"/>
        <v>Ferraz</v>
      </c>
      <c r="U11" s="275">
        <f t="shared" si="8"/>
        <v>350000</v>
      </c>
      <c r="V11" s="235" t="str">
        <f t="shared" ca="1" si="9"/>
        <v/>
      </c>
      <c r="W11" s="235" t="str">
        <f t="shared" ca="1" si="10"/>
        <v/>
      </c>
      <c r="X11" t="str">
        <f t="shared" si="3"/>
        <v>⏳ Em Execução</v>
      </c>
      <c r="Y11" s="803">
        <f t="shared" si="4"/>
        <v>46204</v>
      </c>
      <c r="Z11" t="str">
        <f t="shared" si="5"/>
        <v/>
      </c>
    </row>
    <row r="12" spans="1:32" ht="14.55" x14ac:dyDescent="0.3">
      <c r="A12">
        <v>9</v>
      </c>
      <c r="B12" s="235">
        <f>IFERROR(LARGE(Diadema!$I$55:$I$176,A12)," ")</f>
        <v>223200</v>
      </c>
      <c r="C12" t="str">
        <f>IFERROR(
   HYPERLINK(
      INDEX(Diadema!$D$55:$D$176,
             MATCH(B12,Diadema!$I$55:$I$176,0)
      ),
      INDEX(Diadema!$C$55:$C$176,
             MATCH(B12,Diadema!$I$55:$I$176,0)
      )
   ),
   ""
)</f>
        <v>57 - AlmaCAM_Redução de Peso</v>
      </c>
      <c r="D12" s="806">
        <f t="shared" si="6"/>
        <v>4.8289881343433698E-2</v>
      </c>
      <c r="E12" s="362">
        <f t="shared" si="11"/>
        <v>0.55057388271616781</v>
      </c>
      <c r="F12" t="str">
        <f t="shared" si="0"/>
        <v>Diadema</v>
      </c>
      <c r="G12" s="235" t="str">
        <f>_xlfn.XLOOKUP(C12,Diadema!$C$55:$C$176,Diadema!$O$55:$O$176)</f>
        <v>✓ Concluído</v>
      </c>
      <c r="H12" s="235">
        <f>_xlfn.XLOOKUP(C12,Diadema!$C$55:$C$176,Diadema!$M$55:$M$176," ")</f>
        <v>0</v>
      </c>
      <c r="I12" s="803">
        <f>_xlfn.XLOOKUP(C12,Diadema!$C$55:$C$176,Diadema!$J$55:$J$176)</f>
        <v>46174</v>
      </c>
      <c r="J12" s="235" t="str">
        <f ca="1">INDEX(Diadema!$AP$55:$AP$176, MATCH(C12, Diadema!$C$55:$C$176, 0))</f>
        <v/>
      </c>
      <c r="K12" s="235" t="str" cm="1">
        <f t="array" aca="1" ref="K12" ca="1">INDEX(Diadema!$AP$55:$AP$176, MATCH(C12, Diadema!$C$55:$C$176, 0) + 1)</f>
        <v/>
      </c>
      <c r="L12" s="235">
        <f>INDEX(Diadema!$AI$55:$AI$176, MATCH(C12, Diadema!$C$55:$C$176, 0))</f>
        <v>223200</v>
      </c>
      <c r="M12" s="235"/>
      <c r="N12" s="235"/>
      <c r="O12" s="235"/>
      <c r="P12" s="235"/>
      <c r="Q12">
        <v>9</v>
      </c>
      <c r="R12" s="275">
        <f t="shared" si="7"/>
        <v>690000</v>
      </c>
      <c r="S12" t="str">
        <f t="shared" si="1"/>
        <v xml:space="preserve">05 - Nitrogênio da máquina laser </v>
      </c>
      <c r="T12" t="str">
        <f t="shared" si="2"/>
        <v>Ferraz</v>
      </c>
      <c r="U12" s="275">
        <f t="shared" si="8"/>
        <v>414000</v>
      </c>
      <c r="V12" s="235" t="str">
        <f t="shared" ca="1" si="9"/>
        <v/>
      </c>
      <c r="W12" s="235" t="str">
        <f t="shared" ca="1" si="10"/>
        <v/>
      </c>
      <c r="X12" t="str">
        <f t="shared" si="3"/>
        <v>⏳ Em Execução</v>
      </c>
      <c r="Y12" s="803">
        <f t="shared" si="4"/>
        <v>46235</v>
      </c>
      <c r="Z12" t="str">
        <f t="shared" si="5"/>
        <v/>
      </c>
    </row>
    <row r="13" spans="1:32" ht="14.55" x14ac:dyDescent="0.3">
      <c r="A13">
        <v>10</v>
      </c>
      <c r="B13" s="235">
        <f>IFERROR(LARGE(Diadema!$I$55:$I$176,A13)," ")</f>
        <v>189200</v>
      </c>
      <c r="C13" t="str">
        <f>IFERROR(
   HYPERLINK(
      INDEX(Diadema!$D$55:$D$176,
             MATCH(B13,Diadema!$I$55:$I$176,0)
      ),
      INDEX(Diadema!$C$55:$C$176,
             MATCH(B13,Diadema!$I$55:$I$176,0)
      )
   ),
   ""
)</f>
        <v>47 - REDUÇÃO DE MP DJ000079Z – 80Z</v>
      </c>
      <c r="D13" s="806">
        <f t="shared" si="6"/>
        <v>4.0933895834129284E-2</v>
      </c>
      <c r="E13" s="362">
        <f t="shared" si="11"/>
        <v>0.59150777855029713</v>
      </c>
      <c r="F13" t="str">
        <f t="shared" si="0"/>
        <v>Diadema</v>
      </c>
      <c r="G13" s="235" t="str">
        <f>_xlfn.XLOOKUP(C13,Diadema!$C$55:$C$176,Diadema!$O$55:$O$176)</f>
        <v>⏳ Em Execução</v>
      </c>
      <c r="H13" s="235" t="str">
        <f>_xlfn.XLOOKUP(C13,Diadema!$C$55:$C$176,Diadema!$M$55:$M$176," ")</f>
        <v>OK</v>
      </c>
      <c r="I13" s="803">
        <f>_xlfn.XLOOKUP(C13,Diadema!$C$55:$C$176,Diadema!$J$55:$J$176)</f>
        <v>46235</v>
      </c>
      <c r="J13" s="235" t="str">
        <f ca="1">INDEX(Diadema!$AP$55:$AP$176, MATCH(C13, Diadema!$C$55:$C$176, 0))</f>
        <v/>
      </c>
      <c r="K13" s="235" t="str" cm="1">
        <f t="array" aca="1" ref="K13" ca="1">INDEX(Diadema!$AP$55:$AP$176, MATCH(C13, Diadema!$C$55:$C$176, 0) + 1)</f>
        <v/>
      </c>
      <c r="L13" s="235">
        <f>INDEX(Diadema!$AI$55:$AI$176, MATCH(C13, Diadema!$C$55:$C$176, 0))</f>
        <v>70963.59</v>
      </c>
      <c r="M13" s="235"/>
      <c r="N13" s="235"/>
      <c r="O13" s="235"/>
      <c r="P13" s="235"/>
      <c r="Q13">
        <v>10</v>
      </c>
      <c r="R13" s="275">
        <f t="shared" si="7"/>
        <v>624848</v>
      </c>
      <c r="S13" t="str">
        <f t="shared" si="1"/>
        <v>Nacionalização RIBE - 
Item 75640 (Pino Rebite M6 x 16)</v>
      </c>
      <c r="T13" t="str">
        <f t="shared" si="2"/>
        <v>Compras</v>
      </c>
      <c r="U13" s="275">
        <f t="shared" si="8"/>
        <v>52070.666666666664</v>
      </c>
      <c r="V13" s="235" t="str">
        <f t="shared" ca="1" si="9"/>
        <v/>
      </c>
      <c r="W13" s="235" t="str">
        <f t="shared" ca="1" si="10"/>
        <v/>
      </c>
      <c r="X13" t="str">
        <f t="shared" si="3"/>
        <v>⏳ Em Execução</v>
      </c>
      <c r="Y13" s="803">
        <f t="shared" si="4"/>
        <v>46371</v>
      </c>
      <c r="Z13" t="str">
        <f t="shared" si="5"/>
        <v/>
      </c>
    </row>
    <row r="14" spans="1:32" ht="14.55" x14ac:dyDescent="0.3">
      <c r="A14">
        <v>11</v>
      </c>
      <c r="B14" s="235">
        <f>IFERROR(LARGE(Diadema!$I$55:$I$176,A14)," ")</f>
        <v>160000</v>
      </c>
      <c r="C14" t="str">
        <f>IFERROR(
   HYPERLINK(
      INDEX(Diadema!$D$55:$D$176,
             MATCH(B14,Diadema!$I$55:$I$176,0)
      ),
      INDEX(Diadema!$C$55:$C$176,
             MATCH(B14,Diadema!$I$55:$I$176,0)
      )
   ),
   ""
)</f>
        <v>42 - Aluguel de Compressor</v>
      </c>
      <c r="D14" s="806">
        <f t="shared" si="6"/>
        <v>3.4616402396726663E-2</v>
      </c>
      <c r="E14" s="362">
        <f t="shared" si="11"/>
        <v>0.62612418094702382</v>
      </c>
      <c r="F14" t="str">
        <f t="shared" si="0"/>
        <v>Diadema</v>
      </c>
      <c r="G14" s="235" t="str">
        <f>_xlfn.XLOOKUP(C14,Diadema!$C$55:$C$176,Diadema!$O$55:$O$176)</f>
        <v>✓ Concluído</v>
      </c>
      <c r="H14" s="235" t="str">
        <f>_xlfn.XLOOKUP(C14,Diadema!$C$55:$C$176,Diadema!$M$55:$M$176," ")</f>
        <v>OK</v>
      </c>
      <c r="I14" s="803">
        <f>_xlfn.XLOOKUP(C14,Diadema!$C$55:$C$176,Diadema!$J$55:$J$176)</f>
        <v>46174</v>
      </c>
      <c r="J14" s="235" t="str">
        <f ca="1">INDEX(Diadema!$AP$55:$AP$176, MATCH(C14, Diadema!$C$55:$C$176, 0))</f>
        <v/>
      </c>
      <c r="K14" s="235" t="str" cm="1">
        <f t="array" aca="1" ref="K14" ca="1">INDEX(Diadema!$AP$55:$AP$176, MATCH(C14, Diadema!$C$55:$C$176, 0) + 1)</f>
        <v/>
      </c>
      <c r="L14" s="235">
        <f>INDEX(Diadema!$AI$55:$AI$176, MATCH(C14, Diadema!$C$55:$C$176, 0))</f>
        <v>72500</v>
      </c>
      <c r="M14" s="235"/>
      <c r="N14" s="235"/>
      <c r="O14" s="235"/>
      <c r="P14" s="235"/>
      <c r="Q14">
        <v>11</v>
      </c>
      <c r="R14" s="275">
        <f t="shared" si="7"/>
        <v>606000</v>
      </c>
      <c r="S14" t="str">
        <f t="shared" si="1"/>
        <v>Negociação Produtos Pré tratamento</v>
      </c>
      <c r="T14" t="str">
        <f t="shared" si="2"/>
        <v>Compras</v>
      </c>
      <c r="U14" s="275">
        <f t="shared" si="8"/>
        <v>303000</v>
      </c>
      <c r="V14" s="235" t="str">
        <f t="shared" ca="1" si="9"/>
        <v/>
      </c>
      <c r="W14" s="235" t="str">
        <f t="shared" ca="1" si="10"/>
        <v/>
      </c>
      <c r="X14" t="str">
        <f t="shared" si="3"/>
        <v>⏳ Em Execução</v>
      </c>
      <c r="Y14" s="803">
        <f t="shared" si="4"/>
        <v>46204</v>
      </c>
      <c r="Z14" t="str">
        <f t="shared" si="5"/>
        <v/>
      </c>
    </row>
    <row r="15" spans="1:32" ht="14.55" x14ac:dyDescent="0.3">
      <c r="A15">
        <v>12</v>
      </c>
      <c r="B15" s="235">
        <f>IFERROR(LARGE(Diadema!$I$55:$I$176,A15)," ")</f>
        <v>135186</v>
      </c>
      <c r="C15" t="str">
        <f>IFERROR(
   HYPERLINK(
      INDEX(Diadema!$D$55:$D$176,
             MATCH(B15,Diadema!$I$55:$I$176,0)
      ),
      INDEX(Diadema!$C$55:$C$176,
             MATCH(B15,Diadema!$I$55:$I$176,0)
      )
   ),
   ""
)</f>
        <v>02 - Redução na quantidade de lâmpadas acessa, na produção</v>
      </c>
      <c r="D15" s="806">
        <f t="shared" si="6"/>
        <v>2.924783109002432E-2</v>
      </c>
      <c r="E15" s="362">
        <f t="shared" si="11"/>
        <v>0.65537201203704809</v>
      </c>
      <c r="F15" t="str">
        <f t="shared" si="0"/>
        <v>Diadema</v>
      </c>
      <c r="G15" s="235" t="str">
        <f>_xlfn.XLOOKUP(C15,Diadema!$C$55:$C$176,Diadema!$O$55:$O$176)</f>
        <v>✓ Concluído</v>
      </c>
      <c r="H15" s="235">
        <f>_xlfn.XLOOKUP(C15,Diadema!$C$55:$C$176,Diadema!$M$55:$M$176," ")</f>
        <v>0</v>
      </c>
      <c r="I15" s="803">
        <f>_xlfn.XLOOKUP(C15,Diadema!$C$55:$C$176,Diadema!$J$55:$J$176)</f>
        <v>0</v>
      </c>
      <c r="J15" s="235" t="str">
        <f ca="1">INDEX(Diadema!$AP$55:$AP$176, MATCH(C15, Diadema!$C$55:$C$176, 0))</f>
        <v/>
      </c>
      <c r="K15" s="235" t="str" cm="1">
        <f t="array" aca="1" ref="K15" ca="1">INDEX(Diadema!$AP$55:$AP$176, MATCH(C15, Diadema!$C$55:$C$176, 0) + 1)</f>
        <v/>
      </c>
      <c r="L15" s="235">
        <f>INDEX(Diadema!$AI$55:$AI$176, MATCH(C15, Diadema!$C$55:$C$176, 0))</f>
        <v>0</v>
      </c>
      <c r="M15" s="235"/>
      <c r="N15" s="235"/>
      <c r="O15" s="235"/>
      <c r="P15" s="235"/>
      <c r="Q15">
        <v>12</v>
      </c>
      <c r="R15" s="275">
        <f t="shared" si="7"/>
        <v>600868</v>
      </c>
      <c r="S15" t="str">
        <f t="shared" si="1"/>
        <v>Mão de Obra Terceirizada</v>
      </c>
      <c r="T15" t="str">
        <f t="shared" si="2"/>
        <v>Compras</v>
      </c>
      <c r="U15" s="275">
        <f t="shared" si="8"/>
        <v>350506.33333333331</v>
      </c>
      <c r="V15" s="235" t="str">
        <f t="shared" ca="1" si="9"/>
        <v/>
      </c>
      <c r="W15" s="235" t="str">
        <f t="shared" ca="1" si="10"/>
        <v/>
      </c>
      <c r="X15" t="str">
        <f t="shared" si="3"/>
        <v>⏳ Em Execução</v>
      </c>
      <c r="Y15" s="803">
        <f t="shared" si="4"/>
        <v>46174</v>
      </c>
      <c r="Z15" t="str">
        <f t="shared" si="5"/>
        <v/>
      </c>
    </row>
    <row r="16" spans="1:32" ht="14.55" x14ac:dyDescent="0.3">
      <c r="A16">
        <v>13</v>
      </c>
      <c r="B16" s="235">
        <f>IFERROR(LARGE(Diadema!$I$55:$I$176,A16)," ")</f>
        <v>115000</v>
      </c>
      <c r="C16" t="str">
        <f>IFERROR(
   HYPERLINK(
      INDEX(Diadema!$D$55:$D$176,
             MATCH(B16,Diadema!$I$55:$I$176,0)
      ),
      INDEX(Diadema!$C$55:$C$176,
             MATCH(B16,Diadema!$I$55:$I$176,0)
      )
   ),
   ""
)</f>
        <v>30 - DA000491Z_DE000492Z - STC Scania G_</v>
      </c>
      <c r="D16" s="806">
        <f t="shared" si="6"/>
        <v>2.488053922264729E-2</v>
      </c>
      <c r="E16" s="362">
        <f t="shared" si="11"/>
        <v>0.68025255125969541</v>
      </c>
      <c r="F16" t="str">
        <f t="shared" si="0"/>
        <v>Diadema</v>
      </c>
      <c r="G16" s="235" t="str">
        <f>_xlfn.XLOOKUP(C16,Diadema!$C$55:$C$176,Diadema!$O$55:$O$176)</f>
        <v>⏳ Em Execução</v>
      </c>
      <c r="H16" s="235" t="str">
        <f>_xlfn.XLOOKUP(C16,Diadema!$C$55:$C$176,Diadema!$M$55:$M$176," ")</f>
        <v>OK</v>
      </c>
      <c r="I16" s="803">
        <f>_xlfn.XLOOKUP(C16,Diadema!$C$55:$C$176,Diadema!$J$55:$J$176)</f>
        <v>46174</v>
      </c>
      <c r="J16" s="235" t="str">
        <f ca="1">INDEX(Diadema!$AP$55:$AP$176, MATCH(C16, Diadema!$C$55:$C$176, 0))</f>
        <v/>
      </c>
      <c r="K16" s="235" t="str" cm="1">
        <f t="array" aca="1" ref="K16" ca="1">INDEX(Diadema!$AP$55:$AP$176, MATCH(C16, Diadema!$C$55:$C$176, 0) + 1)</f>
        <v/>
      </c>
      <c r="L16" s="235">
        <f>INDEX(Diadema!$AI$55:$AI$176, MATCH(C16, Diadema!$C$55:$C$176, 0))</f>
        <v>39111.76999999999</v>
      </c>
      <c r="M16" s="235"/>
      <c r="N16" s="235"/>
      <c r="O16" s="235"/>
      <c r="P16" s="235"/>
      <c r="Q16">
        <v>13</v>
      </c>
      <c r="R16" s="275">
        <f t="shared" si="7"/>
        <v>600000.00089999998</v>
      </c>
      <c r="S16" t="str">
        <f t="shared" si="1"/>
        <v xml:space="preserve">06 - Reaproveitamento de lixas </v>
      </c>
      <c r="T16" t="str">
        <f t="shared" si="2"/>
        <v>Ferraz</v>
      </c>
      <c r="U16" s="275">
        <f t="shared" si="8"/>
        <v>151815.13</v>
      </c>
      <c r="V16" s="235">
        <f t="shared" ca="1" si="9"/>
        <v>253025.21666666667</v>
      </c>
      <c r="W16" s="235">
        <f t="shared" ca="1" si="10"/>
        <v>276395.48</v>
      </c>
      <c r="X16" t="str">
        <f t="shared" si="3"/>
        <v>✓ Concluído</v>
      </c>
      <c r="Y16" s="803">
        <f t="shared" si="4"/>
        <v>46023</v>
      </c>
      <c r="Z16" t="str">
        <f t="shared" si="5"/>
        <v>OK</v>
      </c>
    </row>
    <row r="17" spans="1:26" ht="14.55" x14ac:dyDescent="0.3">
      <c r="A17">
        <v>14</v>
      </c>
      <c r="B17" s="235">
        <f>IFERROR(LARGE(Diadema!$I$55:$I$176,A17)," ")</f>
        <v>106000</v>
      </c>
      <c r="C17" t="str">
        <f>IFERROR(
   HYPERLINK(
      INDEX(Diadema!$D$55:$D$176,
             MATCH(B17,Diadema!$I$55:$I$176,0)
      ),
      INDEX(Diadema!$C$55:$C$176,
             MATCH(B17,Diadema!$I$55:$I$176,0)
      )
   ),
   ""
)</f>
        <v>45 - Redução de MP GM000409Z</v>
      </c>
      <c r="D17" s="806">
        <f t="shared" si="6"/>
        <v>2.2933366587831416E-2</v>
      </c>
      <c r="E17" s="362">
        <f t="shared" si="11"/>
        <v>0.70318591784752682</v>
      </c>
      <c r="F17" t="str">
        <f t="shared" si="0"/>
        <v>Diadema</v>
      </c>
      <c r="G17" s="235" t="str">
        <f>_xlfn.XLOOKUP(C17,Diadema!$C$55:$C$176,Diadema!$O$55:$O$176)</f>
        <v>✓ Concluído</v>
      </c>
      <c r="H17" s="235" t="str">
        <f>_xlfn.XLOOKUP(C17,Diadema!$C$55:$C$176,Diadema!$M$55:$M$176," ")</f>
        <v>OK</v>
      </c>
      <c r="I17" s="803">
        <f>_xlfn.XLOOKUP(C17,Diadema!$C$55:$C$176,Diadema!$J$55:$J$176)</f>
        <v>46136</v>
      </c>
      <c r="J17" s="235">
        <f ca="1">INDEX(Diadema!$AP$55:$AP$176, MATCH(C17, Diadema!$C$55:$C$176, 0))</f>
        <v>22084.724444444444</v>
      </c>
      <c r="K17" s="235" cm="1">
        <f t="array" aca="1" ref="K17" ca="1">INDEX(Diadema!$AP$55:$AP$176, MATCH(C17, Diadema!$C$55:$C$176, 0) + 1)</f>
        <v>34660.771754999863</v>
      </c>
      <c r="L17" s="235">
        <f>INDEX(Diadema!$AI$55:$AI$176, MATCH(C17, Diadema!$C$55:$C$176, 0))</f>
        <v>99381.260000000009</v>
      </c>
      <c r="M17" s="235"/>
      <c r="N17" s="235"/>
      <c r="O17" s="235"/>
      <c r="P17" s="235"/>
      <c r="Q17">
        <v>14</v>
      </c>
      <c r="R17" s="275">
        <f t="shared" si="7"/>
        <v>530000</v>
      </c>
      <c r="S17" t="str">
        <f t="shared" si="1"/>
        <v>01 - VENDA DE ATIVOS</v>
      </c>
      <c r="T17" t="str">
        <f t="shared" si="2"/>
        <v>Anchieta</v>
      </c>
      <c r="U17" s="275">
        <f t="shared" si="8"/>
        <v>0</v>
      </c>
      <c r="V17" s="235">
        <f t="shared" ca="1" si="9"/>
        <v>50000</v>
      </c>
      <c r="W17" s="235">
        <f t="shared" ca="1" si="10"/>
        <v>50000</v>
      </c>
      <c r="X17" t="str">
        <f t="shared" si="3"/>
        <v>⏳ Em Execução</v>
      </c>
      <c r="Y17" s="803">
        <f t="shared" si="4"/>
        <v>0</v>
      </c>
      <c r="Z17" t="str">
        <f t="shared" si="5"/>
        <v>OK</v>
      </c>
    </row>
    <row r="18" spans="1:26" ht="14.55" x14ac:dyDescent="0.3">
      <c r="A18">
        <v>15</v>
      </c>
      <c r="B18" s="235">
        <f>IFERROR(LARGE(Diadema!$I$55:$I$176,A18)," ")</f>
        <v>96000</v>
      </c>
      <c r="C18" t="str">
        <f>IFERROR(
   HYPERLINK(
      INDEX(Diadema!$D$55:$D$176,
             MATCH(B18,Diadema!$I$55:$I$176,0)
      ),
      INDEX(Diadema!$C$55:$C$176,
             MATCH(B18,Diadema!$I$55:$I$176,0)
      )
   ),
   ""
)</f>
        <v>43 - Automação Boomerang</v>
      </c>
      <c r="D18" s="806">
        <f t="shared" si="6"/>
        <v>2.0769841438036001E-2</v>
      </c>
      <c r="E18" s="362">
        <f t="shared" si="11"/>
        <v>0.72395575928556277</v>
      </c>
      <c r="F18" t="str">
        <f t="shared" si="0"/>
        <v>Diadema</v>
      </c>
      <c r="G18" s="235" t="str">
        <f>_xlfn.XLOOKUP(C18,Diadema!$C$55:$C$176,Diadema!$O$55:$O$176)</f>
        <v>⏳ Em Execução</v>
      </c>
      <c r="H18" s="235" t="str">
        <f>_xlfn.XLOOKUP(C18,Diadema!$C$55:$C$176,Diadema!$M$55:$M$176," ")</f>
        <v>NOK</v>
      </c>
      <c r="I18" s="803">
        <f>_xlfn.XLOOKUP(C18,Diadema!$C$55:$C$176,Diadema!$J$55:$J$176)</f>
        <v>46204</v>
      </c>
      <c r="J18" s="235" t="str">
        <f ca="1">INDEX(Diadema!$AP$55:$AP$176, MATCH(C18, Diadema!$C$55:$C$176, 0))</f>
        <v/>
      </c>
      <c r="K18" s="235" t="str" cm="1">
        <f t="array" aca="1" ref="K18" ca="1">INDEX(Diadema!$AP$55:$AP$176, MATCH(C18, Diadema!$C$55:$C$176, 0) + 1)</f>
        <v/>
      </c>
      <c r="L18" s="235">
        <f>INDEX(Diadema!$AI$55:$AI$176, MATCH(C18, Diadema!$C$55:$C$176, 0))</f>
        <v>96000</v>
      </c>
      <c r="M18" s="235"/>
      <c r="N18" s="235"/>
      <c r="O18" s="235"/>
      <c r="P18" s="235"/>
      <c r="Q18">
        <v>15</v>
      </c>
      <c r="R18" s="275">
        <f t="shared" si="7"/>
        <v>513721</v>
      </c>
      <c r="S18" t="str">
        <f t="shared" si="1"/>
        <v>03 - Redução de consumo de MP dos blanks com a técnica de corte Wave</v>
      </c>
      <c r="T18" t="str">
        <f t="shared" si="2"/>
        <v>Jarinu</v>
      </c>
      <c r="U18" s="275">
        <f t="shared" si="8"/>
        <v>128430.25</v>
      </c>
      <c r="V18" s="235" t="str">
        <f t="shared" ca="1" si="9"/>
        <v/>
      </c>
      <c r="W18" s="235" t="str">
        <f t="shared" ca="1" si="10"/>
        <v/>
      </c>
      <c r="X18" t="str">
        <f t="shared" si="3"/>
        <v>⏳ Em Execução</v>
      </c>
      <c r="Y18" s="803">
        <f t="shared" si="4"/>
        <v>46174</v>
      </c>
      <c r="Z18" t="str">
        <f t="shared" si="5"/>
        <v/>
      </c>
    </row>
    <row r="19" spans="1:26" ht="14.55" x14ac:dyDescent="0.3">
      <c r="A19">
        <v>16</v>
      </c>
      <c r="B19" s="235">
        <f>IFERROR(LARGE(Diadema!$I$55:$I$176,A19)," ")</f>
        <v>92500</v>
      </c>
      <c r="C19" t="str">
        <f>IFERROR(
   HYPERLINK(
      INDEX(Diadema!$D$55:$D$176,
             MATCH(B19,Diadema!$I$55:$I$176,0)
      ),
      INDEX(Diadema!$C$55:$C$176,
             MATCH(B19,Diadema!$I$55:$I$176,0)
      )
   ),
   ""
)</f>
        <v>50 - Suporte da lanterna MB003681</v>
      </c>
      <c r="D19" s="806">
        <f t="shared" si="6"/>
        <v>2.0012607635607603E-2</v>
      </c>
      <c r="E19" s="362">
        <f t="shared" si="11"/>
        <v>0.74396836692117041</v>
      </c>
      <c r="F19" t="str">
        <f t="shared" si="0"/>
        <v>Diadema</v>
      </c>
      <c r="G19" s="235" t="str">
        <f>_xlfn.XLOOKUP(C19,Diadema!$C$55:$C$176,Diadema!$O$55:$O$176)</f>
        <v>⏳ Em Execução</v>
      </c>
      <c r="H19" s="235" t="str">
        <f>_xlfn.XLOOKUP(C19,Diadema!$C$55:$C$176,Diadema!$M$55:$M$176," ")</f>
        <v>OK</v>
      </c>
      <c r="I19" s="803">
        <f>_xlfn.XLOOKUP(C19,Diadema!$C$55:$C$176,Diadema!$J$55:$J$176)</f>
        <v>46174</v>
      </c>
      <c r="J19" s="235" t="str">
        <f ca="1">INDEX(Diadema!$AP$55:$AP$176, MATCH(C19, Diadema!$C$55:$C$176, 0))</f>
        <v/>
      </c>
      <c r="K19" s="235" t="str" cm="1">
        <f t="array" aca="1" ref="K19" ca="1">INDEX(Diadema!$AP$55:$AP$176, MATCH(C19, Diadema!$C$55:$C$176, 0) + 1)</f>
        <v/>
      </c>
      <c r="L19" s="235">
        <f>INDEX(Diadema!$AI$55:$AI$176, MATCH(C19, Diadema!$C$55:$C$176, 0))</f>
        <v>153302.58000000002</v>
      </c>
      <c r="M19" s="235"/>
      <c r="N19" s="235"/>
      <c r="O19" s="235"/>
      <c r="P19" s="235"/>
      <c r="Q19">
        <v>16</v>
      </c>
      <c r="R19" s="275">
        <f t="shared" si="7"/>
        <v>500000.00799999997</v>
      </c>
      <c r="S19" t="str">
        <f t="shared" si="1"/>
        <v xml:space="preserve">03 - Consumo de desmoldante </v>
      </c>
      <c r="T19" t="str">
        <f t="shared" si="2"/>
        <v>Ferraz</v>
      </c>
      <c r="U19" s="275">
        <f t="shared" si="8"/>
        <v>126310.64000000001</v>
      </c>
      <c r="V19" s="235">
        <f t="shared" ca="1" si="9"/>
        <v>210517.73333333334</v>
      </c>
      <c r="W19" s="235">
        <f t="shared" ca="1" si="10"/>
        <v>421900.92000000004</v>
      </c>
      <c r="X19" t="str">
        <f t="shared" si="3"/>
        <v>⏳ Em Execução</v>
      </c>
      <c r="Y19" s="803">
        <f t="shared" si="4"/>
        <v>46023</v>
      </c>
      <c r="Z19" t="str">
        <f t="shared" si="5"/>
        <v>OK</v>
      </c>
    </row>
    <row r="20" spans="1:26" ht="14.55" x14ac:dyDescent="0.3">
      <c r="A20">
        <v>17</v>
      </c>
      <c r="B20" s="235">
        <f>IFERROR(LARGE(Diadema!$I$55:$I$176,A20)," ")</f>
        <v>91200</v>
      </c>
      <c r="C20" t="str">
        <f>IFERROR(
   HYPERLINK(
      INDEX(Diadema!$D$55:$D$176,
             MATCH(B20,Diadema!$I$55:$I$176,0)
      ),
      INDEX(Diadema!$C$55:$C$176,
             MATCH(B20,Diadema!$I$55:$I$176,0)
      )
   ),
   ""
)</f>
        <v>56 -Redução de Peso Bruto do item SV001141LA / SV001142LA</v>
      </c>
      <c r="D20" s="806">
        <f t="shared" si="6"/>
        <v>1.9731349366134198E-2</v>
      </c>
      <c r="E20" s="362">
        <f t="shared" si="11"/>
        <v>0.7636997162873046</v>
      </c>
      <c r="F20" t="str">
        <f t="shared" si="0"/>
        <v>Diadema</v>
      </c>
      <c r="G20" s="235" t="str">
        <f>_xlfn.XLOOKUP(C20,Diadema!$C$55:$C$176,Diadema!$O$55:$O$176)</f>
        <v>⏳ Em Execução</v>
      </c>
      <c r="H20" s="235" t="str">
        <f>_xlfn.XLOOKUP(C20,Diadema!$C$55:$C$176,Diadema!$M$55:$M$176," ")</f>
        <v>OK</v>
      </c>
      <c r="I20" s="803">
        <f>_xlfn.XLOOKUP(C20,Diadema!$C$55:$C$176,Diadema!$J$55:$J$176)</f>
        <v>46204</v>
      </c>
      <c r="J20" s="235" t="str">
        <f ca="1">INDEX(Diadema!$AP$55:$AP$176, MATCH(C20, Diadema!$C$55:$C$176, 0))</f>
        <v/>
      </c>
      <c r="K20" s="235" t="str" cm="1">
        <f t="array" aca="1" ref="K20" ca="1">INDEX(Diadema!$AP$55:$AP$176, MATCH(C20, Diadema!$C$55:$C$176, 0) + 1)</f>
        <v/>
      </c>
      <c r="L20" s="235">
        <f>INDEX(Diadema!$AI$55:$AI$176, MATCH(C20, Diadema!$C$55:$C$176, 0))</f>
        <v>28666.410000000003</v>
      </c>
      <c r="M20" s="235"/>
      <c r="N20" s="235"/>
      <c r="O20" s="235"/>
      <c r="P20" s="235"/>
      <c r="Q20">
        <v>17</v>
      </c>
      <c r="R20" s="275">
        <f t="shared" si="7"/>
        <v>500000</v>
      </c>
      <c r="S20" t="str">
        <f t="shared" si="1"/>
        <v>Viabilizar Material Alternativo de Menor Custo para Utilização na Carcaça da Scania</v>
      </c>
      <c r="T20" t="str">
        <f t="shared" si="2"/>
        <v>Compras</v>
      </c>
      <c r="U20" s="275">
        <f t="shared" si="8"/>
        <v>83333.333333333328</v>
      </c>
      <c r="V20" s="235" t="str">
        <f t="shared" ca="1" si="9"/>
        <v/>
      </c>
      <c r="W20" s="235" t="str">
        <f t="shared" ca="1" si="10"/>
        <v/>
      </c>
      <c r="X20" t="str">
        <f t="shared" si="3"/>
        <v>⏳ Em Execução</v>
      </c>
      <c r="Y20" s="803">
        <f t="shared" si="4"/>
        <v>46327</v>
      </c>
      <c r="Z20" t="str">
        <f t="shared" si="5"/>
        <v/>
      </c>
    </row>
    <row r="21" spans="1:26" ht="14.55" x14ac:dyDescent="0.3">
      <c r="A21">
        <v>18</v>
      </c>
      <c r="B21" s="235">
        <f>IFERROR(LARGE(Diadema!$I$55:$I$176,A21)," ")</f>
        <v>90000.000000098997</v>
      </c>
      <c r="C21" t="str">
        <f>IFERROR(
   HYPERLINK(
      INDEX(Diadema!$D$55:$D$176,
             MATCH(B21,Diadema!$I$55:$I$176,0)
      ),
      INDEX(Diadema!$C$55:$C$176,
             MATCH(B21,Diadema!$I$55:$I$176,0)
      )
   ),
   ""
)</f>
        <v>27 - DA000459AA - STC Volvo_</v>
      </c>
      <c r="D21" s="806">
        <f t="shared" si="6"/>
        <v>1.9471726348180167E-2</v>
      </c>
      <c r="E21" s="362">
        <f t="shared" si="11"/>
        <v>0.78317144263548477</v>
      </c>
      <c r="F21" t="str">
        <f t="shared" si="0"/>
        <v>Diadema</v>
      </c>
      <c r="G21" s="235" t="str">
        <f>_xlfn.XLOOKUP(C21,Diadema!$C$55:$C$176,Diadema!$O$55:$O$176)</f>
        <v>✓ Concluído</v>
      </c>
      <c r="H21" s="235" t="str">
        <f>_xlfn.XLOOKUP(C21,Diadema!$C$55:$C$176,Diadema!$M$55:$M$176," ")</f>
        <v>OK</v>
      </c>
      <c r="I21" s="803">
        <f>_xlfn.XLOOKUP(C21,Diadema!$C$55:$C$176,Diadema!$J$55:$J$176)</f>
        <v>46174</v>
      </c>
      <c r="J21" s="235" t="str">
        <f ca="1">INDEX(Diadema!$AP$55:$AP$176, MATCH(C21, Diadema!$C$55:$C$176, 0))</f>
        <v/>
      </c>
      <c r="K21" s="235" t="str" cm="1">
        <f t="array" aca="1" ref="K21" ca="1">INDEX(Diadema!$AP$55:$AP$176, MATCH(C21, Diadema!$C$55:$C$176, 0) + 1)</f>
        <v/>
      </c>
      <c r="L21" s="235">
        <f>INDEX(Diadema!$AI$55:$AI$176, MATCH(C21, Diadema!$C$55:$C$176, 0))</f>
        <v>41632.629999999997</v>
      </c>
      <c r="M21" s="235"/>
      <c r="N21" s="235"/>
      <c r="O21" s="235"/>
      <c r="P21" s="235"/>
      <c r="Q21">
        <v>18</v>
      </c>
      <c r="R21" s="275">
        <f t="shared" si="7"/>
        <v>450000.00900000002</v>
      </c>
      <c r="S21" t="str">
        <f t="shared" si="1"/>
        <v>29 - DA000489Z_DA000490Z - STC Scania M_</v>
      </c>
      <c r="T21" t="str">
        <f t="shared" si="2"/>
        <v>Diadema</v>
      </c>
      <c r="U21" s="275">
        <f t="shared" si="8"/>
        <v>446423.79</v>
      </c>
      <c r="V21" s="235">
        <f t="shared" ca="1" si="9"/>
        <v>133927.13699999999</v>
      </c>
      <c r="W21" s="235">
        <f t="shared" ca="1" si="10"/>
        <v>182981.17848009121</v>
      </c>
      <c r="X21" t="str">
        <f t="shared" si="3"/>
        <v>✓ Concluído</v>
      </c>
      <c r="Y21" s="803">
        <f t="shared" si="4"/>
        <v>46082</v>
      </c>
      <c r="Z21" t="str">
        <f t="shared" si="5"/>
        <v>OK</v>
      </c>
    </row>
    <row r="22" spans="1:26" ht="14.55" x14ac:dyDescent="0.3">
      <c r="A22">
        <v>19</v>
      </c>
      <c r="B22" s="235">
        <f>IFERROR(LARGE(Diadema!$I$55:$I$176,A22)," ")</f>
        <v>68000</v>
      </c>
      <c r="C22" t="str">
        <f>IFERROR(
   HYPERLINK(
      INDEX(Diadema!$D$55:$D$176,
             MATCH(B22,Diadema!$I$55:$I$176,0)
      ),
      INDEX(Diadema!$C$55:$C$176,
             MATCH(B22,Diadema!$I$55:$I$176,0)
      )
   ),
   ""
)</f>
        <v>05 - Empilhadeira - Diadema</v>
      </c>
      <c r="D22" s="806">
        <f t="shared" si="6"/>
        <v>1.4711971018608832E-2</v>
      </c>
      <c r="E22" s="362">
        <f t="shared" si="11"/>
        <v>0.79788341365409365</v>
      </c>
      <c r="F22" t="str">
        <f t="shared" si="0"/>
        <v>Diadema</v>
      </c>
      <c r="G22" s="235" t="str">
        <f>_xlfn.XLOOKUP(C22,Diadema!$C$55:$C$176,Diadema!$O$55:$O$176)</f>
        <v>✓ Concluído</v>
      </c>
      <c r="H22" s="235" t="str">
        <f>_xlfn.XLOOKUP(C22,Diadema!$C$55:$C$176,Diadema!$M$55:$M$176," ")</f>
        <v>OK</v>
      </c>
      <c r="I22" s="803">
        <f>_xlfn.XLOOKUP(C22,Diadema!$C$55:$C$176,Diadema!$J$55:$J$176)</f>
        <v>46082</v>
      </c>
      <c r="J22" s="235">
        <f ca="1">INDEX(Diadema!$AP$55:$AP$176, MATCH(C22, Diadema!$C$55:$C$176, 0))</f>
        <v>16983.227999999999</v>
      </c>
      <c r="K22" s="235" cm="1">
        <f t="array" aca="1" ref="K22" ca="1">INDEX(Diadema!$AP$55:$AP$176, MATCH(C22, Diadema!$C$55:$C$176, 0) + 1)</f>
        <v>15439.297500000008</v>
      </c>
      <c r="L22" s="235">
        <f>INDEX(Diadema!$AI$55:$AI$176, MATCH(C22, Diadema!$C$55:$C$176, 0))</f>
        <v>56610.759999999995</v>
      </c>
      <c r="M22" s="235"/>
      <c r="N22" s="235"/>
      <c r="O22" s="235"/>
      <c r="P22" s="235"/>
      <c r="Q22">
        <v>19</v>
      </c>
      <c r="R22" s="275">
        <f t="shared" si="7"/>
        <v>450000</v>
      </c>
      <c r="S22" t="str">
        <f t="shared" si="1"/>
        <v xml:space="preserve">04 - Redução dos retrabalhos </v>
      </c>
      <c r="T22" t="str">
        <f t="shared" si="2"/>
        <v>Ferraz</v>
      </c>
      <c r="U22" s="275">
        <f t="shared" si="8"/>
        <v>0</v>
      </c>
      <c r="V22" s="235" t="str">
        <f t="shared" ca="1" si="9"/>
        <v/>
      </c>
      <c r="W22" s="235" t="str">
        <f t="shared" ca="1" si="10"/>
        <v/>
      </c>
      <c r="X22" t="str">
        <f t="shared" si="3"/>
        <v>⏳ Em Execução</v>
      </c>
      <c r="Y22" s="803">
        <f t="shared" si="4"/>
        <v>0</v>
      </c>
      <c r="Z22" t="str">
        <f t="shared" si="5"/>
        <v/>
      </c>
    </row>
    <row r="23" spans="1:26" ht="14.55" x14ac:dyDescent="0.3">
      <c r="A23">
        <v>20</v>
      </c>
      <c r="B23" s="235">
        <f>IFERROR(LARGE(Diadema!$I$55:$I$176,A23)," ")</f>
        <v>63600</v>
      </c>
      <c r="C23" t="str">
        <f>IFERROR(
   HYPERLINK(
      INDEX(Diadema!$D$55:$D$176,
             MATCH(B23,Diadema!$I$55:$I$176,0)
      ),
      INDEX(Diadema!$C$55:$C$176,
             MATCH(B23,Diadema!$I$55:$I$176,0)
      )
   ),
   ""
)</f>
        <v>49 - REDUÇÃO DE MP GM000408Z / GM000409Z</v>
      </c>
      <c r="D23" s="806">
        <f t="shared" si="6"/>
        <v>1.3760019952698849E-2</v>
      </c>
      <c r="E23" s="362">
        <f t="shared" si="11"/>
        <v>0.81164343360679247</v>
      </c>
      <c r="F23" t="str">
        <f t="shared" si="0"/>
        <v>Diadema</v>
      </c>
      <c r="G23" s="235" t="str">
        <f>_xlfn.XLOOKUP(C23,Diadema!$C$55:$C$176,Diadema!$O$55:$O$176)</f>
        <v>⏳ Em Execução</v>
      </c>
      <c r="H23" s="235">
        <f>_xlfn.XLOOKUP(C23,Diadema!$C$55:$C$176,Diadema!$M$55:$M$176," ")</f>
        <v>0</v>
      </c>
      <c r="I23" s="803">
        <f>_xlfn.XLOOKUP(C23,Diadema!$C$55:$C$176,Diadema!$J$55:$J$176)</f>
        <v>46204</v>
      </c>
      <c r="J23" s="235" t="str">
        <f ca="1">INDEX(Diadema!$AP$55:$AP$176, MATCH(C23, Diadema!$C$55:$C$176, 0))</f>
        <v/>
      </c>
      <c r="K23" s="235" t="str" cm="1">
        <f t="array" aca="1" ref="K23" ca="1">INDEX(Diadema!$AP$55:$AP$176, MATCH(C23, Diadema!$C$55:$C$176, 0) + 1)</f>
        <v/>
      </c>
      <c r="L23" s="235">
        <f>INDEX(Diadema!$AI$55:$AI$176, MATCH(C23, Diadema!$C$55:$C$176, 0))</f>
        <v>63600</v>
      </c>
      <c r="M23" s="235"/>
      <c r="N23" s="235"/>
      <c r="O23" s="235"/>
      <c r="P23" s="235"/>
      <c r="Q23">
        <v>20</v>
      </c>
      <c r="R23" s="275">
        <f t="shared" si="7"/>
        <v>435138</v>
      </c>
      <c r="S23" t="str">
        <f t="shared" si="1"/>
        <v>27 - Redução consumo MTP aplicando tolerância mínima curva B</v>
      </c>
      <c r="T23" t="str">
        <f t="shared" si="2"/>
        <v>Jarinu</v>
      </c>
      <c r="U23" s="275">
        <f t="shared" si="8"/>
        <v>110665.76749999999</v>
      </c>
      <c r="V23" s="235" t="str">
        <f t="shared" ca="1" si="9"/>
        <v/>
      </c>
      <c r="W23" s="235" t="str">
        <f t="shared" ca="1" si="10"/>
        <v/>
      </c>
      <c r="X23" t="str">
        <f t="shared" si="3"/>
        <v>⏳ Em Execução</v>
      </c>
      <c r="Y23" s="803">
        <f t="shared" si="4"/>
        <v>46233</v>
      </c>
      <c r="Z23" t="str">
        <f t="shared" si="5"/>
        <v>OK</v>
      </c>
    </row>
    <row r="24" spans="1:26" ht="14.55" x14ac:dyDescent="0.3">
      <c r="A24">
        <v>21</v>
      </c>
      <c r="B24" s="235">
        <f>IFERROR(LARGE(Diadema!$I$55:$I$176,A24)," ")</f>
        <v>60000.000008800002</v>
      </c>
      <c r="C24" t="str">
        <f>IFERROR(
   HYPERLINK(
      INDEX(Diadema!$D$55:$D$176,
             MATCH(B24,Diadema!$I$55:$I$176,0)
      ),
      INDEX(Diadema!$C$55:$C$176,
             MATCH(B24,Diadema!$I$55:$I$176,0)
      )
   ),
   ""
)</f>
        <v>54 - Redução de MP - VW000585Z_586Z (20mm no passo)</v>
      </c>
      <c r="D24" s="806">
        <f t="shared" si="6"/>
        <v>1.2981150900676402E-2</v>
      </c>
      <c r="E24" s="362">
        <f t="shared" si="11"/>
        <v>0.82462458450746889</v>
      </c>
      <c r="F24" t="str">
        <f t="shared" si="0"/>
        <v>Diadema</v>
      </c>
      <c r="G24" s="235" t="str">
        <f>_xlfn.XLOOKUP(C24,Diadema!$C$55:$C$176,Diadema!$O$55:$O$176)</f>
        <v>⏳ Em Execução</v>
      </c>
      <c r="H24" s="235" t="str">
        <f>_xlfn.XLOOKUP(C24,Diadema!$C$55:$C$176,Diadema!$M$55:$M$176," ")</f>
        <v>Não Ok</v>
      </c>
      <c r="I24" s="803">
        <f>_xlfn.XLOOKUP(C24,Diadema!$C$55:$C$176,Diadema!$J$55:$J$176)</f>
        <v>46174</v>
      </c>
      <c r="J24" s="235" t="str">
        <f ca="1">INDEX(Diadema!$AP$55:$AP$176, MATCH(C24, Diadema!$C$55:$C$176, 0))</f>
        <v/>
      </c>
      <c r="K24" s="235" t="str" cm="1">
        <f t="array" aca="1" ref="K24" ca="1">INDEX(Diadema!$AP$55:$AP$176, MATCH(C24, Diadema!$C$55:$C$176, 0) + 1)</f>
        <v/>
      </c>
      <c r="L24" s="235">
        <f>INDEX(Diadema!$AI$55:$AI$176, MATCH(C24, Diadema!$C$55:$C$176, 0))</f>
        <v>60000.000008800002</v>
      </c>
      <c r="M24" s="235"/>
      <c r="N24" s="235"/>
      <c r="O24" s="235"/>
      <c r="P24" s="235"/>
      <c r="Q24">
        <v>21</v>
      </c>
      <c r="R24" s="275">
        <f t="shared" si="7"/>
        <v>403768</v>
      </c>
      <c r="S24" t="str">
        <f t="shared" si="1"/>
        <v>Troca de fonte do arame de solda de Belgo para Gerdau</v>
      </c>
      <c r="T24" t="str">
        <f t="shared" si="2"/>
        <v>Compras</v>
      </c>
      <c r="U24" s="275">
        <f t="shared" si="8"/>
        <v>235531.33333333337</v>
      </c>
      <c r="V24" s="235" t="str">
        <f t="shared" ca="1" si="9"/>
        <v/>
      </c>
      <c r="W24" s="235" t="str">
        <f t="shared" ca="1" si="10"/>
        <v/>
      </c>
      <c r="X24" t="str">
        <f t="shared" si="3"/>
        <v>✓ Concluído</v>
      </c>
      <c r="Y24" s="803">
        <f t="shared" si="4"/>
        <v>46174</v>
      </c>
      <c r="Z24" t="str">
        <f t="shared" si="5"/>
        <v/>
      </c>
    </row>
    <row r="25" spans="1:26" ht="14.55" x14ac:dyDescent="0.3">
      <c r="A25">
        <v>22</v>
      </c>
      <c r="B25" s="235">
        <f>IFERROR(LARGE(Diadema!$I$55:$I$176,A25)," ")</f>
        <v>60000</v>
      </c>
      <c r="C25" t="str">
        <f>IFERROR(
   HYPERLINK(
      INDEX(Diadema!$D$55:$D$176,
             MATCH(B25,Diadema!$I$55:$I$176,0)
      ),
      INDEX(Diadema!$C$55:$C$176,
             MATCH(B25,Diadema!$I$55:$I$176,0)
      )
   ),
   ""
)</f>
        <v>55 -  Redução de MP - GM000378Z / GM000379Z</v>
      </c>
      <c r="D25" s="806">
        <f t="shared" si="6"/>
        <v>1.2981150898772499E-2</v>
      </c>
      <c r="E25" s="362">
        <f t="shared" si="11"/>
        <v>0.83760573540624139</v>
      </c>
      <c r="F25" t="str">
        <f t="shared" si="0"/>
        <v>Diadema</v>
      </c>
      <c r="G25" s="235" t="str">
        <f>_xlfn.XLOOKUP(C25,Diadema!$C$55:$C$176,Diadema!$O$55:$O$176)</f>
        <v>⏳ Em Execução</v>
      </c>
      <c r="H25" s="235" t="str">
        <f>_xlfn.XLOOKUP(C25,Diadema!$C$55:$C$176,Diadema!$M$55:$M$176," ")</f>
        <v>OK</v>
      </c>
      <c r="I25" s="803">
        <f>_xlfn.XLOOKUP(C25,Diadema!$C$55:$C$176,Diadema!$J$55:$J$176)</f>
        <v>46204</v>
      </c>
      <c r="J25" s="235" t="str">
        <f ca="1">INDEX(Diadema!$AP$55:$AP$176, MATCH(C25, Diadema!$C$55:$C$176, 0))</f>
        <v/>
      </c>
      <c r="K25" s="235" t="str" cm="1">
        <f t="array" aca="1" ref="K25" ca="1">INDEX(Diadema!$AP$55:$AP$176, MATCH(C25, Diadema!$C$55:$C$176, 0) + 1)</f>
        <v/>
      </c>
      <c r="L25" s="235">
        <f>INDEX(Diadema!$AI$55:$AI$176, MATCH(C25, Diadema!$C$55:$C$176, 0))</f>
        <v>37697.32</v>
      </c>
      <c r="M25" s="235"/>
      <c r="N25" s="235"/>
      <c r="O25" s="235"/>
      <c r="P25" s="235"/>
      <c r="Q25">
        <v>22</v>
      </c>
      <c r="R25" s="275">
        <f t="shared" si="7"/>
        <v>400000.00089999998</v>
      </c>
      <c r="S25" t="str">
        <f t="shared" si="1"/>
        <v xml:space="preserve">07 - Consumo de gás </v>
      </c>
      <c r="T25" t="str">
        <f t="shared" si="2"/>
        <v>Ferraz</v>
      </c>
      <c r="U25" s="275">
        <f t="shared" si="8"/>
        <v>101344.25</v>
      </c>
      <c r="V25" s="235">
        <f t="shared" ca="1" si="9"/>
        <v>168907.08333333331</v>
      </c>
      <c r="W25" s="235">
        <f t="shared" ca="1" si="10"/>
        <v>413825.56999999995</v>
      </c>
      <c r="X25" t="str">
        <f t="shared" si="3"/>
        <v>⏳ Em Execução</v>
      </c>
      <c r="Y25" s="803">
        <f t="shared" si="4"/>
        <v>46023</v>
      </c>
      <c r="Z25" t="str">
        <f t="shared" si="5"/>
        <v>OK</v>
      </c>
    </row>
    <row r="26" spans="1:26" ht="14.55" x14ac:dyDescent="0.3">
      <c r="A26">
        <v>23</v>
      </c>
      <c r="B26" s="235">
        <f>IFERROR(LARGE(Diadema!$I$55:$I$176,A26)," ")</f>
        <v>59800</v>
      </c>
      <c r="C26" t="str">
        <f>IFERROR(
   HYPERLINK(
      INDEX(Diadema!$D$55:$D$176,
             MATCH(B26,Diadema!$I$55:$I$176,0)
      ),
      INDEX(Diadema!$C$55:$C$176,
             MATCH(B26,Diadema!$I$55:$I$176,0)
      )
   ),
   ""
)</f>
        <v>31 - Comunização da chapa CHQ0475ED12502650</v>
      </c>
      <c r="D26" s="806">
        <f t="shared" si="6"/>
        <v>1.2937880395776591E-2</v>
      </c>
      <c r="E26" s="362">
        <f t="shared" si="11"/>
        <v>0.85054361580201798</v>
      </c>
      <c r="F26" t="str">
        <f t="shared" si="0"/>
        <v>Diadema</v>
      </c>
      <c r="G26" s="235" t="str">
        <f>_xlfn.XLOOKUP(C26,Diadema!$C$55:$C$176,Diadema!$O$55:$O$176)</f>
        <v>✓ Concluído</v>
      </c>
      <c r="H26" s="235" t="str">
        <f>_xlfn.XLOOKUP(C26,Diadema!$C$55:$C$176,Diadema!$M$55:$M$176," ")</f>
        <v>OK</v>
      </c>
      <c r="I26" s="803">
        <f>_xlfn.XLOOKUP(C26,Diadema!$C$55:$C$176,Diadema!$J$55:$J$176)</f>
        <v>46143</v>
      </c>
      <c r="J26" s="235">
        <f ca="1">INDEX(Diadema!$AP$55:$AP$176, MATCH(C26, Diadema!$C$55:$C$176, 0))</f>
        <v>14325.553749999999</v>
      </c>
      <c r="K26" s="235" cm="1">
        <f t="array" aca="1" ref="K26" ca="1">INDEX(Diadema!$AP$55:$AP$176, MATCH(C26, Diadema!$C$55:$C$176, 0) + 1)</f>
        <v>12941.975333084476</v>
      </c>
      <c r="L26" s="235">
        <f>INDEX(Diadema!$AI$55:$AI$176, MATCH(C26, Diadema!$C$55:$C$176, 0))</f>
        <v>114604.43</v>
      </c>
      <c r="M26" s="235"/>
      <c r="N26" s="235"/>
      <c r="O26" s="235"/>
      <c r="P26" s="235"/>
      <c r="Q26">
        <v>23</v>
      </c>
      <c r="R26" s="275">
        <f t="shared" si="7"/>
        <v>400000</v>
      </c>
      <c r="S26" t="str">
        <f t="shared" si="1"/>
        <v>02 - TANQUE DE DECAPAGEM</v>
      </c>
      <c r="T26" t="str">
        <f t="shared" si="2"/>
        <v>Anchieta</v>
      </c>
      <c r="U26" s="275">
        <f t="shared" si="8"/>
        <v>200000</v>
      </c>
      <c r="V26" s="235" t="str">
        <f t="shared" ca="1" si="9"/>
        <v/>
      </c>
      <c r="W26" s="235" t="str">
        <f t="shared" ca="1" si="10"/>
        <v/>
      </c>
      <c r="X26" t="str">
        <f t="shared" si="3"/>
        <v>⏳ Em Execução</v>
      </c>
      <c r="Y26" s="803">
        <f t="shared" si="4"/>
        <v>46218</v>
      </c>
      <c r="Z26" t="str">
        <f t="shared" si="5"/>
        <v>OK</v>
      </c>
    </row>
    <row r="27" spans="1:26" ht="14.55" x14ac:dyDescent="0.3">
      <c r="A27">
        <v>24</v>
      </c>
      <c r="B27" s="235">
        <f>IFERROR(LARGE(Diadema!$I$55:$I$176,A27)," ")</f>
        <v>56826</v>
      </c>
      <c r="C27" t="str">
        <f>IFERROR(
   HYPERLINK(
      INDEX(Diadema!$D$55:$D$176,
             MATCH(B27,Diadema!$I$55:$I$176,0)
      ),
      INDEX(Diadema!$C$55:$C$176,
             MATCH(B27,Diadema!$I$55:$I$176,0)
      )
   ),
   ""
)</f>
        <v>21 - Kaizen_Redução de peso bruto MB003537LA_MB003538LA</v>
      </c>
      <c r="D27" s="806">
        <f t="shared" si="6"/>
        <v>1.2294448016227434E-2</v>
      </c>
      <c r="E27" s="362">
        <f t="shared" si="11"/>
        <v>0.86283806381824546</v>
      </c>
      <c r="F27" t="str">
        <f t="shared" si="0"/>
        <v>Diadema</v>
      </c>
      <c r="G27" s="235" t="str">
        <f>_xlfn.XLOOKUP(C27,Diadema!$C$55:$C$176,Diadema!$O$55:$O$176)</f>
        <v>✓ Concluído</v>
      </c>
      <c r="H27" s="235" t="str">
        <f>_xlfn.XLOOKUP(C27,Diadema!$C$55:$C$176,Diadema!$M$55:$M$176," ")</f>
        <v>OK</v>
      </c>
      <c r="I27" s="803">
        <f>_xlfn.XLOOKUP(C27,Diadema!$C$55:$C$176,Diadema!$J$55:$J$176)</f>
        <v>46082</v>
      </c>
      <c r="J27" s="235">
        <f ca="1">INDEX(Diadema!$AP$55:$AP$176, MATCH(C27, Diadema!$C$55:$C$176, 0))</f>
        <v>11209.673999999999</v>
      </c>
      <c r="K27" s="235" cm="1">
        <f t="array" aca="1" ref="K27" ca="1">INDEX(Diadema!$AP$55:$AP$176, MATCH(C27, Diadema!$C$55:$C$176, 0) + 1)</f>
        <v>11657.127242149531</v>
      </c>
      <c r="L27" s="235">
        <f>INDEX(Diadema!$AI$55:$AI$176, MATCH(C27, Diadema!$C$55:$C$176, 0))</f>
        <v>37365.58</v>
      </c>
      <c r="M27" s="235"/>
      <c r="N27" s="235"/>
      <c r="O27" s="235"/>
      <c r="P27" s="235"/>
      <c r="Q27">
        <v>24</v>
      </c>
      <c r="R27" s="275">
        <f t="shared" si="7"/>
        <v>390000.00300000003</v>
      </c>
      <c r="S27" t="str">
        <f t="shared" si="1"/>
        <v>36 - Venda Robos</v>
      </c>
      <c r="T27" t="str">
        <f t="shared" si="2"/>
        <v>Jarinu</v>
      </c>
      <c r="U27" s="275">
        <f t="shared" si="8"/>
        <v>0</v>
      </c>
      <c r="V27" s="235">
        <f t="shared" ca="1" si="9"/>
        <v>390000.00300000003</v>
      </c>
      <c r="W27" s="235">
        <f t="shared" ca="1" si="10"/>
        <v>390000</v>
      </c>
      <c r="X27" t="str">
        <f t="shared" si="3"/>
        <v>✓ Concluído</v>
      </c>
      <c r="Y27" s="803">
        <f t="shared" si="4"/>
        <v>46023</v>
      </c>
      <c r="Z27" t="str">
        <f t="shared" si="5"/>
        <v>OK</v>
      </c>
    </row>
    <row r="28" spans="1:26" ht="14.55" x14ac:dyDescent="0.3">
      <c r="A28">
        <v>25</v>
      </c>
      <c r="B28" s="235">
        <f>IFERROR(LARGE(Diadema!$I$55:$I$176,A28)," ")</f>
        <v>54000</v>
      </c>
      <c r="C28" t="str">
        <f>IFERROR(
   HYPERLINK(
      INDEX(Diadema!$D$55:$D$176,
             MATCH(B28,Diadema!$I$55:$I$176,0)
      ),
      INDEX(Diadema!$C$55:$C$176,
             MATCH(B28,Diadema!$I$55:$I$176,0)
      )
   ),
   ""
)</f>
        <v>19 - Kaizen Facão. DA000481Z - PRODUTIVIDADE</v>
      </c>
      <c r="D28" s="806">
        <f t="shared" si="6"/>
        <v>1.1683035808895249E-2</v>
      </c>
      <c r="E28" s="362">
        <f t="shared" si="11"/>
        <v>0.87452109962714075</v>
      </c>
      <c r="F28" t="str">
        <f t="shared" si="0"/>
        <v>Diadema</v>
      </c>
      <c r="G28" s="235" t="str">
        <f>_xlfn.XLOOKUP(C28,Diadema!$C$55:$C$176,Diadema!$O$55:$O$176)</f>
        <v>✓ Concluído</v>
      </c>
      <c r="H28" s="235">
        <f>_xlfn.XLOOKUP(C28,Diadema!$C$55:$C$176,Diadema!$M$55:$M$176," ")</f>
        <v>0</v>
      </c>
      <c r="I28" s="803">
        <f>_xlfn.XLOOKUP(C28,Diadema!$C$55:$C$176,Diadema!$J$55:$J$176)</f>
        <v>46082</v>
      </c>
      <c r="J28" s="235">
        <f ca="1">INDEX(Diadema!$AP$55:$AP$176, MATCH(C28, Diadema!$C$55:$C$176, 0))</f>
        <v>16200</v>
      </c>
      <c r="K28" s="235" t="str" cm="1">
        <f t="array" aca="1" ref="K28" ca="1">INDEX(Diadema!$AP$55:$AP$176, MATCH(C28, Diadema!$C$55:$C$176, 0) + 1)</f>
        <v/>
      </c>
      <c r="L28" s="235">
        <f>INDEX(Diadema!$AI$55:$AI$176, MATCH(C28, Diadema!$C$55:$C$176, 0))</f>
        <v>54000</v>
      </c>
      <c r="M28" s="235"/>
      <c r="N28" s="235"/>
      <c r="O28" s="235"/>
      <c r="P28" s="235"/>
      <c r="Q28">
        <v>25</v>
      </c>
      <c r="R28" s="275">
        <f t="shared" si="7"/>
        <v>372095</v>
      </c>
      <c r="S28" t="str">
        <f t="shared" si="1"/>
        <v>Redução de custo Porca 73189 da curva A</v>
      </c>
      <c r="T28" t="str">
        <f t="shared" si="2"/>
        <v>Compras</v>
      </c>
      <c r="U28" s="275">
        <f t="shared" si="8"/>
        <v>186047.5</v>
      </c>
      <c r="V28" s="235" t="str">
        <f t="shared" ca="1" si="9"/>
        <v/>
      </c>
      <c r="W28" s="235" t="str">
        <f t="shared" ca="1" si="10"/>
        <v/>
      </c>
      <c r="X28" t="str">
        <f t="shared" si="3"/>
        <v>⏳ Em Execução</v>
      </c>
      <c r="Y28" s="803">
        <f t="shared" si="4"/>
        <v>46222</v>
      </c>
      <c r="Z28" t="str">
        <f t="shared" si="5"/>
        <v/>
      </c>
    </row>
    <row r="29" spans="1:26" ht="14.55" x14ac:dyDescent="0.3">
      <c r="A29">
        <v>26</v>
      </c>
      <c r="B29" s="235">
        <f>IFERROR(LARGE(Diadema!$I$55:$I$176,A29)," ")</f>
        <v>51480</v>
      </c>
      <c r="C29" t="str">
        <f>IFERROR(
   HYPERLINK(
      INDEX(Diadema!$D$55:$D$176,
             MATCH(B29,Diadema!$I$55:$I$176,0)
      ),
      INDEX(Diadema!$C$55:$C$176,
             MATCH(B29,Diadema!$I$55:$I$176,0)
      )
   ),
   ""
)</f>
        <v>17 - MB003537LB_MB003538LB</v>
      </c>
      <c r="D29" s="806">
        <f t="shared" si="6"/>
        <v>1.1137827471146805E-2</v>
      </c>
      <c r="E29" s="362">
        <f t="shared" si="11"/>
        <v>0.88565892709828753</v>
      </c>
      <c r="F29" t="str">
        <f t="shared" si="0"/>
        <v>Diadema</v>
      </c>
      <c r="G29" s="235" t="str">
        <f>_xlfn.XLOOKUP(C29,Diadema!$C$55:$C$176,Diadema!$O$55:$O$176)</f>
        <v>✓ Concluído</v>
      </c>
      <c r="H29" s="235" t="str">
        <f>_xlfn.XLOOKUP(C29,Diadema!$C$55:$C$176,Diadema!$M$55:$M$176," ")</f>
        <v>OK</v>
      </c>
      <c r="I29" s="803">
        <f>_xlfn.XLOOKUP(C29,Diadema!$C$55:$C$176,Diadema!$J$55:$J$176)</f>
        <v>46082</v>
      </c>
      <c r="J29" s="235">
        <f ca="1">INDEX(Diadema!$AP$55:$AP$176, MATCH(C29, Diadema!$C$55:$C$176, 0))</f>
        <v>10151.417999999998</v>
      </c>
      <c r="K29" s="235" cm="1">
        <f t="array" aca="1" ref="K29" ca="1">INDEX(Diadema!$AP$55:$AP$176, MATCH(C29, Diadema!$C$55:$C$176, 0) + 1)</f>
        <v>10556.62921579276</v>
      </c>
      <c r="L29" s="235">
        <f>INDEX(Diadema!$AI$55:$AI$176, MATCH(C29, Diadema!$C$55:$C$176, 0))</f>
        <v>33838.06</v>
      </c>
      <c r="M29" s="235"/>
      <c r="N29" s="235"/>
      <c r="O29" s="235"/>
      <c r="P29" s="235"/>
      <c r="Q29">
        <v>26</v>
      </c>
      <c r="R29" s="275">
        <f t="shared" si="7"/>
        <v>364573</v>
      </c>
      <c r="S29" t="str">
        <f t="shared" si="1"/>
        <v>Projeto DANA - Fornecimento MTL</v>
      </c>
      <c r="T29" t="str">
        <f t="shared" si="2"/>
        <v>Compras</v>
      </c>
      <c r="U29" s="275">
        <f t="shared" si="8"/>
        <v>182286.5</v>
      </c>
      <c r="V29" s="235" t="str">
        <f t="shared" ca="1" si="9"/>
        <v/>
      </c>
      <c r="W29" s="235" t="str">
        <f t="shared" ca="1" si="10"/>
        <v/>
      </c>
      <c r="X29" t="str">
        <f t="shared" si="3"/>
        <v>📝 Não iniciado</v>
      </c>
      <c r="Y29" s="803">
        <f t="shared" si="4"/>
        <v>46204</v>
      </c>
      <c r="Z29" t="str">
        <f t="shared" si="5"/>
        <v/>
      </c>
    </row>
    <row r="30" spans="1:26" ht="14.55" x14ac:dyDescent="0.3">
      <c r="A30">
        <v>27</v>
      </c>
      <c r="B30" s="235">
        <f>IFERROR(LARGE(Diadema!$I$55:$I$176,A30)," ")</f>
        <v>47160</v>
      </c>
      <c r="C30" t="str">
        <f>IFERROR(
   HYPERLINK(
      INDEX(Diadema!$D$55:$D$176,
             MATCH(B30,Diadema!$I$55:$I$176,0)
      ),
      INDEX(Diadema!$C$55:$C$176,
             MATCH(B30,Diadema!$I$55:$I$176,0)
      )
   ),
   ""
)</f>
        <v>41 - Redução de Peso Bruto do item SV001141LA</v>
      </c>
      <c r="D30" s="806">
        <f t="shared" si="6"/>
        <v>1.0203184606435184E-2</v>
      </c>
      <c r="E30" s="362">
        <f t="shared" si="11"/>
        <v>0.89586211170472274</v>
      </c>
      <c r="F30" t="str">
        <f t="shared" si="0"/>
        <v>Diadema</v>
      </c>
      <c r="G30" s="235" t="str">
        <f>_xlfn.XLOOKUP(C30,Diadema!$C$55:$C$176,Diadema!$O$55:$O$176)</f>
        <v>✓ Concluído</v>
      </c>
      <c r="H30" s="235" t="str">
        <f>_xlfn.XLOOKUP(C30,Diadema!$C$55:$C$176,Diadema!$M$55:$M$176," ")</f>
        <v>OK</v>
      </c>
      <c r="I30" s="803">
        <f>_xlfn.XLOOKUP(C30,Diadema!$C$55:$C$176,Diadema!$J$55:$J$176)</f>
        <v>46082</v>
      </c>
      <c r="J30" s="235">
        <f ca="1">INDEX(Diadema!$AP$55:$AP$176, MATCH(C30, Diadema!$C$55:$C$176, 0))</f>
        <v>12331.371000000001</v>
      </c>
      <c r="K30" s="235" cm="1">
        <f t="array" aca="1" ref="K30" ca="1">INDEX(Diadema!$AP$55:$AP$176, MATCH(C30, Diadema!$C$55:$C$176, 0) + 1)</f>
        <v>11709.248652000004</v>
      </c>
      <c r="L30" s="235">
        <f>INDEX(Diadema!$AI$55:$AI$176, MATCH(C30, Diadema!$C$55:$C$176, 0))</f>
        <v>41104.57</v>
      </c>
      <c r="M30" s="235"/>
      <c r="N30" s="235"/>
      <c r="O30" s="235"/>
      <c r="P30" s="235"/>
      <c r="Q30">
        <v>27</v>
      </c>
      <c r="R30" s="275">
        <f t="shared" si="7"/>
        <v>353954</v>
      </c>
      <c r="S30" t="str">
        <f t="shared" si="1"/>
        <v>Recuperação de valores - Água</v>
      </c>
      <c r="T30" t="str">
        <f t="shared" si="2"/>
        <v>Compras</v>
      </c>
      <c r="U30" s="275">
        <f t="shared" si="8"/>
        <v>29496.166666666668</v>
      </c>
      <c r="V30" s="235" t="str">
        <f t="shared" ca="1" si="9"/>
        <v/>
      </c>
      <c r="W30" s="235" t="str">
        <f t="shared" ca="1" si="10"/>
        <v/>
      </c>
      <c r="X30" t="str">
        <f t="shared" si="3"/>
        <v>⏳ Em Execução</v>
      </c>
      <c r="Y30" s="803">
        <f t="shared" si="4"/>
        <v>46357</v>
      </c>
      <c r="Z30" t="str">
        <f t="shared" si="5"/>
        <v/>
      </c>
    </row>
    <row r="31" spans="1:26" ht="14.55" x14ac:dyDescent="0.3">
      <c r="A31">
        <v>28</v>
      </c>
      <c r="B31" s="235">
        <f>IFERROR(LARGE(Diadema!$I$55:$I$176,A31)," ")</f>
        <v>46052</v>
      </c>
      <c r="C31" t="str">
        <f>IFERROR(
   HYPERLINK(
      INDEX(Diadema!$D$55:$D$176,
             MATCH(B31,Diadema!$I$55:$I$176,0)
      ),
      INDEX(Diadema!$C$55:$C$176,
             MATCH(B31,Diadema!$I$55:$I$176,0)
      )
   ),
   ""
)</f>
        <v>18 - Venda de Embalagens, ativos e sucatas</v>
      </c>
      <c r="D31" s="806">
        <f t="shared" si="6"/>
        <v>9.9634660198378525E-3</v>
      </c>
      <c r="E31" s="362">
        <f t="shared" si="11"/>
        <v>0.90582557772456063</v>
      </c>
      <c r="F31" t="str">
        <f t="shared" si="0"/>
        <v>Diadema</v>
      </c>
      <c r="G31" s="235" t="str">
        <f>_xlfn.XLOOKUP(C31,Diadema!$C$55:$C$176,Diadema!$O$55:$O$176)</f>
        <v>⏳ Em Execução</v>
      </c>
      <c r="H31" s="235" t="str">
        <f>_xlfn.XLOOKUP(C31,Diadema!$C$55:$C$176,Diadema!$M$55:$M$176," ")</f>
        <v>OK</v>
      </c>
      <c r="I31" s="803">
        <f>_xlfn.XLOOKUP(C31,Diadema!$C$55:$C$176,Diadema!$J$55:$J$176)</f>
        <v>0</v>
      </c>
      <c r="J31" s="235" t="str">
        <f ca="1">INDEX(Diadema!$AP$55:$AP$176, MATCH(C31, Diadema!$C$55:$C$176, 0))</f>
        <v/>
      </c>
      <c r="K31" s="235" t="str" cm="1">
        <f t="array" aca="1" ref="K31" ca="1">INDEX(Diadema!$AP$55:$AP$176, MATCH(C31, Diadema!$C$55:$C$176, 0) + 1)</f>
        <v/>
      </c>
      <c r="L31" s="235">
        <f>INDEX(Diadema!$AI$55:$AI$176, MATCH(C31, Diadema!$C$55:$C$176, 0))</f>
        <v>46052</v>
      </c>
      <c r="M31" s="235"/>
      <c r="N31" s="235"/>
      <c r="O31" s="235"/>
      <c r="P31" s="235"/>
      <c r="Q31">
        <v>28</v>
      </c>
      <c r="R31" s="275">
        <f t="shared" si="7"/>
        <v>348550.6</v>
      </c>
      <c r="S31" t="str">
        <f t="shared" si="1"/>
        <v>Troca da fonte de arame de solda para China</v>
      </c>
      <c r="T31" t="str">
        <f t="shared" si="2"/>
        <v>Compras</v>
      </c>
      <c r="U31" s="275">
        <f t="shared" si="8"/>
        <v>0</v>
      </c>
      <c r="V31" s="235" t="str">
        <f t="shared" ca="1" si="9"/>
        <v/>
      </c>
      <c r="W31" s="235" t="str">
        <f t="shared" ca="1" si="10"/>
        <v/>
      </c>
      <c r="X31" t="str">
        <f t="shared" si="3"/>
        <v>📝 Não iniciado</v>
      </c>
      <c r="Y31" s="803">
        <f t="shared" si="4"/>
        <v>46568</v>
      </c>
      <c r="Z31" t="str">
        <f t="shared" si="5"/>
        <v/>
      </c>
    </row>
    <row r="32" spans="1:26" ht="14.55" x14ac:dyDescent="0.3">
      <c r="A32">
        <v>29</v>
      </c>
      <c r="B32" s="235">
        <f>IFERROR(LARGE(Diadema!$I$55:$I$176,A32)," ")</f>
        <v>44400</v>
      </c>
      <c r="C32" t="str">
        <f>IFERROR(
   HYPERLINK(
      INDEX(Diadema!$D$55:$D$176,
             MATCH(B32,Diadema!$I$55:$I$176,0)
      ),
      INDEX(Diadema!$C$55:$C$176,
             MATCH(B32,Diadema!$I$55:$I$176,0)
      )
   ),
   ""
)</f>
        <v>08 - Redução de peso bruto MB002446LA / MB003670LA / MB003671LA</v>
      </c>
      <c r="D32" s="806">
        <f t="shared" si="6"/>
        <v>9.6060516650916493E-3</v>
      </c>
      <c r="E32" s="362">
        <f t="shared" si="11"/>
        <v>0.91543162938965228</v>
      </c>
      <c r="F32" t="str">
        <f t="shared" si="0"/>
        <v>Diadema</v>
      </c>
      <c r="G32" s="235" t="str">
        <f>_xlfn.XLOOKUP(C32,Diadema!$C$55:$C$176,Diadema!$O$55:$O$176)</f>
        <v>⏳ Em Execução</v>
      </c>
      <c r="H32" s="235" t="str">
        <f>_xlfn.XLOOKUP(C32,Diadema!$C$55:$C$176,Diadema!$M$55:$M$176," ")</f>
        <v>OK</v>
      </c>
      <c r="I32" s="803">
        <f>_xlfn.XLOOKUP(C32,Diadema!$C$55:$C$176,Diadema!$J$55:$J$176)</f>
        <v>46143</v>
      </c>
      <c r="J32" s="235">
        <f ca="1">INDEX(Diadema!$AP$55:$AP$176, MATCH(C32, Diadema!$C$55:$C$176, 0))</f>
        <v>1642.2049999999999</v>
      </c>
      <c r="K32" s="235" cm="1">
        <f t="array" aca="1" ref="K32" ca="1">INDEX(Diadema!$AP$55:$AP$176, MATCH(C32, Diadema!$C$55:$C$176, 0) + 1)</f>
        <v>3901.66</v>
      </c>
      <c r="L32" s="235">
        <f>INDEX(Diadema!$AI$55:$AI$176, MATCH(C32, Diadema!$C$55:$C$176, 0))</f>
        <v>13137.64</v>
      </c>
      <c r="M32" s="235"/>
      <c r="N32" s="235"/>
      <c r="O32" s="235"/>
      <c r="P32" s="235"/>
      <c r="Q32">
        <v>29</v>
      </c>
      <c r="R32" s="275">
        <f t="shared" si="7"/>
        <v>331600</v>
      </c>
      <c r="S32" t="str">
        <f t="shared" si="1"/>
        <v>01 - Redução de peso bruto DA000489A</v>
      </c>
      <c r="T32" t="str">
        <f t="shared" si="2"/>
        <v>Diadema</v>
      </c>
      <c r="U32" s="275">
        <f t="shared" si="8"/>
        <v>160178.29000000004</v>
      </c>
      <c r="V32" s="235">
        <f t="shared" ca="1" si="9"/>
        <v>48053.487000000008</v>
      </c>
      <c r="W32" s="235">
        <f t="shared" ca="1" si="10"/>
        <v>51688.192766560009</v>
      </c>
      <c r="X32" t="str">
        <f t="shared" si="3"/>
        <v>✓ Concluído</v>
      </c>
      <c r="Y32" s="803">
        <f t="shared" si="4"/>
        <v>46082</v>
      </c>
      <c r="Z32" t="str">
        <f t="shared" si="5"/>
        <v>OK</v>
      </c>
    </row>
    <row r="33" spans="1:26" x14ac:dyDescent="0.3">
      <c r="A33">
        <v>30</v>
      </c>
      <c r="B33" s="235">
        <f>IFERROR(LARGE(Diadema!$I$55:$I$176,A33)," ")</f>
        <v>42000</v>
      </c>
      <c r="C33" t="str">
        <f>IFERROR(
   HYPERLINK(
      INDEX(Diadema!$D$55:$D$176,
             MATCH(B33,Diadema!$I$55:$I$176,0)
      ),
      INDEX(Diadema!$C$55:$C$176,
             MATCH(B33,Diadema!$I$55:$I$176,0)
      )
   ),
   ""
)</f>
        <v>04 - Otimização de processo - Pulmão</v>
      </c>
      <c r="D33" s="806">
        <f t="shared" si="6"/>
        <v>9.0868056291407498E-3</v>
      </c>
      <c r="E33" s="362">
        <f t="shared" si="11"/>
        <v>0.92451843501879305</v>
      </c>
      <c r="F33" t="str">
        <f t="shared" si="0"/>
        <v>Diadema</v>
      </c>
      <c r="G33" s="235" t="str">
        <f>_xlfn.XLOOKUP(C33,Diadema!$C$55:$C$176,Diadema!$O$55:$O$176)</f>
        <v>✓ Concluído</v>
      </c>
      <c r="H33" s="235">
        <f>_xlfn.XLOOKUP(C33,Diadema!$C$55:$C$176,Diadema!$M$55:$M$176," ")</f>
        <v>0</v>
      </c>
      <c r="I33" s="803">
        <f>_xlfn.XLOOKUP(C33,Diadema!$C$55:$C$176,Diadema!$J$55:$J$176)</f>
        <v>46082</v>
      </c>
      <c r="J33" s="235">
        <f ca="1">INDEX(Diadema!$AP$55:$AP$176, MATCH(C33, Diadema!$C$55:$C$176, 0))</f>
        <v>12600</v>
      </c>
      <c r="K33" s="235" t="str" cm="1">
        <f t="array" aca="1" ref="K33" ca="1">INDEX(Diadema!$AP$55:$AP$176, MATCH(C33, Diadema!$C$55:$C$176, 0) + 1)</f>
        <v/>
      </c>
      <c r="L33" s="235">
        <f>INDEX(Diadema!$AI$55:$AI$176, MATCH(C33, Diadema!$C$55:$C$176, 0))</f>
        <v>42000</v>
      </c>
      <c r="M33" s="235"/>
      <c r="N33" s="235"/>
      <c r="O33" s="235"/>
      <c r="P33" s="235"/>
      <c r="Q33">
        <v>30</v>
      </c>
      <c r="R33" s="275">
        <f t="shared" si="7"/>
        <v>317391</v>
      </c>
      <c r="S33" t="str">
        <f t="shared" si="1"/>
        <v>Viabilizar itens Usiminas via Gonvarri-Full Service</v>
      </c>
      <c r="T33" t="str">
        <f t="shared" si="2"/>
        <v>Compras</v>
      </c>
      <c r="U33" s="275">
        <f t="shared" si="8"/>
        <v>264492.5</v>
      </c>
      <c r="V33" s="235">
        <f t="shared" ca="1" si="9"/>
        <v>79347.75</v>
      </c>
      <c r="W33" s="235" t="str">
        <f t="shared" ca="1" si="10"/>
        <v/>
      </c>
      <c r="X33" t="str">
        <f t="shared" si="3"/>
        <v>✓ Concluído</v>
      </c>
      <c r="Y33" s="803">
        <f t="shared" si="4"/>
        <v>46082</v>
      </c>
      <c r="Z33" t="str">
        <f t="shared" si="5"/>
        <v/>
      </c>
    </row>
    <row r="34" spans="1:26" ht="14.55" x14ac:dyDescent="0.3">
      <c r="A34">
        <v>31</v>
      </c>
      <c r="B34" s="235">
        <f>IFERROR(LARGE(Diadema!$I$55:$I$176,A34)," ")</f>
        <v>40000.000780000002</v>
      </c>
      <c r="C34" t="str">
        <f>IFERROR(
   HYPERLINK(
      INDEX(Diadema!$D$55:$D$176,
             MATCH(B34,Diadema!$I$55:$I$176,0)
      ),
      INDEX(Diadema!$C$55:$C$176,
             MATCH(B34,Diadema!$I$55:$I$176,0)
      )
   ),
   ""
)</f>
        <v>51 - Redução de MP - GM000402Z_403Z_Passo</v>
      </c>
      <c r="D34" s="806">
        <f t="shared" si="6"/>
        <v>8.6541007679366289E-3</v>
      </c>
      <c r="E34" s="362">
        <f t="shared" si="11"/>
        <v>0.93317253578672965</v>
      </c>
      <c r="F34" t="str">
        <f t="shared" si="0"/>
        <v>Diadema</v>
      </c>
      <c r="G34" s="235" t="str">
        <f>_xlfn.XLOOKUP(C34,Diadema!$C$55:$C$176,Diadema!$O$55:$O$176)</f>
        <v>⏳ Em Execução</v>
      </c>
      <c r="H34" s="235" t="str">
        <f>_xlfn.XLOOKUP(C34,Diadema!$C$55:$C$176,Diadema!$M$55:$M$176," ")</f>
        <v>OK</v>
      </c>
      <c r="I34" s="803">
        <f>_xlfn.XLOOKUP(C34,Diadema!$C$55:$C$176,Diadema!$J$55:$J$176)</f>
        <v>46143</v>
      </c>
      <c r="J34" s="235">
        <f ca="1">INDEX(Diadema!$AP$55:$AP$176, MATCH(C34, Diadema!$C$55:$C$176, 0))</f>
        <v>4861.7449999999999</v>
      </c>
      <c r="K34" s="235" cm="1">
        <f t="array" aca="1" ref="K34" ca="1">INDEX(Diadema!$AP$55:$AP$176, MATCH(C34, Diadema!$C$55:$C$176, 0) + 1)</f>
        <v>3800.3005510934777</v>
      </c>
      <c r="L34" s="235">
        <f>INDEX(Diadema!$AI$55:$AI$176, MATCH(C34, Diadema!$C$55:$C$176, 0))</f>
        <v>38893.96</v>
      </c>
      <c r="M34" s="235"/>
      <c r="N34" s="235"/>
      <c r="O34" s="235"/>
      <c r="P34" s="235"/>
      <c r="Q34">
        <v>31</v>
      </c>
      <c r="R34" s="275">
        <f t="shared" si="7"/>
        <v>308498</v>
      </c>
      <c r="S34" t="str">
        <f t="shared" si="1"/>
        <v>28 -  Redução consumo MTP aplicando tolerância mínima curva C</v>
      </c>
      <c r="T34" t="str">
        <f t="shared" si="2"/>
        <v>Jarinu</v>
      </c>
      <c r="U34" s="275">
        <f t="shared" si="8"/>
        <v>52369.014999999999</v>
      </c>
      <c r="V34" s="235" t="str">
        <f t="shared" ca="1" si="9"/>
        <v/>
      </c>
      <c r="W34" s="235" t="str">
        <f t="shared" ca="1" si="10"/>
        <v/>
      </c>
      <c r="X34" t="str">
        <f t="shared" si="3"/>
        <v>⏳ Em Execução</v>
      </c>
      <c r="Y34" s="803">
        <f t="shared" si="4"/>
        <v>46233</v>
      </c>
      <c r="Z34" t="str">
        <f t="shared" si="5"/>
        <v>OK</v>
      </c>
    </row>
    <row r="35" spans="1:26" ht="14.55" x14ac:dyDescent="0.3">
      <c r="A35">
        <v>32</v>
      </c>
      <c r="B35" s="235">
        <f>IFERROR(LARGE(Diadema!$I$55:$I$176,A35)," ")</f>
        <v>39996</v>
      </c>
      <c r="C35" t="str">
        <f>IFERROR(
   HYPERLINK(
      INDEX(Diadema!$D$55:$D$176,
             MATCH(B35,Diadema!$I$55:$I$176,0)
      ),
      INDEX(Diadema!$C$55:$C$176,
             MATCH(B35,Diadema!$I$55:$I$176,0)
      )
   ),
   ""
)</f>
        <v>14 - REDUÇÃO DE MP DA000518Z (Anchieta) Código DD - VB000324Z</v>
      </c>
      <c r="D35" s="806">
        <f t="shared" si="6"/>
        <v>8.6532351891217482E-3</v>
      </c>
      <c r="E35" s="362">
        <f t="shared" si="11"/>
        <v>0.94182577097585141</v>
      </c>
      <c r="F35" t="str">
        <f t="shared" si="0"/>
        <v>Diadema</v>
      </c>
      <c r="G35" s="235" t="str">
        <f>_xlfn.XLOOKUP(C35,Diadema!$C$55:$C$176,Diadema!$O$55:$O$176)</f>
        <v>✓ Concluído</v>
      </c>
      <c r="H35" s="235" t="str">
        <f>_xlfn.XLOOKUP(C35,Diadema!$C$55:$C$176,Diadema!$M$55:$M$176," ")</f>
        <v>OK</v>
      </c>
      <c r="I35" s="803">
        <f>_xlfn.XLOOKUP(C35,Diadema!$C$55:$C$176,Diadema!$J$55:$J$176)</f>
        <v>46054</v>
      </c>
      <c r="J35" s="235">
        <f ca="1">INDEX(Diadema!$AP$55:$AP$176, MATCH(C35, Diadema!$C$55:$C$176, 0))</f>
        <v>17089.7934811532</v>
      </c>
      <c r="K35" s="235" cm="1">
        <f t="array" aca="1" ref="K35" ca="1">INDEX(Diadema!$AP$55:$AP$176, MATCH(C35, Diadema!$C$55:$C$176, 0) + 1)</f>
        <v>19997.378357600865</v>
      </c>
      <c r="L35" s="235">
        <f>INDEX(Diadema!$AI$55:$AI$176, MATCH(C35, Diadema!$C$55:$C$176, 0))</f>
        <v>46996.932073171294</v>
      </c>
      <c r="M35" s="235"/>
      <c r="N35" s="235"/>
      <c r="O35" s="235"/>
      <c r="P35" s="235"/>
      <c r="Q35">
        <v>32</v>
      </c>
      <c r="R35" s="275">
        <f t="shared" si="7"/>
        <v>306000</v>
      </c>
      <c r="S35" t="str">
        <f t="shared" si="1"/>
        <v>30 - Redução de Refugo</v>
      </c>
      <c r="T35" t="str">
        <f t="shared" si="2"/>
        <v>Jarinu</v>
      </c>
      <c r="U35" s="275">
        <f t="shared" si="8"/>
        <v>76500</v>
      </c>
      <c r="V35" s="235">
        <f t="shared" ca="1" si="9"/>
        <v>51000</v>
      </c>
      <c r="W35" s="235" t="str">
        <f t="shared" ca="1" si="10"/>
        <v/>
      </c>
      <c r="X35" t="str">
        <f t="shared" si="3"/>
        <v>⏳ Em Execução</v>
      </c>
      <c r="Y35" s="803">
        <f t="shared" si="4"/>
        <v>46113</v>
      </c>
      <c r="Z35" t="str">
        <f t="shared" si="5"/>
        <v>OK</v>
      </c>
    </row>
    <row r="36" spans="1:26" ht="14.55" x14ac:dyDescent="0.3">
      <c r="A36">
        <v>33</v>
      </c>
      <c r="B36" s="235">
        <f>IFERROR(LARGE(Diadema!$I$55:$I$176,A36)," ")</f>
        <v>38583</v>
      </c>
      <c r="C36" t="str">
        <f>IFERROR(
   HYPERLINK(
      INDEX(Diadema!$D$55:$D$176,
             MATCH(B36,Diadema!$I$55:$I$176,0)
      ),
      INDEX(Diadema!$C$55:$C$176,
             MATCH(B36,Diadema!$I$55:$I$176,0)
      )
   ),
   ""
)</f>
        <v>12 - Aproveitamento de peças Obsoletas - A9583176540</v>
      </c>
      <c r="D36" s="806">
        <f t="shared" si="6"/>
        <v>8.3475290854556558E-3</v>
      </c>
      <c r="E36" s="362">
        <f t="shared" si="11"/>
        <v>0.95017330006130707</v>
      </c>
      <c r="F36" t="str">
        <f t="shared" si="0"/>
        <v>Diadema</v>
      </c>
      <c r="G36" s="235" t="str">
        <f>_xlfn.XLOOKUP(C36,Diadema!$C$55:$C$176,Diadema!$O$55:$O$176)</f>
        <v>✓ Concluído</v>
      </c>
      <c r="H36" s="235" t="str">
        <f>_xlfn.XLOOKUP(C36,Diadema!$C$55:$C$176,Diadema!$M$55:$M$176," ")</f>
        <v>OK</v>
      </c>
      <c r="I36" s="803">
        <f>_xlfn.XLOOKUP(C36,Diadema!$C$55:$C$176,Diadema!$J$55:$J$176)</f>
        <v>46023</v>
      </c>
      <c r="J36" s="235">
        <f ca="1">INDEX(Diadema!$AP$55:$AP$176, MATCH(C36, Diadema!$C$55:$C$176, 0))</f>
        <v>37746.6</v>
      </c>
      <c r="K36" s="235" cm="1">
        <f t="array" aca="1" ref="K36" ca="1">INDEX(Diadema!$AP$55:$AP$176, MATCH(C36, Diadema!$C$55:$C$176, 0) + 1)</f>
        <v>37746.6</v>
      </c>
      <c r="L36" s="235">
        <f>INDEX(Diadema!$AI$55:$AI$176, MATCH(C36, Diadema!$C$55:$C$176, 0))</f>
        <v>37746.6</v>
      </c>
      <c r="M36" s="235"/>
      <c r="N36" s="235"/>
      <c r="O36" s="235"/>
      <c r="P36" s="235"/>
      <c r="Q36">
        <v>33</v>
      </c>
      <c r="R36" s="275">
        <f t="shared" si="7"/>
        <v>301000</v>
      </c>
      <c r="S36" t="str">
        <f t="shared" ref="S36:S67" si="12">_xlfn.XLOOKUP(R36,B:B,C:C)</f>
        <v>32 - Empilhadeiras Elétricas</v>
      </c>
      <c r="T36" t="str">
        <f t="shared" ref="T36:T67" si="13">_xlfn.XLOOKUP(S36,C:C,F:F)</f>
        <v>Jarinu</v>
      </c>
      <c r="U36" s="275">
        <f t="shared" si="8"/>
        <v>75250</v>
      </c>
      <c r="V36" s="235" t="str">
        <f t="shared" ca="1" si="9"/>
        <v/>
      </c>
      <c r="W36" s="235" t="str">
        <f t="shared" ca="1" si="10"/>
        <v/>
      </c>
      <c r="X36" t="str">
        <f t="shared" ref="X36:X67" si="14">_xlfn.XLOOKUP(S36,C:C,G:G)</f>
        <v>⏳ Em Execução</v>
      </c>
      <c r="Y36" s="803">
        <f t="shared" ref="Y36:Y67" si="15">_xlfn.XLOOKUP(S36,C:C,I:I)</f>
        <v>46203</v>
      </c>
      <c r="Z36" t="str">
        <f t="shared" ref="Z36:Z67" si="16">IF(_xlfn.XLOOKUP(S36,C:C,H:H) = 0, "", _xlfn.XLOOKUP(S36,C:C,H:H))</f>
        <v/>
      </c>
    </row>
    <row r="37" spans="1:26" ht="14.55" x14ac:dyDescent="0.3">
      <c r="A37">
        <v>34</v>
      </c>
      <c r="B37" s="235">
        <f>IFERROR(LARGE(Diadema!$I$55:$I$176,A37)," ")</f>
        <v>36000</v>
      </c>
      <c r="C37" t="str">
        <f>IFERROR(
   HYPERLINK(
      INDEX(Diadema!$D$55:$D$176,
             MATCH(B37,Diadema!$I$55:$I$176,0)
      ),
      INDEX(Diadema!$C$55:$C$176,
             MATCH(B37,Diadema!$I$55:$I$176,0)
      )
   ),
   ""
)</f>
        <v>22 - Aproveitamento de Retalho do corte laser - MB002316LA_MB003533LA_MB003673LC</v>
      </c>
      <c r="D37" s="806">
        <f t="shared" si="6"/>
        <v>7.7886905392634993E-3</v>
      </c>
      <c r="E37" s="362">
        <f t="shared" si="11"/>
        <v>0.95796199060057052</v>
      </c>
      <c r="F37" t="str">
        <f t="shared" si="0"/>
        <v>Diadema</v>
      </c>
      <c r="G37" s="235" t="str">
        <f>_xlfn.XLOOKUP(C37,Diadema!$C$55:$C$176,Diadema!$O$55:$O$176)</f>
        <v>✓ Concluído</v>
      </c>
      <c r="H37" s="235" t="str">
        <f>_xlfn.XLOOKUP(C37,Diadema!$C$55:$C$176,Diadema!$M$55:$M$176," ")</f>
        <v>Não Ok</v>
      </c>
      <c r="I37" s="803">
        <f>_xlfn.XLOOKUP(C37,Diadema!$C$55:$C$176,Diadema!$J$55:$J$176)</f>
        <v>46113</v>
      </c>
      <c r="J37" s="235">
        <f ca="1">INDEX(Diadema!$AP$55:$AP$176, MATCH(C37, Diadema!$C$55:$C$176, 0))</f>
        <v>8000</v>
      </c>
      <c r="K37" s="235" t="str" cm="1">
        <f t="array" aca="1" ref="K37" ca="1">INDEX(Diadema!$AP$55:$AP$176, MATCH(C37, Diadema!$C$55:$C$176, 0) + 1)</f>
        <v/>
      </c>
      <c r="L37" s="235">
        <f>INDEX(Diadema!$AI$55:$AI$176, MATCH(C37, Diadema!$C$55:$C$176, 0))</f>
        <v>36000</v>
      </c>
      <c r="M37" s="235"/>
      <c r="N37" s="235"/>
      <c r="O37" s="235"/>
      <c r="P37" s="235"/>
      <c r="Q37">
        <v>34</v>
      </c>
      <c r="R37" s="275">
        <f t="shared" ref="R37:R68" si="17">IFERROR(LARGE(B:B,Q37)," ")</f>
        <v>300000.00099999999</v>
      </c>
      <c r="S37" t="str">
        <f t="shared" si="12"/>
        <v xml:space="preserve">Consumo de água </v>
      </c>
      <c r="T37" t="str">
        <f t="shared" si="13"/>
        <v>Ferraz</v>
      </c>
      <c r="U37" s="275">
        <f t="shared" si="8"/>
        <v>76753.75</v>
      </c>
      <c r="V37" s="235">
        <f t="shared" ref="V37:V68" ca="1" si="18">IFERROR(_xlfn.XLOOKUP(S37,C:C,J:J), "")</f>
        <v>127922.91666666666</v>
      </c>
      <c r="W37" s="235">
        <f t="shared" ref="W37:W68" ca="1" si="19">IFERROR(_xlfn.XLOOKUP(S37,C:C,K:K), "")</f>
        <v>45098</v>
      </c>
      <c r="X37" t="str">
        <f t="shared" si="14"/>
        <v>⏳ Em Execução</v>
      </c>
      <c r="Y37" s="803">
        <f t="shared" si="15"/>
        <v>46023</v>
      </c>
      <c r="Z37" t="str">
        <f t="shared" si="16"/>
        <v>OK</v>
      </c>
    </row>
    <row r="38" spans="1:26" ht="14.55" x14ac:dyDescent="0.3">
      <c r="A38">
        <v>35</v>
      </c>
      <c r="B38" s="235">
        <f>IFERROR(LARGE(Diadema!$I$55:$I$176,A38)," ")</f>
        <v>33600</v>
      </c>
      <c r="C38" t="str">
        <f>IFERROR(
   HYPERLINK(
      INDEX(Diadema!$D$55:$D$176,
             MATCH(B38,Diadema!$I$55:$I$176,0)
      ),
      INDEX(Diadema!$C$55:$C$176,
             MATCH(B38,Diadema!$I$55:$I$176,0)
      )
   ),
   ""
)</f>
        <v>24 - KAIZEN - Redução de peso bruto_MB002289LA_MB002290LA_Rev00_Bruno Manachini</v>
      </c>
      <c r="D38" s="806">
        <f t="shared" si="6"/>
        <v>7.2694445033125998E-3</v>
      </c>
      <c r="E38" s="362">
        <f t="shared" si="11"/>
        <v>0.9652314351038831</v>
      </c>
      <c r="F38" t="str">
        <f t="shared" si="0"/>
        <v>Diadema</v>
      </c>
      <c r="G38" s="235" t="str">
        <f>_xlfn.XLOOKUP(C38,Diadema!$C$55:$C$176,Diadema!$O$55:$O$176)</f>
        <v>✓ Concluído</v>
      </c>
      <c r="H38" s="235" t="str">
        <f>_xlfn.XLOOKUP(C38,Diadema!$C$55:$C$176,Diadema!$M$55:$M$176," ")</f>
        <v>OK</v>
      </c>
      <c r="I38" s="803">
        <f>_xlfn.XLOOKUP(C38,Diadema!$C$55:$C$176,Diadema!$J$55:$J$176)</f>
        <v>46143</v>
      </c>
      <c r="J38" s="235">
        <f ca="1">INDEX(Diadema!$AP$55:$AP$176, MATCH(C38, Diadema!$C$55:$C$176, 0))</f>
        <v>3691.5362500000001</v>
      </c>
      <c r="K38" s="235" cm="1">
        <f t="array" aca="1" ref="K38" ca="1">INDEX(Diadema!$AP$55:$AP$176, MATCH(C38, Diadema!$C$55:$C$176, 0) + 1)</f>
        <v>3320.2090956719312</v>
      </c>
      <c r="L38" s="235">
        <f>INDEX(Diadema!$AI$55:$AI$176, MATCH(C38, Diadema!$C$55:$C$176, 0))</f>
        <v>29532.29</v>
      </c>
      <c r="M38" s="235"/>
      <c r="N38" s="235"/>
      <c r="O38" s="235"/>
      <c r="P38" s="235"/>
      <c r="Q38">
        <v>35</v>
      </c>
      <c r="R38" s="275">
        <f t="shared" si="17"/>
        <v>288000.00300000003</v>
      </c>
      <c r="S38" t="str">
        <f t="shared" si="12"/>
        <v>06 - Produtividade</v>
      </c>
      <c r="T38" t="str">
        <f t="shared" si="13"/>
        <v>Diadema</v>
      </c>
      <c r="U38" s="275">
        <f t="shared" si="8"/>
        <v>79673.51999999999</v>
      </c>
      <c r="V38" s="235">
        <f t="shared" ca="1" si="18"/>
        <v>9959.19</v>
      </c>
      <c r="W38" s="235">
        <f t="shared" ca="1" si="19"/>
        <v>-31423.7</v>
      </c>
      <c r="X38" t="str">
        <f t="shared" si="14"/>
        <v>✓ Concluído</v>
      </c>
      <c r="Y38" s="803">
        <f t="shared" si="15"/>
        <v>46143</v>
      </c>
      <c r="Z38" t="str">
        <f t="shared" si="16"/>
        <v>OK</v>
      </c>
    </row>
    <row r="39" spans="1:26" ht="14.55" x14ac:dyDescent="0.3">
      <c r="A39">
        <v>36</v>
      </c>
      <c r="B39" s="235">
        <f>IFERROR(LARGE(Diadema!$I$55:$I$176,A39)," ")</f>
        <v>26400.00099</v>
      </c>
      <c r="C39" t="str">
        <f>IFERROR(
   HYPERLINK(
      INDEX(Diadema!$D$55:$D$176,
             MATCH(B39,Diadema!$I$55:$I$176,0)
      ),
      INDEX(Diadema!$C$55:$C$176,
             MATCH(B39,Diadema!$I$55:$I$176,0)
      )
   ),
   ""
)</f>
        <v>48 - REDUÇÃO DE MP BOZ0150HX1000</v>
      </c>
      <c r="D39" s="806">
        <f t="shared" si="6"/>
        <v>5.71170660964889E-3</v>
      </c>
      <c r="E39" s="362">
        <f t="shared" si="11"/>
        <v>0.97094314171353202</v>
      </c>
      <c r="F39" t="str">
        <f t="shared" si="0"/>
        <v>Diadema</v>
      </c>
      <c r="G39" s="235" t="str">
        <f>_xlfn.XLOOKUP(C39,Diadema!$C$55:$C$176,Diadema!$O$55:$O$176)</f>
        <v>⏳ Em Execução</v>
      </c>
      <c r="H39" s="235" t="str">
        <f>_xlfn.XLOOKUP(C39,Diadema!$C$55:$C$176,Diadema!$M$55:$M$176," ")</f>
        <v>OK</v>
      </c>
      <c r="I39" s="803">
        <f>_xlfn.XLOOKUP(C39,Diadema!$C$55:$C$176,Diadema!$J$55:$J$176)</f>
        <v>46235</v>
      </c>
      <c r="J39" s="235" t="str">
        <f ca="1">INDEX(Diadema!$AP$55:$AP$176, MATCH(C39, Diadema!$C$55:$C$176, 0))</f>
        <v/>
      </c>
      <c r="K39" s="235" t="str" cm="1">
        <f t="array" aca="1" ref="K39" ca="1">INDEX(Diadema!$AP$55:$AP$176, MATCH(C39, Diadema!$C$55:$C$176, 0) + 1)</f>
        <v/>
      </c>
      <c r="L39" s="235">
        <f>INDEX(Diadema!$AI$55:$AI$176, MATCH(C39, Diadema!$C$55:$C$176, 0))</f>
        <v>43285.039999999994</v>
      </c>
      <c r="M39" s="235"/>
      <c r="N39" s="235"/>
      <c r="O39" s="235"/>
      <c r="P39" s="235"/>
      <c r="Q39">
        <v>36</v>
      </c>
      <c r="R39" s="275">
        <f t="shared" si="17"/>
        <v>288000</v>
      </c>
      <c r="S39" t="str">
        <f t="shared" si="12"/>
        <v>26 - Redução_de_MP - DJ000059Z_DJ000060Z</v>
      </c>
      <c r="T39" t="str">
        <f t="shared" si="13"/>
        <v>Diadema</v>
      </c>
      <c r="U39" s="275">
        <f t="shared" si="8"/>
        <v>175018.01999999996</v>
      </c>
      <c r="V39" s="235">
        <f t="shared" ca="1" si="18"/>
        <v>21877.252499999999</v>
      </c>
      <c r="W39" s="235">
        <f t="shared" ca="1" si="19"/>
        <v>15968.797579189981</v>
      </c>
      <c r="X39" t="str">
        <f t="shared" si="14"/>
        <v>✓ Concluído</v>
      </c>
      <c r="Y39" s="803">
        <f t="shared" si="15"/>
        <v>46143</v>
      </c>
      <c r="Z39" t="str">
        <f t="shared" si="16"/>
        <v>OK</v>
      </c>
    </row>
    <row r="40" spans="1:26" ht="14.55" x14ac:dyDescent="0.3">
      <c r="A40">
        <v>37</v>
      </c>
      <c r="B40" s="235">
        <f>IFERROR(LARGE(Diadema!$I$55:$I$176,A40)," ")</f>
        <v>26000</v>
      </c>
      <c r="C40" t="str">
        <f>IFERROR(
   HYPERLINK(
      INDEX(Diadema!$D$55:$D$176,
             MATCH(B40,Diadema!$I$55:$I$176,0)
      ),
      INDEX(Diadema!$C$55:$C$176,
             MATCH(B40,Diadema!$I$55:$I$176,0)
      )
   ),
   ""
)</f>
        <v>25 - KAIZEN - Redução de peso bruto_MB003601LA_Rev00_Bruno Manachini</v>
      </c>
      <c r="D40" s="806">
        <f t="shared" si="6"/>
        <v>5.6251653894680833E-3</v>
      </c>
      <c r="E40" s="362">
        <f t="shared" si="11"/>
        <v>0.97656830710300013</v>
      </c>
      <c r="F40" t="str">
        <f t="shared" si="0"/>
        <v>Diadema</v>
      </c>
      <c r="G40" s="235" t="str">
        <f>_xlfn.XLOOKUP(C40,Diadema!$C$55:$C$176,Diadema!$O$55:$O$176)</f>
        <v>✓ Concluído</v>
      </c>
      <c r="H40" s="235" t="str">
        <f>_xlfn.XLOOKUP(C40,Diadema!$C$55:$C$176,Diadema!$M$55:$M$176," ")</f>
        <v>OK</v>
      </c>
      <c r="I40" s="803">
        <f>_xlfn.XLOOKUP(C40,Diadema!$C$55:$C$176,Diadema!$J$55:$J$176)</f>
        <v>46143</v>
      </c>
      <c r="J40" s="235">
        <f ca="1">INDEX(Diadema!$AP$55:$AP$176, MATCH(C40, Diadema!$C$55:$C$176, 0))</f>
        <v>2178.4512500000001</v>
      </c>
      <c r="K40" s="235" cm="1">
        <f t="array" aca="1" ref="K40" ca="1">INDEX(Diadema!$AP$55:$AP$176, MATCH(C40, Diadema!$C$55:$C$176, 0) + 1)</f>
        <v>1877.693999999994</v>
      </c>
      <c r="L40" s="235">
        <f>INDEX(Diadema!$AI$55:$AI$176, MATCH(C40, Diadema!$C$55:$C$176, 0))</f>
        <v>17427.61</v>
      </c>
      <c r="M40" s="235"/>
      <c r="N40" s="235"/>
      <c r="O40" s="235"/>
      <c r="P40" s="235"/>
      <c r="Q40">
        <v>37</v>
      </c>
      <c r="R40" s="275">
        <f t="shared" si="17"/>
        <v>270000</v>
      </c>
      <c r="S40" t="str">
        <f t="shared" si="12"/>
        <v>23 - Redução do peso bruto VW000581Z / VW000582Z</v>
      </c>
      <c r="T40" t="str">
        <f t="shared" si="13"/>
        <v>Diadema</v>
      </c>
      <c r="U40" s="275">
        <f t="shared" si="8"/>
        <v>128107.04000000001</v>
      </c>
      <c r="V40" s="235" t="str">
        <f t="shared" ca="1" si="18"/>
        <v/>
      </c>
      <c r="W40" s="235" t="str">
        <f t="shared" ca="1" si="19"/>
        <v/>
      </c>
      <c r="X40" t="str">
        <f t="shared" si="14"/>
        <v>⏳ Em Execução</v>
      </c>
      <c r="Y40" s="803">
        <f t="shared" si="15"/>
        <v>46174</v>
      </c>
      <c r="Z40" t="str">
        <f t="shared" si="16"/>
        <v>OK</v>
      </c>
    </row>
    <row r="41" spans="1:26" ht="14.55" x14ac:dyDescent="0.3">
      <c r="A41">
        <v>38</v>
      </c>
      <c r="B41" s="235">
        <f>IFERROR(LARGE(Diadema!$I$55:$I$176,A41)," ")</f>
        <v>24000.000899999999</v>
      </c>
      <c r="C41" t="str">
        <f>IFERROR(
   HYPERLINK(
      INDEX(Diadema!$D$55:$D$176,
             MATCH(B41,Diadema!$I$55:$I$176,0)
      ),
      INDEX(Diadema!$C$55:$C$176,
             MATCH(B41,Diadema!$I$55:$I$176,0)
      )
   ),
   ""
)</f>
        <v>03 - Otimização de processo - Cavalo Marinho</v>
      </c>
      <c r="D41" s="806">
        <f t="shared" si="6"/>
        <v>5.1924605542262633E-3</v>
      </c>
      <c r="E41" s="362">
        <f t="shared" si="11"/>
        <v>0.98176076765722642</v>
      </c>
      <c r="F41" t="str">
        <f t="shared" si="0"/>
        <v>Diadema</v>
      </c>
      <c r="G41" s="235" t="str">
        <f>_xlfn.XLOOKUP(C41,Diadema!$C$55:$C$176,Diadema!$O$55:$O$176)</f>
        <v>✓ Concluído</v>
      </c>
      <c r="H41" s="235">
        <f>_xlfn.XLOOKUP(C41,Diadema!$C$55:$C$176,Diadema!$M$55:$M$176," ")</f>
        <v>0</v>
      </c>
      <c r="I41" s="803">
        <f>_xlfn.XLOOKUP(C41,Diadema!$C$55:$C$176,Diadema!$J$55:$J$176)</f>
        <v>46082</v>
      </c>
      <c r="J41" s="235">
        <f ca="1">INDEX(Diadema!$AP$55:$AP$176, MATCH(C41, Diadema!$C$55:$C$176, 0))</f>
        <v>7200.0002700000005</v>
      </c>
      <c r="K41" s="235" t="str" cm="1">
        <f t="array" aca="1" ref="K41" ca="1">INDEX(Diadema!$AP$55:$AP$176, MATCH(C41, Diadema!$C$55:$C$176, 0) + 1)</f>
        <v/>
      </c>
      <c r="L41" s="235">
        <f>INDEX(Diadema!$AI$55:$AI$176, MATCH(C41, Diadema!$C$55:$C$176, 0))</f>
        <v>24000.000900000003</v>
      </c>
      <c r="M41" s="235"/>
      <c r="N41" s="235"/>
      <c r="O41" s="235"/>
      <c r="P41" s="235"/>
      <c r="Q41">
        <v>38</v>
      </c>
      <c r="R41" s="275">
        <f t="shared" si="17"/>
        <v>236000</v>
      </c>
      <c r="S41" t="str">
        <f t="shared" si="12"/>
        <v>52 - Redução de MP - GM000458Z / GM000459Z</v>
      </c>
      <c r="T41" t="str">
        <f t="shared" si="13"/>
        <v>Diadema</v>
      </c>
      <c r="U41" s="275">
        <f t="shared" si="8"/>
        <v>138092.84</v>
      </c>
      <c r="V41" s="235" t="str">
        <f t="shared" ca="1" si="18"/>
        <v/>
      </c>
      <c r="W41" s="235" t="str">
        <f t="shared" ca="1" si="19"/>
        <v/>
      </c>
      <c r="X41" t="str">
        <f t="shared" si="14"/>
        <v>✓ Concluído</v>
      </c>
      <c r="Y41" s="803">
        <f t="shared" si="15"/>
        <v>46174</v>
      </c>
      <c r="Z41" t="str">
        <f t="shared" si="16"/>
        <v>OK</v>
      </c>
    </row>
    <row r="42" spans="1:26" ht="14.55" x14ac:dyDescent="0.3">
      <c r="A42">
        <v>39</v>
      </c>
      <c r="B42" s="235">
        <f>IFERROR(LARGE(Diadema!$I$55:$I$176,A42)," ")</f>
        <v>16500</v>
      </c>
      <c r="C42" t="str">
        <f>IFERROR(
   HYPERLINK(
      INDEX(Diadema!$D$55:$D$176,
             MATCH(B42,Diadema!$I$55:$I$176,0)
      ),
      INDEX(Diadema!$C$55:$C$176,
             MATCH(B42,Diadema!$I$55:$I$176,0)
      )
   ),
   ""
)</f>
        <v xml:space="preserve"> 07 - Consumo de água</v>
      </c>
      <c r="D42" s="806">
        <f t="shared" si="6"/>
        <v>3.5698164971624375E-3</v>
      </c>
      <c r="E42" s="362">
        <f t="shared" si="11"/>
        <v>0.9853305841543889</v>
      </c>
      <c r="F42" t="str">
        <f t="shared" si="0"/>
        <v>Diadema</v>
      </c>
      <c r="G42" s="235" t="str">
        <f>_xlfn.XLOOKUP(C42,Diadema!$C$55:$C$176,Diadema!$O$55:$O$176)</f>
        <v>⏳ Em Execução</v>
      </c>
      <c r="H42" s="235">
        <f>_xlfn.XLOOKUP(C42,Diadema!$C$55:$C$176,Diadema!$M$55:$M$176," ")</f>
        <v>0</v>
      </c>
      <c r="I42" s="803">
        <f>_xlfn.XLOOKUP(C42,Diadema!$C$55:$C$176,Diadema!$J$55:$J$176)</f>
        <v>0</v>
      </c>
      <c r="J42" s="235" t="str">
        <f ca="1">INDEX(Diadema!$AP$55:$AP$176, MATCH(C42, Diadema!$C$55:$C$176, 0))</f>
        <v/>
      </c>
      <c r="K42" s="235" t="str" cm="1">
        <f t="array" aca="1" ref="K42" ca="1">INDEX(Diadema!$AP$55:$AP$176, MATCH(C42, Diadema!$C$55:$C$176, 0) + 1)</f>
        <v/>
      </c>
      <c r="L42" s="235">
        <f>INDEX(Diadema!$AI$55:$AI$176, MATCH(C42, Diadema!$C$55:$C$176, 0))</f>
        <v>0</v>
      </c>
      <c r="M42" s="235"/>
      <c r="N42" s="235"/>
      <c r="O42" s="235"/>
      <c r="P42" s="235"/>
      <c r="Q42">
        <v>39</v>
      </c>
      <c r="R42" s="275">
        <f t="shared" si="17"/>
        <v>230000</v>
      </c>
      <c r="S42" t="str">
        <f t="shared" si="12"/>
        <v>44 - Mudança de fonte Usiminas para Arcelor</v>
      </c>
      <c r="T42" t="str">
        <f t="shared" si="13"/>
        <v>Diadema</v>
      </c>
      <c r="U42" s="275">
        <f t="shared" si="8"/>
        <v>115000</v>
      </c>
      <c r="V42" s="235" t="str">
        <f t="shared" ca="1" si="18"/>
        <v/>
      </c>
      <c r="W42" s="235" t="str">
        <f t="shared" ca="1" si="19"/>
        <v/>
      </c>
      <c r="X42" t="str">
        <f t="shared" si="14"/>
        <v>⏳ Em Execução</v>
      </c>
      <c r="Y42" s="803">
        <f t="shared" si="15"/>
        <v>46204</v>
      </c>
      <c r="Z42" t="str">
        <f t="shared" si="16"/>
        <v>OK</v>
      </c>
    </row>
    <row r="43" spans="1:26" ht="14.55" x14ac:dyDescent="0.3">
      <c r="A43">
        <v>40</v>
      </c>
      <c r="B43" s="235">
        <f>IFERROR(LARGE(Diadema!$I$55:$I$176,A43)," ")</f>
        <v>14256</v>
      </c>
      <c r="C43" t="str">
        <f>IFERROR(
   HYPERLINK(
      INDEX(Diadema!$D$55:$D$176,
             MATCH(B43,Diadema!$I$55:$I$176,0)
      ),
      INDEX(Diadema!$C$55:$C$176,
             MATCH(B43,Diadema!$I$55:$I$176,0)
      )
   ),
   ""
)</f>
        <v>35 - Redução de Peso Bruto do item MB003597LA</v>
      </c>
      <c r="D43" s="806">
        <f t="shared" si="6"/>
        <v>3.0843214535483457E-3</v>
      </c>
      <c r="E43" s="362">
        <f t="shared" si="11"/>
        <v>0.98841490560793721</v>
      </c>
      <c r="F43" t="str">
        <f t="shared" si="0"/>
        <v>Diadema</v>
      </c>
      <c r="G43" s="235" t="str">
        <f>_xlfn.XLOOKUP(C43,Diadema!$C$55:$C$176,Diadema!$O$55:$O$176)</f>
        <v>✓ Concluído</v>
      </c>
      <c r="H43" s="235" t="str">
        <f>_xlfn.XLOOKUP(C43,Diadema!$C$55:$C$176,Diadema!$M$55:$M$176," ")</f>
        <v>OK</v>
      </c>
      <c r="I43" s="803">
        <f>_xlfn.XLOOKUP(C43,Diadema!$C$55:$C$176,Diadema!$J$55:$J$176)</f>
        <v>46082</v>
      </c>
      <c r="J43" s="235">
        <f ca="1">INDEX(Diadema!$AP$55:$AP$176, MATCH(C43, Diadema!$C$55:$C$176, 0))</f>
        <v>4302.3150000000005</v>
      </c>
      <c r="K43" s="235" cm="1">
        <f t="array" aca="1" ref="K43" ca="1">INDEX(Diadema!$AP$55:$AP$176, MATCH(C43, Diadema!$C$55:$C$176, 0) + 1)</f>
        <v>3320.9172029923193</v>
      </c>
      <c r="L43" s="235">
        <f>INDEX(Diadema!$AI$55:$AI$176, MATCH(C43, Diadema!$C$55:$C$176, 0))</f>
        <v>14341.050000000001</v>
      </c>
      <c r="M43" s="235"/>
      <c r="N43" s="235"/>
      <c r="O43" s="235"/>
      <c r="P43" s="235"/>
      <c r="Q43">
        <v>40</v>
      </c>
      <c r="R43" s="275">
        <f t="shared" si="17"/>
        <v>228000</v>
      </c>
      <c r="S43" t="str">
        <f t="shared" si="12"/>
        <v>16 - Eficiência de MO na linha de Solda e Montagem</v>
      </c>
      <c r="T43" t="str">
        <f t="shared" si="13"/>
        <v>Diadema</v>
      </c>
      <c r="U43" s="275">
        <f t="shared" si="8"/>
        <v>124710.19</v>
      </c>
      <c r="V43" s="235">
        <f t="shared" ca="1" si="18"/>
        <v>37413.057000000001</v>
      </c>
      <c r="W43" s="235">
        <f t="shared" ca="1" si="19"/>
        <v>12885.189999999999</v>
      </c>
      <c r="X43" t="str">
        <f t="shared" si="14"/>
        <v>✓ Concluído</v>
      </c>
      <c r="Y43" s="803">
        <f t="shared" si="15"/>
        <v>46082</v>
      </c>
      <c r="Z43" t="str">
        <f t="shared" si="16"/>
        <v>OK</v>
      </c>
    </row>
    <row r="44" spans="1:26" ht="14.55" x14ac:dyDescent="0.3">
      <c r="A44">
        <v>41</v>
      </c>
      <c r="B44" s="235">
        <f>IFERROR(LARGE(Diadema!$I$55:$I$176,A44)," ")</f>
        <v>13608</v>
      </c>
      <c r="C44" t="str">
        <f>IFERROR(
   HYPERLINK(
      INDEX(Diadema!$D$55:$D$176,
             MATCH(B44,Diadema!$I$55:$I$176,0)
      ),
      INDEX(Diadema!$C$55:$C$176,
             MATCH(B44,Diadema!$I$55:$I$176,0)
      )
   ),
   ""
)</f>
        <v>33 - Redução de Peso Bruto do item MB003610LA</v>
      </c>
      <c r="D44" s="806">
        <f t="shared" si="6"/>
        <v>2.9441250238416029E-3</v>
      </c>
      <c r="E44" s="362">
        <f t="shared" si="11"/>
        <v>0.99135903063177877</v>
      </c>
      <c r="F44" t="str">
        <f t="shared" si="0"/>
        <v>Diadema</v>
      </c>
      <c r="G44" s="235" t="str">
        <f>_xlfn.XLOOKUP(C44,Diadema!$C$55:$C$176,Diadema!$O$55:$O$176)</f>
        <v>✓ Concluído</v>
      </c>
      <c r="H44" s="235" t="str">
        <f>_xlfn.XLOOKUP(C44,Diadema!$C$55:$C$176,Diadema!$M$55:$M$176," ")</f>
        <v>OK</v>
      </c>
      <c r="I44" s="803">
        <f>_xlfn.XLOOKUP(C44,Diadema!$C$55:$C$176,Diadema!$J$55:$J$176)</f>
        <v>46082</v>
      </c>
      <c r="J44" s="235">
        <f ca="1">INDEX(Diadema!$AP$55:$AP$176, MATCH(C44, Diadema!$C$55:$C$176, 0))</f>
        <v>3367.0320000000002</v>
      </c>
      <c r="K44" s="235" cm="1">
        <f t="array" aca="1" ref="K44" ca="1">INDEX(Diadema!$AP$55:$AP$176, MATCH(C44, Diadema!$C$55:$C$176, 0) + 1)</f>
        <v>2773.3036297872013</v>
      </c>
      <c r="L44" s="235">
        <f>INDEX(Diadema!$AI$55:$AI$176, MATCH(C44, Diadema!$C$55:$C$176, 0))</f>
        <v>11223.44</v>
      </c>
      <c r="M44" s="235"/>
      <c r="N44" s="235"/>
      <c r="O44" s="235"/>
      <c r="P44" s="235"/>
      <c r="Q44">
        <v>41</v>
      </c>
      <c r="R44" s="275">
        <f t="shared" si="17"/>
        <v>223200</v>
      </c>
      <c r="S44" t="str">
        <f t="shared" si="12"/>
        <v>57 - AlmaCAM_Redução de Peso</v>
      </c>
      <c r="T44" t="str">
        <f t="shared" si="13"/>
        <v>Diadema</v>
      </c>
      <c r="U44" s="275">
        <f t="shared" si="8"/>
        <v>223200</v>
      </c>
      <c r="V44" s="235" t="str">
        <f t="shared" ca="1" si="18"/>
        <v/>
      </c>
      <c r="W44" s="235" t="str">
        <f t="shared" ca="1" si="19"/>
        <v/>
      </c>
      <c r="X44" t="str">
        <f t="shared" si="14"/>
        <v>✓ Concluído</v>
      </c>
      <c r="Y44" s="803">
        <f t="shared" si="15"/>
        <v>46174</v>
      </c>
      <c r="Z44" t="str">
        <f t="shared" si="16"/>
        <v/>
      </c>
    </row>
    <row r="45" spans="1:26" x14ac:dyDescent="0.3">
      <c r="A45">
        <v>42</v>
      </c>
      <c r="B45" s="235">
        <f>IFERROR(LARGE(Diadema!$I$55:$I$176,A45)," ")</f>
        <v>9078</v>
      </c>
      <c r="C45" t="str">
        <f>IFERROR(
   HYPERLINK(
      INDEX(Diadema!$D$55:$D$176,
             MATCH(B45,Diadema!$I$55:$I$176,0)
      ),
      INDEX(Diadema!$C$55:$C$176,
             MATCH(B45,Diadema!$I$55:$I$176,0)
      )
   ),
   ""
)</f>
        <v>09 - Taxa de Esgoto</v>
      </c>
      <c r="D45" s="806">
        <f t="shared" si="6"/>
        <v>1.9640481309842793E-3</v>
      </c>
      <c r="E45" s="362">
        <f t="shared" si="11"/>
        <v>0.99332307876276305</v>
      </c>
      <c r="F45" t="str">
        <f t="shared" si="0"/>
        <v>Diadema</v>
      </c>
      <c r="G45" s="235" t="str">
        <f>_xlfn.XLOOKUP(C45,Diadema!$C$55:$C$176,Diadema!$O$55:$O$176)</f>
        <v>⏳ Em Execução</v>
      </c>
      <c r="H45" s="235">
        <f>_xlfn.XLOOKUP(C45,Diadema!$C$55:$C$176,Diadema!$M$55:$M$176," ")</f>
        <v>0</v>
      </c>
      <c r="I45" s="803">
        <f>_xlfn.XLOOKUP(C45,Diadema!$C$55:$C$176,Diadema!$J$55:$J$176)</f>
        <v>0</v>
      </c>
      <c r="J45" s="235" t="str">
        <f ca="1">INDEX(Diadema!$AP$55:$AP$176, MATCH(C45, Diadema!$C$55:$C$176, 0))</f>
        <v/>
      </c>
      <c r="K45" s="235" t="str" cm="1">
        <f t="array" aca="1" ref="K45" ca="1">INDEX(Diadema!$AP$55:$AP$176, MATCH(C45, Diadema!$C$55:$C$176, 0) + 1)</f>
        <v/>
      </c>
      <c r="L45" s="235">
        <f>INDEX(Diadema!$AI$55:$AI$176, MATCH(C45, Diadema!$C$55:$C$176, 0))</f>
        <v>0</v>
      </c>
      <c r="M45" s="235"/>
      <c r="N45" s="235"/>
      <c r="O45" s="235"/>
      <c r="P45" s="235"/>
      <c r="Q45">
        <v>42</v>
      </c>
      <c r="R45" s="275">
        <f t="shared" si="17"/>
        <v>219761</v>
      </c>
      <c r="S45" t="str">
        <f t="shared" si="12"/>
        <v>Resourcing Maletas Man (Mercante para Cartec)</v>
      </c>
      <c r="T45" t="str">
        <f t="shared" si="13"/>
        <v>Compras</v>
      </c>
      <c r="U45" s="275">
        <f t="shared" si="8"/>
        <v>183134.16666666666</v>
      </c>
      <c r="V45" s="235">
        <f t="shared" ca="1" si="18"/>
        <v>54940.25</v>
      </c>
      <c r="W45" s="235" t="str">
        <f t="shared" ca="1" si="19"/>
        <v/>
      </c>
      <c r="X45" t="str">
        <f t="shared" si="14"/>
        <v>✓ Concluído</v>
      </c>
      <c r="Y45" s="803">
        <f t="shared" si="15"/>
        <v>46097</v>
      </c>
      <c r="Z45" t="str">
        <f t="shared" si="16"/>
        <v>Não Ok</v>
      </c>
    </row>
    <row r="46" spans="1:26" ht="14.55" x14ac:dyDescent="0.3">
      <c r="A46">
        <v>43</v>
      </c>
      <c r="B46" s="235">
        <f>IFERROR(LARGE(Diadema!$I$55:$I$176,A46)," ")</f>
        <v>4840</v>
      </c>
      <c r="C46" t="str">
        <f>IFERROR(
   HYPERLINK(
      INDEX(Diadema!$D$55:$D$176,
             MATCH(B46,Diadema!$I$55:$I$176,0)
      ),
      INDEX(Diadema!$C$55:$C$176,
             MATCH(B46,Diadema!$I$55:$I$176,0)
      )
   ),
   ""
)</f>
        <v>46 - AGUA DESMINERALIZADA</v>
      </c>
      <c r="D46" s="806">
        <f t="shared" si="6"/>
        <v>1.0471461725009817E-3</v>
      </c>
      <c r="E46" s="362">
        <f t="shared" si="11"/>
        <v>0.99437022493526406</v>
      </c>
      <c r="F46" t="str">
        <f t="shared" si="0"/>
        <v>Diadema</v>
      </c>
      <c r="G46" s="235" t="str">
        <f>_xlfn.XLOOKUP(C46,Diadema!$C$55:$C$176,Diadema!$O$55:$O$176)</f>
        <v>✓ Concluído</v>
      </c>
      <c r="H46" s="235">
        <f>_xlfn.XLOOKUP(C46,Diadema!$C$55:$C$176,Diadema!$M$55:$M$176," ")</f>
        <v>0</v>
      </c>
      <c r="I46" s="803">
        <f>_xlfn.XLOOKUP(C46,Diadema!$C$55:$C$176,Diadema!$J$55:$J$176)</f>
        <v>46113</v>
      </c>
      <c r="J46" s="235">
        <f ca="1">INDEX(Diadema!$AP$55:$AP$176, MATCH(C46, Diadema!$C$55:$C$176, 0))</f>
        <v>1075.5555555555557</v>
      </c>
      <c r="K46" s="235" t="str" cm="1">
        <f t="array" aca="1" ref="K46" ca="1">INDEX(Diadema!$AP$55:$AP$176, MATCH(C46, Diadema!$C$55:$C$176, 0) + 1)</f>
        <v/>
      </c>
      <c r="L46" s="235">
        <f>INDEX(Diadema!$AI$55:$AI$176, MATCH(C46, Diadema!$C$55:$C$176, 0))</f>
        <v>4840</v>
      </c>
      <c r="M46" s="235"/>
      <c r="N46" s="235"/>
      <c r="O46" s="235"/>
      <c r="P46" s="235"/>
      <c r="Q46">
        <v>43</v>
      </c>
      <c r="R46" s="275">
        <f t="shared" si="17"/>
        <v>218726.78</v>
      </c>
      <c r="S46" t="str">
        <f t="shared" si="12"/>
        <v>01 - Redução de Refugo</v>
      </c>
      <c r="T46" t="str">
        <f t="shared" si="13"/>
        <v>São leopoldo</v>
      </c>
      <c r="U46" s="275">
        <f t="shared" si="8"/>
        <v>59652.758181818179</v>
      </c>
      <c r="V46" s="235">
        <f t="shared" ca="1" si="18"/>
        <v>79537.01090909091</v>
      </c>
      <c r="W46" s="235">
        <f t="shared" ca="1" si="19"/>
        <v>98159.34</v>
      </c>
      <c r="X46" t="str">
        <f t="shared" si="14"/>
        <v>⏳ Em Execução</v>
      </c>
      <c r="Y46" s="803">
        <f t="shared" si="15"/>
        <v>46054</v>
      </c>
      <c r="Z46" t="str">
        <f t="shared" si="16"/>
        <v>OK</v>
      </c>
    </row>
    <row r="47" spans="1:26" x14ac:dyDescent="0.3">
      <c r="A47">
        <v>44</v>
      </c>
      <c r="B47" s="235">
        <f>IFERROR(LARGE(Diadema!$I$55:$I$176,A47)," ")</f>
        <v>4200.0006659999999</v>
      </c>
      <c r="C47" t="str">
        <f>IFERROR(
   HYPERLINK(
      INDEX(Diadema!$D$55:$D$176,
             MATCH(B47,Diadema!$I$55:$I$176,0)
      ),
      INDEX(Diadema!$C$55:$C$176,
             MATCH(B47,Diadema!$I$55:$I$176,0)
      )
   ),
   ""
)</f>
        <v>28 - DA000487Z_DA000488Z - STC Scania P</v>
      </c>
      <c r="D47" s="806">
        <f t="shared" si="6"/>
        <v>9.0868070700484988E-4</v>
      </c>
      <c r="E47" s="362">
        <f t="shared" si="11"/>
        <v>0.99527890564226895</v>
      </c>
      <c r="F47" t="str">
        <f t="shared" si="0"/>
        <v>Diadema</v>
      </c>
      <c r="G47" s="235" t="str">
        <f>_xlfn.XLOOKUP(C47,Diadema!$C$55:$C$176,Diadema!$O$55:$O$176)</f>
        <v>⏳ Em Execução</v>
      </c>
      <c r="H47" s="235" t="str">
        <f>_xlfn.XLOOKUP(C47,Diadema!$C$55:$C$176,Diadema!$M$55:$M$176," ")</f>
        <v>Não Ok</v>
      </c>
      <c r="I47" s="803">
        <f>_xlfn.XLOOKUP(C47,Diadema!$C$55:$C$176,Diadema!$J$55:$J$176)</f>
        <v>46174</v>
      </c>
      <c r="J47" s="235" t="str">
        <f ca="1">INDEX(Diadema!$AP$55:$AP$176, MATCH(C47, Diadema!$C$55:$C$176, 0))</f>
        <v/>
      </c>
      <c r="K47" s="235" t="str" cm="1">
        <f t="array" aca="1" ref="K47" ca="1">INDEX(Diadema!$AP$55:$AP$176, MATCH(C47, Diadema!$C$55:$C$176, 0) + 1)</f>
        <v/>
      </c>
      <c r="L47" s="235">
        <f>INDEX(Diadema!$AI$55:$AI$176, MATCH(C47, Diadema!$C$55:$C$176, 0))</f>
        <v>4200.0006659999999</v>
      </c>
      <c r="M47" s="235"/>
      <c r="N47" s="235"/>
      <c r="O47" s="235"/>
      <c r="P47" s="235"/>
      <c r="Q47">
        <v>44</v>
      </c>
      <c r="R47" s="275">
        <f t="shared" si="17"/>
        <v>214329</v>
      </c>
      <c r="S47" t="str">
        <f t="shared" si="12"/>
        <v>Redução Itens Mercedes</v>
      </c>
      <c r="T47" t="str">
        <f t="shared" si="13"/>
        <v>Compras</v>
      </c>
      <c r="U47" s="275">
        <f t="shared" si="8"/>
        <v>160746.75</v>
      </c>
      <c r="V47" s="235">
        <f t="shared" ca="1" si="18"/>
        <v>35721.5</v>
      </c>
      <c r="W47" s="235" t="str">
        <f t="shared" ca="1" si="19"/>
        <v/>
      </c>
      <c r="X47" t="str">
        <f t="shared" si="14"/>
        <v>⏳ Em Execução</v>
      </c>
      <c r="Y47" s="803">
        <f t="shared" si="15"/>
        <v>46113</v>
      </c>
      <c r="Z47" t="str">
        <f t="shared" si="16"/>
        <v/>
      </c>
    </row>
    <row r="48" spans="1:26" ht="14.55" x14ac:dyDescent="0.3">
      <c r="A48">
        <v>45</v>
      </c>
      <c r="B48" s="235">
        <f>IFERROR(LARGE(Diadema!$I$55:$I$176,A48)," ")</f>
        <v>4200</v>
      </c>
      <c r="C48" t="str">
        <f>IFERROR(
   HYPERLINK(
      INDEX(Diadema!$D$55:$D$176,
             MATCH(B48,Diadema!$I$55:$I$176,0)
      ),
      INDEX(Diadema!$C$55:$C$176,
             MATCH(B48,Diadema!$I$55:$I$176,0)
      )
   ),
   ""
)</f>
        <v>38 - Redução de Peso Bruto do item SV000205LB</v>
      </c>
      <c r="D48" s="806">
        <f t="shared" si="6"/>
        <v>9.0868056291407498E-4</v>
      </c>
      <c r="E48" s="362">
        <f t="shared" si="11"/>
        <v>0.996187586205183</v>
      </c>
      <c r="F48" t="str">
        <f t="shared" si="0"/>
        <v>Diadema</v>
      </c>
      <c r="G48" s="235" t="str">
        <f>_xlfn.XLOOKUP(C48,Diadema!$C$55:$C$176,Diadema!$O$55:$O$176)</f>
        <v>✓ Concluído</v>
      </c>
      <c r="H48" s="235" t="str">
        <f>_xlfn.XLOOKUP(C48,Diadema!$C$55:$C$176,Diadema!$M$55:$M$176," ")</f>
        <v>OK</v>
      </c>
      <c r="I48" s="803">
        <f>_xlfn.XLOOKUP(C48,Diadema!$C$55:$C$176,Diadema!$J$55:$J$176)</f>
        <v>46082</v>
      </c>
      <c r="J48" s="235">
        <f ca="1">INDEX(Diadema!$AP$55:$AP$176, MATCH(C48, Diadema!$C$55:$C$176, 0))</f>
        <v>1064.0520000000001</v>
      </c>
      <c r="K48" s="235" cm="1">
        <f t="array" aca="1" ref="K48" ca="1">INDEX(Diadema!$AP$55:$AP$176, MATCH(C48, Diadema!$C$55:$C$176, 0) + 1)</f>
        <v>1630.73404622</v>
      </c>
      <c r="L48" s="235">
        <f>INDEX(Diadema!$AI$55:$AI$176, MATCH(C48, Diadema!$C$55:$C$176, 0))</f>
        <v>3546.8400000000006</v>
      </c>
      <c r="M48" s="235"/>
      <c r="N48" s="235"/>
      <c r="O48" s="235"/>
      <c r="P48" s="235"/>
      <c r="Q48">
        <v>45</v>
      </c>
      <c r="R48" s="275">
        <f t="shared" si="17"/>
        <v>200000.00399999999</v>
      </c>
      <c r="S48" t="str">
        <f t="shared" si="12"/>
        <v xml:space="preserve">10 - Consumo de energia elétrica: vazamentos de ar </v>
      </c>
      <c r="T48" t="str">
        <f t="shared" si="13"/>
        <v>Ferraz</v>
      </c>
      <c r="U48" s="275">
        <f t="shared" si="8"/>
        <v>57455.181818181816</v>
      </c>
      <c r="V48" s="235">
        <f t="shared" ca="1" si="18"/>
        <v>76606.909090909088</v>
      </c>
      <c r="W48" s="235" t="str">
        <f t="shared" ca="1" si="19"/>
        <v/>
      </c>
      <c r="X48" t="str">
        <f t="shared" si="14"/>
        <v>⏳ Em Execução</v>
      </c>
      <c r="Y48" s="803">
        <f t="shared" si="15"/>
        <v>46054</v>
      </c>
      <c r="Z48" t="str">
        <f t="shared" si="16"/>
        <v>OK</v>
      </c>
    </row>
    <row r="49" spans="1:26" ht="14.55" x14ac:dyDescent="0.3">
      <c r="A49">
        <v>46</v>
      </c>
      <c r="B49" s="235">
        <f>IFERROR(LARGE(Diadema!$I$55:$I$176,A49)," ")</f>
        <v>3279.77</v>
      </c>
      <c r="C49" t="str">
        <f>IFERROR(
   HYPERLINK(
      INDEX(Diadema!$D$55:$D$176,
             MATCH(B49,Diadema!$I$55:$I$176,0)
      ),
      INDEX(Diadema!$C$55:$C$176,
             MATCH(B49,Diadema!$I$55:$I$176,0)
      )
   ),
   ""
)</f>
        <v>15 - Kaizem - Botões BI - MANUAL</v>
      </c>
      <c r="D49" s="806">
        <f t="shared" si="6"/>
        <v>7.0958648805445135E-4</v>
      </c>
      <c r="E49" s="362">
        <f t="shared" ref="E49:E63" si="20">IFERROR(D49+E48," ")</f>
        <v>0.99689717269323741</v>
      </c>
      <c r="F49" t="str">
        <f t="shared" si="0"/>
        <v>Diadema</v>
      </c>
      <c r="G49" s="235" t="str">
        <f>_xlfn.XLOOKUP(C49,Diadema!$C$55:$C$176,Diadema!$O$55:$O$176)</f>
        <v>✓ Concluído</v>
      </c>
      <c r="H49" s="235" t="str">
        <f>_xlfn.XLOOKUP(C49,Diadema!$C$55:$C$176,Diadema!$M$55:$M$176," ")</f>
        <v>OK</v>
      </c>
      <c r="I49" s="803">
        <f>_xlfn.XLOOKUP(C49,Diadema!$C$55:$C$176,Diadema!$J$55:$J$176)</f>
        <v>46023</v>
      </c>
      <c r="J49" s="235">
        <f ca="1">INDEX(Diadema!$AP$55:$AP$176, MATCH(C49, Diadema!$C$55:$C$176, 0))</f>
        <v>3656.94</v>
      </c>
      <c r="K49" s="235"/>
      <c r="L49" s="235">
        <f>INDEX(Diadema!$AI$55:$AI$176, MATCH(C49, Diadema!$C$55:$C$176, 0))</f>
        <v>3656.94</v>
      </c>
      <c r="M49" s="235"/>
      <c r="N49" s="235"/>
      <c r="O49" s="235"/>
      <c r="P49" s="235"/>
      <c r="Q49">
        <v>46</v>
      </c>
      <c r="R49" s="275">
        <f t="shared" si="17"/>
        <v>200000.00200000001</v>
      </c>
      <c r="S49" t="str">
        <f t="shared" si="12"/>
        <v>12 - Sistema hidráulico 3500T</v>
      </c>
      <c r="T49" t="str">
        <f t="shared" si="13"/>
        <v>Ferraz</v>
      </c>
      <c r="U49" s="275">
        <f t="shared" si="8"/>
        <v>0</v>
      </c>
      <c r="V49" s="235" t="str">
        <f t="shared" ca="1" si="18"/>
        <v/>
      </c>
      <c r="W49" s="235" t="str">
        <f t="shared" ca="1" si="19"/>
        <v/>
      </c>
      <c r="X49" t="str">
        <f t="shared" si="14"/>
        <v>⏳ Em Execução</v>
      </c>
      <c r="Y49" s="803">
        <f t="shared" si="15"/>
        <v>0</v>
      </c>
      <c r="Z49" t="str">
        <f t="shared" si="16"/>
        <v/>
      </c>
    </row>
    <row r="50" spans="1:26" ht="14.55" x14ac:dyDescent="0.3">
      <c r="A50">
        <v>47</v>
      </c>
      <c r="B50" s="235">
        <f>IFERROR(LARGE(Diadema!$I$55:$I$176,A50)," ")</f>
        <v>3262</v>
      </c>
      <c r="C50" t="str">
        <f>IFERROR(
   HYPERLINK(
      INDEX(Diadema!$D$55:$D$176,
             MATCH(B50,Diadema!$I$55:$I$176,0)
      ),
      INDEX(Diadema!$C$55:$C$176,
             MATCH(B50,Diadema!$I$55:$I$176,0)
      )
   ),
   ""
)</f>
        <v>34 - Redução de Peso Bruto do item MB003554LA</v>
      </c>
      <c r="D50" s="806">
        <f t="shared" si="6"/>
        <v>7.0574190386326491E-4</v>
      </c>
      <c r="E50" s="362">
        <f t="shared" si="20"/>
        <v>0.99760291459710071</v>
      </c>
      <c r="F50" t="str">
        <f t="shared" si="0"/>
        <v>Diadema</v>
      </c>
      <c r="G50" s="235" t="str">
        <f>_xlfn.XLOOKUP(C50,Diadema!$C$55:$C$176,Diadema!$O$55:$O$176)</f>
        <v>✓ Concluído</v>
      </c>
      <c r="H50" s="235" t="str">
        <f>_xlfn.XLOOKUP(C50,Diadema!$C$55:$C$176,Diadema!$M$55:$M$176," ")</f>
        <v>OK</v>
      </c>
      <c r="I50" s="803">
        <f>_xlfn.XLOOKUP(C50,Diadema!$C$55:$C$176,Diadema!$J$55:$J$176)</f>
        <v>46082</v>
      </c>
      <c r="J50" s="235">
        <f ca="1">INDEX(Diadema!$AP$55:$AP$176, MATCH(C50, Diadema!$C$55:$C$176, 0))</f>
        <v>716.12100000000009</v>
      </c>
      <c r="K50" s="235"/>
      <c r="L50" s="235">
        <f>INDEX(Diadema!$AI$55:$AI$176, MATCH(C50, Diadema!$C$55:$C$176, 0))</f>
        <v>2387.0700000000002</v>
      </c>
      <c r="M50" s="235"/>
      <c r="N50" s="235"/>
      <c r="O50" s="235"/>
      <c r="P50" s="235"/>
      <c r="Q50">
        <v>47</v>
      </c>
      <c r="R50" s="275">
        <f t="shared" si="17"/>
        <v>195000</v>
      </c>
      <c r="S50" t="str">
        <f t="shared" si="12"/>
        <v>09 - Critério para descarte de consumíveis</v>
      </c>
      <c r="T50" t="str">
        <f t="shared" si="13"/>
        <v>Ferraz</v>
      </c>
      <c r="U50" s="275">
        <f t="shared" si="8"/>
        <v>0</v>
      </c>
      <c r="V50" s="235" t="str">
        <f t="shared" ca="1" si="18"/>
        <v/>
      </c>
      <c r="W50" s="235" t="str">
        <f t="shared" ca="1" si="19"/>
        <v/>
      </c>
      <c r="X50" t="str">
        <f t="shared" si="14"/>
        <v>⏳ Em Execução</v>
      </c>
      <c r="Y50" s="803">
        <f t="shared" si="15"/>
        <v>0</v>
      </c>
      <c r="Z50" t="str">
        <f t="shared" si="16"/>
        <v>Não Ok</v>
      </c>
    </row>
    <row r="51" spans="1:26" ht="14.55" x14ac:dyDescent="0.3">
      <c r="A51">
        <v>48</v>
      </c>
      <c r="B51" s="235">
        <f>IFERROR(LARGE(Diadema!$I$55:$I$176,A51)," ")</f>
        <v>2928</v>
      </c>
      <c r="C51" t="str">
        <f>IFERROR(
   HYPERLINK(
      INDEX(Diadema!$D$55:$D$176,
             MATCH(B51,Diadema!$I$55:$I$176,0)
      ),
      INDEX(Diadema!$C$55:$C$176,
             MATCH(B51,Diadema!$I$55:$I$176,0)
      )
   ),
   ""
)</f>
        <v>10 - Padronização de arame de solda</v>
      </c>
      <c r="D51" s="806">
        <f t="shared" si="6"/>
        <v>6.3348016386009798E-4</v>
      </c>
      <c r="E51" s="362">
        <f t="shared" si="20"/>
        <v>0.99823639476096082</v>
      </c>
      <c r="F51" t="str">
        <f t="shared" si="0"/>
        <v>Diadema</v>
      </c>
      <c r="G51" s="235" t="str">
        <f>_xlfn.XLOOKUP(C51,Diadema!$C$55:$C$176,Diadema!$O$55:$O$176)</f>
        <v>⏳ Em Execução</v>
      </c>
      <c r="H51" s="235">
        <f>_xlfn.XLOOKUP(C51,Diadema!$C$55:$C$176,Diadema!$M$55:$M$176," ")</f>
        <v>0</v>
      </c>
      <c r="I51" s="803">
        <f>_xlfn.XLOOKUP(C51,Diadema!$C$55:$C$176,Diadema!$J$55:$J$176)</f>
        <v>46143</v>
      </c>
      <c r="J51" s="235">
        <f ca="1">INDEX(Diadema!$AP$55:$AP$176, MATCH(C51, Diadema!$C$55:$C$176, 0))</f>
        <v>366</v>
      </c>
      <c r="K51" s="235"/>
      <c r="L51" s="235">
        <f>INDEX(Diadema!$AI$55:$AI$176, MATCH(C51, Diadema!$C$55:$C$176, 0))</f>
        <v>2928</v>
      </c>
      <c r="M51" s="235"/>
      <c r="N51" s="235"/>
      <c r="O51" s="235"/>
      <c r="P51" s="235"/>
      <c r="Q51">
        <v>48</v>
      </c>
      <c r="R51" s="275">
        <f t="shared" si="17"/>
        <v>189200</v>
      </c>
      <c r="S51" t="str">
        <f t="shared" si="12"/>
        <v>47 - REDUÇÃO DE MP DJ000079Z – 80Z</v>
      </c>
      <c r="T51" t="str">
        <f t="shared" si="13"/>
        <v>Diadema</v>
      </c>
      <c r="U51" s="275">
        <f t="shared" si="8"/>
        <v>70963.59</v>
      </c>
      <c r="V51" s="235" t="str">
        <f t="shared" ca="1" si="18"/>
        <v/>
      </c>
      <c r="W51" s="235" t="str">
        <f t="shared" ca="1" si="19"/>
        <v/>
      </c>
      <c r="X51" t="str">
        <f t="shared" si="14"/>
        <v>⏳ Em Execução</v>
      </c>
      <c r="Y51" s="803">
        <f t="shared" si="15"/>
        <v>46235</v>
      </c>
      <c r="Z51" t="str">
        <f t="shared" si="16"/>
        <v>OK</v>
      </c>
    </row>
    <row r="52" spans="1:26" x14ac:dyDescent="0.3">
      <c r="A52">
        <v>49</v>
      </c>
      <c r="B52" s="235">
        <f>IFERROR(LARGE(Diadema!$I$55:$I$176,A52)," ")</f>
        <v>2000</v>
      </c>
      <c r="C52" t="str">
        <f>IFERROR(
   HYPERLINK(
      INDEX(Diadema!$D$55:$D$176,
             MATCH(B52,Diadema!$I$55:$I$176,0)
      ),
      INDEX(Diadema!$C$55:$C$176,
             MATCH(B52,Diadema!$I$55:$I$176,0)
      )
   ),
   ""
)</f>
        <v>37 - Redução de Peso Bruto do item MB003673LD</v>
      </c>
      <c r="D52" s="806">
        <f t="shared" si="6"/>
        <v>4.3270502995908331E-4</v>
      </c>
      <c r="E52" s="362">
        <f t="shared" si="20"/>
        <v>0.99866909979091989</v>
      </c>
      <c r="F52" t="str">
        <f t="shared" si="0"/>
        <v>Diadema</v>
      </c>
      <c r="G52" s="235" t="str">
        <f>_xlfn.XLOOKUP(C52,Diadema!$C$55:$C$176,Diadema!$O$55:$O$176)</f>
        <v>✓ Concluído</v>
      </c>
      <c r="H52" s="235" t="str">
        <f>_xlfn.XLOOKUP(C52,Diadema!$C$55:$C$176,Diadema!$M$55:$M$176," ")</f>
        <v>OK</v>
      </c>
      <c r="I52" s="803">
        <f>_xlfn.XLOOKUP(C52,Diadema!$C$55:$C$176,Diadema!$J$55:$J$176)</f>
        <v>46082</v>
      </c>
      <c r="J52" s="235">
        <f ca="1">INDEX(Diadema!$AP$55:$AP$176, MATCH(C52, Diadema!$C$55:$C$176, 0))</f>
        <v>672.57299999999987</v>
      </c>
      <c r="K52" s="235"/>
      <c r="L52" s="235">
        <f>INDEX(Diadema!$AI$55:$AI$176, MATCH(C52, Diadema!$C$55:$C$176, 0))</f>
        <v>2241.91</v>
      </c>
      <c r="M52" s="235"/>
      <c r="N52" s="235"/>
      <c r="O52" s="235"/>
      <c r="P52" s="235"/>
      <c r="Q52">
        <v>49</v>
      </c>
      <c r="R52" s="275">
        <f t="shared" si="17"/>
        <v>171002</v>
      </c>
      <c r="S52" t="str">
        <f t="shared" si="12"/>
        <v>Troca de fonte fita zebrada e etiqueta litografada</v>
      </c>
      <c r="T52" t="str">
        <f t="shared" si="13"/>
        <v>Compras</v>
      </c>
      <c r="U52" s="275">
        <f t="shared" si="8"/>
        <v>128251.50000000001</v>
      </c>
      <c r="V52" s="235">
        <f t="shared" ca="1" si="18"/>
        <v>28500.333333333332</v>
      </c>
      <c r="W52" s="235" t="str">
        <f t="shared" ca="1" si="19"/>
        <v/>
      </c>
      <c r="X52" t="str">
        <f t="shared" si="14"/>
        <v>✓ Concluído</v>
      </c>
      <c r="Y52" s="803">
        <f t="shared" si="15"/>
        <v>46113</v>
      </c>
      <c r="Z52" t="str">
        <f t="shared" si="16"/>
        <v/>
      </c>
    </row>
    <row r="53" spans="1:26" ht="14.55" x14ac:dyDescent="0.3">
      <c r="A53">
        <v>50</v>
      </c>
      <c r="B53" s="235">
        <f>IFERROR(LARGE(Diadema!$I$55:$I$176,A53)," ")</f>
        <v>1890</v>
      </c>
      <c r="C53" t="str">
        <f>IFERROR(
   HYPERLINK(
      INDEX(Diadema!$D$55:$D$176,
             MATCH(B53,Diadema!$I$55:$I$176,0)
      ),
      INDEX(Diadema!$C$55:$C$176,
             MATCH(B53,Diadema!$I$55:$I$176,0)
      )
   ),
   ""
)</f>
        <v>13 - Redução de Componente - 4065 de 6 para 4</v>
      </c>
      <c r="D53" s="806">
        <f t="shared" si="6"/>
        <v>4.0890625331133372E-4</v>
      </c>
      <c r="E53" s="362">
        <f t="shared" si="20"/>
        <v>0.99907800604423125</v>
      </c>
      <c r="F53" t="str">
        <f t="shared" si="0"/>
        <v>Diadema</v>
      </c>
      <c r="G53" s="235" t="str">
        <f>_xlfn.XLOOKUP(C53,Diadema!$C$55:$C$176,Diadema!$O$55:$O$176)</f>
        <v>⏳ Em Execução</v>
      </c>
      <c r="H53" s="235" t="str">
        <f>_xlfn.XLOOKUP(C53,Diadema!$C$55:$C$176,Diadema!$M$55:$M$176," ")</f>
        <v>OK</v>
      </c>
      <c r="I53" s="803">
        <f>_xlfn.XLOOKUP(C53,Diadema!$C$55:$C$176,Diadema!$J$55:$J$176)</f>
        <v>46113</v>
      </c>
      <c r="J53" s="235">
        <f ca="1">INDEX(Diadema!$AP$55:$AP$176, MATCH(C53, Diadema!$C$55:$C$176, 0))</f>
        <v>436.10222222222222</v>
      </c>
      <c r="K53" s="235"/>
      <c r="L53" s="235">
        <f>INDEX(Diadema!$AI$55:$AI$176, MATCH(C53, Diadema!$C$55:$C$176, 0))</f>
        <v>1962.46</v>
      </c>
      <c r="M53" s="235"/>
      <c r="N53" s="235"/>
      <c r="O53" s="235"/>
      <c r="P53" s="235"/>
      <c r="Q53">
        <v>50</v>
      </c>
      <c r="R53" s="275">
        <f t="shared" si="17"/>
        <v>165000</v>
      </c>
      <c r="S53" t="str">
        <f t="shared" si="12"/>
        <v xml:space="preserve">13 - Transferência Hasenclaver para o plasma </v>
      </c>
      <c r="T53" t="str">
        <f t="shared" si="13"/>
        <v>Ferraz</v>
      </c>
      <c r="U53" s="275">
        <f t="shared" si="8"/>
        <v>0</v>
      </c>
      <c r="V53" s="235" t="str">
        <f t="shared" ca="1" si="18"/>
        <v/>
      </c>
      <c r="W53" s="235" t="str">
        <f t="shared" ca="1" si="19"/>
        <v/>
      </c>
      <c r="X53" t="str">
        <f t="shared" si="14"/>
        <v>⏳ Em Execução</v>
      </c>
      <c r="Y53" s="803">
        <f t="shared" si="15"/>
        <v>0</v>
      </c>
      <c r="Z53" t="str">
        <f t="shared" si="16"/>
        <v>Não Ok</v>
      </c>
    </row>
    <row r="54" spans="1:26" ht="14.55" x14ac:dyDescent="0.3">
      <c r="A54">
        <v>51</v>
      </c>
      <c r="B54" s="235">
        <f>IFERROR(LARGE(Diadema!$I$55:$I$176,A54)," ")</f>
        <v>1800</v>
      </c>
      <c r="C54" t="str">
        <f>IFERROR(
   HYPERLINK(
      INDEX(Diadema!$D$55:$D$176,
             MATCH(B54,Diadema!$I$55:$I$176,0)
      ),
      INDEX(Diadema!$C$55:$C$176,
             MATCH(B54,Diadema!$I$55:$I$176,0)
      )
   ),
   ""
)</f>
        <v>39 - Redução de Peso Bruto do item VB000323LA</v>
      </c>
      <c r="D54" s="806">
        <f t="shared" si="6"/>
        <v>3.89434526963175E-4</v>
      </c>
      <c r="E54" s="362">
        <f t="shared" si="20"/>
        <v>0.99946744057119441</v>
      </c>
      <c r="F54" t="str">
        <f t="shared" si="0"/>
        <v>Diadema</v>
      </c>
      <c r="G54" s="235" t="str">
        <f>_xlfn.XLOOKUP(C54,Diadema!$C$55:$C$176,Diadema!$O$55:$O$176)</f>
        <v>✓ Concluído</v>
      </c>
      <c r="H54" s="235" t="str">
        <f>_xlfn.XLOOKUP(C54,Diadema!$C$55:$C$176,Diadema!$M$55:$M$176," ")</f>
        <v>OK</v>
      </c>
      <c r="I54" s="803">
        <f>_xlfn.XLOOKUP(C54,Diadema!$C$55:$C$176,Diadema!$J$55:$J$176)</f>
        <v>46082</v>
      </c>
      <c r="J54" s="235">
        <f ca="1">INDEX(Diadema!$AP$55:$AP$176, MATCH(C54, Diadema!$C$55:$C$176, 0))</f>
        <v>475.46100000000001</v>
      </c>
      <c r="K54" s="235"/>
      <c r="L54" s="235">
        <f>INDEX(Diadema!$AI$55:$AI$176, MATCH(C54, Diadema!$C$55:$C$176, 0))</f>
        <v>1584.8700000000001</v>
      </c>
      <c r="M54" s="235"/>
      <c r="N54" s="235"/>
      <c r="O54" s="235"/>
      <c r="P54" s="235"/>
      <c r="Q54">
        <v>51</v>
      </c>
      <c r="R54" s="275">
        <f t="shared" si="17"/>
        <v>160000</v>
      </c>
      <c r="S54" t="str">
        <f t="shared" si="12"/>
        <v>42 - Aluguel de Compressor</v>
      </c>
      <c r="T54" t="str">
        <f t="shared" si="13"/>
        <v>Diadema</v>
      </c>
      <c r="U54" s="275">
        <f t="shared" si="8"/>
        <v>72500</v>
      </c>
      <c r="V54" s="235" t="str">
        <f t="shared" ca="1" si="18"/>
        <v/>
      </c>
      <c r="W54" s="235" t="str">
        <f t="shared" ca="1" si="19"/>
        <v/>
      </c>
      <c r="X54" t="str">
        <f t="shared" si="14"/>
        <v>✓ Concluído</v>
      </c>
      <c r="Y54" s="803">
        <f t="shared" si="15"/>
        <v>46174</v>
      </c>
      <c r="Z54" t="str">
        <f t="shared" si="16"/>
        <v>OK</v>
      </c>
    </row>
    <row r="55" spans="1:26" x14ac:dyDescent="0.3">
      <c r="A55">
        <v>52</v>
      </c>
      <c r="B55" s="235">
        <f>IFERROR(LARGE(Diadema!$I$55:$I$176,A55)," ")</f>
        <v>1200</v>
      </c>
      <c r="C55" t="str">
        <f>IFERROR(
   HYPERLINK(
      INDEX(Diadema!$D$55:$D$176,
             MATCH(B55,Diadema!$I$55:$I$176,0)
      ),
      INDEX(Diadema!$C$55:$C$176,
             MATCH(B55,Diadema!$I$55:$I$176,0)
      )
   ),
   ""
)</f>
        <v>40 - Redução de Peso Bruto do item VW001138LA</v>
      </c>
      <c r="D55" s="806">
        <f t="shared" si="6"/>
        <v>2.5962301797544996E-4</v>
      </c>
      <c r="E55" s="362">
        <f t="shared" si="20"/>
        <v>0.99972706358916985</v>
      </c>
      <c r="F55" t="str">
        <f t="shared" si="0"/>
        <v>Diadema</v>
      </c>
      <c r="G55" s="235" t="str">
        <f>_xlfn.XLOOKUP(C55,Diadema!$C$55:$C$176,Diadema!$O$55:$O$176)</f>
        <v>✓ Concluído</v>
      </c>
      <c r="H55" s="235" t="str">
        <f>_xlfn.XLOOKUP(C55,Diadema!$C$55:$C$176,Diadema!$M$55:$M$176," ")</f>
        <v>OK</v>
      </c>
      <c r="I55" s="803">
        <f>_xlfn.XLOOKUP(C55,Diadema!$C$55:$C$176,Diadema!$J$55:$J$176)</f>
        <v>46082</v>
      </c>
      <c r="J55" s="235">
        <f ca="1">INDEX(Diadema!$AP$55:$AP$176, MATCH(C55, Diadema!$C$55:$C$176, 0))</f>
        <v>568.9559999999999</v>
      </c>
      <c r="K55" s="235"/>
      <c r="L55" s="235">
        <f>INDEX(Diadema!$AI$55:$AI$176, MATCH(C55, Diadema!$C$55:$C$176, 0))</f>
        <v>1896.5199999999998</v>
      </c>
      <c r="M55" s="235"/>
      <c r="N55" s="235"/>
      <c r="O55" s="235"/>
      <c r="P55" s="235"/>
      <c r="Q55">
        <v>52</v>
      </c>
      <c r="R55" s="275">
        <f t="shared" si="17"/>
        <v>158990</v>
      </c>
      <c r="S55" t="str">
        <f t="shared" si="12"/>
        <v>Redução de custo Abrasivos Curva A Ferraz</v>
      </c>
      <c r="T55" t="str">
        <f t="shared" si="13"/>
        <v>Compras</v>
      </c>
      <c r="U55" s="275">
        <f t="shared" si="8"/>
        <v>145740.83333333334</v>
      </c>
      <c r="V55" s="235">
        <f t="shared" ca="1" si="18"/>
        <v>52996.666666666664</v>
      </c>
      <c r="W55" s="235" t="str">
        <f t="shared" ca="1" si="19"/>
        <v/>
      </c>
      <c r="X55" t="str">
        <f t="shared" si="14"/>
        <v>✓ Concluído</v>
      </c>
      <c r="Y55" s="803">
        <f t="shared" si="15"/>
        <v>46071</v>
      </c>
      <c r="Z55" t="str">
        <f t="shared" si="16"/>
        <v>Não Ok</v>
      </c>
    </row>
    <row r="56" spans="1:26" x14ac:dyDescent="0.3">
      <c r="A56">
        <v>53</v>
      </c>
      <c r="B56" s="235">
        <f>IFERROR(LARGE(Diadema!$I$55:$I$176,A56)," ")</f>
        <v>630.00015099999996</v>
      </c>
      <c r="C56" t="str">
        <f>IFERROR(
   HYPERLINK(
      INDEX(Diadema!$D$55:$D$176,
             MATCH(B56,Diadema!$I$55:$I$176,0)
      ),
      INDEX(Diadema!$C$55:$C$176,
             MATCH(B56,Diadema!$I$55:$I$176,0)
      )
   ),
   ""
)</f>
        <v>32 - Redução de Peso Bruto do item MB003594LA</v>
      </c>
      <c r="D56" s="806">
        <f t="shared" si="6"/>
        <v>1.3630211710634099E-4</v>
      </c>
      <c r="E56" s="362">
        <f t="shared" si="20"/>
        <v>0.99986336570627621</v>
      </c>
      <c r="F56" t="str">
        <f t="shared" si="0"/>
        <v>Diadema</v>
      </c>
      <c r="G56" s="235" t="str">
        <f>_xlfn.XLOOKUP(C56,Diadema!$C$55:$C$176,Diadema!$O$55:$O$176)</f>
        <v>✓ Concluído</v>
      </c>
      <c r="H56" s="235" t="str">
        <f>_xlfn.XLOOKUP(C56,Diadema!$C$55:$C$176,Diadema!$M$55:$M$176," ")</f>
        <v>OK</v>
      </c>
      <c r="I56" s="803">
        <f>_xlfn.XLOOKUP(C56,Diadema!$C$55:$C$176,Diadema!$J$55:$J$176)</f>
        <v>46082</v>
      </c>
      <c r="J56" s="235">
        <f ca="1">INDEX(Diadema!$AP$55:$AP$176, MATCH(C56, Diadema!$C$55:$C$176, 0))</f>
        <v>157.57499999999999</v>
      </c>
      <c r="K56" s="235"/>
      <c r="L56" s="235">
        <f>INDEX(Diadema!$AI$55:$AI$176, MATCH(C56, Diadema!$C$55:$C$176, 0))</f>
        <v>525.25</v>
      </c>
      <c r="M56" s="235"/>
      <c r="N56" s="235"/>
      <c r="O56" s="235"/>
      <c r="P56" s="235"/>
      <c r="Q56">
        <v>53</v>
      </c>
      <c r="R56" s="275">
        <f t="shared" si="17"/>
        <v>155799</v>
      </c>
      <c r="S56" t="str">
        <f t="shared" si="12"/>
        <v>Resourcing Hasmman para Metalac</v>
      </c>
      <c r="T56" t="str">
        <f t="shared" si="13"/>
        <v>Compras</v>
      </c>
      <c r="U56" s="275">
        <f t="shared" si="8"/>
        <v>142025.58333333334</v>
      </c>
      <c r="V56" s="235">
        <f t="shared" ca="1" si="18"/>
        <v>51645.666666666664</v>
      </c>
      <c r="W56" s="235" t="str">
        <f t="shared" ca="1" si="19"/>
        <v/>
      </c>
      <c r="X56" t="str">
        <f t="shared" si="14"/>
        <v>✓ Concluído</v>
      </c>
      <c r="Y56" s="803">
        <f t="shared" si="15"/>
        <v>46072</v>
      </c>
      <c r="Z56" t="str">
        <f t="shared" si="16"/>
        <v>OK</v>
      </c>
    </row>
    <row r="57" spans="1:26" ht="14.55" x14ac:dyDescent="0.3">
      <c r="A57">
        <v>54</v>
      </c>
      <c r="B57" s="235">
        <f>IFERROR(LARGE(Diadema!$I$55:$I$176,A57)," ")</f>
        <v>630</v>
      </c>
      <c r="C57" t="str">
        <f>IFERROR(
   HYPERLINK(
      INDEX(Diadema!$D$55:$D$176,
             MATCH(B57,Diadema!$I$55:$I$176,0)
      ),
      INDEX(Diadema!$C$55:$C$176,
             MATCH(B57,Diadema!$I$55:$I$176,0)
      )
   ),
   ""
)</f>
        <v>36 - Redução de Peso Bruto do item MB003673LA</v>
      </c>
      <c r="D57" s="806">
        <f t="shared" si="6"/>
        <v>1.3630208443711123E-4</v>
      </c>
      <c r="E57" s="362">
        <f t="shared" si="20"/>
        <v>0.99999966779071336</v>
      </c>
      <c r="F57" t="str">
        <f t="shared" si="0"/>
        <v>Diadema</v>
      </c>
      <c r="G57" s="235" t="str">
        <f>_xlfn.XLOOKUP(C57,Diadema!$C$55:$C$176,Diadema!$O$55:$O$176)</f>
        <v>✓ Concluído</v>
      </c>
      <c r="H57" s="235" t="str">
        <f>_xlfn.XLOOKUP(C57,Diadema!$C$55:$C$176,Diadema!$M$55:$M$176," ")</f>
        <v>OK</v>
      </c>
      <c r="I57" s="803">
        <f>_xlfn.XLOOKUP(C57,Diadema!$C$55:$C$176,Diadema!$J$55:$J$176)</f>
        <v>46082</v>
      </c>
      <c r="J57" s="235">
        <f ca="1">INDEX(Diadema!$AP$55:$AP$176, MATCH(C57, Diadema!$C$55:$C$176, 0))</f>
        <v>190.71000000000004</v>
      </c>
      <c r="K57" s="235"/>
      <c r="L57" s="235">
        <f>INDEX(Diadema!$AI$55:$AI$176, MATCH(C57, Diadema!$C$55:$C$176, 0))</f>
        <v>635.70000000000005</v>
      </c>
      <c r="M57" s="235"/>
      <c r="N57" s="235"/>
      <c r="O57" s="235"/>
      <c r="P57" s="235"/>
      <c r="Q57">
        <v>54</v>
      </c>
      <c r="R57" s="275">
        <f t="shared" si="17"/>
        <v>150000.00090000001</v>
      </c>
      <c r="S57" t="str">
        <f t="shared" si="12"/>
        <v>14 - Consumo de EPI's</v>
      </c>
      <c r="T57" t="str">
        <f t="shared" si="13"/>
        <v>Ferraz</v>
      </c>
      <c r="U57" s="275">
        <f t="shared" si="8"/>
        <v>30921.5</v>
      </c>
      <c r="V57" s="235">
        <f t="shared" ca="1" si="18"/>
        <v>51535.833333333328</v>
      </c>
      <c r="W57" s="235">
        <f t="shared" ca="1" si="19"/>
        <v>36880.140000000007</v>
      </c>
      <c r="X57" t="str">
        <f t="shared" si="14"/>
        <v>⏳ Em Execução</v>
      </c>
      <c r="Y57" s="803">
        <f t="shared" si="15"/>
        <v>46023</v>
      </c>
      <c r="Z57" t="str">
        <f t="shared" si="16"/>
        <v>OK</v>
      </c>
    </row>
    <row r="58" spans="1:26" ht="14.55" x14ac:dyDescent="0.3">
      <c r="A58">
        <v>55</v>
      </c>
      <c r="B58" s="235">
        <f>IFERROR(LARGE(Diadema!$I$55:$I$176,A58)," ")</f>
        <v>1.5355000000000001</v>
      </c>
      <c r="C58" t="str">
        <f>IFERROR(
   HYPERLINK(
      INDEX(Diadema!$D$55:$D$176,
             MATCH(B58,Diadema!$I$55:$I$176,0)
      ),
      INDEX(Diadema!$C$55:$C$176,
             MATCH(B58,Diadema!$I$55:$I$176,0)
      )
   ),
   ""
)</f>
        <v>11 - Resourcing de DSL para DD</v>
      </c>
      <c r="D58" s="806">
        <f t="shared" si="6"/>
        <v>3.3220928675108623E-7</v>
      </c>
      <c r="E58" s="362">
        <f t="shared" si="20"/>
        <v>1.0000000000000002</v>
      </c>
      <c r="F58" t="str">
        <f t="shared" si="0"/>
        <v>Diadema</v>
      </c>
      <c r="G58" s="235" t="str">
        <f>_xlfn.XLOOKUP(C58,Diadema!$C$55:$C$176,Diadema!$O$55:$O$176)</f>
        <v>📝 Não iniciado</v>
      </c>
      <c r="H58" s="235">
        <f>_xlfn.XLOOKUP(C58,Diadema!$C$55:$C$176,Diadema!$M$55:$M$176," ")</f>
        <v>0</v>
      </c>
      <c r="I58" s="803" t="str">
        <f>_xlfn.XLOOKUP(C58,Diadema!$C$55:$C$176,Diadema!$J$55:$J$176)</f>
        <v/>
      </c>
      <c r="J58" s="235" t="str">
        <f ca="1">INDEX(Diadema!$AP$55:$AP$176, MATCH(C58, Diadema!$C$55:$C$176, 0))</f>
        <v/>
      </c>
      <c r="K58" s="235"/>
      <c r="L58" s="235">
        <f>INDEX(Diadema!$AI$55:$AI$176, MATCH(C58, Diadema!$C$55:$C$176, 0))</f>
        <v>0</v>
      </c>
      <c r="M58" s="235"/>
      <c r="N58" s="235"/>
      <c r="O58" s="235"/>
      <c r="P58" s="235"/>
      <c r="Q58">
        <v>55</v>
      </c>
      <c r="R58" s="275">
        <f t="shared" si="17"/>
        <v>150000</v>
      </c>
      <c r="S58" t="str">
        <f t="shared" si="12"/>
        <v>Negociação Mercante (Laser)</v>
      </c>
      <c r="T58" t="str">
        <f t="shared" si="13"/>
        <v>Compras</v>
      </c>
      <c r="U58" s="275">
        <f t="shared" si="8"/>
        <v>50000</v>
      </c>
      <c r="V58" s="235" t="str">
        <f t="shared" ca="1" si="18"/>
        <v/>
      </c>
      <c r="W58" s="235" t="str">
        <f t="shared" ca="1" si="19"/>
        <v/>
      </c>
      <c r="X58" t="str">
        <f t="shared" si="14"/>
        <v>⏳ Em Execução</v>
      </c>
      <c r="Y58" s="803">
        <f t="shared" si="15"/>
        <v>46293</v>
      </c>
      <c r="Z58" t="str">
        <f t="shared" si="16"/>
        <v/>
      </c>
    </row>
    <row r="59" spans="1:26" ht="14.55" x14ac:dyDescent="0.3">
      <c r="A59">
        <v>56</v>
      </c>
      <c r="B59" s="235" t="str">
        <f>IFERROR(LARGE(Diadema!$I$55:$I$176,A59)," ")</f>
        <v xml:space="preserve"> </v>
      </c>
      <c r="C59" t="str">
        <f>IFERROR(
   HYPERLINK(
      INDEX(Diadema!$D$55:$D$176,
             MATCH(B59,Diadema!$I$55:$I$176,0)
      ),
      INDEX(Diadema!$C$55:$C$176,
             MATCH(B59,Diadema!$I$55:$I$176,0)
      )
   ),
   ""
)</f>
        <v/>
      </c>
      <c r="D59" s="806" t="str">
        <f t="shared" si="6"/>
        <v xml:space="preserve"> </v>
      </c>
      <c r="E59" s="362" t="str">
        <f t="shared" si="20"/>
        <v xml:space="preserve"> </v>
      </c>
      <c r="F59" t="str">
        <f t="shared" si="0"/>
        <v>Diadema</v>
      </c>
      <c r="G59" s="235" t="e">
        <f>_xlfn.XLOOKUP(C59,Diadema!$C$55:$C$176,Diadema!$O$55:$O$176)</f>
        <v>#N/A</v>
      </c>
      <c r="H59" s="235" t="str">
        <f>_xlfn.XLOOKUP(C59,Diadema!$C$55:$C$176,Diadema!$M$55:$M$176," ")</f>
        <v xml:space="preserve"> </v>
      </c>
      <c r="I59" s="803" t="e">
        <f>_xlfn.XLOOKUP(C59,Diadema!$C$55:$C$176,Diadema!$J$55:$J$176)</f>
        <v>#N/A</v>
      </c>
      <c r="J59" s="235" t="e">
        <f>INDEX(Diadema!$AP$55:$AP$176, MATCH(C59, Diadema!$C$55:$C$176, 0))</f>
        <v>#N/A</v>
      </c>
      <c r="K59" s="235"/>
      <c r="L59" s="235"/>
      <c r="M59" s="235"/>
      <c r="N59" s="235"/>
      <c r="O59" s="235"/>
      <c r="P59" s="235"/>
      <c r="Q59">
        <v>56</v>
      </c>
      <c r="R59" s="275">
        <f t="shared" si="17"/>
        <v>135186</v>
      </c>
      <c r="S59" t="str">
        <f t="shared" si="12"/>
        <v>02 - Redução na quantidade de lâmpadas acessa, na produção</v>
      </c>
      <c r="T59" t="str">
        <f t="shared" si="13"/>
        <v>Diadema</v>
      </c>
      <c r="U59" s="275">
        <f t="shared" si="8"/>
        <v>0</v>
      </c>
      <c r="V59" s="235" t="str">
        <f t="shared" ca="1" si="18"/>
        <v/>
      </c>
      <c r="W59" s="235" t="str">
        <f t="shared" ca="1" si="19"/>
        <v/>
      </c>
      <c r="X59" t="str">
        <f t="shared" si="14"/>
        <v>✓ Concluído</v>
      </c>
      <c r="Y59" s="803">
        <f t="shared" si="15"/>
        <v>0</v>
      </c>
      <c r="Z59" t="str">
        <f t="shared" si="16"/>
        <v/>
      </c>
    </row>
    <row r="60" spans="1:26" ht="14.55" x14ac:dyDescent="0.3">
      <c r="A60">
        <v>57</v>
      </c>
      <c r="B60" s="235" t="str">
        <f>IFERROR(LARGE(Diadema!$I$55:$I$176,A60)," ")</f>
        <v xml:space="preserve"> </v>
      </c>
      <c r="C60" t="str">
        <f>IFERROR(
   HYPERLINK(
      INDEX(Diadema!$D$55:$D$176,
             MATCH(B60,Diadema!$I$55:$I$176,0)
      ),
      INDEX(Diadema!$C$55:$C$176,
             MATCH(B60,Diadema!$I$55:$I$176,0)
      )
   ),
   ""
)</f>
        <v/>
      </c>
      <c r="D60" s="806" t="str">
        <f t="shared" si="6"/>
        <v xml:space="preserve"> </v>
      </c>
      <c r="E60" s="362" t="str">
        <f t="shared" si="20"/>
        <v xml:space="preserve"> </v>
      </c>
      <c r="F60" t="str">
        <f t="shared" si="0"/>
        <v>Diadema</v>
      </c>
      <c r="G60" s="235" t="e">
        <f>_xlfn.XLOOKUP(C60,Diadema!$C$55:$C$176,Diadema!$O$55:$O$176)</f>
        <v>#N/A</v>
      </c>
      <c r="H60" s="235" t="str">
        <f>_xlfn.XLOOKUP(C60,Diadema!$C$55:$C$176,Diadema!$M$55:$M$176," ")</f>
        <v xml:space="preserve"> </v>
      </c>
      <c r="I60" s="803" t="e">
        <f>_xlfn.XLOOKUP(C60,Diadema!$C$55:$C$176,Diadema!$J$55:$J$176)</f>
        <v>#N/A</v>
      </c>
      <c r="J60" s="235" t="e">
        <f>INDEX(Diadema!$AP$55:$AP$176, MATCH(C60, Diadema!$C$55:$C$176, 0))</f>
        <v>#N/A</v>
      </c>
      <c r="K60" s="235"/>
      <c r="L60" s="235"/>
      <c r="M60" s="235"/>
      <c r="N60" s="235"/>
      <c r="O60" s="235"/>
      <c r="P60" s="235"/>
      <c r="Q60">
        <v>57</v>
      </c>
      <c r="R60" s="275">
        <f t="shared" si="17"/>
        <v>135000</v>
      </c>
      <c r="S60" t="str">
        <f t="shared" si="12"/>
        <v>03 - PRODUTOS QUÍMICOS KTL</v>
      </c>
      <c r="T60" t="str">
        <f t="shared" si="13"/>
        <v>Anchieta</v>
      </c>
      <c r="U60" s="275">
        <f t="shared" si="8"/>
        <v>37054.535318181821</v>
      </c>
      <c r="V60" s="235">
        <f t="shared" ca="1" si="18"/>
        <v>49406.047090909095</v>
      </c>
      <c r="W60" s="235">
        <f t="shared" ca="1" si="19"/>
        <v>93186.13900000001</v>
      </c>
      <c r="X60" t="str">
        <f t="shared" si="14"/>
        <v>⏳ Em Execução</v>
      </c>
      <c r="Y60" s="803">
        <f t="shared" si="15"/>
        <v>46054</v>
      </c>
      <c r="Z60" t="str">
        <f t="shared" si="16"/>
        <v>OK</v>
      </c>
    </row>
    <row r="61" spans="1:26" ht="14.55" x14ac:dyDescent="0.3">
      <c r="A61">
        <v>58</v>
      </c>
      <c r="B61" s="235" t="str">
        <f>IFERROR(LARGE(Diadema!$I$55:$I$176,A61)," ")</f>
        <v xml:space="preserve"> </v>
      </c>
      <c r="C61" t="str">
        <f>IFERROR(
   HYPERLINK(
      INDEX(Diadema!$D$55:$D$176,
             MATCH(B61,Diadema!$I$55:$I$176,0)
      ),
      INDEX(Diadema!$C$55:$C$176,
             MATCH(B61,Diadema!$I$55:$I$176,0)
      )
   ),
   ""
)</f>
        <v/>
      </c>
      <c r="D61" s="806" t="str">
        <f t="shared" si="6"/>
        <v xml:space="preserve"> </v>
      </c>
      <c r="E61" s="362" t="str">
        <f t="shared" si="20"/>
        <v xml:space="preserve"> </v>
      </c>
      <c r="F61" t="str">
        <f t="shared" si="0"/>
        <v>Diadema</v>
      </c>
      <c r="G61" s="235" t="e">
        <f>_xlfn.XLOOKUP(C61,Diadema!$C$55:$C$176,Diadema!$O$55:$O$176)</f>
        <v>#N/A</v>
      </c>
      <c r="H61" s="235" t="str">
        <f>_xlfn.XLOOKUP(C61,Diadema!$C$55:$C$176,Diadema!$M$55:$M$176," ")</f>
        <v xml:space="preserve"> </v>
      </c>
      <c r="I61" s="803" t="e">
        <f>_xlfn.XLOOKUP(C61,Diadema!$C$55:$C$176,Diadema!$J$55:$J$176)</f>
        <v>#N/A</v>
      </c>
      <c r="J61" s="235" t="e">
        <f>INDEX(Diadema!$AP$55:$AP$176, MATCH(C61, Diadema!$C$55:$C$176, 0))</f>
        <v>#N/A</v>
      </c>
      <c r="K61" s="235"/>
      <c r="L61" s="235"/>
      <c r="M61" s="235"/>
      <c r="N61" s="235"/>
      <c r="O61" s="235"/>
      <c r="P61" s="235"/>
      <c r="Q61">
        <v>58</v>
      </c>
      <c r="R61" s="275">
        <f t="shared" si="17"/>
        <v>130748</v>
      </c>
      <c r="S61" t="str">
        <f t="shared" si="12"/>
        <v>Testes e troca do fornecedor de insumos de usinagem</v>
      </c>
      <c r="T61" t="str">
        <f t="shared" si="13"/>
        <v>Compras</v>
      </c>
      <c r="U61" s="275">
        <f t="shared" si="8"/>
        <v>65373.999999999993</v>
      </c>
      <c r="V61" s="235" t="str">
        <f t="shared" ca="1" si="18"/>
        <v/>
      </c>
      <c r="W61" s="235" t="str">
        <f t="shared" ca="1" si="19"/>
        <v/>
      </c>
      <c r="X61" t="str">
        <f t="shared" si="14"/>
        <v>⏳ Em Execução</v>
      </c>
      <c r="Y61" s="803">
        <f t="shared" si="15"/>
        <v>46204</v>
      </c>
      <c r="Z61" t="str">
        <f t="shared" si="16"/>
        <v/>
      </c>
    </row>
    <row r="62" spans="1:26" ht="14.55" x14ac:dyDescent="0.3">
      <c r="A62">
        <v>59</v>
      </c>
      <c r="B62" s="235" t="str">
        <f>IFERROR(LARGE(Diadema!$I$55:$I$176,A62)," ")</f>
        <v xml:space="preserve"> </v>
      </c>
      <c r="C62" t="str">
        <f>IFERROR(
   HYPERLINK(
      INDEX(Diadema!$D$55:$D$176,
             MATCH(B62,Diadema!$I$55:$I$176,0)
      ),
      INDEX(Diadema!$C$55:$C$176,
             MATCH(B62,Diadema!$I$55:$I$176,0)
      )
   ),
   ""
)</f>
        <v/>
      </c>
      <c r="D62" s="806" t="str">
        <f t="shared" si="6"/>
        <v xml:space="preserve"> </v>
      </c>
      <c r="E62" s="362" t="str">
        <f t="shared" si="20"/>
        <v xml:space="preserve"> </v>
      </c>
      <c r="F62" t="str">
        <f t="shared" si="0"/>
        <v>Diadema</v>
      </c>
      <c r="G62" s="235" t="e">
        <f>_xlfn.XLOOKUP(C62,Diadema!$C$55:$C$176,Diadema!$O$55:$O$176)</f>
        <v>#N/A</v>
      </c>
      <c r="H62" s="235" t="str">
        <f>_xlfn.XLOOKUP(C62,Diadema!$C$55:$C$176,Diadema!$M$55:$M$176," ")</f>
        <v xml:space="preserve"> </v>
      </c>
      <c r="I62" s="803" t="e">
        <f>_xlfn.XLOOKUP(C62,Diadema!$C$55:$C$176,Diadema!$J$55:$J$176)</f>
        <v>#N/A</v>
      </c>
      <c r="J62" s="235" t="e">
        <f>INDEX(Diadema!$AP$55:$AP$176, MATCH(C62, Diadema!$C$55:$C$176, 0))</f>
        <v>#N/A</v>
      </c>
      <c r="K62" s="235"/>
      <c r="L62" s="235"/>
      <c r="M62" s="235"/>
      <c r="N62" s="235"/>
      <c r="O62" s="235"/>
      <c r="P62" s="235"/>
      <c r="Q62">
        <v>59</v>
      </c>
      <c r="R62" s="275">
        <f t="shared" si="17"/>
        <v>130308</v>
      </c>
      <c r="S62" t="str">
        <f t="shared" si="12"/>
        <v>MIGRAÇÃO ITENS USIMINAS PARA ARCELOR</v>
      </c>
      <c r="T62" t="str">
        <f t="shared" si="13"/>
        <v>Compras</v>
      </c>
      <c r="U62" s="275">
        <f t="shared" si="8"/>
        <v>54295</v>
      </c>
      <c r="V62" s="235" t="str">
        <f t="shared" ca="1" si="18"/>
        <v/>
      </c>
      <c r="W62" s="235" t="str">
        <f t="shared" ca="1" si="19"/>
        <v/>
      </c>
      <c r="X62" t="str">
        <f t="shared" si="14"/>
        <v>⏳ Em Execução</v>
      </c>
      <c r="Y62" s="803">
        <f t="shared" si="15"/>
        <v>46235</v>
      </c>
      <c r="Z62" t="str">
        <f t="shared" si="16"/>
        <v/>
      </c>
    </row>
    <row r="63" spans="1:26" x14ac:dyDescent="0.3">
      <c r="A63">
        <v>60</v>
      </c>
      <c r="B63" s="235" t="str">
        <f>IFERROR(LARGE(Diadema!$I$55:$I$176,A63)," ")</f>
        <v xml:space="preserve"> </v>
      </c>
      <c r="C63" t="str">
        <f>IFERROR(
   HYPERLINK(
      INDEX(Diadema!$D$55:$D$176,
             MATCH(B63,Diadema!$I$55:$I$176,0)
      ),
      INDEX(Diadema!$C$55:$C$176,
             MATCH(B63,Diadema!$I$55:$I$176,0)
      )
   ),
   ""
)</f>
        <v/>
      </c>
      <c r="D63" s="806" t="str">
        <f t="shared" si="6"/>
        <v xml:space="preserve"> </v>
      </c>
      <c r="E63" s="362" t="str">
        <f t="shared" si="20"/>
        <v xml:space="preserve"> </v>
      </c>
      <c r="F63" t="str">
        <f t="shared" si="0"/>
        <v>Diadema</v>
      </c>
      <c r="G63" s="235" t="e">
        <f>_xlfn.XLOOKUP(C63,Diadema!$C$55:$C$176,Diadema!$O$55:$O$176)</f>
        <v>#N/A</v>
      </c>
      <c r="H63" s="235" t="str">
        <f>_xlfn.XLOOKUP(C63,Diadema!$C$55:$C$176,Diadema!$M$55:$M$176," ")</f>
        <v xml:space="preserve"> </v>
      </c>
      <c r="I63" s="803" t="e">
        <f>_xlfn.XLOOKUP(C63,Diadema!$C$55:$C$176,Diadema!$J$55:$J$176)</f>
        <v>#N/A</v>
      </c>
      <c r="J63" s="235" t="e">
        <f>INDEX(Diadema!$AP$55:$AP$176, MATCH(C63, Diadema!$C$55:$C$176, 0))</f>
        <v>#N/A</v>
      </c>
      <c r="K63" s="235"/>
      <c r="L63" s="235"/>
      <c r="M63" s="235"/>
      <c r="N63" s="235"/>
      <c r="O63" s="235"/>
      <c r="P63" s="235"/>
      <c r="Q63">
        <v>60</v>
      </c>
      <c r="R63" s="275">
        <f t="shared" si="17"/>
        <v>126386</v>
      </c>
      <c r="S63" t="str">
        <f t="shared" si="12"/>
        <v>Troca fornecedor decapagem gancheiras Ferraz</v>
      </c>
      <c r="T63" t="str">
        <f t="shared" si="13"/>
        <v>Compras</v>
      </c>
      <c r="U63" s="275">
        <f t="shared" si="8"/>
        <v>90667.316666666695</v>
      </c>
      <c r="V63" s="235">
        <f t="shared" ca="1" si="18"/>
        <v>32969.933333333334</v>
      </c>
      <c r="W63" s="235">
        <f t="shared" ca="1" si="19"/>
        <v>544.5</v>
      </c>
      <c r="X63" t="str">
        <f t="shared" si="14"/>
        <v>✓ Concluído</v>
      </c>
      <c r="Y63" s="803">
        <f t="shared" si="15"/>
        <v>46071</v>
      </c>
      <c r="Z63" t="str">
        <f t="shared" si="16"/>
        <v>OK</v>
      </c>
    </row>
    <row r="64" spans="1:26" ht="14.55" x14ac:dyDescent="0.3">
      <c r="B64" s="235"/>
      <c r="D64" s="806"/>
      <c r="G64" s="235"/>
      <c r="H64" s="235"/>
      <c r="I64" s="235"/>
      <c r="J64" s="235"/>
      <c r="K64" s="235"/>
      <c r="L64" s="235"/>
      <c r="M64" s="235"/>
      <c r="N64" s="235"/>
      <c r="O64" s="235"/>
      <c r="P64" s="235"/>
      <c r="Q64">
        <v>61</v>
      </c>
      <c r="R64" s="275">
        <f t="shared" si="17"/>
        <v>120860.88</v>
      </c>
      <c r="S64" t="str">
        <f t="shared" si="12"/>
        <v>16- Redução de gastos com energia elétrica.</v>
      </c>
      <c r="T64" t="str">
        <f t="shared" si="13"/>
        <v>São leopoldo</v>
      </c>
      <c r="U64" s="275">
        <f t="shared" si="8"/>
        <v>0</v>
      </c>
      <c r="V64" s="235" t="str">
        <f t="shared" ca="1" si="18"/>
        <v/>
      </c>
      <c r="W64" s="235" t="str">
        <f t="shared" ca="1" si="19"/>
        <v/>
      </c>
      <c r="X64" t="str">
        <f t="shared" si="14"/>
        <v>⏳ Em Execução</v>
      </c>
      <c r="Y64" s="803">
        <f t="shared" si="15"/>
        <v>0</v>
      </c>
      <c r="Z64" t="str">
        <f t="shared" si="16"/>
        <v/>
      </c>
    </row>
    <row r="65" spans="1:26" ht="14.55" x14ac:dyDescent="0.3">
      <c r="B65" s="235"/>
      <c r="D65" s="806"/>
      <c r="G65" s="235"/>
      <c r="H65" s="235"/>
      <c r="I65" s="235"/>
      <c r="J65" s="235"/>
      <c r="K65" s="235"/>
      <c r="L65" s="235"/>
      <c r="M65" s="235"/>
      <c r="N65" s="235"/>
      <c r="O65" s="235"/>
      <c r="P65" s="235"/>
      <c r="Q65">
        <v>62</v>
      </c>
      <c r="R65" s="275">
        <f t="shared" si="17"/>
        <v>115000</v>
      </c>
      <c r="S65" t="str">
        <f t="shared" si="12"/>
        <v>30 - DA000491Z_DE000492Z - STC Scania G_</v>
      </c>
      <c r="T65" t="str">
        <f t="shared" si="13"/>
        <v>Diadema</v>
      </c>
      <c r="U65" s="275">
        <f t="shared" si="8"/>
        <v>39111.76999999999</v>
      </c>
      <c r="V65" s="235" t="str">
        <f t="shared" ca="1" si="18"/>
        <v/>
      </c>
      <c r="W65" s="235" t="str">
        <f t="shared" ca="1" si="19"/>
        <v/>
      </c>
      <c r="X65" t="str">
        <f t="shared" si="14"/>
        <v>⏳ Em Execução</v>
      </c>
      <c r="Y65" s="803">
        <f t="shared" si="15"/>
        <v>46174</v>
      </c>
      <c r="Z65" t="str">
        <f t="shared" si="16"/>
        <v>OK</v>
      </c>
    </row>
    <row r="66" spans="1:26" ht="14.55" x14ac:dyDescent="0.3">
      <c r="B66" s="235"/>
      <c r="D66" s="806"/>
      <c r="G66" s="235"/>
      <c r="H66" s="235"/>
      <c r="I66" s="235"/>
      <c r="J66" s="235"/>
      <c r="K66" s="235"/>
      <c r="L66" s="235"/>
      <c r="M66" s="235"/>
      <c r="N66" s="235"/>
      <c r="O66" s="235"/>
      <c r="P66" s="235"/>
      <c r="Q66">
        <v>63</v>
      </c>
      <c r="R66" s="275">
        <f t="shared" si="17"/>
        <v>112000</v>
      </c>
      <c r="S66" t="str">
        <f t="shared" si="12"/>
        <v>Resourcing Pino Esférico GM Lipos p/ Maxdel</v>
      </c>
      <c r="T66" t="str">
        <f t="shared" si="13"/>
        <v>Compras</v>
      </c>
      <c r="U66" s="275">
        <f t="shared" si="8"/>
        <v>28000</v>
      </c>
      <c r="V66" s="235" t="str">
        <f t="shared" ca="1" si="18"/>
        <v/>
      </c>
      <c r="W66" s="235" t="str">
        <f t="shared" ca="1" si="19"/>
        <v/>
      </c>
      <c r="X66" t="str">
        <f t="shared" si="14"/>
        <v>⏳ Em Execução</v>
      </c>
      <c r="Y66" s="803">
        <f t="shared" si="15"/>
        <v>46300</v>
      </c>
      <c r="Z66" t="str">
        <f t="shared" si="16"/>
        <v/>
      </c>
    </row>
    <row r="67" spans="1:26" ht="14.55" x14ac:dyDescent="0.3">
      <c r="B67" s="235"/>
      <c r="D67" s="806"/>
      <c r="L67" s="235"/>
      <c r="M67" s="235"/>
      <c r="N67" s="235"/>
      <c r="O67" s="235"/>
      <c r="P67" s="235"/>
      <c r="Q67">
        <v>64</v>
      </c>
      <c r="R67" s="275">
        <f t="shared" si="17"/>
        <v>110000</v>
      </c>
      <c r="S67" t="str">
        <f t="shared" si="12"/>
        <v>07 - Troca dos fornecedores de tubo do Capo CNH CN-13</v>
      </c>
      <c r="T67" t="str">
        <f t="shared" si="13"/>
        <v>São leopoldo</v>
      </c>
      <c r="U67" s="275">
        <f t="shared" si="8"/>
        <v>0</v>
      </c>
      <c r="V67" s="235" t="str">
        <f t="shared" ca="1" si="18"/>
        <v/>
      </c>
      <c r="W67" s="235" t="str">
        <f t="shared" ca="1" si="19"/>
        <v/>
      </c>
      <c r="X67" t="str">
        <f t="shared" si="14"/>
        <v>⏳ Em Execução</v>
      </c>
      <c r="Y67" s="803">
        <f t="shared" si="15"/>
        <v>0</v>
      </c>
      <c r="Z67" t="str">
        <f t="shared" si="16"/>
        <v/>
      </c>
    </row>
    <row r="68" spans="1:26" ht="14.85" customHeight="1" x14ac:dyDescent="0.3">
      <c r="A68" s="274" t="s">
        <v>24</v>
      </c>
      <c r="B68" s="274"/>
      <c r="C68" s="274"/>
      <c r="D68" s="805"/>
      <c r="E68" s="805"/>
      <c r="J68" s="1678" t="s">
        <v>2550</v>
      </c>
      <c r="K68" s="1678"/>
      <c r="L68" s="235"/>
      <c r="M68" s="235"/>
      <c r="N68" s="235"/>
      <c r="O68" s="235"/>
      <c r="P68" s="235"/>
      <c r="Q68">
        <v>65</v>
      </c>
      <c r="R68" s="275">
        <f t="shared" si="17"/>
        <v>106000</v>
      </c>
      <c r="S68" t="str">
        <f t="shared" ref="S68:S99" si="21">_xlfn.XLOOKUP(R68,B:B,C:C)</f>
        <v>45 - Redução de MP GM000409Z</v>
      </c>
      <c r="T68" t="str">
        <f t="shared" ref="T68:T99" si="22">_xlfn.XLOOKUP(S68,C:C,F:F)</f>
        <v>Diadema</v>
      </c>
      <c r="U68" s="275">
        <f t="shared" si="8"/>
        <v>99381.260000000009</v>
      </c>
      <c r="V68" s="235">
        <f t="shared" ca="1" si="18"/>
        <v>22084.724444444444</v>
      </c>
      <c r="W68" s="235">
        <f t="shared" ca="1" si="19"/>
        <v>34660.771754999863</v>
      </c>
      <c r="X68" t="str">
        <f t="shared" ref="X68:X99" si="23">_xlfn.XLOOKUP(S68,C:C,G:G)</f>
        <v>✓ Concluído</v>
      </c>
      <c r="Y68" s="803">
        <f t="shared" ref="Y68:Y99" si="24">_xlfn.XLOOKUP(S68,C:C,I:I)</f>
        <v>46136</v>
      </c>
      <c r="Z68" t="str">
        <f t="shared" ref="Z68:Z99" si="25">IF(_xlfn.XLOOKUP(S68,C:C,H:H) = 0, "", _xlfn.XLOOKUP(S68,C:C,H:H))</f>
        <v>OK</v>
      </c>
    </row>
    <row r="69" spans="1:26" ht="14.85" customHeight="1" x14ac:dyDescent="0.3">
      <c r="A69" s="274"/>
      <c r="B69" s="274"/>
      <c r="C69" s="274"/>
      <c r="D69" s="805"/>
      <c r="E69" s="805"/>
      <c r="J69" s="594" t="s">
        <v>106</v>
      </c>
      <c r="K69" s="594" t="s">
        <v>107</v>
      </c>
      <c r="L69" s="235"/>
      <c r="M69" s="235"/>
      <c r="N69" s="235"/>
      <c r="O69" s="235"/>
      <c r="P69" s="235"/>
      <c r="Q69">
        <v>66</v>
      </c>
      <c r="R69" s="275">
        <f t="shared" ref="R69:R100" si="26">IFERROR(LARGE(B:B,Q69)," ")</f>
        <v>102967</v>
      </c>
      <c r="S69" t="str">
        <f t="shared" si="21"/>
        <v>19 - Redução da largura da bobina mãe do Curvão</v>
      </c>
      <c r="T69" t="str">
        <f t="shared" si="22"/>
        <v>Jarinu</v>
      </c>
      <c r="U69" s="275">
        <f t="shared" ref="U69:U132" si="27">_xlfn.XLOOKUP(S69,C:C,L:L)</f>
        <v>0</v>
      </c>
      <c r="V69" s="235" t="str">
        <f t="shared" ref="V69:V100" ca="1" si="28">IFERROR(_xlfn.XLOOKUP(S69,C:C,J:J), "")</f>
        <v/>
      </c>
      <c r="W69" s="235" t="str">
        <f t="shared" ref="W69:W100" ca="1" si="29">IFERROR(_xlfn.XLOOKUP(S69,C:C,K:K), "")</f>
        <v/>
      </c>
      <c r="X69" t="str">
        <f t="shared" si="23"/>
        <v>⏳ Em Execução</v>
      </c>
      <c r="Y69" s="803">
        <f t="shared" si="24"/>
        <v>0</v>
      </c>
      <c r="Z69" t="str">
        <f t="shared" si="25"/>
        <v>Não Ok</v>
      </c>
    </row>
    <row r="70" spans="1:26" x14ac:dyDescent="0.3">
      <c r="A70" cm="1">
        <f t="array" ref="A70:A109">_xlfn.SEQUENCE(40)</f>
        <v>1</v>
      </c>
      <c r="B70" s="235">
        <f>MAX(Jarinu!$I$55:$I$128)</f>
        <v>1063359</v>
      </c>
      <c r="C70" t="str">
        <f>IFERROR(INDEX(
    Jarinu!$C$55:$C$128,
    MATCH(
        B70,
        Jarinu!$I$55:$I$128,
        0
    )
), " ")</f>
        <v>06 - Redução consumo MTP aplicando tolerância mínima</v>
      </c>
      <c r="D70" s="806">
        <f>IFERROR(B70/SUM($B$70:$B$109)," ")</f>
        <v>0.27130360077882038</v>
      </c>
      <c r="E70" s="362">
        <f>D70</f>
        <v>0.27130360077882038</v>
      </c>
      <c r="F70" t="str">
        <f t="shared" ref="F70:F99" si="30">$A$68</f>
        <v>Jarinu</v>
      </c>
      <c r="G70" t="str">
        <f>_xlfn.XLOOKUP(C70,Jarinu!$C$55:$C$128,Jarinu!$O$55:$O$128)</f>
        <v>⏳ Em Execução</v>
      </c>
      <c r="H70" t="str">
        <f>_xlfn.XLOOKUP(C70,Jarinu!$C$55:$C$128,Jarinu!$M$55:$M$128," ")</f>
        <v>OK</v>
      </c>
      <c r="I70" s="803">
        <f>_xlfn.XLOOKUP(C70,Jarinu!$C$55:$C$128,Jarinu!$J$55:$J$128)</f>
        <v>46174</v>
      </c>
      <c r="J70" s="235" t="str">
        <f ca="1">INDEX(Jarinu!$AP$55:$AP$128, MATCH(C70, Jarinu!$C$55:$C$128, 0))</f>
        <v/>
      </c>
      <c r="K70" s="235" t="str" cm="1">
        <f t="array" aca="1" ref="K70" ca="1">INDEX(Jarinu!$AP$55:$AP$128, MATCH(C70, Jarinu!$C$55:$C$128, 0)+1)</f>
        <v/>
      </c>
      <c r="L70" s="235">
        <f>INDEX(Jarinu!$AH$55:$AH$128, MATCH(C70, Jarinu!$C$55:$C$128, 0))</f>
        <v>286457.56</v>
      </c>
      <c r="M70" s="235"/>
      <c r="N70" s="235"/>
      <c r="O70" s="235"/>
      <c r="P70" s="235"/>
      <c r="Q70">
        <v>67</v>
      </c>
      <c r="R70" s="275">
        <f t="shared" si="26"/>
        <v>102750</v>
      </c>
      <c r="S70" t="str">
        <f t="shared" si="21"/>
        <v>Estudo de viabilidade lixadeiras</v>
      </c>
      <c r="T70" t="str">
        <f t="shared" si="22"/>
        <v>Compras</v>
      </c>
      <c r="U70" s="275">
        <f t="shared" si="27"/>
        <v>77062.5</v>
      </c>
      <c r="V70" s="235">
        <f t="shared" ca="1" si="28"/>
        <v>17125</v>
      </c>
      <c r="W70" s="235" t="str">
        <f t="shared" ca="1" si="29"/>
        <v/>
      </c>
      <c r="X70" t="str">
        <f t="shared" si="23"/>
        <v>⏳ Em Execução</v>
      </c>
      <c r="Y70" s="803">
        <f t="shared" si="24"/>
        <v>46113</v>
      </c>
      <c r="Z70" t="str">
        <f t="shared" si="25"/>
        <v/>
      </c>
    </row>
    <row r="71" spans="1:26" ht="14.55" x14ac:dyDescent="0.3">
      <c r="A71">
        <v>2</v>
      </c>
      <c r="B71" s="235">
        <f>IFERROR(LARGE(Jarinu!$I$55:$I$128,A71)," ")</f>
        <v>513721</v>
      </c>
      <c r="C71" t="str">
        <f>IFERROR(INDEX(
    Jarinu!$C$55:$C$128,
    MATCH(
        B71,
        Jarinu!$I$55:$I$128,
        0
    )
), " ")</f>
        <v>03 - Redução de consumo de MP dos blanks com a técnica de corte Wave</v>
      </c>
      <c r="D71" s="806">
        <f t="shared" ref="D71:D109" si="31">IFERROR(B71/SUM($B$70:$B$109)," ")</f>
        <v>0.13106989934320992</v>
      </c>
      <c r="E71" s="362">
        <f>IFERROR(D71+E70," ")</f>
        <v>0.40237350012203033</v>
      </c>
      <c r="F71" t="str">
        <f t="shared" si="30"/>
        <v>Jarinu</v>
      </c>
      <c r="G71" t="str">
        <f>_xlfn.XLOOKUP(C71,Jarinu!$C$55:$C$128,Jarinu!$O$55:$O$128)</f>
        <v>⏳ Em Execução</v>
      </c>
      <c r="H71">
        <f>_xlfn.XLOOKUP(C71,Jarinu!$C$55:$C$128,Jarinu!$M$55:$M$128," ")</f>
        <v>0</v>
      </c>
      <c r="I71" s="803">
        <f>_xlfn.XLOOKUP(C71,Jarinu!$C$55:$C$128,Jarinu!$J$55:$J$128)</f>
        <v>46174</v>
      </c>
      <c r="J71" s="235" t="str">
        <f ca="1">INDEX(Jarinu!$AP$55:$AP$128, MATCH(C71, Jarinu!$C$55:$C$128, 0))</f>
        <v/>
      </c>
      <c r="K71" s="235" t="str" cm="1">
        <f t="array" aca="1" ref="K71" ca="1">INDEX(Jarinu!$AP$55:$AP$128, MATCH(C71, Jarinu!$C$55:$C$128, 0)+1)</f>
        <v/>
      </c>
      <c r="L71" s="235">
        <f>INDEX(Jarinu!$AH$55:$AH$128, MATCH(C71, Jarinu!$C$55:$C$128, 0))</f>
        <v>128430.25</v>
      </c>
      <c r="M71" s="235"/>
      <c r="N71" s="235"/>
      <c r="O71" s="235"/>
      <c r="P71" s="235"/>
      <c r="Q71">
        <v>68</v>
      </c>
      <c r="R71" s="275">
        <f t="shared" si="26"/>
        <v>100871</v>
      </c>
      <c r="S71" t="str">
        <f t="shared" si="21"/>
        <v>Negociação Boellhoff
85290 - PORCA QUADRADA SOLDA PROJEÇÃO - M5</v>
      </c>
      <c r="T71" t="str">
        <f t="shared" si="22"/>
        <v>Compras</v>
      </c>
      <c r="U71" s="275">
        <f t="shared" si="27"/>
        <v>50435.499999999993</v>
      </c>
      <c r="V71" s="235" t="str">
        <f t="shared" ca="1" si="28"/>
        <v/>
      </c>
      <c r="W71" s="235" t="str">
        <f t="shared" ca="1" si="29"/>
        <v/>
      </c>
      <c r="X71" t="str">
        <f t="shared" si="23"/>
        <v>⏳ Em Execução</v>
      </c>
      <c r="Y71" s="803">
        <f t="shared" si="24"/>
        <v>46204</v>
      </c>
      <c r="Z71" t="str">
        <f t="shared" si="25"/>
        <v/>
      </c>
    </row>
    <row r="72" spans="1:26" ht="14.55" x14ac:dyDescent="0.3">
      <c r="A72">
        <v>3</v>
      </c>
      <c r="B72" s="235">
        <f>IFERROR(LARGE(Jarinu!$I$55:$I$128,A72)," ")</f>
        <v>435138</v>
      </c>
      <c r="C72" t="str">
        <f>IFERROR(INDEX(
    Jarinu!$C$55:$C$128,
    MATCH(
        B72,
        Jarinu!$I$55:$I$128,
        0
    )
), " ")</f>
        <v>27 - Redução consumo MTP aplicando tolerância mínima curva B</v>
      </c>
      <c r="D72" s="806">
        <f t="shared" si="31"/>
        <v>0.11102036681468284</v>
      </c>
      <c r="E72" s="362">
        <f t="shared" ref="E72:E99" si="32">IFERROR(D72+E71," ")</f>
        <v>0.51339386693671318</v>
      </c>
      <c r="F72" t="str">
        <f t="shared" si="30"/>
        <v>Jarinu</v>
      </c>
      <c r="G72" t="str">
        <f>_xlfn.XLOOKUP(C72,Jarinu!$C$55:$C$128,Jarinu!$O$55:$O$128)</f>
        <v>⏳ Em Execução</v>
      </c>
      <c r="H72" t="str">
        <f>_xlfn.XLOOKUP(C72,Jarinu!$C$55:$C$128,Jarinu!$M$55:$M$128," ")</f>
        <v>OK</v>
      </c>
      <c r="I72" s="803">
        <f>_xlfn.XLOOKUP(C72,Jarinu!$C$55:$C$128,Jarinu!$J$55:$J$128)</f>
        <v>46233</v>
      </c>
      <c r="J72" s="235" t="str">
        <f ca="1">INDEX(Jarinu!$AP$55:$AP$128, MATCH(C72, Jarinu!$C$55:$C$128, 0))</f>
        <v/>
      </c>
      <c r="K72" s="235" t="str" cm="1">
        <f t="array" aca="1" ref="K72" ca="1">INDEX(Jarinu!$AP$55:$AP$128, MATCH(C72, Jarinu!$C$55:$C$128, 0)+1)</f>
        <v/>
      </c>
      <c r="L72" s="235">
        <f>INDEX(Jarinu!$AH$55:$AH$128, MATCH(C72, Jarinu!$C$55:$C$128, 0))</f>
        <v>110665.76749999999</v>
      </c>
      <c r="M72" s="235"/>
      <c r="N72" s="235"/>
      <c r="O72" s="235"/>
      <c r="P72" s="235"/>
      <c r="Q72">
        <v>69</v>
      </c>
      <c r="R72" s="275">
        <f t="shared" si="26"/>
        <v>100602</v>
      </c>
      <c r="S72" t="str">
        <f t="shared" si="21"/>
        <v>Substituição Plano Médico - São Leopoldo</v>
      </c>
      <c r="T72" t="str">
        <f t="shared" si="22"/>
        <v>Compras</v>
      </c>
      <c r="U72" s="275">
        <f t="shared" si="27"/>
        <v>58684.5</v>
      </c>
      <c r="V72" s="235" t="str">
        <f t="shared" ca="1" si="28"/>
        <v/>
      </c>
      <c r="W72" s="235" t="str">
        <f t="shared" ca="1" si="29"/>
        <v/>
      </c>
      <c r="X72" t="str">
        <f t="shared" si="23"/>
        <v>⏳ Em Execução</v>
      </c>
      <c r="Y72" s="803">
        <f t="shared" si="24"/>
        <v>46174</v>
      </c>
      <c r="Z72" t="str">
        <f t="shared" si="25"/>
        <v/>
      </c>
    </row>
    <row r="73" spans="1:26" ht="14.55" x14ac:dyDescent="0.3">
      <c r="A73">
        <v>4</v>
      </c>
      <c r="B73" s="235">
        <f>IFERROR(LARGE(Jarinu!$I$55:$I$128,A73)," ")</f>
        <v>390000.00300000003</v>
      </c>
      <c r="C73" t="str">
        <f>IFERROR(INDEX(
    Jarinu!$C$55:$C$128,
    MATCH(
        B73,
        Jarinu!$I$55:$I$128,
        0
    )
), " ")</f>
        <v>36 - Venda Robos</v>
      </c>
      <c r="D73" s="806">
        <f t="shared" si="31"/>
        <v>9.9503935282111447E-2</v>
      </c>
      <c r="E73" s="362">
        <f t="shared" si="32"/>
        <v>0.61289780221882462</v>
      </c>
      <c r="F73" t="str">
        <f t="shared" si="30"/>
        <v>Jarinu</v>
      </c>
      <c r="G73" t="str">
        <f>_xlfn.XLOOKUP(C73,Jarinu!$C$55:$C$128,Jarinu!$O$55:$O$128)</f>
        <v>✓ Concluído</v>
      </c>
      <c r="H73" t="str">
        <f>_xlfn.XLOOKUP(C73,Jarinu!$C$55:$C$128,Jarinu!$M$55:$M$128," ")</f>
        <v>OK</v>
      </c>
      <c r="I73" s="803">
        <f>_xlfn.XLOOKUP(C73,Jarinu!$C$55:$C$128,Jarinu!$J$55:$J$128)</f>
        <v>46023</v>
      </c>
      <c r="J73" s="235">
        <f ca="1">INDEX(Jarinu!$AP$55:$AP$128, MATCH(C73, Jarinu!$C$55:$C$128, 0))</f>
        <v>390000.00300000003</v>
      </c>
      <c r="K73" s="235" cm="1">
        <f t="array" aca="1" ref="K73" ca="1">INDEX(Jarinu!$AP$55:$AP$128, MATCH(C73, Jarinu!$C$55:$C$128, 0)+1)</f>
        <v>390000</v>
      </c>
      <c r="L73" s="235">
        <f>INDEX(Jarinu!$AH$55:$AH$128, MATCH(C73, Jarinu!$C$55:$C$128, 0))</f>
        <v>0</v>
      </c>
      <c r="M73" s="235"/>
      <c r="N73" s="235"/>
      <c r="O73" s="235"/>
      <c r="P73" s="235"/>
      <c r="Q73">
        <v>70</v>
      </c>
      <c r="R73" s="275">
        <f t="shared" si="26"/>
        <v>100000.0009</v>
      </c>
      <c r="S73" t="str">
        <f t="shared" si="21"/>
        <v>SRM Componentes</v>
      </c>
      <c r="T73" t="str">
        <f t="shared" si="22"/>
        <v>Compras</v>
      </c>
      <c r="U73" s="275">
        <f t="shared" si="27"/>
        <v>33333.333633333335</v>
      </c>
      <c r="V73" s="235" t="str">
        <f t="shared" ca="1" si="28"/>
        <v/>
      </c>
      <c r="W73" s="235" t="str">
        <f t="shared" ca="1" si="29"/>
        <v/>
      </c>
      <c r="X73" t="str">
        <f t="shared" si="23"/>
        <v>⏳ Em Execução</v>
      </c>
      <c r="Y73" s="803">
        <f t="shared" si="24"/>
        <v>46279</v>
      </c>
      <c r="Z73" t="str">
        <f t="shared" si="25"/>
        <v/>
      </c>
    </row>
    <row r="74" spans="1:26" ht="14.55" x14ac:dyDescent="0.3">
      <c r="A74">
        <v>5</v>
      </c>
      <c r="B74" s="235">
        <f>IFERROR(LARGE(Jarinu!$I$55:$I$128,A74)," ")</f>
        <v>308498</v>
      </c>
      <c r="C74" t="str">
        <f>IFERROR(INDEX(
    Jarinu!$C$55:$C$128,
    MATCH(
        B74,
        Jarinu!$I$55:$I$128,
        0
    )
), " ")</f>
        <v>28 -  Redução consumo MTP aplicando tolerância mínima curva C</v>
      </c>
      <c r="D74" s="806">
        <f t="shared" si="31"/>
        <v>7.8709653309056035E-2</v>
      </c>
      <c r="E74" s="362">
        <f t="shared" si="32"/>
        <v>0.69160745552788061</v>
      </c>
      <c r="F74" t="str">
        <f t="shared" si="30"/>
        <v>Jarinu</v>
      </c>
      <c r="G74" t="str">
        <f>_xlfn.XLOOKUP(C74,Jarinu!$C$55:$C$128,Jarinu!$O$55:$O$128)</f>
        <v>⏳ Em Execução</v>
      </c>
      <c r="H74" t="str">
        <f>_xlfn.XLOOKUP(C74,Jarinu!$C$55:$C$128,Jarinu!$M$55:$M$128," ")</f>
        <v>OK</v>
      </c>
      <c r="I74" s="803">
        <f>_xlfn.XLOOKUP(C74,Jarinu!$C$55:$C$128,Jarinu!$J$55:$J$128)</f>
        <v>46233</v>
      </c>
      <c r="J74" s="235" t="str">
        <f ca="1">INDEX(Jarinu!$AP$55:$AP$128, MATCH(C74, Jarinu!$C$55:$C$128, 0))</f>
        <v/>
      </c>
      <c r="K74" s="235" t="str" cm="1">
        <f t="array" aca="1" ref="K74" ca="1">INDEX(Jarinu!$AP$55:$AP$128, MATCH(C74, Jarinu!$C$55:$C$128, 0)+1)</f>
        <v/>
      </c>
      <c r="L74" s="235">
        <f>INDEX(Jarinu!$AH$55:$AH$128, MATCH(C74, Jarinu!$C$55:$C$128, 0))</f>
        <v>52369.014999999999</v>
      </c>
      <c r="M74" s="235"/>
      <c r="N74" s="235"/>
      <c r="O74" s="235"/>
      <c r="P74" s="235"/>
      <c r="Q74">
        <v>71</v>
      </c>
      <c r="R74" s="275">
        <f t="shared" si="26"/>
        <v>100000.0001</v>
      </c>
      <c r="S74" t="str">
        <f t="shared" si="21"/>
        <v>04 - GÁS</v>
      </c>
      <c r="T74" t="str">
        <f t="shared" si="22"/>
        <v>Anchieta</v>
      </c>
      <c r="U74" s="275">
        <f t="shared" si="27"/>
        <v>84366.096666666679</v>
      </c>
      <c r="V74" s="235">
        <f t="shared" ca="1" si="28"/>
        <v>56244.064444444448</v>
      </c>
      <c r="W74" s="235">
        <f t="shared" ca="1" si="29"/>
        <v>-2790.25</v>
      </c>
      <c r="X74" t="str">
        <f t="shared" si="23"/>
        <v>⏳ Em Execução</v>
      </c>
      <c r="Y74" s="803">
        <f t="shared" si="24"/>
        <v>46113</v>
      </c>
      <c r="Z74" t="str">
        <f t="shared" si="25"/>
        <v>OK</v>
      </c>
    </row>
    <row r="75" spans="1:26" ht="14.55" x14ac:dyDescent="0.3">
      <c r="A75">
        <v>6</v>
      </c>
      <c r="B75" s="235">
        <f>IFERROR(LARGE(Jarinu!$I$55:$I$128,A75)," ")</f>
        <v>306000</v>
      </c>
      <c r="C75" t="str">
        <f>IFERROR(INDEX(
    Jarinu!$C$55:$C$128,
    MATCH(
        B75,
        Jarinu!$I$55:$I$128,
        0
    )
), " ")</f>
        <v>30 - Redução de Refugo</v>
      </c>
      <c r="D75" s="806">
        <f t="shared" si="31"/>
        <v>7.807231785156192E-2</v>
      </c>
      <c r="E75" s="362">
        <f t="shared" si="32"/>
        <v>0.76967977337944249</v>
      </c>
      <c r="F75" t="str">
        <f t="shared" si="30"/>
        <v>Jarinu</v>
      </c>
      <c r="G75" t="str">
        <f>_xlfn.XLOOKUP(C75,Jarinu!$C$55:$C$128,Jarinu!$O$55:$O$128)</f>
        <v>⏳ Em Execução</v>
      </c>
      <c r="H75" t="str">
        <f>_xlfn.XLOOKUP(C75,Jarinu!$C$55:$C$128,Jarinu!$M$55:$M$128," ")</f>
        <v>OK</v>
      </c>
      <c r="I75" s="803">
        <f>_xlfn.XLOOKUP(C75,Jarinu!$C$55:$C$128,Jarinu!$J$55:$J$128)</f>
        <v>46113</v>
      </c>
      <c r="J75" s="235">
        <f ca="1">INDEX(Jarinu!$AP$55:$AP$128, MATCH(C75, Jarinu!$C$55:$C$128, 0))</f>
        <v>51000</v>
      </c>
      <c r="K75" s="235" t="str" cm="1">
        <f t="array" aca="1" ref="K75" ca="1">INDEX(Jarinu!$AP$55:$AP$128, MATCH(C75, Jarinu!$C$55:$C$128, 0)+1)</f>
        <v/>
      </c>
      <c r="L75" s="235">
        <f>INDEX(Jarinu!$AH$55:$AH$128, MATCH(C75, Jarinu!$C$55:$C$128, 0))</f>
        <v>76500</v>
      </c>
      <c r="M75" s="235"/>
      <c r="N75" s="235"/>
      <c r="O75" s="235"/>
      <c r="P75" s="235"/>
      <c r="Q75">
        <v>72</v>
      </c>
      <c r="R75" s="275">
        <f t="shared" si="26"/>
        <v>100000</v>
      </c>
      <c r="S75" t="str">
        <f t="shared" si="21"/>
        <v>Recuperação de valores - Energia Elétrica</v>
      </c>
      <c r="T75" t="str">
        <f t="shared" si="22"/>
        <v>Compras</v>
      </c>
      <c r="U75" s="275">
        <f t="shared" si="27"/>
        <v>0</v>
      </c>
      <c r="V75" s="235" t="str">
        <f t="shared" ca="1" si="28"/>
        <v/>
      </c>
      <c r="W75" s="235" t="str">
        <f t="shared" ca="1" si="29"/>
        <v/>
      </c>
      <c r="X75" t="str">
        <f t="shared" si="23"/>
        <v>⏳ Em Execução</v>
      </c>
      <c r="Y75" s="803">
        <f t="shared" si="24"/>
        <v>46174</v>
      </c>
      <c r="Z75" t="str">
        <f t="shared" si="25"/>
        <v/>
      </c>
    </row>
    <row r="76" spans="1:26" ht="14.55" x14ac:dyDescent="0.3">
      <c r="A76">
        <v>7</v>
      </c>
      <c r="B76" s="235">
        <f>IFERROR(LARGE(Jarinu!$I$55:$I$128,A76)," ")</f>
        <v>301000</v>
      </c>
      <c r="C76" t="str">
        <f>IFERROR(INDEX(
    Jarinu!$C$55:$C$128,
    MATCH(
        B76,
        Jarinu!$I$55:$I$128,
        0
    )
), " ")</f>
        <v>32 - Empilhadeiras Elétricas</v>
      </c>
      <c r="D76" s="806">
        <f t="shared" si="31"/>
        <v>7.6796626383399139E-2</v>
      </c>
      <c r="E76" s="362">
        <f t="shared" si="32"/>
        <v>0.84647639976284161</v>
      </c>
      <c r="F76" t="str">
        <f t="shared" si="30"/>
        <v>Jarinu</v>
      </c>
      <c r="G76" t="str">
        <f>_xlfn.XLOOKUP(C76,Jarinu!$C$55:$C$128,Jarinu!$O$55:$O$128)</f>
        <v>⏳ Em Execução</v>
      </c>
      <c r="H76">
        <f>_xlfn.XLOOKUP(C76,Jarinu!$C$55:$C$128,Jarinu!$M$55:$M$128," ")</f>
        <v>0</v>
      </c>
      <c r="I76" s="803">
        <f>_xlfn.XLOOKUP(C76,Jarinu!$C$55:$C$128,Jarinu!$J$55:$J$128)</f>
        <v>46203</v>
      </c>
      <c r="J76" s="235" t="str">
        <f ca="1">INDEX(Jarinu!$AP$55:$AP$128, MATCH(C76, Jarinu!$C$55:$C$128, 0))</f>
        <v/>
      </c>
      <c r="K76" s="235" t="str" cm="1">
        <f t="array" aca="1" ref="K76" ca="1">INDEX(Jarinu!$AP$55:$AP$128, MATCH(C76, Jarinu!$C$55:$C$128, 0)+1)</f>
        <v/>
      </c>
      <c r="L76" s="235">
        <f>INDEX(Jarinu!$AH$55:$AH$128, MATCH(C76, Jarinu!$C$55:$C$128, 0))</f>
        <v>75250</v>
      </c>
      <c r="M76" s="235"/>
      <c r="N76" s="235"/>
      <c r="O76" s="235"/>
      <c r="P76" s="235"/>
      <c r="Q76">
        <v>73</v>
      </c>
      <c r="R76" s="275">
        <f t="shared" si="26"/>
        <v>99600</v>
      </c>
      <c r="S76" t="str">
        <f t="shared" si="21"/>
        <v>Locação de Compressores</v>
      </c>
      <c r="T76" t="str">
        <f t="shared" si="22"/>
        <v>Compras</v>
      </c>
      <c r="U76" s="275">
        <f t="shared" si="27"/>
        <v>58100</v>
      </c>
      <c r="V76" s="235" t="str">
        <f t="shared" ca="1" si="28"/>
        <v/>
      </c>
      <c r="W76" s="235" t="str">
        <f t="shared" ca="1" si="29"/>
        <v/>
      </c>
      <c r="X76" t="str">
        <f t="shared" si="23"/>
        <v>⏳ Em Execução</v>
      </c>
      <c r="Y76" s="803">
        <f t="shared" si="24"/>
        <v>46174</v>
      </c>
      <c r="Z76" t="str">
        <f t="shared" si="25"/>
        <v/>
      </c>
    </row>
    <row r="77" spans="1:26" ht="14.55" x14ac:dyDescent="0.3">
      <c r="A77">
        <v>8</v>
      </c>
      <c r="B77" s="235">
        <f>IFERROR(LARGE(Jarinu!$I$55:$I$128,A77)," ")</f>
        <v>102967</v>
      </c>
      <c r="C77" t="str">
        <f>IFERROR(INDEX(
    Jarinu!$C$55:$C$128,
    MATCH(
        B77,
        Jarinu!$I$55:$I$128,
        0
    )
), " ")</f>
        <v>19 - Redução da largura da bobina mãe do Curvão</v>
      </c>
      <c r="D77" s="806">
        <f t="shared" si="31"/>
        <v>2.6270824680463319E-2</v>
      </c>
      <c r="E77" s="362">
        <f t="shared" si="32"/>
        <v>0.87274722444330488</v>
      </c>
      <c r="F77" t="str">
        <f t="shared" si="30"/>
        <v>Jarinu</v>
      </c>
      <c r="G77" t="str">
        <f>_xlfn.XLOOKUP(C77,Jarinu!$C$55:$C$128,Jarinu!$O$55:$O$128)</f>
        <v>⏳ Em Execução</v>
      </c>
      <c r="H77" t="str">
        <f>_xlfn.XLOOKUP(C77,Jarinu!$C$55:$C$128,Jarinu!$M$55:$M$128," ")</f>
        <v>Não Ok</v>
      </c>
      <c r="I77" s="803">
        <f>_xlfn.XLOOKUP(C77,Jarinu!$C$55:$C$128,Jarinu!$J$55:$J$128)</f>
        <v>0</v>
      </c>
      <c r="J77" s="235" t="str">
        <f ca="1">INDEX(Jarinu!$AP$55:$AP$128, MATCH(C77, Jarinu!$C$55:$C$128, 0))</f>
        <v/>
      </c>
      <c r="K77" s="235" t="str" cm="1">
        <f t="array" aca="1" ref="K77" ca="1">INDEX(Jarinu!$AP$55:$AP$128, MATCH(C77, Jarinu!$C$55:$C$128, 0)+1)</f>
        <v/>
      </c>
      <c r="L77" s="235">
        <f>INDEX(Jarinu!$AH$55:$AH$128, MATCH(C77, Jarinu!$C$55:$C$128, 0))</f>
        <v>0</v>
      </c>
      <c r="M77" s="235"/>
      <c r="N77" s="235"/>
      <c r="O77" s="235"/>
      <c r="P77" s="235"/>
      <c r="Q77">
        <v>74</v>
      </c>
      <c r="R77" s="275">
        <f t="shared" si="26"/>
        <v>96000</v>
      </c>
      <c r="S77" t="str">
        <f t="shared" si="21"/>
        <v>43 - Automação Boomerang</v>
      </c>
      <c r="T77" t="str">
        <f t="shared" si="22"/>
        <v>Diadema</v>
      </c>
      <c r="U77" s="275">
        <f t="shared" si="27"/>
        <v>96000</v>
      </c>
      <c r="V77" s="235" t="str">
        <f t="shared" ca="1" si="28"/>
        <v/>
      </c>
      <c r="W77" s="235" t="str">
        <f t="shared" ca="1" si="29"/>
        <v/>
      </c>
      <c r="X77" t="str">
        <f t="shared" si="23"/>
        <v>⏳ Em Execução</v>
      </c>
      <c r="Y77" s="803">
        <f t="shared" si="24"/>
        <v>46204</v>
      </c>
      <c r="Z77" t="str">
        <f t="shared" si="25"/>
        <v>NOK</v>
      </c>
    </row>
    <row r="78" spans="1:26" ht="14.55" x14ac:dyDescent="0.3">
      <c r="A78">
        <v>9</v>
      </c>
      <c r="B78" s="235">
        <f>IFERROR(LARGE(Jarinu!$I$55:$I$128,A78)," ")</f>
        <v>91444</v>
      </c>
      <c r="C78" t="str">
        <f>IFERROR(INDEX(
    Jarinu!$C$55:$C$128,
    MATCH(
        B78,
        Jarinu!$I$55:$I$128,
        0
    )
), " ")</f>
        <v xml:space="preserve">05 - Aplicar borda aparadas nas bobinas </v>
      </c>
      <c r="D78" s="806">
        <f t="shared" si="31"/>
        <v>2.3330866122935386E-2</v>
      </c>
      <c r="E78" s="362">
        <f t="shared" si="32"/>
        <v>0.89607809056624022</v>
      </c>
      <c r="F78" t="str">
        <f t="shared" si="30"/>
        <v>Jarinu</v>
      </c>
      <c r="G78" t="str">
        <f>_xlfn.XLOOKUP(C78,Jarinu!$C$55:$C$128,Jarinu!$O$55:$O$128)</f>
        <v>⏳ Em Execução</v>
      </c>
      <c r="H78" t="str">
        <f>_xlfn.XLOOKUP(C78,Jarinu!$C$55:$C$128,Jarinu!$M$55:$M$128," ")</f>
        <v>Não Ok</v>
      </c>
      <c r="I78" s="803">
        <f>_xlfn.XLOOKUP(C78,Jarinu!$C$55:$C$128,Jarinu!$J$55:$J$128)</f>
        <v>46235</v>
      </c>
      <c r="J78" s="235" t="str">
        <f ca="1">INDEX(Jarinu!$AP$55:$AP$128, MATCH(C78, Jarinu!$C$55:$C$128, 0))</f>
        <v/>
      </c>
      <c r="K78" s="235" t="str" cm="1">
        <f t="array" aca="1" ref="K78" ca="1">INDEX(Jarinu!$AP$55:$AP$128, MATCH(C78, Jarinu!$C$55:$C$128, 0)+1)</f>
        <v/>
      </c>
      <c r="L78" s="235">
        <f>INDEX(Jarinu!$AH$55:$AH$128, MATCH(C78, Jarinu!$C$55:$C$128, 0))</f>
        <v>22861</v>
      </c>
      <c r="M78" s="235"/>
      <c r="N78" s="235"/>
      <c r="O78" s="235"/>
      <c r="P78" s="235"/>
      <c r="Q78">
        <v>75</v>
      </c>
      <c r="R78" s="275">
        <f t="shared" si="26"/>
        <v>92802.55</v>
      </c>
      <c r="S78" t="str">
        <f t="shared" si="21"/>
        <v>05 -  REDUÇÃO DE PESO BRUTO DD000502/503Z</v>
      </c>
      <c r="T78" t="str">
        <f t="shared" si="22"/>
        <v>São leopoldo</v>
      </c>
      <c r="U78" s="275">
        <f t="shared" si="27"/>
        <v>56389.636039373865</v>
      </c>
      <c r="V78" s="235">
        <f t="shared" ca="1" si="28"/>
        <v>18796.545346457955</v>
      </c>
      <c r="W78" s="235" t="str">
        <f t="shared" ca="1" si="29"/>
        <v/>
      </c>
      <c r="X78" t="str">
        <f t="shared" si="23"/>
        <v>⏳ Em Execução</v>
      </c>
      <c r="Y78" s="803">
        <f t="shared" si="24"/>
        <v>46143</v>
      </c>
      <c r="Z78" t="str">
        <f t="shared" si="25"/>
        <v>OK</v>
      </c>
    </row>
    <row r="79" spans="1:26" ht="14.55" x14ac:dyDescent="0.3">
      <c r="A79">
        <v>10</v>
      </c>
      <c r="B79" s="235">
        <f>IFERROR(LARGE(Jarinu!$I$55:$I$128,A79)," ")</f>
        <v>90850</v>
      </c>
      <c r="C79" t="str">
        <f>IFERROR(INDEX(
    Jarinu!$C$55:$C$128,
    MATCH(
        B79,
        Jarinu!$I$55:$I$128,
        0
    )
), " ")</f>
        <v>24 - Redução de consumo de MTP China 1 porca (-10 mm)</v>
      </c>
      <c r="D79" s="806">
        <f t="shared" si="31"/>
        <v>2.3179313976517648E-2</v>
      </c>
      <c r="E79" s="362">
        <f t="shared" si="32"/>
        <v>0.91925740454275784</v>
      </c>
      <c r="F79" t="str">
        <f t="shared" si="30"/>
        <v>Jarinu</v>
      </c>
      <c r="G79" t="str">
        <f>_xlfn.XLOOKUP(C79,Jarinu!$C$55:$C$128,Jarinu!$O$55:$O$128)</f>
        <v>⏳ Em Execução</v>
      </c>
      <c r="H79" t="str">
        <f>_xlfn.XLOOKUP(C79,Jarinu!$C$55:$C$128,Jarinu!$M$55:$M$128," ")</f>
        <v>OK</v>
      </c>
      <c r="I79" s="803">
        <f>_xlfn.XLOOKUP(C79,Jarinu!$C$55:$C$128,Jarinu!$J$55:$J$128)</f>
        <v>46174</v>
      </c>
      <c r="J79" s="235" t="str">
        <f ca="1">INDEX(Jarinu!$AP$55:$AP$128, MATCH(C79, Jarinu!$C$55:$C$128, 0))</f>
        <v/>
      </c>
      <c r="K79" s="235" t="str" cm="1">
        <f t="array" aca="1" ref="K79" ca="1">INDEX(Jarinu!$AP$55:$AP$128, MATCH(C79, Jarinu!$C$55:$C$128, 0)+1)</f>
        <v/>
      </c>
      <c r="L79" s="235">
        <f>INDEX(Jarinu!$AH$55:$AH$128, MATCH(C79, Jarinu!$C$55:$C$128, 0))</f>
        <v>41470.879999999997</v>
      </c>
      <c r="M79" s="235"/>
      <c r="N79" s="235"/>
      <c r="O79" s="235"/>
      <c r="P79" s="235"/>
      <c r="Q79">
        <v>76</v>
      </c>
      <c r="R79" s="275">
        <f t="shared" si="26"/>
        <v>92500</v>
      </c>
      <c r="S79" t="str">
        <f t="shared" si="21"/>
        <v>50 - Suporte da lanterna MB003681</v>
      </c>
      <c r="T79" t="str">
        <f t="shared" si="22"/>
        <v>Diadema</v>
      </c>
      <c r="U79" s="275">
        <f t="shared" si="27"/>
        <v>153302.58000000002</v>
      </c>
      <c r="V79" s="235" t="str">
        <f t="shared" ca="1" si="28"/>
        <v/>
      </c>
      <c r="W79" s="235" t="str">
        <f t="shared" ca="1" si="29"/>
        <v/>
      </c>
      <c r="X79" t="str">
        <f t="shared" si="23"/>
        <v>⏳ Em Execução</v>
      </c>
      <c r="Y79" s="803">
        <f t="shared" si="24"/>
        <v>46174</v>
      </c>
      <c r="Z79" t="str">
        <f t="shared" si="25"/>
        <v>OK</v>
      </c>
    </row>
    <row r="80" spans="1:26" ht="14.55" x14ac:dyDescent="0.3">
      <c r="A80">
        <v>11</v>
      </c>
      <c r="B80" s="235">
        <f>IFERROR(LARGE(Jarinu!$I$55:$I$128,A80)," ")</f>
        <v>75733</v>
      </c>
      <c r="C80" t="str">
        <f>IFERROR(INDEX(
    Jarinu!$C$55:$C$128,
    MATCH(
        B80,
        Jarinu!$I$55:$I$128,
        0
    )
), " ")</f>
        <v>04 - Redução da largura dos slitters</v>
      </c>
      <c r="D80" s="806">
        <f t="shared" si="31"/>
        <v>1.932238839167431E-2</v>
      </c>
      <c r="E80" s="362">
        <f t="shared" si="32"/>
        <v>0.93857979293443217</v>
      </c>
      <c r="F80" t="str">
        <f t="shared" si="30"/>
        <v>Jarinu</v>
      </c>
      <c r="G80" t="str">
        <f>_xlfn.XLOOKUP(C80,Jarinu!$C$55:$C$128,Jarinu!$O$55:$O$128)</f>
        <v>⏳ Em Execução</v>
      </c>
      <c r="H80">
        <f>_xlfn.XLOOKUP(C80,Jarinu!$C$55:$C$128,Jarinu!$M$55:$M$128," ")</f>
        <v>0</v>
      </c>
      <c r="I80" s="803">
        <f>_xlfn.XLOOKUP(C80,Jarinu!$C$55:$C$128,Jarinu!$J$55:$J$128)</f>
        <v>46174</v>
      </c>
      <c r="J80" s="235" t="str">
        <f ca="1">INDEX(Jarinu!$AP$55:$AP$128, MATCH(C80, Jarinu!$C$55:$C$128, 0))</f>
        <v/>
      </c>
      <c r="K80" s="235" t="str" cm="1">
        <f t="array" aca="1" ref="K80" ca="1">INDEX(Jarinu!$AP$55:$AP$128, MATCH(C80, Jarinu!$C$55:$C$128, 0)+1)</f>
        <v/>
      </c>
      <c r="L80" s="235">
        <f>INDEX(Jarinu!$AH$55:$AH$128, MATCH(C80, Jarinu!$C$55:$C$128, 0))</f>
        <v>18933.25</v>
      </c>
      <c r="M80" s="235"/>
      <c r="N80" s="235"/>
      <c r="O80" s="235"/>
      <c r="P80" s="235"/>
      <c r="Q80">
        <v>77</v>
      </c>
      <c r="R80" s="275">
        <f t="shared" si="26"/>
        <v>91444</v>
      </c>
      <c r="S80" t="str">
        <f t="shared" si="21"/>
        <v xml:space="preserve">05 - Aplicar borda aparadas nas bobinas </v>
      </c>
      <c r="T80" t="str">
        <f t="shared" si="22"/>
        <v>Jarinu</v>
      </c>
      <c r="U80" s="275">
        <f t="shared" si="27"/>
        <v>22861</v>
      </c>
      <c r="V80" s="235" t="str">
        <f t="shared" ca="1" si="28"/>
        <v/>
      </c>
      <c r="W80" s="235" t="str">
        <f t="shared" ca="1" si="29"/>
        <v/>
      </c>
      <c r="X80" t="str">
        <f t="shared" si="23"/>
        <v>⏳ Em Execução</v>
      </c>
      <c r="Y80" s="803">
        <f t="shared" si="24"/>
        <v>46235</v>
      </c>
      <c r="Z80" t="str">
        <f t="shared" si="25"/>
        <v>Não Ok</v>
      </c>
    </row>
    <row r="81" spans="1:26" ht="14.55" x14ac:dyDescent="0.3">
      <c r="A81">
        <v>12</v>
      </c>
      <c r="B81" s="235">
        <f>IFERROR(LARGE(Jarinu!$I$55:$I$128,A81)," ")</f>
        <v>62210</v>
      </c>
      <c r="C81" t="str">
        <f>IFERROR(INDEX(
    Jarinu!$C$55:$C$128,
    MATCH(
        B81,
        Jarinu!$I$55:$I$128,
        0
    )
), " ")</f>
        <v>40 - Redução de disperdicio bobina.</v>
      </c>
      <c r="D81" s="806">
        <f t="shared" si="31"/>
        <v>1.5872153246881265E-2</v>
      </c>
      <c r="E81" s="362">
        <f t="shared" si="32"/>
        <v>0.95445194618131346</v>
      </c>
      <c r="F81" t="str">
        <f t="shared" si="30"/>
        <v>Jarinu</v>
      </c>
      <c r="G81">
        <f>_xlfn.XLOOKUP(C81,Jarinu!$C$55:$C$128,Jarinu!$O$55:$O$128)</f>
        <v>0</v>
      </c>
      <c r="H81">
        <f>_xlfn.XLOOKUP(C81,Jarinu!$C$55:$C$128,Jarinu!$M$55:$M$128," ")</f>
        <v>0</v>
      </c>
      <c r="I81" s="803">
        <f>_xlfn.XLOOKUP(C81,Jarinu!$C$55:$C$128,Jarinu!$J$55:$J$128)</f>
        <v>0</v>
      </c>
      <c r="J81" s="235" t="str">
        <f ca="1">INDEX(Jarinu!$AP$55:$AP$128, MATCH(C81, Jarinu!$C$55:$C$128, 0))</f>
        <v/>
      </c>
      <c r="K81" s="235" t="str" cm="1">
        <f t="array" aca="1" ref="K81" ca="1">INDEX(Jarinu!$AP$55:$AP$128, MATCH(C81, Jarinu!$C$55:$C$128, 0)+1)</f>
        <v/>
      </c>
      <c r="L81" s="235">
        <f>INDEX(Jarinu!$AH$55:$AH$128, MATCH(C81, Jarinu!$C$55:$C$128, 0))</f>
        <v>0</v>
      </c>
      <c r="M81" s="235"/>
      <c r="N81" s="235"/>
      <c r="O81" s="235"/>
      <c r="P81" s="235"/>
      <c r="Q81">
        <v>78</v>
      </c>
      <c r="R81" s="275">
        <f t="shared" si="26"/>
        <v>91200</v>
      </c>
      <c r="S81" t="str">
        <f t="shared" si="21"/>
        <v>56 -Redução de Peso Bruto do item SV001141LA / SV001142LA</v>
      </c>
      <c r="T81" t="str">
        <f t="shared" si="22"/>
        <v>Diadema</v>
      </c>
      <c r="U81" s="275">
        <f t="shared" si="27"/>
        <v>28666.410000000003</v>
      </c>
      <c r="V81" s="235" t="str">
        <f t="shared" ca="1" si="28"/>
        <v/>
      </c>
      <c r="W81" s="235" t="str">
        <f t="shared" ca="1" si="29"/>
        <v/>
      </c>
      <c r="X81" t="str">
        <f t="shared" si="23"/>
        <v>⏳ Em Execução</v>
      </c>
      <c r="Y81" s="803">
        <f t="shared" si="24"/>
        <v>46204</v>
      </c>
      <c r="Z81" t="str">
        <f t="shared" si="25"/>
        <v>OK</v>
      </c>
    </row>
    <row r="82" spans="1:26" ht="14.55" x14ac:dyDescent="0.3">
      <c r="A82">
        <v>13</v>
      </c>
      <c r="B82" s="235">
        <f>IFERROR(LARGE(Jarinu!$I$55:$I$128,A82)," ")</f>
        <v>47086</v>
      </c>
      <c r="C82" t="str">
        <f>IFERROR(INDEX(
    Jarinu!$C$55:$C$128,
    MATCH(
        B82,
        Jarinu!$I$55:$I$128,
        0
    )
), " ")</f>
        <v>25 - Redução de consumo de MTP China 2 porca (-10 mm)</v>
      </c>
      <c r="D82" s="806">
        <f t="shared" si="31"/>
        <v>1.2013441693982498E-2</v>
      </c>
      <c r="E82" s="362">
        <f t="shared" si="32"/>
        <v>0.96646538787529601</v>
      </c>
      <c r="F82" t="str">
        <f t="shared" si="30"/>
        <v>Jarinu</v>
      </c>
      <c r="G82" t="str">
        <f>_xlfn.XLOOKUP(C82,Jarinu!$C$55:$C$128,Jarinu!$O$55:$O$128)</f>
        <v>⏳ Em Execução</v>
      </c>
      <c r="H82" t="str">
        <f>_xlfn.XLOOKUP(C82,Jarinu!$C$55:$C$128,Jarinu!$M$55:$M$128," ")</f>
        <v>OK</v>
      </c>
      <c r="I82" s="803">
        <f>_xlfn.XLOOKUP(C82,Jarinu!$C$55:$C$128,Jarinu!$J$55:$J$128)</f>
        <v>46203</v>
      </c>
      <c r="J82" s="235" t="str">
        <f ca="1">INDEX(Jarinu!$AP$55:$AP$128, MATCH(C82, Jarinu!$C$55:$C$128, 0))</f>
        <v/>
      </c>
      <c r="K82" s="235" t="str" cm="1">
        <f t="array" aca="1" ref="K82" ca="1">INDEX(Jarinu!$AP$55:$AP$128, MATCH(C82, Jarinu!$C$55:$C$128, 0)+1)</f>
        <v/>
      </c>
      <c r="L82" s="235">
        <f>INDEX(Jarinu!$AH$55:$AH$128, MATCH(C82, Jarinu!$C$55:$C$128, 0))</f>
        <v>15246.0275</v>
      </c>
      <c r="M82" s="235"/>
      <c r="N82" s="235"/>
      <c r="O82" s="235"/>
      <c r="P82" s="235"/>
      <c r="Q82">
        <v>79</v>
      </c>
      <c r="R82" s="275">
        <f t="shared" si="26"/>
        <v>90850</v>
      </c>
      <c r="S82" t="str">
        <f t="shared" si="21"/>
        <v>24 - Redução de consumo de MTP China 1 porca (-10 mm)</v>
      </c>
      <c r="T82" t="str">
        <f t="shared" si="22"/>
        <v>Jarinu</v>
      </c>
      <c r="U82" s="275">
        <f t="shared" si="27"/>
        <v>41470.879999999997</v>
      </c>
      <c r="V82" s="235" t="str">
        <f t="shared" ca="1" si="28"/>
        <v/>
      </c>
      <c r="W82" s="235" t="str">
        <f t="shared" ca="1" si="29"/>
        <v/>
      </c>
      <c r="X82" t="str">
        <f t="shared" si="23"/>
        <v>⏳ Em Execução</v>
      </c>
      <c r="Y82" s="803">
        <f t="shared" si="24"/>
        <v>46174</v>
      </c>
      <c r="Z82" t="str">
        <f t="shared" si="25"/>
        <v>OK</v>
      </c>
    </row>
    <row r="83" spans="1:26" ht="14.55" x14ac:dyDescent="0.3">
      <c r="A83">
        <v>14</v>
      </c>
      <c r="B83" s="235">
        <f>IFERROR(LARGE(Jarinu!$I$55:$I$128,A83)," ")</f>
        <v>40000.00088</v>
      </c>
      <c r="C83" t="str">
        <f>IFERROR(INDEX(
    Jarinu!$C$55:$C$128,
    MATCH(
        B83,
        Jarinu!$I$55:$I$128,
        0
    )
), " ")</f>
        <v>39 - Venda de sucata de cobre</v>
      </c>
      <c r="D83" s="806">
        <f t="shared" si="31"/>
        <v>1.0205531969823909E-2</v>
      </c>
      <c r="E83" s="362">
        <f t="shared" si="32"/>
        <v>0.97667091984511989</v>
      </c>
      <c r="F83" t="str">
        <f t="shared" si="30"/>
        <v>Jarinu</v>
      </c>
      <c r="G83">
        <f ca="1">_xlfn.XLOOKUP(C83,Jarinu!$C$55:$C$128,Jarinu!$O$55:$O$128)</f>
        <v>1</v>
      </c>
      <c r="H83">
        <f>_xlfn.XLOOKUP(C83,Jarinu!$C$55:$C$128,Jarinu!$M$55:$M$128," ")</f>
        <v>0</v>
      </c>
      <c r="I83" s="803">
        <f>_xlfn.XLOOKUP(C83,Jarinu!$C$55:$C$128,Jarinu!$J$55:$J$128)</f>
        <v>46174</v>
      </c>
      <c r="J83" s="235" t="str">
        <f ca="1">INDEX(Jarinu!$AP$55:$AP$128, MATCH(C83, Jarinu!$C$55:$C$128, 0))</f>
        <v/>
      </c>
      <c r="K83" s="235" t="str" cm="1">
        <f t="array" aca="1" ref="K83" ca="1">INDEX(Jarinu!$AP$55:$AP$128, MATCH(C83, Jarinu!$C$55:$C$128, 0)+1)</f>
        <v/>
      </c>
      <c r="L83" s="235">
        <f>INDEX(Jarinu!$AH$55:$AH$128, MATCH(C83, Jarinu!$C$55:$C$128, 0))</f>
        <v>10000.00022</v>
      </c>
      <c r="M83" s="235"/>
      <c r="N83" s="235"/>
      <c r="O83" s="235"/>
      <c r="P83" s="235"/>
      <c r="Q83">
        <v>80</v>
      </c>
      <c r="R83" s="275">
        <f t="shared" si="26"/>
        <v>90000.000000098997</v>
      </c>
      <c r="S83" t="str">
        <f t="shared" si="21"/>
        <v>27 - DA000459AA - STC Volvo_</v>
      </c>
      <c r="T83" t="str">
        <f t="shared" si="22"/>
        <v>Diadema</v>
      </c>
      <c r="U83" s="275">
        <f t="shared" si="27"/>
        <v>41632.629999999997</v>
      </c>
      <c r="V83" s="235" t="str">
        <f t="shared" ca="1" si="28"/>
        <v/>
      </c>
      <c r="W83" s="235" t="str">
        <f t="shared" ca="1" si="29"/>
        <v/>
      </c>
      <c r="X83" t="str">
        <f t="shared" si="23"/>
        <v>✓ Concluído</v>
      </c>
      <c r="Y83" s="803">
        <f t="shared" si="24"/>
        <v>46174</v>
      </c>
      <c r="Z83" t="str">
        <f t="shared" si="25"/>
        <v>OK</v>
      </c>
    </row>
    <row r="84" spans="1:26" ht="14.55" x14ac:dyDescent="0.3">
      <c r="A84">
        <v>15</v>
      </c>
      <c r="B84" s="235">
        <f>IFERROR(LARGE(Jarinu!$I$55:$I$128,A84)," ")</f>
        <v>34645</v>
      </c>
      <c r="C84" t="str">
        <f>IFERROR(INDEX(
    Jarinu!$C$55:$C$128,
    MATCH(
        B84,
        Jarinu!$I$55:$I$128,
        0
    )
), " ")</f>
        <v>15 - Redução de consumo no slitter dos itens VW000950AA/951AA</v>
      </c>
      <c r="D84" s="806">
        <f t="shared" si="31"/>
        <v>8.8392661828998777E-3</v>
      </c>
      <c r="E84" s="362">
        <f t="shared" si="32"/>
        <v>0.98551018602801976</v>
      </c>
      <c r="F84" t="str">
        <f t="shared" si="30"/>
        <v>Jarinu</v>
      </c>
      <c r="G84" t="str">
        <f>_xlfn.XLOOKUP(C84,Jarinu!$C$55:$C$128,Jarinu!$O$55:$O$128)</f>
        <v>⏳ Em Execução</v>
      </c>
      <c r="H84" t="str">
        <f>_xlfn.XLOOKUP(C84,Jarinu!$C$55:$C$128,Jarinu!$M$55:$M$128," ")</f>
        <v>OK</v>
      </c>
      <c r="I84" s="803">
        <f>_xlfn.XLOOKUP(C84,Jarinu!$C$55:$C$128,Jarinu!$J$55:$J$128)</f>
        <v>46174</v>
      </c>
      <c r="J84" s="235" t="str">
        <f ca="1">INDEX(Jarinu!$AP$55:$AP$128, MATCH(C84, Jarinu!$C$55:$C$128, 0))</f>
        <v/>
      </c>
      <c r="K84" s="235" t="str" cm="1">
        <f t="array" aca="1" ref="K84" ca="1">INDEX(Jarinu!$AP$55:$AP$128, MATCH(C84, Jarinu!$C$55:$C$128, 0)+1)</f>
        <v/>
      </c>
      <c r="L84" s="235">
        <f>INDEX(Jarinu!$AH$55:$AH$128, MATCH(C84, Jarinu!$C$55:$C$128, 0))</f>
        <v>11812.067499999999</v>
      </c>
      <c r="M84" s="235"/>
      <c r="N84" s="235"/>
      <c r="O84" s="235"/>
      <c r="P84" s="235"/>
      <c r="Q84">
        <v>81</v>
      </c>
      <c r="R84" s="275">
        <f t="shared" si="26"/>
        <v>90000</v>
      </c>
      <c r="S84" t="str">
        <f t="shared" si="21"/>
        <v>15 - Enclausuramento do jato granalha</v>
      </c>
      <c r="T84" t="str">
        <f t="shared" si="22"/>
        <v>Ferraz</v>
      </c>
      <c r="U84" s="275">
        <f t="shared" si="27"/>
        <v>0</v>
      </c>
      <c r="V84" s="235" t="str">
        <f t="shared" ca="1" si="28"/>
        <v/>
      </c>
      <c r="W84" s="235" t="str">
        <f t="shared" ca="1" si="29"/>
        <v/>
      </c>
      <c r="X84" t="str">
        <f t="shared" si="23"/>
        <v>📝 Não iniciado</v>
      </c>
      <c r="Y84" s="803">
        <f t="shared" si="24"/>
        <v>0</v>
      </c>
      <c r="Z84" t="str">
        <f t="shared" si="25"/>
        <v/>
      </c>
    </row>
    <row r="85" spans="1:26" ht="14.55" x14ac:dyDescent="0.3">
      <c r="A85">
        <v>16</v>
      </c>
      <c r="B85" s="235">
        <f>IFERROR(LARGE(Jarinu!$I$55:$I$128,A85)," ")</f>
        <v>24120</v>
      </c>
      <c r="C85" t="str">
        <f>IFERROR(INDEX(
    Jarinu!$C$55:$C$128,
    MATCH(
        B85,
        Jarinu!$I$55:$I$128,
        0
    )
), " ")</f>
        <v>14 - Redução de consumo no passo do blank dos itens VW000950AA/951AA</v>
      </c>
      <c r="D85" s="806">
        <f t="shared" si="31"/>
        <v>6.1539356424172333E-3</v>
      </c>
      <c r="E85" s="362">
        <f t="shared" si="32"/>
        <v>0.99166412167043705</v>
      </c>
      <c r="F85" t="str">
        <f t="shared" si="30"/>
        <v>Jarinu</v>
      </c>
      <c r="G85" t="str">
        <f>_xlfn.XLOOKUP(C85,Jarinu!$C$55:$C$128,Jarinu!$O$55:$O$128)</f>
        <v>✓ Concluído</v>
      </c>
      <c r="H85" t="str">
        <f>_xlfn.XLOOKUP(C85,Jarinu!$C$55:$C$128,Jarinu!$M$55:$M$128," ")</f>
        <v>OK</v>
      </c>
      <c r="I85" s="803">
        <f>_xlfn.XLOOKUP(C85,Jarinu!$C$55:$C$128,Jarinu!$J$55:$J$128)</f>
        <v>46143</v>
      </c>
      <c r="J85" s="235">
        <f ca="1">INDEX(Jarinu!$AP$55:$AP$128, MATCH(C85, Jarinu!$C$55:$C$128, 0))</f>
        <v>935.68833333333339</v>
      </c>
      <c r="K85" s="235" t="str" cm="1">
        <f t="array" aca="1" ref="K85" ca="1">INDEX(Jarinu!$AP$55:$AP$128, MATCH(C85, Jarinu!$C$55:$C$128, 0)+1)</f>
        <v/>
      </c>
      <c r="L85" s="235">
        <f>INDEX(Jarinu!$AH$55:$AH$128, MATCH(C85, Jarinu!$C$55:$C$128, 0))</f>
        <v>2807.0650000000001</v>
      </c>
      <c r="M85" s="235"/>
      <c r="N85" s="235"/>
      <c r="O85" s="235"/>
      <c r="P85" s="235"/>
      <c r="Q85">
        <v>82</v>
      </c>
      <c r="R85" s="275">
        <f t="shared" si="26"/>
        <v>83880.740000000005</v>
      </c>
      <c r="S85" t="str">
        <f t="shared" si="21"/>
        <v>BID Poliuretano Expansivo</v>
      </c>
      <c r="T85" t="str">
        <f t="shared" si="22"/>
        <v>Compras</v>
      </c>
      <c r="U85" s="275">
        <f t="shared" si="27"/>
        <v>27960.24666666667</v>
      </c>
      <c r="V85" s="235" t="str">
        <f t="shared" ca="1" si="28"/>
        <v/>
      </c>
      <c r="W85" s="235" t="str">
        <f t="shared" ca="1" si="29"/>
        <v/>
      </c>
      <c r="X85" t="str">
        <f t="shared" si="23"/>
        <v>⏳ Em Execução</v>
      </c>
      <c r="Y85" s="803">
        <f t="shared" si="24"/>
        <v>46266</v>
      </c>
      <c r="Z85" t="str">
        <f t="shared" si="25"/>
        <v/>
      </c>
    </row>
    <row r="86" spans="1:26" ht="14.55" x14ac:dyDescent="0.3">
      <c r="A86">
        <v>17</v>
      </c>
      <c r="B86" s="235">
        <f>IFERROR(LARGE(Jarinu!$I$55:$I$128,A86)," ")</f>
        <v>19309</v>
      </c>
      <c r="C86" t="str">
        <f>IFERROR(INDEX(
    Jarinu!$C$55:$C$128,
    MATCH(
        B86,
        Jarinu!$I$55:$I$128,
        0
    )
), " ")</f>
        <v>23 - Redução do consumo de MTP VW000938AB (- 3 mm no passo)</v>
      </c>
      <c r="D86" s="806">
        <f t="shared" si="31"/>
        <v>4.9264653117510101E-3</v>
      </c>
      <c r="E86" s="362">
        <f t="shared" si="32"/>
        <v>0.99659058698218805</v>
      </c>
      <c r="F86" t="str">
        <f t="shared" si="30"/>
        <v>Jarinu</v>
      </c>
      <c r="G86" t="str">
        <f>_xlfn.XLOOKUP(C86,Jarinu!$C$55:$C$128,Jarinu!$O$55:$O$128)</f>
        <v>⏳ Em Execução</v>
      </c>
      <c r="H86" t="str">
        <f>_xlfn.XLOOKUP(C86,Jarinu!$C$55:$C$128,Jarinu!$M$55:$M$128," ")</f>
        <v>OK</v>
      </c>
      <c r="I86" s="803">
        <f>_xlfn.XLOOKUP(C86,Jarinu!$C$55:$C$128,Jarinu!$J$55:$J$128)</f>
        <v>46113</v>
      </c>
      <c r="J86" s="235">
        <f ca="1">INDEX(Jarinu!$AP$55:$AP$128, MATCH(C86, Jarinu!$C$55:$C$128, 0))</f>
        <v>2648.2584999999999</v>
      </c>
      <c r="K86" s="235" cm="1">
        <f t="array" aca="1" ref="K86" ca="1">INDEX(Jarinu!$AP$55:$AP$128, MATCH(C86, Jarinu!$C$55:$C$128, 0)+1)</f>
        <v>3093.1713301104164</v>
      </c>
      <c r="L86" s="235">
        <f>INDEX(Jarinu!$AH$55:$AH$128, MATCH(C86, Jarinu!$C$55:$C$128, 0))</f>
        <v>3972.3877499999999</v>
      </c>
      <c r="M86" s="235"/>
      <c r="N86" s="235"/>
      <c r="O86" s="235"/>
      <c r="P86" s="235"/>
      <c r="Q86">
        <v>83</v>
      </c>
      <c r="R86" s="275">
        <f t="shared" si="26"/>
        <v>82981.320000000007</v>
      </c>
      <c r="S86" t="str">
        <f t="shared" si="21"/>
        <v>15- Redução do custo mensal de empilhadeira locada (LOCAPEX).</v>
      </c>
      <c r="T86" t="str">
        <f t="shared" si="22"/>
        <v>São leopoldo</v>
      </c>
      <c r="U86" s="275">
        <f t="shared" si="27"/>
        <v>13303.344999999998</v>
      </c>
      <c r="V86" s="235">
        <f t="shared" ca="1" si="28"/>
        <v>8868.8966666666656</v>
      </c>
      <c r="W86" s="235">
        <f t="shared" ca="1" si="29"/>
        <v>9965.119999999999</v>
      </c>
      <c r="X86" t="str">
        <f t="shared" si="23"/>
        <v>⏳ Em Execução</v>
      </c>
      <c r="Y86" s="803">
        <f t="shared" si="24"/>
        <v>46113</v>
      </c>
      <c r="Z86" t="str">
        <f t="shared" si="25"/>
        <v>OK</v>
      </c>
    </row>
    <row r="87" spans="1:26" ht="14.55" x14ac:dyDescent="0.3">
      <c r="A87">
        <v>18</v>
      </c>
      <c r="B87" s="235">
        <f>IFERROR(LARGE(Jarinu!$I$55:$I$128,A87)," ")</f>
        <v>9639</v>
      </c>
      <c r="C87" t="str">
        <f>IFERROR(INDEX(
    Jarinu!$C$55:$C$128,
    MATCH(
        B87,
        Jarinu!$I$55:$I$128,
        0
    )
), " ")</f>
        <v>29 - Redução do consumo MTP no passo do Blank VW000942AB / 943AB -5MM</v>
      </c>
      <c r="D87" s="806">
        <f t="shared" si="31"/>
        <v>2.4592780123242003E-3</v>
      </c>
      <c r="E87" s="362">
        <f t="shared" si="32"/>
        <v>0.9990498649945122</v>
      </c>
      <c r="F87" t="str">
        <f t="shared" si="30"/>
        <v>Jarinu</v>
      </c>
      <c r="G87" t="str">
        <f>_xlfn.XLOOKUP(C87,Jarinu!$C$55:$C$128,Jarinu!$O$55:$O$128)</f>
        <v>⏳ Em Execução</v>
      </c>
      <c r="H87" t="str">
        <f>_xlfn.XLOOKUP(C87,Jarinu!$C$55:$C$128,Jarinu!$M$55:$M$128," ")</f>
        <v>OK</v>
      </c>
      <c r="I87" s="803">
        <f>_xlfn.XLOOKUP(C87,Jarinu!$C$55:$C$128,Jarinu!$J$55:$J$128)</f>
        <v>46142</v>
      </c>
      <c r="J87" s="235">
        <f ca="1">INDEX(Jarinu!$AP$55:$AP$128, MATCH(C87, Jarinu!$C$55:$C$128, 0))</f>
        <v>3767.4516666666664</v>
      </c>
      <c r="K87" s="235" t="str" cm="1">
        <f t="array" aca="1" ref="K87" ca="1">INDEX(Jarinu!$AP$55:$AP$128, MATCH(C87, Jarinu!$C$55:$C$128, 0)+1)</f>
        <v/>
      </c>
      <c r="L87" s="235">
        <f>INDEX(Jarinu!$AH$55:$AH$128, MATCH(C87, Jarinu!$C$55:$C$128, 0))</f>
        <v>5651.1774999999998</v>
      </c>
      <c r="M87" s="235"/>
      <c r="N87" s="235"/>
      <c r="O87" s="235"/>
      <c r="P87" s="235"/>
      <c r="Q87">
        <v>84</v>
      </c>
      <c r="R87" s="275">
        <f t="shared" si="26"/>
        <v>75733</v>
      </c>
      <c r="S87" t="str">
        <f t="shared" si="21"/>
        <v>04 - Redução da largura dos slitters</v>
      </c>
      <c r="T87" t="str">
        <f t="shared" si="22"/>
        <v>Jarinu</v>
      </c>
      <c r="U87" s="275">
        <f t="shared" si="27"/>
        <v>18933.25</v>
      </c>
      <c r="V87" s="235" t="str">
        <f t="shared" ca="1" si="28"/>
        <v/>
      </c>
      <c r="W87" s="235" t="str">
        <f t="shared" ca="1" si="29"/>
        <v/>
      </c>
      <c r="X87" t="str">
        <f t="shared" si="23"/>
        <v>⏳ Em Execução</v>
      </c>
      <c r="Y87" s="803">
        <f t="shared" si="24"/>
        <v>46174</v>
      </c>
      <c r="Z87" t="str">
        <f t="shared" si="25"/>
        <v/>
      </c>
    </row>
    <row r="88" spans="1:26" x14ac:dyDescent="0.3">
      <c r="A88">
        <v>19</v>
      </c>
      <c r="B88" s="235">
        <f>IFERROR(LARGE(Jarinu!$I$55:$I$128,A88)," ")</f>
        <v>2500</v>
      </c>
      <c r="C88" t="str">
        <f>IFERROR(INDEX(
    Jarinu!$C$55:$C$128,
    MATCH(
        B88,
        Jarinu!$I$55:$I$128,
        0
    )
), " ")</f>
        <v>33- Rollout impressora Administrativo</v>
      </c>
      <c r="D88" s="806">
        <f t="shared" si="31"/>
        <v>6.3784573408138818E-4</v>
      </c>
      <c r="E88" s="362">
        <f t="shared" si="32"/>
        <v>0.99968771072859364</v>
      </c>
      <c r="F88" t="str">
        <f t="shared" si="30"/>
        <v>Jarinu</v>
      </c>
      <c r="G88" t="str">
        <f>_xlfn.XLOOKUP(C88,Jarinu!$C$55:$C$128,Jarinu!$O$55:$O$128)</f>
        <v>⏳ Em Execução</v>
      </c>
      <c r="H88">
        <f>_xlfn.XLOOKUP(C88,Jarinu!$C$55:$C$128,Jarinu!$M$55:$M$128," ")</f>
        <v>0</v>
      </c>
      <c r="I88" s="803">
        <f>_xlfn.XLOOKUP(C88,Jarinu!$C$55:$C$128,Jarinu!$J$55:$J$128)</f>
        <v>0</v>
      </c>
      <c r="J88" s="235" t="str">
        <f ca="1">INDEX(Jarinu!$AP$55:$AP$128, MATCH(C88, Jarinu!$C$55:$C$128, 0))</f>
        <v/>
      </c>
      <c r="K88" s="235" t="str" cm="1">
        <f t="array" aca="1" ref="K88" ca="1">INDEX(Jarinu!$AP$55:$AP$128, MATCH(C88, Jarinu!$C$55:$C$128, 0)+1)</f>
        <v/>
      </c>
      <c r="L88" s="235">
        <f>INDEX(Jarinu!$AH$55:$AH$128, MATCH(C88, Jarinu!$C$55:$C$128, 0))</f>
        <v>0</v>
      </c>
      <c r="M88" s="235"/>
      <c r="N88" s="235"/>
      <c r="O88" s="235"/>
      <c r="P88" s="235"/>
      <c r="Q88">
        <v>85</v>
      </c>
      <c r="R88" s="275">
        <f t="shared" si="26"/>
        <v>72408</v>
      </c>
      <c r="S88" t="str">
        <f t="shared" si="21"/>
        <v>Modalidade Tarifária</v>
      </c>
      <c r="T88" t="str">
        <f t="shared" si="22"/>
        <v>Compras</v>
      </c>
      <c r="U88" s="275">
        <f t="shared" si="27"/>
        <v>60340</v>
      </c>
      <c r="V88" s="235">
        <f t="shared" ca="1" si="28"/>
        <v>18102</v>
      </c>
      <c r="W88" s="235" t="str">
        <f t="shared" ca="1" si="29"/>
        <v/>
      </c>
      <c r="X88" t="str">
        <f t="shared" si="23"/>
        <v>✓ Concluído</v>
      </c>
      <c r="Y88" s="803">
        <f t="shared" si="24"/>
        <v>46111</v>
      </c>
      <c r="Z88" t="str">
        <f t="shared" si="25"/>
        <v/>
      </c>
    </row>
    <row r="89" spans="1:26" ht="14.55" x14ac:dyDescent="0.3">
      <c r="A89">
        <v>20</v>
      </c>
      <c r="B89" s="235">
        <f>IFERROR(LARGE(Jarinu!$I$55:$I$128,A89)," ")</f>
        <v>1224</v>
      </c>
      <c r="C89" t="str">
        <f>IFERROR(INDEX(
    Jarinu!$C$55:$C$128,
    MATCH(
        B89,
        Jarinu!$I$55:$I$128,
        0
    )
), " ")</f>
        <v>31 - Redução impressora Backup</v>
      </c>
      <c r="D89" s="806">
        <f t="shared" si="31"/>
        <v>3.1228927140624767E-4</v>
      </c>
      <c r="E89" s="362">
        <f t="shared" si="32"/>
        <v>0.99999999999999989</v>
      </c>
      <c r="F89" t="str">
        <f t="shared" si="30"/>
        <v>Jarinu</v>
      </c>
      <c r="G89" t="str">
        <f>_xlfn.XLOOKUP(C89,Jarinu!$C$55:$C$128,Jarinu!$O$55:$O$128)</f>
        <v>⏳ Em Execução</v>
      </c>
      <c r="H89" t="str">
        <f>_xlfn.XLOOKUP(C89,Jarinu!$C$55:$C$128,Jarinu!$M$55:$M$128," ")</f>
        <v>OK</v>
      </c>
      <c r="I89" s="803">
        <f>_xlfn.XLOOKUP(C89,Jarinu!$C$55:$C$128,Jarinu!$J$55:$J$128)</f>
        <v>46113</v>
      </c>
      <c r="J89" s="235">
        <f ca="1">INDEX(Jarinu!$AP$55:$AP$128, MATCH(C89, Jarinu!$C$55:$C$128, 0))</f>
        <v>204</v>
      </c>
      <c r="K89" s="235" cm="1">
        <f t="array" aca="1" ref="K89" ca="1">INDEX(Jarinu!$AP$55:$AP$128, MATCH(C89, Jarinu!$C$55:$C$128, 0)+1)</f>
        <v>204</v>
      </c>
      <c r="L89" s="235">
        <f>INDEX(Jarinu!$AH$55:$AH$128, MATCH(C89, Jarinu!$C$55:$C$128, 0))</f>
        <v>306</v>
      </c>
      <c r="M89" s="235"/>
      <c r="N89" s="235"/>
      <c r="O89" s="235"/>
      <c r="P89" s="235"/>
      <c r="Q89">
        <v>86</v>
      </c>
      <c r="R89" s="275">
        <f t="shared" si="26"/>
        <v>69600</v>
      </c>
      <c r="S89" t="str">
        <f t="shared" si="21"/>
        <v xml:space="preserve">23 - Devolução das máquinas de solda alugadas </v>
      </c>
      <c r="T89" t="str">
        <f t="shared" si="22"/>
        <v>Ferraz</v>
      </c>
      <c r="U89" s="275">
        <f t="shared" si="27"/>
        <v>0</v>
      </c>
      <c r="V89" s="235" t="str">
        <f t="shared" ca="1" si="28"/>
        <v/>
      </c>
      <c r="W89" s="235" t="str">
        <f t="shared" ca="1" si="29"/>
        <v/>
      </c>
      <c r="X89" t="str">
        <f t="shared" si="23"/>
        <v>✓ Concluído</v>
      </c>
      <c r="Y89" s="803">
        <f t="shared" si="24"/>
        <v>0</v>
      </c>
      <c r="Z89" t="str">
        <f t="shared" si="25"/>
        <v/>
      </c>
    </row>
    <row r="90" spans="1:26" ht="14.55" x14ac:dyDescent="0.3">
      <c r="A90">
        <v>21</v>
      </c>
      <c r="B90" s="235" t="str">
        <f>IFERROR(LARGE(Jarinu!$I$55:$I$128,A90)," ")</f>
        <v xml:space="preserve"> </v>
      </c>
      <c r="C90" t="str">
        <f>IFERROR(INDEX(
    Jarinu!$C$55:$C$128,
    MATCH(
        B90,
        Jarinu!$I$55:$I$128,
        0
    )
), " ")</f>
        <v xml:space="preserve"> </v>
      </c>
      <c r="D90" s="806" t="str">
        <f t="shared" si="31"/>
        <v xml:space="preserve"> </v>
      </c>
      <c r="E90" s="362" t="str">
        <f t="shared" si="32"/>
        <v xml:space="preserve"> </v>
      </c>
      <c r="F90" t="str">
        <f t="shared" si="30"/>
        <v>Jarinu</v>
      </c>
      <c r="G90" t="e">
        <f>_xlfn.XLOOKUP(C90,Jarinu!$C$55:$C$128,Jarinu!$O$55:$O$128)</f>
        <v>#N/A</v>
      </c>
      <c r="H90" t="str">
        <f>_xlfn.XLOOKUP(C90,Jarinu!$C$55:$C$128,Jarinu!$M$55:$M$128," ")</f>
        <v xml:space="preserve"> </v>
      </c>
      <c r="I90" s="803" t="e">
        <f>_xlfn.XLOOKUP(C90,Jarinu!$C$55:$C$128,Jarinu!$J$55:$J$128)</f>
        <v>#N/A</v>
      </c>
      <c r="J90" s="235" t="e">
        <f>INDEX(Jarinu!$AP$55:$AP$128, MATCH(C90, Jarinu!$C$55:$C$128, 0))</f>
        <v>#N/A</v>
      </c>
      <c r="K90" s="235" t="e" cm="1">
        <f t="array" ref="K90">INDEX(Jarinu!$AP$55:$AP$128, MATCH(C90, Jarinu!$C$55:$C$128, 0)+1)</f>
        <v>#N/A</v>
      </c>
      <c r="L90" s="235" t="e">
        <f>INDEX(Jarinu!$AH$55:$AH$128, MATCH(C90, Jarinu!$C$55:$C$128, 0))</f>
        <v>#N/A</v>
      </c>
      <c r="M90" s="235"/>
      <c r="N90" s="235"/>
      <c r="O90" s="235"/>
      <c r="P90" s="235"/>
      <c r="Q90">
        <v>87</v>
      </c>
      <c r="R90" s="275">
        <f t="shared" si="26"/>
        <v>68000</v>
      </c>
      <c r="S90" t="str">
        <f t="shared" si="21"/>
        <v>05 - Empilhadeira - Diadema</v>
      </c>
      <c r="T90" t="str">
        <f t="shared" si="22"/>
        <v>Diadema</v>
      </c>
      <c r="U90" s="275">
        <f t="shared" si="27"/>
        <v>56610.759999999995</v>
      </c>
      <c r="V90" s="235">
        <f t="shared" ca="1" si="28"/>
        <v>16983.227999999999</v>
      </c>
      <c r="W90" s="235">
        <f t="shared" ca="1" si="29"/>
        <v>15439.297500000008</v>
      </c>
      <c r="X90" t="str">
        <f t="shared" si="23"/>
        <v>✓ Concluído</v>
      </c>
      <c r="Y90" s="803">
        <f t="shared" si="24"/>
        <v>46082</v>
      </c>
      <c r="Z90" t="str">
        <f t="shared" si="25"/>
        <v>OK</v>
      </c>
    </row>
    <row r="91" spans="1:26" ht="14.55" x14ac:dyDescent="0.3">
      <c r="A91">
        <v>22</v>
      </c>
      <c r="B91" s="235" t="str">
        <f>IFERROR(LARGE(Jarinu!$I$55:$I$128,A91)," ")</f>
        <v xml:space="preserve"> </v>
      </c>
      <c r="C91" t="str">
        <f>IFERROR(INDEX(
    Jarinu!$C$55:$C$128,
    MATCH(
        B91,
        Jarinu!$I$55:$I$128,
        0
    )
), " ")</f>
        <v xml:space="preserve"> </v>
      </c>
      <c r="D91" s="806" t="str">
        <f t="shared" si="31"/>
        <v xml:space="preserve"> </v>
      </c>
      <c r="E91" s="362" t="str">
        <f t="shared" si="32"/>
        <v xml:space="preserve"> </v>
      </c>
      <c r="F91" t="str">
        <f t="shared" si="30"/>
        <v>Jarinu</v>
      </c>
      <c r="G91" t="e">
        <f>_xlfn.XLOOKUP(C91,Jarinu!$C$55:$C$128,Jarinu!$O$55:$O$128)</f>
        <v>#N/A</v>
      </c>
      <c r="H91" t="str">
        <f>_xlfn.XLOOKUP(C91,Jarinu!$C$55:$C$128,Jarinu!$M$55:$M$128," ")</f>
        <v xml:space="preserve"> </v>
      </c>
      <c r="I91" s="803" t="e">
        <f>_xlfn.XLOOKUP(C91,Jarinu!$C$55:$C$128,Jarinu!$J$55:$J$128)</f>
        <v>#N/A</v>
      </c>
      <c r="J91" s="235" t="e">
        <f>INDEX(Jarinu!$AP$55:$AP$128, MATCH(C91, Jarinu!$C$55:$C$128, 0))</f>
        <v>#N/A</v>
      </c>
      <c r="K91" s="235" t="e" cm="1">
        <f t="array" ref="K91">INDEX(Jarinu!$AP$55:$AP$128, MATCH(C91, Jarinu!$C$55:$C$128, 0)+1)</f>
        <v>#N/A</v>
      </c>
      <c r="L91" s="235" t="e">
        <f>INDEX(Jarinu!$AH$55:$AH$128, MATCH(C91, Jarinu!$C$55:$C$128, 0))</f>
        <v>#N/A</v>
      </c>
      <c r="M91" s="235"/>
      <c r="N91" s="235"/>
      <c r="O91" s="235"/>
      <c r="P91" s="235"/>
      <c r="Q91">
        <v>88</v>
      </c>
      <c r="R91" s="275">
        <f t="shared" si="26"/>
        <v>63600</v>
      </c>
      <c r="S91" t="str">
        <f t="shared" si="21"/>
        <v>49 - REDUÇÃO DE MP GM000408Z / GM000409Z</v>
      </c>
      <c r="T91" t="str">
        <f t="shared" si="22"/>
        <v>Diadema</v>
      </c>
      <c r="U91" s="275">
        <f t="shared" si="27"/>
        <v>63600</v>
      </c>
      <c r="V91" s="235" t="str">
        <f t="shared" ca="1" si="28"/>
        <v/>
      </c>
      <c r="W91" s="235" t="str">
        <f t="shared" ca="1" si="29"/>
        <v/>
      </c>
      <c r="X91" t="str">
        <f t="shared" si="23"/>
        <v>⏳ Em Execução</v>
      </c>
      <c r="Y91" s="803">
        <f t="shared" si="24"/>
        <v>46204</v>
      </c>
      <c r="Z91" t="str">
        <f t="shared" si="25"/>
        <v/>
      </c>
    </row>
    <row r="92" spans="1:26" x14ac:dyDescent="0.3">
      <c r="A92">
        <v>23</v>
      </c>
      <c r="B92" s="235" t="str">
        <f>IFERROR(LARGE(Jarinu!$I$55:$I$128,A92)," ")</f>
        <v xml:space="preserve"> </v>
      </c>
      <c r="C92" t="str">
        <f>IFERROR(INDEX(
    Jarinu!$C$55:$C$128,
    MATCH(
        B92,
        Jarinu!$I$55:$I$128,
        0
    )
), " ")</f>
        <v xml:space="preserve"> </v>
      </c>
      <c r="D92" s="806" t="str">
        <f t="shared" si="31"/>
        <v xml:space="preserve"> </v>
      </c>
      <c r="E92" s="362" t="str">
        <f t="shared" si="32"/>
        <v xml:space="preserve"> </v>
      </c>
      <c r="F92" t="str">
        <f t="shared" si="30"/>
        <v>Jarinu</v>
      </c>
      <c r="G92" t="e">
        <f>_xlfn.XLOOKUP(C92,Jarinu!$C$55:$C$128,Jarinu!$O$55:$O$128)</f>
        <v>#N/A</v>
      </c>
      <c r="H92" t="str">
        <f>_xlfn.XLOOKUP(C92,Jarinu!$C$55:$C$128,Jarinu!$M$55:$M$128," ")</f>
        <v xml:space="preserve"> </v>
      </c>
      <c r="I92" s="803" t="e">
        <f>_xlfn.XLOOKUP(C92,Jarinu!$C$55:$C$128,Jarinu!$J$55:$J$128)</f>
        <v>#N/A</v>
      </c>
      <c r="J92" s="235" t="e">
        <f>INDEX(Jarinu!$AP$55:$AP$128, MATCH(C92, Jarinu!$C$55:$C$128, 0))</f>
        <v>#N/A</v>
      </c>
      <c r="K92" s="235" t="e" cm="1">
        <f t="array" ref="K92">INDEX(Jarinu!$AP$55:$AP$128, MATCH(C92, Jarinu!$C$55:$C$128, 0)+1)</f>
        <v>#N/A</v>
      </c>
      <c r="L92" s="235" t="e">
        <f>INDEX(Jarinu!$AH$55:$AH$128, MATCH(C92, Jarinu!$C$55:$C$128, 0))</f>
        <v>#N/A</v>
      </c>
      <c r="M92" s="235"/>
      <c r="N92" s="235"/>
      <c r="O92" s="235"/>
      <c r="P92" s="235"/>
      <c r="Q92">
        <v>89</v>
      </c>
      <c r="R92" s="275">
        <f t="shared" si="26"/>
        <v>63045.48</v>
      </c>
      <c r="S92" t="str">
        <f t="shared" si="21"/>
        <v>Destinação Borra Plasma Ferraz</v>
      </c>
      <c r="T92" t="str">
        <f t="shared" si="22"/>
        <v>Compras</v>
      </c>
      <c r="U92" s="275">
        <f t="shared" si="27"/>
        <v>42030.32</v>
      </c>
      <c r="V92" s="235">
        <f t="shared" ca="1" si="28"/>
        <v>5253.79</v>
      </c>
      <c r="W92" s="235" t="str">
        <f t="shared" ca="1" si="29"/>
        <v/>
      </c>
      <c r="X92" t="str">
        <f t="shared" si="23"/>
        <v>✓ Concluído</v>
      </c>
      <c r="Y92" s="803">
        <f t="shared" si="24"/>
        <v>46143</v>
      </c>
      <c r="Z92" t="str">
        <f t="shared" si="25"/>
        <v/>
      </c>
    </row>
    <row r="93" spans="1:26" ht="14.55" x14ac:dyDescent="0.3">
      <c r="A93">
        <v>24</v>
      </c>
      <c r="B93" s="235" t="str">
        <f>IFERROR(LARGE(Jarinu!$I$55:$I$128,A93)," ")</f>
        <v xml:space="preserve"> </v>
      </c>
      <c r="C93" t="str">
        <f>IFERROR(INDEX(
    Jarinu!$C$55:$C$128,
    MATCH(
        B93,
        Jarinu!$I$55:$I$128,
        0
    )
), " ")</f>
        <v xml:space="preserve"> </v>
      </c>
      <c r="D93" s="806" t="str">
        <f t="shared" si="31"/>
        <v xml:space="preserve"> </v>
      </c>
      <c r="E93" s="362" t="str">
        <f t="shared" si="32"/>
        <v xml:space="preserve"> </v>
      </c>
      <c r="F93" t="str">
        <f t="shared" si="30"/>
        <v>Jarinu</v>
      </c>
      <c r="G93" t="e">
        <f>_xlfn.XLOOKUP(C93,Jarinu!$C$55:$C$128,Jarinu!$O$55:$O$128)</f>
        <v>#N/A</v>
      </c>
      <c r="H93" t="str">
        <f>_xlfn.XLOOKUP(C93,Jarinu!$C$55:$C$128,Jarinu!$M$55:$M$128," ")</f>
        <v xml:space="preserve"> </v>
      </c>
      <c r="I93" s="803" t="e">
        <f>_xlfn.XLOOKUP(C93,Jarinu!$C$55:$C$128,Jarinu!$J$55:$J$128)</f>
        <v>#N/A</v>
      </c>
      <c r="J93" s="235" t="e">
        <f>INDEX(Jarinu!$AP$55:$AP$128, MATCH(C93, Jarinu!$C$55:$C$128, 0))</f>
        <v>#N/A</v>
      </c>
      <c r="K93" s="235" t="e" cm="1">
        <f t="array" ref="K93">INDEX(Jarinu!$AP$55:$AP$128, MATCH(C93, Jarinu!$C$55:$C$128, 0)+1)</f>
        <v>#N/A</v>
      </c>
      <c r="L93" s="235" t="e">
        <f>INDEX(Jarinu!$AH$55:$AH$128, MATCH(C93, Jarinu!$C$55:$C$128, 0))</f>
        <v>#N/A</v>
      </c>
      <c r="M93" s="235"/>
      <c r="N93" s="235"/>
      <c r="O93" s="235"/>
      <c r="P93" s="235"/>
      <c r="Q93">
        <v>90</v>
      </c>
      <c r="R93" s="275">
        <f t="shared" si="26"/>
        <v>62210</v>
      </c>
      <c r="S93" t="str">
        <f t="shared" si="21"/>
        <v>40 - Redução de disperdicio bobina.</v>
      </c>
      <c r="T93" t="str">
        <f t="shared" si="22"/>
        <v>Jarinu</v>
      </c>
      <c r="U93" s="275">
        <f t="shared" si="27"/>
        <v>0</v>
      </c>
      <c r="V93" s="235" t="str">
        <f t="shared" ca="1" si="28"/>
        <v/>
      </c>
      <c r="W93" s="235" t="str">
        <f t="shared" ca="1" si="29"/>
        <v/>
      </c>
      <c r="X93">
        <f t="shared" si="23"/>
        <v>0</v>
      </c>
      <c r="Y93" s="803">
        <f t="shared" si="24"/>
        <v>0</v>
      </c>
      <c r="Z93" t="str">
        <f t="shared" si="25"/>
        <v/>
      </c>
    </row>
    <row r="94" spans="1:26" ht="14.55" x14ac:dyDescent="0.3">
      <c r="A94">
        <v>25</v>
      </c>
      <c r="B94" s="235" t="str">
        <f>IFERROR(LARGE(Jarinu!$I$55:$I$128,A94)," ")</f>
        <v xml:space="preserve"> </v>
      </c>
      <c r="C94" t="str">
        <f>IFERROR(INDEX(
    Jarinu!$C$55:$C$128,
    MATCH(
        B94,
        Jarinu!$I$55:$I$128,
        0
    )
), " ")</f>
        <v xml:space="preserve"> </v>
      </c>
      <c r="D94" s="806" t="str">
        <f t="shared" si="31"/>
        <v xml:space="preserve"> </v>
      </c>
      <c r="E94" s="362" t="str">
        <f t="shared" si="32"/>
        <v xml:space="preserve"> </v>
      </c>
      <c r="F94" t="str">
        <f t="shared" si="30"/>
        <v>Jarinu</v>
      </c>
      <c r="G94" t="e">
        <f>_xlfn.XLOOKUP(C94,Jarinu!$C$55:$C$128,Jarinu!$O$55:$O$128)</f>
        <v>#N/A</v>
      </c>
      <c r="H94" t="str">
        <f>_xlfn.XLOOKUP(C94,Jarinu!$C$55:$C$128,Jarinu!$M$55:$M$128," ")</f>
        <v xml:space="preserve"> </v>
      </c>
      <c r="I94" s="803" t="e">
        <f>_xlfn.XLOOKUP(C94,Jarinu!$C$55:$C$128,Jarinu!$J$55:$J$128)</f>
        <v>#N/A</v>
      </c>
      <c r="J94" s="235" t="e">
        <f>INDEX(Jarinu!$AP$55:$AP$128, MATCH(C94, Jarinu!$C$55:$C$128, 0))</f>
        <v>#N/A</v>
      </c>
      <c r="K94" s="235" t="e" cm="1">
        <f t="array" ref="K94">INDEX(Jarinu!$AP$55:$AP$128, MATCH(C94, Jarinu!$C$55:$C$128, 0)+1)</f>
        <v>#N/A</v>
      </c>
      <c r="L94" s="235" t="e">
        <f>INDEX(Jarinu!$AH$55:$AH$128, MATCH(C94, Jarinu!$C$55:$C$128, 0))</f>
        <v>#N/A</v>
      </c>
      <c r="M94" s="235"/>
      <c r="N94" s="235"/>
      <c r="O94" s="235"/>
      <c r="P94" s="235"/>
      <c r="Q94">
        <v>91</v>
      </c>
      <c r="R94" s="275">
        <f t="shared" si="26"/>
        <v>60000.008000000002</v>
      </c>
      <c r="S94" t="str">
        <f t="shared" si="21"/>
        <v>20 - Limpador de grelha</v>
      </c>
      <c r="T94" t="str">
        <f t="shared" si="22"/>
        <v>Ferraz</v>
      </c>
      <c r="U94" s="275">
        <f t="shared" si="27"/>
        <v>16512.86</v>
      </c>
      <c r="V94" s="235" t="str">
        <f t="shared" ca="1" si="28"/>
        <v/>
      </c>
      <c r="W94" s="235" t="str">
        <f t="shared" ca="1" si="29"/>
        <v/>
      </c>
      <c r="X94" t="str">
        <f t="shared" si="23"/>
        <v>⏳ Em Execução</v>
      </c>
      <c r="Y94" s="803">
        <f t="shared" si="24"/>
        <v>46204</v>
      </c>
      <c r="Z94" t="str">
        <f t="shared" si="25"/>
        <v>OK</v>
      </c>
    </row>
    <row r="95" spans="1:26" ht="14.55" x14ac:dyDescent="0.3">
      <c r="A95">
        <v>26</v>
      </c>
      <c r="B95" s="235" t="str">
        <f>IFERROR(LARGE(Jarinu!$I$55:$I$128,A95)," ")</f>
        <v xml:space="preserve"> </v>
      </c>
      <c r="C95" t="str">
        <f>IFERROR(INDEX(
    Jarinu!$C$55:$C$128,
    MATCH(
        B95,
        Jarinu!$I$55:$I$128,
        0
    )
), " ")</f>
        <v xml:space="preserve"> </v>
      </c>
      <c r="D95" s="806" t="str">
        <f t="shared" si="31"/>
        <v xml:space="preserve"> </v>
      </c>
      <c r="E95" s="362" t="str">
        <f t="shared" si="32"/>
        <v xml:space="preserve"> </v>
      </c>
      <c r="F95" t="str">
        <f t="shared" si="30"/>
        <v>Jarinu</v>
      </c>
      <c r="G95" t="e">
        <f>_xlfn.XLOOKUP(C95,Jarinu!$C$55:$C$128,Jarinu!$O$55:$O$128)</f>
        <v>#N/A</v>
      </c>
      <c r="H95" t="str">
        <f>_xlfn.XLOOKUP(C95,Jarinu!$C$55:$C$128,Jarinu!$M$55:$M$128," ")</f>
        <v xml:space="preserve"> </v>
      </c>
      <c r="I95" s="803" t="e">
        <f>_xlfn.XLOOKUP(C95,Jarinu!$C$55:$C$128,Jarinu!$J$55:$J$128)</f>
        <v>#N/A</v>
      </c>
      <c r="J95" s="235" t="e">
        <f>INDEX(Jarinu!$AP$55:$AP$128, MATCH(C95, Jarinu!$C$55:$C$128, 0))</f>
        <v>#N/A</v>
      </c>
      <c r="K95" s="235" t="e" cm="1">
        <f t="array" ref="K95">INDEX(Jarinu!$AP$55:$AP$128, MATCH(C95, Jarinu!$C$55:$C$128, 0)+1)</f>
        <v>#N/A</v>
      </c>
      <c r="L95" s="235" t="e">
        <f>INDEX(Jarinu!$AH$55:$AH$128, MATCH(C95, Jarinu!$C$55:$C$128, 0))</f>
        <v>#N/A</v>
      </c>
      <c r="M95" s="235"/>
      <c r="N95" s="235"/>
      <c r="O95" s="235"/>
      <c r="P95" s="235"/>
      <c r="Q95">
        <v>92</v>
      </c>
      <c r="R95" s="275">
        <f t="shared" si="26"/>
        <v>60000.000008800002</v>
      </c>
      <c r="S95" t="str">
        <f t="shared" si="21"/>
        <v>54 - Redução de MP - VW000585Z_586Z (20mm no passo)</v>
      </c>
      <c r="T95" t="str">
        <f t="shared" si="22"/>
        <v>Diadema</v>
      </c>
      <c r="U95" s="275">
        <f t="shared" si="27"/>
        <v>60000.000008800002</v>
      </c>
      <c r="V95" s="235" t="str">
        <f t="shared" ca="1" si="28"/>
        <v/>
      </c>
      <c r="W95" s="235" t="str">
        <f t="shared" ca="1" si="29"/>
        <v/>
      </c>
      <c r="X95" t="str">
        <f t="shared" si="23"/>
        <v>⏳ Em Execução</v>
      </c>
      <c r="Y95" s="803">
        <f t="shared" si="24"/>
        <v>46174</v>
      </c>
      <c r="Z95" t="str">
        <f t="shared" si="25"/>
        <v>Não Ok</v>
      </c>
    </row>
    <row r="96" spans="1:26" ht="14.55" x14ac:dyDescent="0.3">
      <c r="A96">
        <v>27</v>
      </c>
      <c r="B96" s="235" t="str">
        <f>IFERROR(LARGE(Jarinu!$I$55:$I$128,A96)," ")</f>
        <v xml:space="preserve"> </v>
      </c>
      <c r="C96" t="str">
        <f>IFERROR(INDEX(
    Jarinu!$C$55:$C$128,
    MATCH(
        B96,
        Jarinu!$I$55:$I$128,
        0
    )
), " ")</f>
        <v xml:space="preserve"> </v>
      </c>
      <c r="D96" s="806" t="str">
        <f t="shared" si="31"/>
        <v xml:space="preserve"> </v>
      </c>
      <c r="E96" s="362" t="str">
        <f t="shared" si="32"/>
        <v xml:space="preserve"> </v>
      </c>
      <c r="F96" t="str">
        <f t="shared" si="30"/>
        <v>Jarinu</v>
      </c>
      <c r="G96" t="e">
        <f>_xlfn.XLOOKUP(C96,Jarinu!$C$55:$C$128,Jarinu!$O$55:$O$128)</f>
        <v>#N/A</v>
      </c>
      <c r="H96" t="str">
        <f>_xlfn.XLOOKUP(C96,Jarinu!$C$55:$C$128,Jarinu!$M$55:$M$128," ")</f>
        <v xml:space="preserve"> </v>
      </c>
      <c r="I96" s="803" t="e">
        <f>_xlfn.XLOOKUP(C96,Jarinu!$C$55:$C$128,Jarinu!$J$55:$J$128)</f>
        <v>#N/A</v>
      </c>
      <c r="J96" s="235" t="e">
        <f>INDEX(Jarinu!$AP$55:$AP$128, MATCH(C96, Jarinu!$C$55:$C$128, 0))</f>
        <v>#N/A</v>
      </c>
      <c r="K96" s="235" t="e" cm="1">
        <f t="array" ref="K96">INDEX(Jarinu!$AP$55:$AP$128, MATCH(C96, Jarinu!$C$55:$C$128, 0)+1)</f>
        <v>#N/A</v>
      </c>
      <c r="L96" s="235" t="e">
        <f>INDEX(Jarinu!$AH$55:$AH$128, MATCH(C96, Jarinu!$C$55:$C$128, 0))</f>
        <v>#N/A</v>
      </c>
      <c r="M96" s="235"/>
      <c r="N96" s="235"/>
      <c r="O96" s="235"/>
      <c r="P96" s="235"/>
      <c r="Q96">
        <v>93</v>
      </c>
      <c r="R96" s="275">
        <f t="shared" si="26"/>
        <v>60000</v>
      </c>
      <c r="S96" t="str">
        <f t="shared" si="21"/>
        <v>55 -  Redução de MP - GM000378Z / GM000379Z</v>
      </c>
      <c r="T96" t="str">
        <f t="shared" si="22"/>
        <v>Diadema</v>
      </c>
      <c r="U96" s="275">
        <f t="shared" si="27"/>
        <v>37697.32</v>
      </c>
      <c r="V96" s="235" t="str">
        <f t="shared" ca="1" si="28"/>
        <v/>
      </c>
      <c r="W96" s="235" t="str">
        <f t="shared" ca="1" si="29"/>
        <v/>
      </c>
      <c r="X96" t="str">
        <f t="shared" si="23"/>
        <v>⏳ Em Execução</v>
      </c>
      <c r="Y96" s="803">
        <f t="shared" si="24"/>
        <v>46204</v>
      </c>
      <c r="Z96" t="str">
        <f t="shared" si="25"/>
        <v>OK</v>
      </c>
    </row>
    <row r="97" spans="1:26" ht="14.55" x14ac:dyDescent="0.3">
      <c r="A97">
        <v>28</v>
      </c>
      <c r="B97" s="235" t="str">
        <f>IFERROR(LARGE(Jarinu!$I$55:$I$128,A97)," ")</f>
        <v xml:space="preserve"> </v>
      </c>
      <c r="C97" t="str">
        <f>IFERROR(INDEX(
    Jarinu!$C$55:$C$128,
    MATCH(
        B97,
        Jarinu!$I$55:$I$128,
        0
    )
), " ")</f>
        <v xml:space="preserve"> </v>
      </c>
      <c r="D97" s="806" t="str">
        <f t="shared" si="31"/>
        <v xml:space="preserve"> </v>
      </c>
      <c r="E97" s="362" t="str">
        <f t="shared" si="32"/>
        <v xml:space="preserve"> </v>
      </c>
      <c r="F97" t="str">
        <f t="shared" si="30"/>
        <v>Jarinu</v>
      </c>
      <c r="G97" t="e">
        <f>_xlfn.XLOOKUP(C97,Jarinu!$C$55:$C$128,Jarinu!$O$55:$O$128)</f>
        <v>#N/A</v>
      </c>
      <c r="H97" t="str">
        <f>_xlfn.XLOOKUP(C97,Jarinu!$C$55:$C$128,Jarinu!$M$55:$M$128," ")</f>
        <v xml:space="preserve"> </v>
      </c>
      <c r="I97" s="803" t="e">
        <f>_xlfn.XLOOKUP(C97,Jarinu!$C$55:$C$128,Jarinu!$J$55:$J$128)</f>
        <v>#N/A</v>
      </c>
      <c r="J97" s="235" t="e">
        <f>INDEX(Jarinu!$AP$55:$AP$128, MATCH(C97, Jarinu!$C$55:$C$128, 0))</f>
        <v>#N/A</v>
      </c>
      <c r="K97" s="235" t="e" cm="1">
        <f t="array" ref="K97">INDEX(Jarinu!$AP$55:$AP$128, MATCH(C97, Jarinu!$C$55:$C$128, 0)+1)</f>
        <v>#N/A</v>
      </c>
      <c r="L97" s="235" t="e">
        <f>INDEX(Jarinu!$AH$55:$AH$128, MATCH(C97, Jarinu!$C$55:$C$128, 0))</f>
        <v>#N/A</v>
      </c>
      <c r="M97" s="235"/>
      <c r="N97" s="235"/>
      <c r="O97" s="235"/>
      <c r="P97" s="235"/>
      <c r="Q97">
        <v>94</v>
      </c>
      <c r="R97" s="275">
        <f t="shared" si="26"/>
        <v>59800</v>
      </c>
      <c r="S97" t="str">
        <f t="shared" si="21"/>
        <v>31 - Comunização da chapa CHQ0475ED12502650</v>
      </c>
      <c r="T97" t="str">
        <f t="shared" si="22"/>
        <v>Diadema</v>
      </c>
      <c r="U97" s="275">
        <f t="shared" si="27"/>
        <v>114604.43</v>
      </c>
      <c r="V97" s="235">
        <f t="shared" ca="1" si="28"/>
        <v>14325.553749999999</v>
      </c>
      <c r="W97" s="235">
        <f t="shared" ca="1" si="29"/>
        <v>12941.975333084476</v>
      </c>
      <c r="X97" t="str">
        <f t="shared" si="23"/>
        <v>✓ Concluído</v>
      </c>
      <c r="Y97" s="803">
        <f t="shared" si="24"/>
        <v>46143</v>
      </c>
      <c r="Z97" t="str">
        <f t="shared" si="25"/>
        <v>OK</v>
      </c>
    </row>
    <row r="98" spans="1:26" ht="14.55" x14ac:dyDescent="0.3">
      <c r="A98">
        <v>29</v>
      </c>
      <c r="B98" s="235" t="str">
        <f>IFERROR(LARGE(Jarinu!$I$55:$I$128,A98)," ")</f>
        <v xml:space="preserve"> </v>
      </c>
      <c r="C98" t="str">
        <f>IFERROR(INDEX(
    Jarinu!$C$55:$C$128,
    MATCH(
        B98,
        Jarinu!$I$55:$I$128,
        0
    )
), " ")</f>
        <v xml:space="preserve"> </v>
      </c>
      <c r="D98" s="806" t="str">
        <f t="shared" si="31"/>
        <v xml:space="preserve"> </v>
      </c>
      <c r="E98" s="362" t="str">
        <f t="shared" si="32"/>
        <v xml:space="preserve"> </v>
      </c>
      <c r="F98" t="str">
        <f t="shared" si="30"/>
        <v>Jarinu</v>
      </c>
      <c r="G98" t="e">
        <f>_xlfn.XLOOKUP(C98,Jarinu!$C$55:$C$128,Jarinu!$O$55:$O$128)</f>
        <v>#N/A</v>
      </c>
      <c r="H98" t="str">
        <f>_xlfn.XLOOKUP(C98,Jarinu!$C$55:$C$128,Jarinu!$M$55:$M$128," ")</f>
        <v xml:space="preserve"> </v>
      </c>
      <c r="I98" s="803" t="e">
        <f>_xlfn.XLOOKUP(C98,Jarinu!$C$55:$C$128,Jarinu!$J$55:$J$128)</f>
        <v>#N/A</v>
      </c>
      <c r="J98" s="235" t="e">
        <f>INDEX(Jarinu!$AP$55:$AP$128, MATCH(C98, Jarinu!$C$55:$C$128, 0))</f>
        <v>#N/A</v>
      </c>
      <c r="K98" s="235" t="e" cm="1">
        <f t="array" ref="K98">INDEX(Jarinu!$AP$55:$AP$128, MATCH(C98, Jarinu!$C$55:$C$128, 0)+1)</f>
        <v>#N/A</v>
      </c>
      <c r="L98" s="235" t="e">
        <f>INDEX(Jarinu!$AH$55:$AH$128, MATCH(C98, Jarinu!$C$55:$C$128, 0))</f>
        <v>#N/A</v>
      </c>
      <c r="M98" s="235"/>
      <c r="N98" s="235"/>
      <c r="O98" s="235"/>
      <c r="P98" s="235"/>
      <c r="Q98">
        <v>95</v>
      </c>
      <c r="R98" s="275">
        <f t="shared" si="26"/>
        <v>56826</v>
      </c>
      <c r="S98" t="str">
        <f t="shared" si="21"/>
        <v>21 - Kaizen_Redução de peso bruto MB003537LA_MB003538LA</v>
      </c>
      <c r="T98" t="str">
        <f t="shared" si="22"/>
        <v>Diadema</v>
      </c>
      <c r="U98" s="275">
        <f t="shared" si="27"/>
        <v>37365.58</v>
      </c>
      <c r="V98" s="235">
        <f t="shared" ca="1" si="28"/>
        <v>11209.673999999999</v>
      </c>
      <c r="W98" s="235">
        <f t="shared" ca="1" si="29"/>
        <v>11657.127242149531</v>
      </c>
      <c r="X98" t="str">
        <f t="shared" si="23"/>
        <v>✓ Concluído</v>
      </c>
      <c r="Y98" s="803">
        <f t="shared" si="24"/>
        <v>46082</v>
      </c>
      <c r="Z98" t="str">
        <f t="shared" si="25"/>
        <v>OK</v>
      </c>
    </row>
    <row r="99" spans="1:26" x14ac:dyDescent="0.3">
      <c r="A99">
        <v>30</v>
      </c>
      <c r="B99" s="235" t="str">
        <f>IFERROR(LARGE(Jarinu!$I$55:$I$128,A99)," ")</f>
        <v xml:space="preserve"> </v>
      </c>
      <c r="C99" t="str">
        <f>IFERROR(INDEX(
    Jarinu!$C$55:$C$128,
    MATCH(
        B99,
        Jarinu!$I$55:$I$128,
        0
    )
), " ")</f>
        <v xml:space="preserve"> </v>
      </c>
      <c r="D99" s="806" t="str">
        <f t="shared" si="31"/>
        <v xml:space="preserve"> </v>
      </c>
      <c r="E99" s="362" t="str">
        <f t="shared" si="32"/>
        <v xml:space="preserve"> </v>
      </c>
      <c r="F99" t="str">
        <f t="shared" si="30"/>
        <v>Jarinu</v>
      </c>
      <c r="G99" t="e">
        <f>_xlfn.XLOOKUP(C99,Jarinu!$C$55:$C$128,Jarinu!$O$55:$O$128)</f>
        <v>#N/A</v>
      </c>
      <c r="H99" t="str">
        <f>_xlfn.XLOOKUP(C99,Jarinu!$C$55:$C$128,Jarinu!$M$55:$M$128," ")</f>
        <v xml:space="preserve"> </v>
      </c>
      <c r="I99" s="803" t="e">
        <f>_xlfn.XLOOKUP(C99,Jarinu!$C$55:$C$128,Jarinu!$J$55:$J$128)</f>
        <v>#N/A</v>
      </c>
      <c r="J99" s="235" t="e">
        <f>INDEX(Jarinu!$AP$55:$AP$128, MATCH(C99, Jarinu!$C$55:$C$128, 0))</f>
        <v>#N/A</v>
      </c>
      <c r="K99" s="235" t="e" cm="1">
        <f t="array" ref="K99">INDEX(Jarinu!$AP$55:$AP$128, MATCH(C99, Jarinu!$C$55:$C$128, 0)+1)</f>
        <v>#N/A</v>
      </c>
      <c r="L99" s="235" t="e">
        <f>INDEX(Jarinu!$AH$55:$AH$128, MATCH(C99, Jarinu!$C$55:$C$128, 0))</f>
        <v>#N/A</v>
      </c>
      <c r="M99" s="235"/>
      <c r="N99" s="235"/>
      <c r="O99" s="235"/>
      <c r="P99" s="235"/>
      <c r="Q99">
        <v>96</v>
      </c>
      <c r="R99" s="275">
        <f t="shared" si="26"/>
        <v>56550.98</v>
      </c>
      <c r="S99" t="str">
        <f t="shared" si="21"/>
        <v>Redução MP Viga Banana</v>
      </c>
      <c r="T99" t="str">
        <f t="shared" si="22"/>
        <v>Compras</v>
      </c>
      <c r="U99" s="275">
        <f t="shared" si="27"/>
        <v>79688.583333333328</v>
      </c>
      <c r="V99" s="235">
        <f t="shared" ca="1" si="28"/>
        <v>28977.666666666668</v>
      </c>
      <c r="W99" s="235">
        <f t="shared" ca="1" si="29"/>
        <v>10777.72075764</v>
      </c>
      <c r="X99" t="str">
        <f t="shared" si="23"/>
        <v>✓ Concluído</v>
      </c>
      <c r="Y99" s="803">
        <f t="shared" si="24"/>
        <v>46066</v>
      </c>
      <c r="Z99" t="str">
        <f t="shared" si="25"/>
        <v>OK</v>
      </c>
    </row>
    <row r="100" spans="1:26" ht="14.55" x14ac:dyDescent="0.3">
      <c r="A100">
        <v>31</v>
      </c>
      <c r="B100" s="235" t="str">
        <f>IFERROR(LARGE(Jarinu!$I$55:$I$128,A100)," ")</f>
        <v xml:space="preserve"> </v>
      </c>
      <c r="C100" t="str">
        <f>IFERROR(INDEX(
    Jarinu!$C$55:$C$128,
    MATCH(
        B100,
        Jarinu!$I$55:$I$128,
        0
    )
), " ")</f>
        <v xml:space="preserve"> </v>
      </c>
      <c r="D100" s="806" t="str">
        <f t="shared" si="31"/>
        <v xml:space="preserve"> </v>
      </c>
      <c r="E100" s="362" t="str">
        <f t="shared" ref="E100:E109" si="33">IFERROR(D100+E99," ")</f>
        <v xml:space="preserve"> </v>
      </c>
      <c r="F100" t="str">
        <f t="shared" ref="F100:F109" si="34">$A$68</f>
        <v>Jarinu</v>
      </c>
      <c r="G100" t="e">
        <f>_xlfn.XLOOKUP(C100,Jarinu!$C$55:$C$128,Jarinu!$O$55:$O$128)</f>
        <v>#N/A</v>
      </c>
      <c r="H100" t="str">
        <f>_xlfn.XLOOKUP(C100,Jarinu!$C$55:$C$128,Jarinu!$M$55:$M$128," ")</f>
        <v xml:space="preserve"> </v>
      </c>
      <c r="I100" s="803" t="e">
        <f>_xlfn.XLOOKUP(C100,Jarinu!$C$55:$C$128,Jarinu!$J$55:$J$128)</f>
        <v>#N/A</v>
      </c>
      <c r="J100" s="235" t="e">
        <f>INDEX(Jarinu!$AP$55:$AP$128, MATCH(C100, Jarinu!$C$55:$C$128, 0))</f>
        <v>#N/A</v>
      </c>
      <c r="K100" s="235" t="e" cm="1">
        <f t="array" ref="K100">INDEX(Jarinu!$AP$55:$AP$128, MATCH(C100, Jarinu!$C$55:$C$128, 0)+1)</f>
        <v>#N/A</v>
      </c>
      <c r="L100" s="235" t="e">
        <f>INDEX(Jarinu!$AH$55:$AH$128, MATCH(C100, Jarinu!$C$55:$C$128, 0))</f>
        <v>#N/A</v>
      </c>
      <c r="M100" s="235"/>
      <c r="N100" s="235"/>
      <c r="O100" s="235"/>
      <c r="P100" s="235"/>
      <c r="Q100">
        <v>97</v>
      </c>
      <c r="R100" s="275">
        <f t="shared" si="26"/>
        <v>55000</v>
      </c>
      <c r="S100" t="str">
        <f t="shared" ref="S100:S131" si="35">_xlfn.XLOOKUP(R100,B:B,C:C)</f>
        <v>19 - Insumos logística</v>
      </c>
      <c r="T100" t="str">
        <f t="shared" ref="T100:T131" si="36">_xlfn.XLOOKUP(S100,C:C,F:F)</f>
        <v>Ferraz</v>
      </c>
      <c r="U100" s="275">
        <f t="shared" si="27"/>
        <v>0</v>
      </c>
      <c r="V100" s="235" t="str">
        <f t="shared" ca="1" si="28"/>
        <v/>
      </c>
      <c r="W100" s="235" t="str">
        <f t="shared" ca="1" si="29"/>
        <v/>
      </c>
      <c r="X100" t="str">
        <f t="shared" ref="X100:X131" si="37">_xlfn.XLOOKUP(S100,C:C,G:G)</f>
        <v>⏳ Em Execução</v>
      </c>
      <c r="Y100" s="803">
        <f t="shared" ref="Y100:Y131" si="38">_xlfn.XLOOKUP(S100,C:C,I:I)</f>
        <v>0</v>
      </c>
      <c r="Z100" t="str">
        <f t="shared" ref="Z100:Z131" si="39">IF(_xlfn.XLOOKUP(S100,C:C,H:H) = 0, "", _xlfn.XLOOKUP(S100,C:C,H:H))</f>
        <v/>
      </c>
    </row>
    <row r="101" spans="1:26" ht="14.55" x14ac:dyDescent="0.3">
      <c r="A101">
        <v>32</v>
      </c>
      <c r="B101" s="235" t="str">
        <f>IFERROR(LARGE(Jarinu!$I$55:$I$128,A101)," ")</f>
        <v xml:space="preserve"> </v>
      </c>
      <c r="C101" t="str">
        <f>IFERROR(INDEX(
    Jarinu!$C$55:$C$128,
    MATCH(
        B101,
        Jarinu!$I$55:$I$128,
        0
    )
), " ")</f>
        <v xml:space="preserve"> </v>
      </c>
      <c r="D101" s="806" t="str">
        <f t="shared" si="31"/>
        <v xml:space="preserve"> </v>
      </c>
      <c r="E101" s="362" t="str">
        <f t="shared" si="33"/>
        <v xml:space="preserve"> </v>
      </c>
      <c r="F101" t="str">
        <f t="shared" si="34"/>
        <v>Jarinu</v>
      </c>
      <c r="G101" t="e">
        <f>_xlfn.XLOOKUP(C101,Jarinu!$C$55:$C$128,Jarinu!$O$55:$O$128)</f>
        <v>#N/A</v>
      </c>
      <c r="H101" t="str">
        <f>_xlfn.XLOOKUP(C101,Jarinu!$C$55:$C$128,Jarinu!$M$55:$M$128," ")</f>
        <v xml:space="preserve"> </v>
      </c>
      <c r="I101" s="803" t="e">
        <f>_xlfn.XLOOKUP(C101,Jarinu!$C$55:$C$128,Jarinu!$J$55:$J$128)</f>
        <v>#N/A</v>
      </c>
      <c r="J101" s="235" t="e">
        <f>INDEX(Jarinu!$AP$55:$AP$128, MATCH(C101, Jarinu!$C$55:$C$128, 0))</f>
        <v>#N/A</v>
      </c>
      <c r="K101" s="235" t="e" cm="1">
        <f t="array" ref="K101">INDEX(Jarinu!$AP$55:$AP$128, MATCH(C101, Jarinu!$C$55:$C$128, 0)+1)</f>
        <v>#N/A</v>
      </c>
      <c r="L101" s="235" t="e">
        <f>INDEX(Jarinu!$AH$55:$AH$128, MATCH(C101, Jarinu!$C$55:$C$128, 0))</f>
        <v>#N/A</v>
      </c>
      <c r="M101" s="235"/>
      <c r="N101" s="235"/>
      <c r="O101" s="235"/>
      <c r="P101" s="235"/>
      <c r="Q101">
        <v>98</v>
      </c>
      <c r="R101" s="275">
        <f t="shared" ref="R101:R132" si="40">IFERROR(LARGE(B:B,Q101)," ")</f>
        <v>54000</v>
      </c>
      <c r="S101" t="str">
        <f t="shared" si="35"/>
        <v>19 - Kaizen Facão. DA000481Z - PRODUTIVIDADE</v>
      </c>
      <c r="T101" t="str">
        <f t="shared" si="36"/>
        <v>Diadema</v>
      </c>
      <c r="U101" s="275">
        <f t="shared" si="27"/>
        <v>54000</v>
      </c>
      <c r="V101" s="235">
        <f t="shared" ref="V101:V132" ca="1" si="41">IFERROR(_xlfn.XLOOKUP(S101,C:C,J:J), "")</f>
        <v>16200</v>
      </c>
      <c r="W101" s="235" t="str">
        <f t="shared" ref="W101:W132" ca="1" si="42">IFERROR(_xlfn.XLOOKUP(S101,C:C,K:K), "")</f>
        <v/>
      </c>
      <c r="X101" t="str">
        <f t="shared" si="37"/>
        <v>✓ Concluído</v>
      </c>
      <c r="Y101" s="803">
        <f t="shared" si="38"/>
        <v>46082</v>
      </c>
      <c r="Z101" t="str">
        <f t="shared" si="39"/>
        <v/>
      </c>
    </row>
    <row r="102" spans="1:26" ht="14.55" x14ac:dyDescent="0.3">
      <c r="A102">
        <v>33</v>
      </c>
      <c r="B102" s="235" t="str">
        <f>IFERROR(LARGE(Jarinu!$I$55:$I$128,A102)," ")</f>
        <v xml:space="preserve"> </v>
      </c>
      <c r="C102" t="str">
        <f>IFERROR(INDEX(
    Jarinu!$C$55:$C$128,
    MATCH(
        B102,
        Jarinu!$I$55:$I$128,
        0
    )
), " ")</f>
        <v xml:space="preserve"> </v>
      </c>
      <c r="D102" s="806" t="str">
        <f t="shared" si="31"/>
        <v xml:space="preserve"> </v>
      </c>
      <c r="E102" s="362" t="str">
        <f t="shared" si="33"/>
        <v xml:space="preserve"> </v>
      </c>
      <c r="F102" t="str">
        <f t="shared" si="34"/>
        <v>Jarinu</v>
      </c>
      <c r="G102" t="e">
        <f>_xlfn.XLOOKUP(C102,Jarinu!$C$55:$C$128,Jarinu!$O$55:$O$128)</f>
        <v>#N/A</v>
      </c>
      <c r="H102" t="str">
        <f>_xlfn.XLOOKUP(C102,Jarinu!$C$55:$C$128,Jarinu!$M$55:$M$128," ")</f>
        <v xml:space="preserve"> </v>
      </c>
      <c r="I102" s="803" t="e">
        <f>_xlfn.XLOOKUP(C102,Jarinu!$C$55:$C$128,Jarinu!$J$55:$J$128)</f>
        <v>#N/A</v>
      </c>
      <c r="J102" s="235" t="e">
        <f>INDEX(Jarinu!$AP$55:$AP$128, MATCH(C102, Jarinu!$C$55:$C$128, 0))</f>
        <v>#N/A</v>
      </c>
      <c r="K102" s="235" t="e" cm="1">
        <f t="array" ref="K102">INDEX(Jarinu!$AP$55:$AP$128, MATCH(C102, Jarinu!$C$55:$C$128, 0)+1)</f>
        <v>#N/A</v>
      </c>
      <c r="L102" s="235" t="e">
        <f>INDEX(Jarinu!$AH$55:$AH$128, MATCH(C102, Jarinu!$C$55:$C$128, 0))</f>
        <v>#N/A</v>
      </c>
      <c r="M102" s="235"/>
      <c r="N102" s="235"/>
      <c r="O102" s="235"/>
      <c r="P102" s="235"/>
      <c r="Q102">
        <v>99</v>
      </c>
      <c r="R102" s="275">
        <f t="shared" si="40"/>
        <v>51480</v>
      </c>
      <c r="S102" t="str">
        <f t="shared" si="35"/>
        <v>17 - MB003537LB_MB003538LB</v>
      </c>
      <c r="T102" t="str">
        <f t="shared" si="36"/>
        <v>Diadema</v>
      </c>
      <c r="U102" s="275">
        <f t="shared" si="27"/>
        <v>33838.06</v>
      </c>
      <c r="V102" s="235">
        <f t="shared" ca="1" si="41"/>
        <v>10151.417999999998</v>
      </c>
      <c r="W102" s="235">
        <f t="shared" ca="1" si="42"/>
        <v>10556.62921579276</v>
      </c>
      <c r="X102" t="str">
        <f t="shared" si="37"/>
        <v>✓ Concluído</v>
      </c>
      <c r="Y102" s="803">
        <f t="shared" si="38"/>
        <v>46082</v>
      </c>
      <c r="Z102" t="str">
        <f t="shared" si="39"/>
        <v>OK</v>
      </c>
    </row>
    <row r="103" spans="1:26" ht="14.55" x14ac:dyDescent="0.3">
      <c r="A103">
        <v>34</v>
      </c>
      <c r="B103" s="235" t="str">
        <f>IFERROR(LARGE(Jarinu!$I$55:$I$128,A103)," ")</f>
        <v xml:space="preserve"> </v>
      </c>
      <c r="C103" t="str">
        <f>IFERROR(INDEX(
    Jarinu!$C$55:$C$128,
    MATCH(
        B103,
        Jarinu!$I$55:$I$128,
        0
    )
), " ")</f>
        <v xml:space="preserve"> </v>
      </c>
      <c r="D103" s="806" t="str">
        <f t="shared" si="31"/>
        <v xml:space="preserve"> </v>
      </c>
      <c r="E103" s="362" t="str">
        <f t="shared" si="33"/>
        <v xml:space="preserve"> </v>
      </c>
      <c r="F103" t="str">
        <f t="shared" si="34"/>
        <v>Jarinu</v>
      </c>
      <c r="G103" t="e">
        <f>_xlfn.XLOOKUP(C103,Jarinu!$C$55:$C$128,Jarinu!$O$55:$O$128)</f>
        <v>#N/A</v>
      </c>
      <c r="H103" t="str">
        <f>_xlfn.XLOOKUP(C103,Jarinu!$C$55:$C$128,Jarinu!$M$55:$M$128," ")</f>
        <v xml:space="preserve"> </v>
      </c>
      <c r="I103" s="803" t="e">
        <f>_xlfn.XLOOKUP(C103,Jarinu!$C$55:$C$128,Jarinu!$J$55:$J$128)</f>
        <v>#N/A</v>
      </c>
      <c r="J103" s="235" t="e">
        <f>INDEX(Jarinu!$AP$55:$AP$128, MATCH(C103, Jarinu!$C$55:$C$128, 0))</f>
        <v>#N/A</v>
      </c>
      <c r="K103" s="235" t="e" cm="1">
        <f t="array" ref="K103">INDEX(Jarinu!$AP$55:$AP$128, MATCH(C103, Jarinu!$C$55:$C$128, 0)+1)</f>
        <v>#N/A</v>
      </c>
      <c r="L103" s="235" t="e">
        <f>INDEX(Jarinu!$AH$55:$AH$128, MATCH(C103, Jarinu!$C$55:$C$128, 0))</f>
        <v>#N/A</v>
      </c>
      <c r="M103" s="235"/>
      <c r="N103" s="235"/>
      <c r="O103" s="235"/>
      <c r="P103" s="235"/>
      <c r="Q103">
        <v>100</v>
      </c>
      <c r="R103" s="275">
        <f t="shared" si="40"/>
        <v>51000</v>
      </c>
      <c r="S103" t="str">
        <f t="shared" si="35"/>
        <v>06 - CONSUMO DE TINTA PÓ</v>
      </c>
      <c r="T103" t="str">
        <f t="shared" si="36"/>
        <v>Anchieta</v>
      </c>
      <c r="U103" s="275">
        <f t="shared" si="27"/>
        <v>0</v>
      </c>
      <c r="V103" s="235" t="str">
        <f t="shared" ca="1" si="41"/>
        <v/>
      </c>
      <c r="W103" s="235" t="str">
        <f t="shared" ca="1" si="42"/>
        <v/>
      </c>
      <c r="X103" t="str">
        <f t="shared" si="37"/>
        <v>⏳ Em Execução</v>
      </c>
      <c r="Y103" s="803">
        <f t="shared" si="38"/>
        <v>0</v>
      </c>
      <c r="Z103" t="str">
        <f t="shared" si="39"/>
        <v>Não Ok</v>
      </c>
    </row>
    <row r="104" spans="1:26" x14ac:dyDescent="0.3">
      <c r="A104">
        <v>35</v>
      </c>
      <c r="B104" s="235" t="str">
        <f>IFERROR(LARGE(Jarinu!$I$55:$I$128,A104)," ")</f>
        <v xml:space="preserve"> </v>
      </c>
      <c r="C104" t="str">
        <f>IFERROR(INDEX(
    Jarinu!$C$55:$C$128,
    MATCH(
        B104,
        Jarinu!$I$55:$I$128,
        0
    )
), " ")</f>
        <v xml:space="preserve"> </v>
      </c>
      <c r="D104" s="806" t="str">
        <f t="shared" si="31"/>
        <v xml:space="preserve"> </v>
      </c>
      <c r="E104" s="362" t="str">
        <f t="shared" si="33"/>
        <v xml:space="preserve"> </v>
      </c>
      <c r="F104" t="str">
        <f t="shared" si="34"/>
        <v>Jarinu</v>
      </c>
      <c r="G104" t="e">
        <f>_xlfn.XLOOKUP(C104,Jarinu!$C$55:$C$128,Jarinu!$O$55:$O$128)</f>
        <v>#N/A</v>
      </c>
      <c r="H104" t="str">
        <f>_xlfn.XLOOKUP(C104,Jarinu!$C$55:$C$128,Jarinu!$M$55:$M$128," ")</f>
        <v xml:space="preserve"> </v>
      </c>
      <c r="I104" s="803" t="e">
        <f>_xlfn.XLOOKUP(C104,Jarinu!$C$55:$C$128,Jarinu!$J$55:$J$128)</f>
        <v>#N/A</v>
      </c>
      <c r="J104" s="235" t="e">
        <f>INDEX(Jarinu!$AP$55:$AP$128, MATCH(C104, Jarinu!$C$55:$C$128, 0))</f>
        <v>#N/A</v>
      </c>
      <c r="K104" s="235" t="e" cm="1">
        <f t="array" ref="K104">INDEX(Jarinu!$AP$55:$AP$128, MATCH(C104, Jarinu!$C$55:$C$128, 0)+1)</f>
        <v>#N/A</v>
      </c>
      <c r="L104" s="235" t="e">
        <f>INDEX(Jarinu!$AH$55:$AH$128, MATCH(C104, Jarinu!$C$55:$C$128, 0))</f>
        <v>#N/A</v>
      </c>
      <c r="M104" s="235"/>
      <c r="N104" s="235"/>
      <c r="O104" s="235"/>
      <c r="P104" s="235"/>
      <c r="Q104">
        <v>101</v>
      </c>
      <c r="R104" s="275">
        <f t="shared" si="40"/>
        <v>49053</v>
      </c>
      <c r="S104" t="str">
        <f t="shared" si="35"/>
        <v>Negociação TCC00690/691</v>
      </c>
      <c r="T104" t="str">
        <f t="shared" si="36"/>
        <v>Compras</v>
      </c>
      <c r="U104" s="275">
        <f t="shared" si="27"/>
        <v>32702</v>
      </c>
      <c r="V104" s="235">
        <f t="shared" ca="1" si="41"/>
        <v>4087.75</v>
      </c>
      <c r="W104" s="235" t="str">
        <f t="shared" ca="1" si="42"/>
        <v/>
      </c>
      <c r="X104" t="str">
        <f t="shared" si="37"/>
        <v>✓ Concluído</v>
      </c>
      <c r="Y104" s="803">
        <f t="shared" si="38"/>
        <v>46148</v>
      </c>
      <c r="Z104" t="str">
        <f t="shared" si="39"/>
        <v/>
      </c>
    </row>
    <row r="105" spans="1:26" ht="14.55" x14ac:dyDescent="0.3">
      <c r="A105">
        <v>36</v>
      </c>
      <c r="B105" s="235" t="str">
        <f>IFERROR(LARGE(Jarinu!$I$55:$I$128,A105)," ")</f>
        <v xml:space="preserve"> </v>
      </c>
      <c r="C105" t="str">
        <f>IFERROR(INDEX(
    Jarinu!$C$55:$C$128,
    MATCH(
        B105,
        Jarinu!$I$55:$I$128,
        0
    )
), " ")</f>
        <v xml:space="preserve"> </v>
      </c>
      <c r="D105" s="806" t="str">
        <f t="shared" si="31"/>
        <v xml:space="preserve"> </v>
      </c>
      <c r="E105" s="362" t="str">
        <f t="shared" si="33"/>
        <v xml:space="preserve"> </v>
      </c>
      <c r="F105" t="str">
        <f t="shared" si="34"/>
        <v>Jarinu</v>
      </c>
      <c r="G105" t="e">
        <f>_xlfn.XLOOKUP(C105,Jarinu!$C$55:$C$128,Jarinu!$O$55:$O$128)</f>
        <v>#N/A</v>
      </c>
      <c r="H105" t="str">
        <f>_xlfn.XLOOKUP(C105,Jarinu!$C$55:$C$128,Jarinu!$M$55:$M$128," ")</f>
        <v xml:space="preserve"> </v>
      </c>
      <c r="I105" s="803" t="e">
        <f>_xlfn.XLOOKUP(C105,Jarinu!$C$55:$C$128,Jarinu!$J$55:$J$128)</f>
        <v>#N/A</v>
      </c>
      <c r="J105" s="235" t="e">
        <f>INDEX(Jarinu!$AP$55:$AP$128, MATCH(C105, Jarinu!$C$55:$C$128, 0))</f>
        <v>#N/A</v>
      </c>
      <c r="K105" s="235" t="e" cm="1">
        <f t="array" ref="K105">INDEX(Jarinu!$AP$55:$AP$128, MATCH(C105, Jarinu!$C$55:$C$128, 0)+1)</f>
        <v>#N/A</v>
      </c>
      <c r="L105" s="235" t="e">
        <f>INDEX(Jarinu!$AH$55:$AH$128, MATCH(C105, Jarinu!$C$55:$C$128, 0))</f>
        <v>#N/A</v>
      </c>
      <c r="M105" s="235"/>
      <c r="N105" s="235"/>
      <c r="O105" s="235"/>
      <c r="P105" s="235"/>
      <c r="Q105">
        <v>102</v>
      </c>
      <c r="R105" s="275">
        <f t="shared" si="40"/>
        <v>48730.19</v>
      </c>
      <c r="S105" t="str">
        <f t="shared" si="35"/>
        <v xml:space="preserve">12 -  REDUÇÃO DE PESO BRUTO DD000504/505Z
</v>
      </c>
      <c r="T105" t="str">
        <f t="shared" si="36"/>
        <v>São leopoldo</v>
      </c>
      <c r="U105" s="275">
        <f t="shared" si="27"/>
        <v>29648.304776520017</v>
      </c>
      <c r="V105" s="235">
        <f t="shared" ca="1" si="41"/>
        <v>9882.7682588400057</v>
      </c>
      <c r="W105" s="235" t="str">
        <f t="shared" ca="1" si="42"/>
        <v/>
      </c>
      <c r="X105" t="str">
        <f t="shared" si="37"/>
        <v>⏳ Em Execução</v>
      </c>
      <c r="Y105" s="803">
        <f t="shared" si="38"/>
        <v>46143</v>
      </c>
      <c r="Z105" t="str">
        <f t="shared" si="39"/>
        <v>OK</v>
      </c>
    </row>
    <row r="106" spans="1:26" ht="14.55" x14ac:dyDescent="0.3">
      <c r="A106">
        <v>37</v>
      </c>
      <c r="B106" s="235" t="str">
        <f>IFERROR(LARGE(Jarinu!$I$55:$I$128,A106)," ")</f>
        <v xml:space="preserve"> </v>
      </c>
      <c r="C106" t="str">
        <f>IFERROR(INDEX(
    Jarinu!$C$55:$C$128,
    MATCH(
        B106,
        Jarinu!$I$55:$I$128,
        0
    )
), " ")</f>
        <v xml:space="preserve"> </v>
      </c>
      <c r="D106" s="806" t="str">
        <f t="shared" si="31"/>
        <v xml:space="preserve"> </v>
      </c>
      <c r="E106" s="362" t="str">
        <f t="shared" si="33"/>
        <v xml:space="preserve"> </v>
      </c>
      <c r="F106" t="str">
        <f t="shared" si="34"/>
        <v>Jarinu</v>
      </c>
      <c r="G106" t="e">
        <f>_xlfn.XLOOKUP(C106,Jarinu!$C$55:$C$128,Jarinu!$O$55:$O$128)</f>
        <v>#N/A</v>
      </c>
      <c r="H106" t="str">
        <f>_xlfn.XLOOKUP(C106,Jarinu!$C$55:$C$128,Jarinu!$M$55:$M$128," ")</f>
        <v xml:space="preserve"> </v>
      </c>
      <c r="I106" s="803" t="e">
        <f>_xlfn.XLOOKUP(C106,Jarinu!$C$55:$C$128,Jarinu!$J$55:$J$128)</f>
        <v>#N/A</v>
      </c>
      <c r="J106" s="235" t="e">
        <f>INDEX(Jarinu!$AP$55:$AP$128, MATCH(C106, Jarinu!$C$55:$C$128, 0))</f>
        <v>#N/A</v>
      </c>
      <c r="K106" s="235" t="e" cm="1">
        <f t="array" ref="K106">INDEX(Jarinu!$AP$55:$AP$128, MATCH(C106, Jarinu!$C$55:$C$128, 0)+1)</f>
        <v>#N/A</v>
      </c>
      <c r="L106" s="235" t="e">
        <f>INDEX(Jarinu!$AH$55:$AH$128, MATCH(C106, Jarinu!$C$55:$C$128, 0))</f>
        <v>#N/A</v>
      </c>
      <c r="M106" s="235"/>
      <c r="N106" s="235"/>
      <c r="O106" s="235"/>
      <c r="P106" s="235"/>
      <c r="Q106">
        <v>103</v>
      </c>
      <c r="R106" s="275">
        <f t="shared" si="40"/>
        <v>47160</v>
      </c>
      <c r="S106" t="str">
        <f t="shared" si="35"/>
        <v>41 - Redução de Peso Bruto do item SV001141LA</v>
      </c>
      <c r="T106" t="str">
        <f t="shared" si="36"/>
        <v>Diadema</v>
      </c>
      <c r="U106" s="275">
        <f t="shared" si="27"/>
        <v>41104.57</v>
      </c>
      <c r="V106" s="235">
        <f t="shared" ca="1" si="41"/>
        <v>12331.371000000001</v>
      </c>
      <c r="W106" s="235">
        <f t="shared" ca="1" si="42"/>
        <v>11709.248652000004</v>
      </c>
      <c r="X106" t="str">
        <f t="shared" si="37"/>
        <v>✓ Concluído</v>
      </c>
      <c r="Y106" s="803">
        <f t="shared" si="38"/>
        <v>46082</v>
      </c>
      <c r="Z106" t="str">
        <f t="shared" si="39"/>
        <v>OK</v>
      </c>
    </row>
    <row r="107" spans="1:26" ht="14.55" x14ac:dyDescent="0.3">
      <c r="A107">
        <v>38</v>
      </c>
      <c r="B107" s="235" t="str">
        <f>IFERROR(LARGE(Jarinu!$I$55:$I$128,A107)," ")</f>
        <v xml:space="preserve"> </v>
      </c>
      <c r="C107" t="str">
        <f>IFERROR(INDEX(
    Jarinu!$C$55:$C$128,
    MATCH(
        B107,
        Jarinu!$I$55:$I$128,
        0
    )
), " ")</f>
        <v xml:space="preserve"> </v>
      </c>
      <c r="D107" s="806" t="str">
        <f t="shared" si="31"/>
        <v xml:space="preserve"> </v>
      </c>
      <c r="E107" s="362" t="str">
        <f t="shared" si="33"/>
        <v xml:space="preserve"> </v>
      </c>
      <c r="F107" t="str">
        <f t="shared" si="34"/>
        <v>Jarinu</v>
      </c>
      <c r="G107" t="e">
        <f>_xlfn.XLOOKUP(C107,Jarinu!$C$55:$C$128,Jarinu!$O$55:$O$128)</f>
        <v>#N/A</v>
      </c>
      <c r="H107" t="str">
        <f>_xlfn.XLOOKUP(C107,Jarinu!$C$55:$C$128,Jarinu!$M$55:$M$128," ")</f>
        <v xml:space="preserve"> </v>
      </c>
      <c r="I107" s="803" t="e">
        <f>_xlfn.XLOOKUP(C107,Jarinu!$C$55:$C$128,Jarinu!$J$55:$J$128)</f>
        <v>#N/A</v>
      </c>
      <c r="J107" s="235" t="e">
        <f>INDEX(Jarinu!$AP$55:$AP$128, MATCH(C107, Jarinu!$C$55:$C$128, 0))</f>
        <v>#N/A</v>
      </c>
      <c r="K107" s="235" t="e" cm="1">
        <f t="array" ref="K107">INDEX(Jarinu!$AP$55:$AP$128, MATCH(C107, Jarinu!$C$55:$C$128, 0)+1)</f>
        <v>#N/A</v>
      </c>
      <c r="L107" s="235" t="e">
        <f>INDEX(Jarinu!$AH$55:$AH$128, MATCH(C107, Jarinu!$C$55:$C$128, 0))</f>
        <v>#N/A</v>
      </c>
      <c r="M107" s="235"/>
      <c r="N107" s="235"/>
      <c r="O107" s="235"/>
      <c r="P107" s="235"/>
      <c r="Q107">
        <v>104</v>
      </c>
      <c r="R107" s="275">
        <f t="shared" si="40"/>
        <v>47086</v>
      </c>
      <c r="S107" t="str">
        <f t="shared" si="35"/>
        <v>25 - Redução de consumo de MTP China 2 porca (-10 mm)</v>
      </c>
      <c r="T107" t="str">
        <f t="shared" si="36"/>
        <v>Jarinu</v>
      </c>
      <c r="U107" s="275">
        <f t="shared" si="27"/>
        <v>15246.0275</v>
      </c>
      <c r="V107" s="235" t="str">
        <f t="shared" ca="1" si="41"/>
        <v/>
      </c>
      <c r="W107" s="235" t="str">
        <f t="shared" ca="1" si="42"/>
        <v/>
      </c>
      <c r="X107" t="str">
        <f t="shared" si="37"/>
        <v>⏳ Em Execução</v>
      </c>
      <c r="Y107" s="803">
        <f t="shared" si="38"/>
        <v>46203</v>
      </c>
      <c r="Z107" t="str">
        <f t="shared" si="39"/>
        <v>OK</v>
      </c>
    </row>
    <row r="108" spans="1:26" ht="14.55" x14ac:dyDescent="0.3">
      <c r="A108">
        <v>39</v>
      </c>
      <c r="B108" s="235" t="str">
        <f>IFERROR(LARGE(Jarinu!$I$55:$I$128,A108)," ")</f>
        <v xml:space="preserve"> </v>
      </c>
      <c r="C108" t="str">
        <f>IFERROR(INDEX(
    Jarinu!$C$55:$C$128,
    MATCH(
        B108,
        Jarinu!$I$55:$I$128,
        0
    )
), " ")</f>
        <v xml:space="preserve"> </v>
      </c>
      <c r="D108" s="806" t="str">
        <f t="shared" si="31"/>
        <v xml:space="preserve"> </v>
      </c>
      <c r="E108" s="362" t="str">
        <f t="shared" si="33"/>
        <v xml:space="preserve"> </v>
      </c>
      <c r="F108" t="str">
        <f t="shared" si="34"/>
        <v>Jarinu</v>
      </c>
      <c r="G108" t="e">
        <f>_xlfn.XLOOKUP(C108,Jarinu!$C$55:$C$128,Jarinu!$O$55:$O$128)</f>
        <v>#N/A</v>
      </c>
      <c r="H108" t="str">
        <f>_xlfn.XLOOKUP(C108,Jarinu!$C$55:$C$128,Jarinu!$M$55:$M$128," ")</f>
        <v xml:space="preserve"> </v>
      </c>
      <c r="I108" s="803" t="e">
        <f>_xlfn.XLOOKUP(C108,Jarinu!$C$55:$C$128,Jarinu!$J$55:$J$128)</f>
        <v>#N/A</v>
      </c>
      <c r="J108" s="235" t="e">
        <f>INDEX(Jarinu!$AP$55:$AP$128, MATCH(C108, Jarinu!$C$55:$C$128, 0))</f>
        <v>#N/A</v>
      </c>
      <c r="K108" s="235" t="e" cm="1">
        <f t="array" ref="K108">INDEX(Jarinu!$AP$55:$AP$128, MATCH(C108, Jarinu!$C$55:$C$128, 0)+1)</f>
        <v>#N/A</v>
      </c>
      <c r="L108" s="235" t="e">
        <f>INDEX(Jarinu!$AH$55:$AH$128, MATCH(C108, Jarinu!$C$55:$C$128, 0))</f>
        <v>#N/A</v>
      </c>
      <c r="M108" s="235"/>
      <c r="N108" s="235"/>
      <c r="O108" s="235"/>
      <c r="P108" s="235"/>
      <c r="Q108">
        <v>105</v>
      </c>
      <c r="R108" s="275">
        <f t="shared" si="40"/>
        <v>46745</v>
      </c>
      <c r="S108" t="str">
        <f t="shared" si="35"/>
        <v>BID eletrodos de solda</v>
      </c>
      <c r="T108" t="str">
        <f t="shared" si="36"/>
        <v>Compras</v>
      </c>
      <c r="U108" s="275">
        <f t="shared" si="27"/>
        <v>0</v>
      </c>
      <c r="V108" s="235" t="str">
        <f t="shared" ca="1" si="41"/>
        <v/>
      </c>
      <c r="W108" s="235" t="str">
        <f t="shared" ca="1" si="42"/>
        <v/>
      </c>
      <c r="X108" t="str">
        <f t="shared" si="37"/>
        <v>⏳ Em Execução</v>
      </c>
      <c r="Y108" s="803">
        <f t="shared" si="38"/>
        <v>46113</v>
      </c>
      <c r="Z108" t="str">
        <f t="shared" si="39"/>
        <v/>
      </c>
    </row>
    <row r="109" spans="1:26" ht="14.55" x14ac:dyDescent="0.3">
      <c r="A109">
        <v>40</v>
      </c>
      <c r="B109" s="235" t="str">
        <f>IFERROR(LARGE(Jarinu!$I$55:$I$128,A109)," ")</f>
        <v xml:space="preserve"> </v>
      </c>
      <c r="C109" t="str">
        <f>IFERROR(INDEX(
    Jarinu!$C$55:$C$128,
    MATCH(
        B109,
        Jarinu!$I$55:$I$128,
        0
    )
), " ")</f>
        <v xml:space="preserve"> </v>
      </c>
      <c r="D109" s="806" t="str">
        <f t="shared" si="31"/>
        <v xml:space="preserve"> </v>
      </c>
      <c r="E109" s="362" t="str">
        <f t="shared" si="33"/>
        <v xml:space="preserve"> </v>
      </c>
      <c r="F109" t="str">
        <f t="shared" si="34"/>
        <v>Jarinu</v>
      </c>
      <c r="G109" t="e">
        <f>_xlfn.XLOOKUP(C109,Jarinu!$C$55:$C$128,Jarinu!$O$55:$O$128)</f>
        <v>#N/A</v>
      </c>
      <c r="H109" t="str">
        <f>_xlfn.XLOOKUP(C109,Jarinu!$C$55:$C$128,Jarinu!$M$55:$M$128," ")</f>
        <v xml:space="preserve"> </v>
      </c>
      <c r="I109" s="803" t="e">
        <f>_xlfn.XLOOKUP(C109,Jarinu!$C$55:$C$128,Jarinu!$J$55:$J$128)</f>
        <v>#N/A</v>
      </c>
      <c r="J109" s="235" t="e">
        <f>INDEX(Jarinu!$AP$55:$AP$128, MATCH(C109, Jarinu!$C$55:$C$128, 0))</f>
        <v>#N/A</v>
      </c>
      <c r="K109" s="235" t="e" cm="1">
        <f t="array" ref="K109">INDEX(Jarinu!$AP$55:$AP$128, MATCH(C109, Jarinu!$C$55:$C$128, 0)+1)</f>
        <v>#N/A</v>
      </c>
      <c r="L109" s="235" t="e">
        <f>INDEX(Jarinu!$AH$55:$AH$128, MATCH(C109, Jarinu!$C$55:$C$128, 0))</f>
        <v>#N/A</v>
      </c>
      <c r="M109" s="235"/>
      <c r="N109" s="235"/>
      <c r="O109" s="235"/>
      <c r="P109" s="235"/>
      <c r="Q109">
        <v>106</v>
      </c>
      <c r="R109" s="275">
        <f t="shared" si="40"/>
        <v>46052</v>
      </c>
      <c r="S109" t="str">
        <f t="shared" si="35"/>
        <v>18 - Venda de Embalagens, ativos e sucatas</v>
      </c>
      <c r="T109" t="str">
        <f t="shared" si="36"/>
        <v>Diadema</v>
      </c>
      <c r="U109" s="275">
        <f t="shared" si="27"/>
        <v>46052</v>
      </c>
      <c r="V109" s="235" t="str">
        <f t="shared" ca="1" si="41"/>
        <v/>
      </c>
      <c r="W109" s="235" t="str">
        <f t="shared" ca="1" si="42"/>
        <v/>
      </c>
      <c r="X109" t="str">
        <f t="shared" si="37"/>
        <v>⏳ Em Execução</v>
      </c>
      <c r="Y109" s="803">
        <f t="shared" si="38"/>
        <v>0</v>
      </c>
      <c r="Z109" t="str">
        <f t="shared" si="39"/>
        <v>OK</v>
      </c>
    </row>
    <row r="110" spans="1:26" ht="14.55" x14ac:dyDescent="0.3">
      <c r="B110" s="235"/>
      <c r="D110" s="806"/>
      <c r="J110" s="235"/>
      <c r="K110" s="235"/>
      <c r="L110" s="235"/>
      <c r="M110" s="235"/>
      <c r="N110" s="235"/>
      <c r="O110" s="235"/>
      <c r="P110" s="235"/>
      <c r="Q110">
        <v>107</v>
      </c>
      <c r="R110" s="275">
        <f t="shared" si="40"/>
        <v>44400</v>
      </c>
      <c r="S110" t="str">
        <f t="shared" si="35"/>
        <v>08 - Redução de peso bruto MB002446LA / MB003670LA / MB003671LA</v>
      </c>
      <c r="T110" t="str">
        <f t="shared" si="36"/>
        <v>Diadema</v>
      </c>
      <c r="U110" s="275">
        <f t="shared" si="27"/>
        <v>13137.64</v>
      </c>
      <c r="V110" s="235">
        <f t="shared" ca="1" si="41"/>
        <v>1642.2049999999999</v>
      </c>
      <c r="W110" s="235">
        <f t="shared" ca="1" si="42"/>
        <v>3901.66</v>
      </c>
      <c r="X110" t="str">
        <f t="shared" si="37"/>
        <v>⏳ Em Execução</v>
      </c>
      <c r="Y110" s="803">
        <f t="shared" si="38"/>
        <v>46143</v>
      </c>
      <c r="Z110" t="str">
        <f t="shared" si="39"/>
        <v>OK</v>
      </c>
    </row>
    <row r="111" spans="1:26" x14ac:dyDescent="0.3">
      <c r="B111" s="235"/>
      <c r="D111" s="806"/>
      <c r="J111" s="235"/>
      <c r="K111" s="235"/>
      <c r="L111" s="235"/>
      <c r="M111" s="235"/>
      <c r="N111" s="235"/>
      <c r="O111" s="235"/>
      <c r="P111" s="235"/>
      <c r="Q111">
        <v>108</v>
      </c>
      <c r="R111" s="275">
        <f t="shared" si="40"/>
        <v>43500</v>
      </c>
      <c r="S111" t="str">
        <f t="shared" si="35"/>
        <v>Mudança de Modalidade Gerador Anchieta</v>
      </c>
      <c r="T111" t="str">
        <f t="shared" si="36"/>
        <v>Compras</v>
      </c>
      <c r="U111" s="275">
        <f t="shared" si="27"/>
        <v>39476.28</v>
      </c>
      <c r="V111" s="235">
        <f t="shared" ca="1" si="41"/>
        <v>16448.45</v>
      </c>
      <c r="W111" s="235">
        <f t="shared" ca="1" si="42"/>
        <v>9869.07</v>
      </c>
      <c r="X111" t="str">
        <f t="shared" si="37"/>
        <v>✓ Concluído</v>
      </c>
      <c r="Y111" s="803">
        <f t="shared" si="38"/>
        <v>46038</v>
      </c>
      <c r="Z111" t="str">
        <f t="shared" si="39"/>
        <v>OK</v>
      </c>
    </row>
    <row r="112" spans="1:26" ht="14.55" x14ac:dyDescent="0.3">
      <c r="B112" s="235"/>
      <c r="D112" s="806"/>
      <c r="L112" s="235"/>
      <c r="M112" s="235"/>
      <c r="N112" s="235"/>
      <c r="O112" s="235"/>
      <c r="P112" s="235"/>
      <c r="Q112">
        <v>109</v>
      </c>
      <c r="R112" s="275">
        <f t="shared" si="40"/>
        <v>42000</v>
      </c>
      <c r="S112" t="str">
        <f t="shared" si="35"/>
        <v>04 - Otimização de processo - Pulmão</v>
      </c>
      <c r="T112" t="str">
        <f t="shared" si="36"/>
        <v>Diadema</v>
      </c>
      <c r="U112" s="275">
        <f t="shared" si="27"/>
        <v>42000</v>
      </c>
      <c r="V112" s="235">
        <f t="shared" ca="1" si="41"/>
        <v>12600</v>
      </c>
      <c r="W112" s="235" t="str">
        <f t="shared" ca="1" si="42"/>
        <v/>
      </c>
      <c r="X112" t="str">
        <f t="shared" si="37"/>
        <v>✓ Concluído</v>
      </c>
      <c r="Y112" s="803">
        <f t="shared" si="38"/>
        <v>46082</v>
      </c>
      <c r="Z112" t="str">
        <f t="shared" si="39"/>
        <v/>
      </c>
    </row>
    <row r="113" spans="1:26" ht="14.85" customHeight="1" x14ac:dyDescent="0.3">
      <c r="A113" s="274" t="s">
        <v>22</v>
      </c>
      <c r="B113" s="274"/>
      <c r="C113" s="274"/>
      <c r="D113" s="805"/>
      <c r="E113" s="805"/>
      <c r="L113" s="235"/>
      <c r="M113" s="235"/>
      <c r="N113" s="235"/>
      <c r="O113" s="235"/>
      <c r="P113" s="235"/>
      <c r="Q113">
        <v>110</v>
      </c>
      <c r="R113" s="275">
        <f t="shared" si="40"/>
        <v>40500</v>
      </c>
      <c r="S113" t="str">
        <f t="shared" si="35"/>
        <v>06 - Acabamento capo CN13</v>
      </c>
      <c r="T113" t="str">
        <f t="shared" si="36"/>
        <v>São leopoldo</v>
      </c>
      <c r="U113" s="275">
        <f t="shared" si="27"/>
        <v>20341.199999999997</v>
      </c>
      <c r="V113" s="235">
        <f t="shared" ca="1" si="41"/>
        <v>13560.8</v>
      </c>
      <c r="W113" s="235">
        <f t="shared" ca="1" si="42"/>
        <v>13560.8</v>
      </c>
      <c r="X113" t="str">
        <f t="shared" si="37"/>
        <v>⏳ Em Execução</v>
      </c>
      <c r="Y113" s="803">
        <f t="shared" si="38"/>
        <v>46113</v>
      </c>
      <c r="Z113" t="str">
        <f t="shared" si="39"/>
        <v>OK</v>
      </c>
    </row>
    <row r="114" spans="1:26" ht="14.85" customHeight="1" x14ac:dyDescent="0.3">
      <c r="A114" s="274"/>
      <c r="B114" s="274"/>
      <c r="C114" s="274"/>
      <c r="D114" s="805"/>
      <c r="E114" s="805"/>
      <c r="J114" s="1678" t="s">
        <v>2550</v>
      </c>
      <c r="K114" s="1678"/>
      <c r="L114" s="235"/>
      <c r="M114" s="235"/>
      <c r="N114" s="235"/>
      <c r="O114" s="235"/>
      <c r="P114" s="235"/>
      <c r="Q114">
        <v>111</v>
      </c>
      <c r="R114" s="275">
        <f t="shared" si="40"/>
        <v>40400</v>
      </c>
      <c r="S114" t="str">
        <f t="shared" si="35"/>
        <v xml:space="preserve">24 - Aquisição do equipamento de ultrassom </v>
      </c>
      <c r="T114" t="str">
        <f t="shared" si="36"/>
        <v>Ferraz</v>
      </c>
      <c r="U114" s="275">
        <f t="shared" si="27"/>
        <v>0</v>
      </c>
      <c r="V114" s="235" t="str">
        <f t="shared" ca="1" si="41"/>
        <v/>
      </c>
      <c r="W114" s="235" t="str">
        <f t="shared" ca="1" si="42"/>
        <v/>
      </c>
      <c r="X114" t="str">
        <f t="shared" si="37"/>
        <v>📝 Não iniciado</v>
      </c>
      <c r="Y114" s="803">
        <f t="shared" si="38"/>
        <v>0</v>
      </c>
      <c r="Z114" t="str">
        <f t="shared" si="39"/>
        <v/>
      </c>
    </row>
    <row r="115" spans="1:26" ht="14.55" x14ac:dyDescent="0.3">
      <c r="F115" t="str">
        <f t="shared" ref="F115:F145" si="43">$A$113</f>
        <v>Ferraz</v>
      </c>
      <c r="J115" s="594" t="s">
        <v>106</v>
      </c>
      <c r="K115" s="594" t="s">
        <v>107</v>
      </c>
      <c r="L115" s="235"/>
      <c r="M115" s="235"/>
      <c r="N115" s="235"/>
      <c r="O115" s="235"/>
      <c r="P115" s="235"/>
      <c r="Q115">
        <v>112</v>
      </c>
      <c r="R115" s="275">
        <f t="shared" si="40"/>
        <v>40000.00088</v>
      </c>
      <c r="S115" t="str">
        <f t="shared" si="35"/>
        <v>39 - Venda de sucata de cobre</v>
      </c>
      <c r="T115" t="str">
        <f t="shared" si="36"/>
        <v>Jarinu</v>
      </c>
      <c r="U115" s="275">
        <f t="shared" si="27"/>
        <v>10000.00022</v>
      </c>
      <c r="V115" s="235" t="str">
        <f t="shared" ca="1" si="41"/>
        <v/>
      </c>
      <c r="W115" s="235" t="str">
        <f t="shared" ca="1" si="42"/>
        <v/>
      </c>
      <c r="X115">
        <f t="shared" ca="1" si="37"/>
        <v>1</v>
      </c>
      <c r="Y115" s="803">
        <f t="shared" si="38"/>
        <v>46174</v>
      </c>
      <c r="Z115" t="str">
        <f t="shared" si="39"/>
        <v/>
      </c>
    </row>
    <row r="116" spans="1:26" ht="14.55" x14ac:dyDescent="0.3">
      <c r="A116" cm="1">
        <f t="array" ref="A116:A145">_xlfn.SEQUENCE(30)</f>
        <v>1</v>
      </c>
      <c r="B116" s="235">
        <f>MAX(Ferraz!$I$55:$I$114)</f>
        <v>3000000</v>
      </c>
      <c r="C116" t="str">
        <f>IFERROR(INDEX(
    Ferraz!$C$55:$C$114,
    MATCH(
        B116,
        Ferraz!$I$55:$I$114,
        0
    )
), " ")</f>
        <v>01 - Clientes com baixa margem de contribuição.</v>
      </c>
      <c r="D116" s="806">
        <f t="shared" ref="D116:D137" si="44">IFERROR(B116/SUM($B$116:$B$145)," ")</f>
        <v>0.38051750255723948</v>
      </c>
      <c r="E116" s="362">
        <f>D116</f>
        <v>0.38051750255723948</v>
      </c>
      <c r="F116" t="str">
        <f t="shared" si="43"/>
        <v>Ferraz</v>
      </c>
      <c r="G116" t="str">
        <f>_xlfn.XLOOKUP(C116,Ferraz!$C$55:$C$114,Ferraz!$O$55:$O$114)</f>
        <v>⏳ Em Execução</v>
      </c>
      <c r="H116">
        <f>_xlfn.XLOOKUP(Pareto!C116,Ferraz!$C$55:$C$114,Ferraz!$M$55:$M$114," ")</f>
        <v>0</v>
      </c>
      <c r="I116" s="803">
        <f>_xlfn.XLOOKUP(C116,Ferraz!$C$55:$C$114,Ferraz!$J$55:$J$114)</f>
        <v>0</v>
      </c>
      <c r="J116" s="235" t="str">
        <f ca="1">INDEX(Ferraz!$AP$55:$AP$114, MATCH(C116, Ferraz!$C$55:$C$114, 0))</f>
        <v/>
      </c>
      <c r="K116" s="235" t="str" cm="1">
        <f t="array" aca="1" ref="K116" ca="1">INDEX(Ferraz!$AP$55:$AP$114, MATCH(C116, Ferraz!$C$55:$C$114, 0)+1)</f>
        <v/>
      </c>
      <c r="L116" s="235">
        <f>INDEX(Ferraz!$AH$55:$AH$114, MATCH(C116, Ferraz!$C$55:$C$114, 0))</f>
        <v>0</v>
      </c>
      <c r="M116" s="235"/>
      <c r="N116" s="235"/>
      <c r="O116" s="235"/>
      <c r="P116" s="235"/>
      <c r="Q116">
        <v>113</v>
      </c>
      <c r="R116" s="275">
        <f t="shared" si="40"/>
        <v>40000.000780000002</v>
      </c>
      <c r="S116" t="str">
        <f t="shared" si="35"/>
        <v>51 - Redução de MP - GM000402Z_403Z_Passo</v>
      </c>
      <c r="T116" t="str">
        <f t="shared" si="36"/>
        <v>Diadema</v>
      </c>
      <c r="U116" s="275">
        <f t="shared" si="27"/>
        <v>38893.96</v>
      </c>
      <c r="V116" s="235">
        <f t="shared" ca="1" si="41"/>
        <v>4861.7449999999999</v>
      </c>
      <c r="W116" s="235">
        <f t="shared" ca="1" si="42"/>
        <v>3800.3005510934777</v>
      </c>
      <c r="X116" t="str">
        <f t="shared" si="37"/>
        <v>⏳ Em Execução</v>
      </c>
      <c r="Y116" s="803">
        <f t="shared" si="38"/>
        <v>46143</v>
      </c>
      <c r="Z116" t="str">
        <f t="shared" si="39"/>
        <v>OK</v>
      </c>
    </row>
    <row r="117" spans="1:26" ht="14.55" x14ac:dyDescent="0.3">
      <c r="A117">
        <v>2</v>
      </c>
      <c r="B117" s="235">
        <f>IFERROR(LARGE(Ferraz!$I$55:$I$114,A117)," ")</f>
        <v>700000</v>
      </c>
      <c r="C117" t="str">
        <f>IFERROR(INDEX(
    Ferraz!$C$55:$C$114,
    MATCH(
        B117,
        Ferraz!$I$55:$I$114,
        0
    )
), " ")</f>
        <v>16 - Tolerância das MP's</v>
      </c>
      <c r="D117" s="806">
        <f t="shared" si="44"/>
        <v>8.8787417263355872E-2</v>
      </c>
      <c r="E117" s="362">
        <f>IFERROR(D117+E116," ")</f>
        <v>0.46930491982059536</v>
      </c>
      <c r="F117" t="str">
        <f t="shared" si="43"/>
        <v>Ferraz</v>
      </c>
      <c r="G117" t="str">
        <f>_xlfn.XLOOKUP(C117,Ferraz!$C$55:$C$114,Ferraz!$O$55:$O$114)</f>
        <v>⏳ Em Execução</v>
      </c>
      <c r="H117">
        <f>_xlfn.XLOOKUP(Pareto!C117,Ferraz!$C$55:$C$114,Ferraz!$M$55:$M$114," ")</f>
        <v>0</v>
      </c>
      <c r="I117" s="803">
        <f>_xlfn.XLOOKUP(C117,Ferraz!$C$55:$C$114,Ferraz!$J$55:$J$114)</f>
        <v>46204</v>
      </c>
      <c r="J117" s="235" t="str">
        <f ca="1">INDEX(Ferraz!$AP$55:$AP$114, MATCH(C117, Ferraz!$C$55:$C$114, 0))</f>
        <v/>
      </c>
      <c r="K117" s="235" t="str" cm="1">
        <f t="array" aca="1" ref="K117" ca="1">INDEX(Ferraz!$AP$55:$AP$114, MATCH(C117, Ferraz!$C$55:$C$114, 0)+1)</f>
        <v/>
      </c>
      <c r="L117" s="235">
        <f>INDEX(Ferraz!$AH$55:$AH$114, MATCH(C117, Ferraz!$C$55:$C$114, 0))</f>
        <v>350000</v>
      </c>
      <c r="M117" s="235"/>
      <c r="N117" s="235"/>
      <c r="O117" s="235"/>
      <c r="P117" s="235"/>
      <c r="Q117">
        <v>114</v>
      </c>
      <c r="R117" s="275">
        <f t="shared" si="40"/>
        <v>40000</v>
      </c>
      <c r="S117" t="str">
        <f t="shared" si="35"/>
        <v>03- Comunização de Materiais</v>
      </c>
      <c r="T117" t="str">
        <f t="shared" si="36"/>
        <v>São leopoldo</v>
      </c>
      <c r="U117" s="275">
        <f t="shared" si="27"/>
        <v>15000</v>
      </c>
      <c r="V117" s="235">
        <f t="shared" ca="1" si="41"/>
        <v>5000</v>
      </c>
      <c r="W117" s="235" t="str">
        <f t="shared" ca="1" si="42"/>
        <v/>
      </c>
      <c r="X117" t="str">
        <f t="shared" si="37"/>
        <v>⏳ Em Execução</v>
      </c>
      <c r="Y117" s="803">
        <f t="shared" si="38"/>
        <v>46143</v>
      </c>
      <c r="Z117" t="str">
        <f t="shared" si="39"/>
        <v/>
      </c>
    </row>
    <row r="118" spans="1:26" ht="14.55" x14ac:dyDescent="0.3">
      <c r="A118">
        <v>3</v>
      </c>
      <c r="B118" s="235">
        <f>IFERROR(LARGE(Ferraz!$I$55:$I$114,A118)," ")</f>
        <v>690000</v>
      </c>
      <c r="C118" t="str">
        <f>IFERROR(INDEX(
    Ferraz!$C$55:$C$114,
    MATCH(
        B118,
        Ferraz!$I$55:$I$114,
        0
    )
), " ")</f>
        <v xml:space="preserve">05 - Nitrogênio da máquina laser </v>
      </c>
      <c r="D118" s="806">
        <f t="shared" si="44"/>
        <v>8.7519025588165072E-2</v>
      </c>
      <c r="E118" s="362">
        <f t="shared" ref="E118:E145" si="45">IFERROR(D118+E117," ")</f>
        <v>0.55682394540876046</v>
      </c>
      <c r="F118" t="str">
        <f t="shared" si="43"/>
        <v>Ferraz</v>
      </c>
      <c r="G118" t="str">
        <f>_xlfn.XLOOKUP(C118,Ferraz!$C$55:$C$114,Ferraz!$O$55:$O$114)</f>
        <v>⏳ Em Execução</v>
      </c>
      <c r="H118">
        <f>_xlfn.XLOOKUP(Pareto!C118,Ferraz!$C$55:$C$114,Ferraz!$M$55:$M$114," ")</f>
        <v>0</v>
      </c>
      <c r="I118" s="803">
        <f>_xlfn.XLOOKUP(C118,Ferraz!$C$55:$C$114,Ferraz!$J$55:$J$114)</f>
        <v>46235</v>
      </c>
      <c r="J118" s="235" t="str">
        <f ca="1">INDEX(Ferraz!$AP$55:$AP$114, MATCH(C118, Ferraz!$C$55:$C$114, 0))</f>
        <v/>
      </c>
      <c r="K118" s="235" t="str" cm="1">
        <f t="array" aca="1" ref="K118" ca="1">INDEX(Ferraz!$AP$55:$AP$114, MATCH(C118, Ferraz!$C$55:$C$114, 0)+1)</f>
        <v/>
      </c>
      <c r="L118" s="235">
        <f>INDEX(Ferraz!$AH$55:$AH$114, MATCH(C118, Ferraz!$C$55:$C$114, 0))</f>
        <v>414000</v>
      </c>
      <c r="M118" s="235"/>
      <c r="N118" s="235"/>
      <c r="O118" s="235"/>
      <c r="P118" s="235"/>
      <c r="Q118">
        <v>115</v>
      </c>
      <c r="R118" s="275">
        <f t="shared" si="40"/>
        <v>39996</v>
      </c>
      <c r="S118" t="str">
        <f t="shared" si="35"/>
        <v>14 - REDUÇÃO DE MP DA000518Z (Anchieta) Código DD - VB000324Z</v>
      </c>
      <c r="T118" t="str">
        <f t="shared" si="36"/>
        <v>Diadema</v>
      </c>
      <c r="U118" s="275">
        <f t="shared" si="27"/>
        <v>46996.932073171294</v>
      </c>
      <c r="V118" s="235">
        <f t="shared" ca="1" si="41"/>
        <v>17089.7934811532</v>
      </c>
      <c r="W118" s="235">
        <f t="shared" ca="1" si="42"/>
        <v>19997.378357600865</v>
      </c>
      <c r="X118" t="str">
        <f t="shared" si="37"/>
        <v>✓ Concluído</v>
      </c>
      <c r="Y118" s="803">
        <f t="shared" si="38"/>
        <v>46054</v>
      </c>
      <c r="Z118" t="str">
        <f t="shared" si="39"/>
        <v>OK</v>
      </c>
    </row>
    <row r="119" spans="1:26" x14ac:dyDescent="0.3">
      <c r="A119">
        <v>4</v>
      </c>
      <c r="B119" s="235">
        <f>IFERROR(LARGE(Ferraz!$I$55:$I$114,A119)," ")</f>
        <v>600000.00089999998</v>
      </c>
      <c r="C119" t="str">
        <f>IFERROR(INDEX(
    Ferraz!$C$55:$C$114,
    MATCH(
        B119,
        Ferraz!$I$55:$I$114,
        0
    )
), " ")</f>
        <v xml:space="preserve">06 - Reaproveitamento de lixas </v>
      </c>
      <c r="D119" s="806">
        <f t="shared" si="44"/>
        <v>7.6103500625603143E-2</v>
      </c>
      <c r="E119" s="362">
        <f t="shared" si="45"/>
        <v>0.63292744603436357</v>
      </c>
      <c r="F119" t="str">
        <f t="shared" si="43"/>
        <v>Ferraz</v>
      </c>
      <c r="G119" t="str">
        <f>_xlfn.XLOOKUP(C119,Ferraz!$C$55:$C$114,Ferraz!$O$55:$O$114)</f>
        <v>✓ Concluído</v>
      </c>
      <c r="H119" t="str">
        <f>_xlfn.XLOOKUP(Pareto!C119,Ferraz!$C$55:$C$114,Ferraz!$M$55:$M$114," ")</f>
        <v>OK</v>
      </c>
      <c r="I119" s="803">
        <f>_xlfn.XLOOKUP(C119,Ferraz!$C$55:$C$114,Ferraz!$J$55:$J$114)</f>
        <v>46023</v>
      </c>
      <c r="J119" s="235">
        <f ca="1">INDEX(Ferraz!$AP$55:$AP$114, MATCH(C119, Ferraz!$C$55:$C$114, 0))</f>
        <v>253025.21666666667</v>
      </c>
      <c r="K119" s="235" cm="1">
        <f t="array" aca="1" ref="K119" ca="1">INDEX(Ferraz!$AP$55:$AP$114, MATCH(C119, Ferraz!$C$55:$C$114, 0)+1)</f>
        <v>276395.48</v>
      </c>
      <c r="L119" s="235">
        <f>INDEX(Ferraz!$AH$55:$AH$114, MATCH(C119, Ferraz!$C$55:$C$114, 0))</f>
        <v>151815.13</v>
      </c>
      <c r="M119" s="235"/>
      <c r="N119" s="235"/>
      <c r="O119" s="235"/>
      <c r="P119" s="235"/>
      <c r="Q119">
        <v>116</v>
      </c>
      <c r="R119" s="275">
        <f t="shared" si="40"/>
        <v>39383</v>
      </c>
      <c r="S119" t="str">
        <f t="shared" si="35"/>
        <v>Negociação Porca Bollhoff 15341 Saga</v>
      </c>
      <c r="T119" t="str">
        <f t="shared" si="36"/>
        <v>Compras</v>
      </c>
      <c r="U119" s="275">
        <f t="shared" si="27"/>
        <v>32819.166666666672</v>
      </c>
      <c r="V119" s="235">
        <f t="shared" ca="1" si="41"/>
        <v>9845.75</v>
      </c>
      <c r="W119" s="235" t="str">
        <f t="shared" ca="1" si="42"/>
        <v/>
      </c>
      <c r="X119" t="str">
        <f t="shared" si="37"/>
        <v>✓ Concluído</v>
      </c>
      <c r="Y119" s="803">
        <f t="shared" si="38"/>
        <v>46101</v>
      </c>
      <c r="Z119" t="str">
        <f t="shared" si="39"/>
        <v>OK</v>
      </c>
    </row>
    <row r="120" spans="1:26" ht="14.55" x14ac:dyDescent="0.3">
      <c r="A120">
        <v>5</v>
      </c>
      <c r="B120" s="235">
        <f>IFERROR(LARGE(Ferraz!$I$55:$I$114,A120)," ")</f>
        <v>500000.00799999997</v>
      </c>
      <c r="C120" t="str">
        <f>IFERROR(INDEX(
    Ferraz!$C$55:$C$114,
    MATCH(
        B120,
        Ferraz!$I$55:$I$114,
        0
    )
), " ")</f>
        <v xml:space="preserve">03 - Consumo de desmoldante </v>
      </c>
      <c r="D120" s="806">
        <f t="shared" si="44"/>
        <v>6.3419584774253246E-2</v>
      </c>
      <c r="E120" s="362">
        <f t="shared" si="45"/>
        <v>0.69634703080861682</v>
      </c>
      <c r="F120" t="str">
        <f t="shared" si="43"/>
        <v>Ferraz</v>
      </c>
      <c r="G120" t="str">
        <f>_xlfn.XLOOKUP(C120,Ferraz!$C$55:$C$114,Ferraz!$O$55:$O$114)</f>
        <v>⏳ Em Execução</v>
      </c>
      <c r="H120" t="str">
        <f>_xlfn.XLOOKUP(Pareto!C120,Ferraz!$C$55:$C$114,Ferraz!$M$55:$M$114," ")</f>
        <v>OK</v>
      </c>
      <c r="I120" s="803">
        <f>_xlfn.XLOOKUP(C120,Ferraz!$C$55:$C$114,Ferraz!$J$55:$J$114)</f>
        <v>46023</v>
      </c>
      <c r="J120" s="235">
        <f ca="1">INDEX(Ferraz!$AP$55:$AP$114, MATCH(C120, Ferraz!$C$55:$C$114, 0))</f>
        <v>210517.73333333334</v>
      </c>
      <c r="K120" s="235" cm="1">
        <f t="array" aca="1" ref="K120" ca="1">INDEX(Ferraz!$AP$55:$AP$114, MATCH(C120, Ferraz!$C$55:$C$114, 0)+1)</f>
        <v>421900.92000000004</v>
      </c>
      <c r="L120" s="235">
        <f>INDEX(Ferraz!$AH$55:$AH$114, MATCH(C120, Ferraz!$C$55:$C$114, 0))</f>
        <v>126310.64000000001</v>
      </c>
      <c r="M120" s="235"/>
      <c r="N120" s="235"/>
      <c r="O120" s="235"/>
      <c r="P120" s="235"/>
      <c r="Q120">
        <v>117</v>
      </c>
      <c r="R120" s="275">
        <f t="shared" si="40"/>
        <v>38583</v>
      </c>
      <c r="S120" t="str">
        <f t="shared" si="35"/>
        <v>12 - Aproveitamento de peças Obsoletas - A9583176540</v>
      </c>
      <c r="T120" t="str">
        <f t="shared" si="36"/>
        <v>Diadema</v>
      </c>
      <c r="U120" s="275">
        <f t="shared" si="27"/>
        <v>37746.6</v>
      </c>
      <c r="V120" s="235">
        <f t="shared" ca="1" si="41"/>
        <v>37746.6</v>
      </c>
      <c r="W120" s="235">
        <f t="shared" ca="1" si="42"/>
        <v>37746.6</v>
      </c>
      <c r="X120" t="str">
        <f t="shared" si="37"/>
        <v>✓ Concluído</v>
      </c>
      <c r="Y120" s="803">
        <f t="shared" si="38"/>
        <v>46023</v>
      </c>
      <c r="Z120" t="str">
        <f t="shared" si="39"/>
        <v>OK</v>
      </c>
    </row>
    <row r="121" spans="1:26" x14ac:dyDescent="0.3">
      <c r="A121">
        <v>6</v>
      </c>
      <c r="B121" s="235">
        <f>IFERROR(LARGE(Ferraz!$I$55:$I$114,A121)," ")</f>
        <v>450000</v>
      </c>
      <c r="C121" t="str">
        <f>IFERROR(INDEX(
    Ferraz!$C$55:$C$114,
    MATCH(
        B121,
        Ferraz!$I$55:$I$114,
        0
    )
), " ")</f>
        <v xml:space="preserve">04 - Redução dos retrabalhos </v>
      </c>
      <c r="D121" s="806">
        <f t="shared" si="44"/>
        <v>5.707762538358592E-2</v>
      </c>
      <c r="E121" s="362">
        <f t="shared" si="45"/>
        <v>0.75342465619220278</v>
      </c>
      <c r="F121" t="str">
        <f t="shared" si="43"/>
        <v>Ferraz</v>
      </c>
      <c r="G121" t="str">
        <f>_xlfn.XLOOKUP(C121,Ferraz!$C$55:$C$114,Ferraz!$O$55:$O$114)</f>
        <v>⏳ Em Execução</v>
      </c>
      <c r="H121">
        <f>_xlfn.XLOOKUP(Pareto!C121,Ferraz!$C$55:$C$114,Ferraz!$M$55:$M$114," ")</f>
        <v>0</v>
      </c>
      <c r="I121" s="803">
        <f>_xlfn.XLOOKUP(C121,Ferraz!$C$55:$C$114,Ferraz!$J$55:$J$114)</f>
        <v>0</v>
      </c>
      <c r="J121" s="235" t="str">
        <f ca="1">INDEX(Ferraz!$AP$55:$AP$114, MATCH(C121, Ferraz!$C$55:$C$114, 0))</f>
        <v/>
      </c>
      <c r="K121" s="235" t="str" cm="1">
        <f t="array" aca="1" ref="K121" ca="1">INDEX(Ferraz!$AP$55:$AP$114, MATCH(C121, Ferraz!$C$55:$C$114, 0)+1)</f>
        <v/>
      </c>
      <c r="L121" s="235">
        <f>INDEX(Ferraz!$AH$55:$AH$114, MATCH(C121, Ferraz!$C$55:$C$114, 0))</f>
        <v>0</v>
      </c>
      <c r="M121" s="235"/>
      <c r="N121" s="235"/>
      <c r="O121" s="235"/>
      <c r="P121" s="235"/>
      <c r="Q121">
        <v>118</v>
      </c>
      <c r="R121" s="275">
        <f t="shared" si="40"/>
        <v>38087</v>
      </c>
      <c r="S121" t="str">
        <f t="shared" si="35"/>
        <v>BID Fita Alta Temp 3M + Anti-Slip 3M</v>
      </c>
      <c r="T121" t="str">
        <f t="shared" si="36"/>
        <v>Compras</v>
      </c>
      <c r="U121" s="275">
        <f t="shared" si="27"/>
        <v>31739.166666666672</v>
      </c>
      <c r="V121" s="235">
        <f t="shared" ca="1" si="41"/>
        <v>9521.75</v>
      </c>
      <c r="W121" s="235" t="str">
        <f t="shared" ca="1" si="42"/>
        <v/>
      </c>
      <c r="X121" t="str">
        <f t="shared" si="37"/>
        <v>✓ Concluído</v>
      </c>
      <c r="Y121" s="803">
        <f t="shared" si="38"/>
        <v>46098</v>
      </c>
      <c r="Z121" t="str">
        <f t="shared" si="39"/>
        <v/>
      </c>
    </row>
    <row r="122" spans="1:26" ht="14.55" x14ac:dyDescent="0.3">
      <c r="A122">
        <v>7</v>
      </c>
      <c r="B122" s="235">
        <f>IFERROR(LARGE(Ferraz!$I$55:$I$114,A122)," ")</f>
        <v>400000.00089999998</v>
      </c>
      <c r="C122" t="str">
        <f>IFERROR(INDEX(
    Ferraz!$C$55:$C$114,
    MATCH(
        B122,
        Ferraz!$I$55:$I$114,
        0
    )
), " ")</f>
        <v xml:space="preserve">07 - Consumo de gás </v>
      </c>
      <c r="D122" s="806">
        <f t="shared" si="44"/>
        <v>5.0735667121787176E-2</v>
      </c>
      <c r="E122" s="362">
        <f t="shared" si="45"/>
        <v>0.80416032331399001</v>
      </c>
      <c r="F122" t="str">
        <f t="shared" si="43"/>
        <v>Ferraz</v>
      </c>
      <c r="G122" t="str">
        <f>_xlfn.XLOOKUP(C122,Ferraz!$C$55:$C$114,Ferraz!$O$55:$O$114)</f>
        <v>⏳ Em Execução</v>
      </c>
      <c r="H122" t="str">
        <f>_xlfn.XLOOKUP(Pareto!C122,Ferraz!$C$55:$C$114,Ferraz!$M$55:$M$114," ")</f>
        <v>OK</v>
      </c>
      <c r="I122" s="803">
        <f>_xlfn.XLOOKUP(C122,Ferraz!$C$55:$C$114,Ferraz!$J$55:$J$114)</f>
        <v>46023</v>
      </c>
      <c r="J122" s="235">
        <f ca="1">INDEX(Ferraz!$AP$55:$AP$114, MATCH(C122, Ferraz!$C$55:$C$114, 0))</f>
        <v>168907.08333333331</v>
      </c>
      <c r="K122" s="235" cm="1">
        <f t="array" aca="1" ref="K122" ca="1">INDEX(Ferraz!$AP$55:$AP$114, MATCH(C122, Ferraz!$C$55:$C$114, 0)+1)</f>
        <v>413825.56999999995</v>
      </c>
      <c r="L122" s="235">
        <f>INDEX(Ferraz!$AH$55:$AH$114, MATCH(C122, Ferraz!$C$55:$C$114, 0))</f>
        <v>101344.25</v>
      </c>
      <c r="M122" s="235"/>
      <c r="N122" s="235"/>
      <c r="O122" s="235"/>
      <c r="P122" s="235"/>
      <c r="Q122">
        <v>119</v>
      </c>
      <c r="R122" s="275">
        <f t="shared" si="40"/>
        <v>37356.410000000003</v>
      </c>
      <c r="S122" t="str">
        <f t="shared" si="35"/>
        <v xml:space="preserve">02 -  REDUÇÃO DE PESO BRUTO DD000506Z
</v>
      </c>
      <c r="T122" t="str">
        <f t="shared" si="36"/>
        <v>São leopoldo</v>
      </c>
      <c r="U122" s="275">
        <f t="shared" si="27"/>
        <v>12173.294708095502</v>
      </c>
      <c r="V122" s="235">
        <f t="shared" ca="1" si="41"/>
        <v>4057.7649026985005</v>
      </c>
      <c r="W122" s="235" t="str">
        <f t="shared" ca="1" si="42"/>
        <v/>
      </c>
      <c r="X122" t="str">
        <f t="shared" si="37"/>
        <v>⏳ Em Execução</v>
      </c>
      <c r="Y122" s="803">
        <f t="shared" si="38"/>
        <v>46143</v>
      </c>
      <c r="Z122" t="str">
        <f t="shared" si="39"/>
        <v>OK</v>
      </c>
    </row>
    <row r="123" spans="1:26" ht="14.55" x14ac:dyDescent="0.3">
      <c r="A123">
        <v>8</v>
      </c>
      <c r="B123" s="235">
        <f>IFERROR(LARGE(Ferraz!$I$55:$I$114,A123)," ")</f>
        <v>300000.00099999999</v>
      </c>
      <c r="C123" t="str">
        <f>IFERROR(INDEX(
    Ferraz!$C$55:$C$114,
    MATCH(
        B123,
        Ferraz!$I$55:$I$114,
        0
    )
), " ")</f>
        <v xml:space="preserve">Consumo de água </v>
      </c>
      <c r="D123" s="806">
        <f t="shared" si="44"/>
        <v>3.8051750382563108E-2</v>
      </c>
      <c r="E123" s="362">
        <f t="shared" si="45"/>
        <v>0.84221207369655315</v>
      </c>
      <c r="F123" t="str">
        <f t="shared" si="43"/>
        <v>Ferraz</v>
      </c>
      <c r="G123" t="str">
        <f>_xlfn.XLOOKUP(C123,Ferraz!$C$55:$C$114,Ferraz!$O$55:$O$114)</f>
        <v>⏳ Em Execução</v>
      </c>
      <c r="H123" t="str">
        <f>_xlfn.XLOOKUP(Pareto!C123,Ferraz!$C$55:$C$114,Ferraz!$M$55:$M$114," ")</f>
        <v>OK</v>
      </c>
      <c r="I123" s="803">
        <f>_xlfn.XLOOKUP(C123,Ferraz!$C$55:$C$114,Ferraz!$J$55:$J$114)</f>
        <v>46023</v>
      </c>
      <c r="J123" s="235">
        <f ca="1">INDEX(Ferraz!$AP$55:$AP$114, MATCH(C123, Ferraz!$C$55:$C$114, 0))</f>
        <v>127922.91666666666</v>
      </c>
      <c r="K123" s="235" cm="1">
        <f t="array" aca="1" ref="K123" ca="1">INDEX(Ferraz!$AP$55:$AP$114, MATCH(C123, Ferraz!$C$55:$C$114, 0)+1)</f>
        <v>45098</v>
      </c>
      <c r="L123" s="235">
        <f>INDEX(Ferraz!$AH$55:$AH$114, MATCH(C123, Ferraz!$C$55:$C$114, 0))</f>
        <v>76753.75</v>
      </c>
      <c r="M123" s="235"/>
      <c r="N123" s="235"/>
      <c r="O123" s="235"/>
      <c r="P123" s="235"/>
      <c r="Q123">
        <v>120</v>
      </c>
      <c r="R123" s="275">
        <f t="shared" si="40"/>
        <v>37266.49</v>
      </c>
      <c r="S123" t="str">
        <f t="shared" si="35"/>
        <v>BID consumíveis laser</v>
      </c>
      <c r="T123" t="str">
        <f t="shared" si="36"/>
        <v>Compras</v>
      </c>
      <c r="U123" s="275">
        <f t="shared" si="27"/>
        <v>15527.704166666665</v>
      </c>
      <c r="V123" s="235" t="str">
        <f t="shared" ca="1" si="41"/>
        <v/>
      </c>
      <c r="W123" s="235" t="str">
        <f t="shared" ca="1" si="42"/>
        <v/>
      </c>
      <c r="X123" t="str">
        <f t="shared" si="37"/>
        <v>✓ Concluído</v>
      </c>
      <c r="Y123" s="803">
        <f t="shared" si="38"/>
        <v>46235</v>
      </c>
      <c r="Z123" t="str">
        <f t="shared" si="39"/>
        <v/>
      </c>
    </row>
    <row r="124" spans="1:26" ht="14.55" x14ac:dyDescent="0.3">
      <c r="A124">
        <v>9</v>
      </c>
      <c r="B124" s="235">
        <f>IFERROR(LARGE(Ferraz!$I$55:$I$114,A124)," ")</f>
        <v>200000.00399999999</v>
      </c>
      <c r="C124" t="str">
        <f>IFERROR(INDEX(
    Ferraz!$C$55:$C$114,
    MATCH(
        B124,
        Ferraz!$I$55:$I$114,
        0
    )
), " ")</f>
        <v xml:space="preserve">10 - Consumo de energia elétrica: vazamentos de ar </v>
      </c>
      <c r="D124" s="806">
        <f t="shared" si="44"/>
        <v>2.5367834011172631E-2</v>
      </c>
      <c r="E124" s="362">
        <f t="shared" si="45"/>
        <v>0.86757990770772575</v>
      </c>
      <c r="F124" t="str">
        <f t="shared" si="43"/>
        <v>Ferraz</v>
      </c>
      <c r="G124" t="str">
        <f>_xlfn.XLOOKUP(C124,Ferraz!$C$55:$C$114,Ferraz!$O$55:$O$114)</f>
        <v>⏳ Em Execução</v>
      </c>
      <c r="H124" t="str">
        <f>_xlfn.XLOOKUP(Pareto!C124,Ferraz!$C$55:$C$114,Ferraz!$M$55:$M$114," ")</f>
        <v>OK</v>
      </c>
      <c r="I124" s="803">
        <f>_xlfn.XLOOKUP(C124,Ferraz!$C$55:$C$114,Ferraz!$J$55:$J$114)</f>
        <v>46054</v>
      </c>
      <c r="J124" s="235">
        <f ca="1">INDEX(Ferraz!$AP$55:$AP$114, MATCH(C124, Ferraz!$C$55:$C$114, 0))</f>
        <v>76606.909090909088</v>
      </c>
      <c r="K124" s="235" t="str" cm="1">
        <f t="array" aca="1" ref="K124" ca="1">INDEX(Ferraz!$AP$55:$AP$114, MATCH(C124, Ferraz!$C$55:$C$114, 0)+1)</f>
        <v/>
      </c>
      <c r="L124" s="235">
        <f>INDEX(Ferraz!$AH$55:$AH$114, MATCH(C124, Ferraz!$C$55:$C$114, 0))</f>
        <v>57455.181818181816</v>
      </c>
      <c r="M124" s="235"/>
      <c r="N124" s="235"/>
      <c r="O124" s="235"/>
      <c r="P124" s="235"/>
      <c r="Q124">
        <v>121</v>
      </c>
      <c r="R124" s="275">
        <f t="shared" si="40"/>
        <v>36000</v>
      </c>
      <c r="S124" t="str">
        <f t="shared" si="35"/>
        <v>22 - Aproveitamento de Retalho do corte laser - MB002316LA_MB003533LA_MB003673LC</v>
      </c>
      <c r="T124" t="str">
        <f t="shared" si="36"/>
        <v>Diadema</v>
      </c>
      <c r="U124" s="275">
        <f t="shared" si="27"/>
        <v>36000</v>
      </c>
      <c r="V124" s="235">
        <f t="shared" ca="1" si="41"/>
        <v>8000</v>
      </c>
      <c r="W124" s="235" t="str">
        <f t="shared" ca="1" si="42"/>
        <v/>
      </c>
      <c r="X124" t="str">
        <f t="shared" si="37"/>
        <v>✓ Concluído</v>
      </c>
      <c r="Y124" s="803">
        <f t="shared" si="38"/>
        <v>46113</v>
      </c>
      <c r="Z124" t="str">
        <f t="shared" si="39"/>
        <v>Não Ok</v>
      </c>
    </row>
    <row r="125" spans="1:26" ht="14.55" x14ac:dyDescent="0.3">
      <c r="A125">
        <v>10</v>
      </c>
      <c r="B125" s="235">
        <f>IFERROR(LARGE(Ferraz!$I$55:$I$114,A125)," ")</f>
        <v>200000.00200000001</v>
      </c>
      <c r="C125" t="str">
        <f>IFERROR(INDEX(
    Ferraz!$C$55:$C$114,
    MATCH(
        B125,
        Ferraz!$I$55:$I$114,
        0
    )
), " ")</f>
        <v>12 - Sistema hidráulico 3500T</v>
      </c>
      <c r="D125" s="806">
        <f t="shared" si="44"/>
        <v>2.5367833757494299E-2</v>
      </c>
      <c r="E125" s="362">
        <f t="shared" si="45"/>
        <v>0.89294774146522005</v>
      </c>
      <c r="F125" t="str">
        <f t="shared" si="43"/>
        <v>Ferraz</v>
      </c>
      <c r="G125" t="str">
        <f>_xlfn.XLOOKUP(C125,Ferraz!$C$55:$C$114,Ferraz!$O$55:$O$114)</f>
        <v>⏳ Em Execução</v>
      </c>
      <c r="H125">
        <f>_xlfn.XLOOKUP(Pareto!C125,Ferraz!$C$55:$C$114,Ferraz!$M$55:$M$114," ")</f>
        <v>0</v>
      </c>
      <c r="I125" s="803">
        <f>_xlfn.XLOOKUP(C125,Ferraz!$C$55:$C$114,Ferraz!$J$55:$J$114)</f>
        <v>0</v>
      </c>
      <c r="J125" s="235" t="str">
        <f ca="1">INDEX(Ferraz!$AP$55:$AP$114, MATCH(C125, Ferraz!$C$55:$C$114, 0))</f>
        <v/>
      </c>
      <c r="K125" s="235" t="str" cm="1">
        <f t="array" aca="1" ref="K125" ca="1">INDEX(Ferraz!$AP$55:$AP$114, MATCH(C125, Ferraz!$C$55:$C$114, 0)+1)</f>
        <v/>
      </c>
      <c r="L125" s="235">
        <f>INDEX(Ferraz!$AH$55:$AH$114, MATCH(C125, Ferraz!$C$55:$C$114, 0))</f>
        <v>0</v>
      </c>
      <c r="M125" s="235"/>
      <c r="N125" s="235"/>
      <c r="O125" s="235"/>
      <c r="P125" s="235"/>
      <c r="Q125">
        <v>122</v>
      </c>
      <c r="R125" s="275">
        <f t="shared" si="40"/>
        <v>35000</v>
      </c>
      <c r="S125" t="str">
        <f t="shared" si="35"/>
        <v>Unificação itens de Distribuição Fixadores.</v>
      </c>
      <c r="T125" t="str">
        <f t="shared" si="36"/>
        <v>Compras</v>
      </c>
      <c r="U125" s="275">
        <f t="shared" si="27"/>
        <v>2916.6666666666665</v>
      </c>
      <c r="V125" s="235" t="str">
        <f t="shared" ca="1" si="41"/>
        <v/>
      </c>
      <c r="W125" s="235" t="str">
        <f t="shared" ca="1" si="42"/>
        <v/>
      </c>
      <c r="X125" t="str">
        <f t="shared" si="37"/>
        <v>⏳ Em Execução</v>
      </c>
      <c r="Y125" s="803">
        <f t="shared" si="38"/>
        <v>46366</v>
      </c>
      <c r="Z125" t="str">
        <f t="shared" si="39"/>
        <v/>
      </c>
    </row>
    <row r="126" spans="1:26" ht="14.55" x14ac:dyDescent="0.3">
      <c r="A126">
        <v>11</v>
      </c>
      <c r="B126" s="235">
        <f>IFERROR(LARGE(Ferraz!$I$55:$I$114,A126)," ")</f>
        <v>195000</v>
      </c>
      <c r="C126" t="str">
        <f>IFERROR(INDEX(
    Ferraz!$C$55:$C$114,
    MATCH(
        B126,
        Ferraz!$I$55:$I$114,
        0
    )
), " ")</f>
        <v>09 - Critério para descarte de consumíveis</v>
      </c>
      <c r="D126" s="806">
        <f t="shared" si="44"/>
        <v>2.4733637666220564E-2</v>
      </c>
      <c r="E126" s="362">
        <f t="shared" si="45"/>
        <v>0.91768137913144066</v>
      </c>
      <c r="F126" t="str">
        <f t="shared" si="43"/>
        <v>Ferraz</v>
      </c>
      <c r="G126" t="str">
        <f>_xlfn.XLOOKUP(C126,Ferraz!$C$55:$C$114,Ferraz!$O$55:$O$114)</f>
        <v>⏳ Em Execução</v>
      </c>
      <c r="H126" t="str">
        <f>_xlfn.XLOOKUP(Pareto!C126,Ferraz!$C$55:$C$114,Ferraz!$M$55:$M$114," ")</f>
        <v>Não Ok</v>
      </c>
      <c r="I126" s="803">
        <f>_xlfn.XLOOKUP(C126,Ferraz!$C$55:$C$114,Ferraz!$J$55:$J$114)</f>
        <v>0</v>
      </c>
      <c r="J126" s="235" t="str">
        <f ca="1">INDEX(Ferraz!$AP$55:$AP$114, MATCH(C126, Ferraz!$C$55:$C$114, 0))</f>
        <v/>
      </c>
      <c r="K126" s="235" t="str" cm="1">
        <f t="array" aca="1" ref="K126" ca="1">INDEX(Ferraz!$AP$55:$AP$114, MATCH(C126, Ferraz!$C$55:$C$114, 0)+1)</f>
        <v/>
      </c>
      <c r="L126" s="235">
        <f>INDEX(Ferraz!$AH$55:$AH$114, MATCH(C126, Ferraz!$C$55:$C$114, 0))</f>
        <v>0</v>
      </c>
      <c r="M126" s="235"/>
      <c r="N126" s="235"/>
      <c r="O126" s="235"/>
      <c r="P126" s="235"/>
      <c r="Q126">
        <v>123</v>
      </c>
      <c r="R126" s="275">
        <f t="shared" si="40"/>
        <v>34645</v>
      </c>
      <c r="S126" t="str">
        <f t="shared" si="35"/>
        <v>15 - Redução de consumo no slitter dos itens VW000950AA/951AA</v>
      </c>
      <c r="T126" t="str">
        <f t="shared" si="36"/>
        <v>Jarinu</v>
      </c>
      <c r="U126" s="275">
        <f t="shared" si="27"/>
        <v>11812.067499999999</v>
      </c>
      <c r="V126" s="235" t="str">
        <f t="shared" ca="1" si="41"/>
        <v/>
      </c>
      <c r="W126" s="235" t="str">
        <f t="shared" ca="1" si="42"/>
        <v/>
      </c>
      <c r="X126" t="str">
        <f t="shared" si="37"/>
        <v>⏳ Em Execução</v>
      </c>
      <c r="Y126" s="803">
        <f t="shared" si="38"/>
        <v>46174</v>
      </c>
      <c r="Z126" t="str">
        <f t="shared" si="39"/>
        <v>OK</v>
      </c>
    </row>
    <row r="127" spans="1:26" ht="14.55" x14ac:dyDescent="0.3">
      <c r="A127">
        <v>12</v>
      </c>
      <c r="B127" s="235">
        <f>IFERROR(LARGE(Ferraz!$I$55:$I$114,A127)," ")</f>
        <v>165000</v>
      </c>
      <c r="C127" t="str">
        <f>IFERROR(INDEX(
    Ferraz!$C$55:$C$114,
    MATCH(
        B127,
        Ferraz!$I$55:$I$114,
        0
    )
), " ")</f>
        <v xml:space="preserve">13 - Transferência Hasenclaver para o plasma </v>
      </c>
      <c r="D127" s="806">
        <f t="shared" si="44"/>
        <v>2.0928462640648172E-2</v>
      </c>
      <c r="E127" s="362">
        <f t="shared" si="45"/>
        <v>0.93860984177208884</v>
      </c>
      <c r="F127" t="str">
        <f t="shared" si="43"/>
        <v>Ferraz</v>
      </c>
      <c r="G127" t="str">
        <f>_xlfn.XLOOKUP(C127,Ferraz!$C$55:$C$114,Ferraz!$O$55:$O$114)</f>
        <v>⏳ Em Execução</v>
      </c>
      <c r="H127" t="str">
        <f>_xlfn.XLOOKUP(Pareto!C127,Ferraz!$C$55:$C$114,Ferraz!$M$55:$M$114," ")</f>
        <v>Não Ok</v>
      </c>
      <c r="I127" s="803">
        <f>_xlfn.XLOOKUP(C127,Ferraz!$C$55:$C$114,Ferraz!$J$55:$J$114)</f>
        <v>0</v>
      </c>
      <c r="J127" s="235" t="str">
        <f ca="1">INDEX(Ferraz!$AP$55:$AP$114, MATCH(C127, Ferraz!$C$55:$C$114, 0))</f>
        <v/>
      </c>
      <c r="K127" s="235" t="str" cm="1">
        <f t="array" aca="1" ref="K127" ca="1">INDEX(Ferraz!$AP$55:$AP$114, MATCH(C127, Ferraz!$C$55:$C$114, 0)+1)</f>
        <v/>
      </c>
      <c r="L127" s="235">
        <f>INDEX(Ferraz!$AH$55:$AH$114, MATCH(C127, Ferraz!$C$55:$C$114, 0))</f>
        <v>0</v>
      </c>
      <c r="M127" s="235"/>
      <c r="N127" s="235"/>
      <c r="O127" s="235"/>
      <c r="P127" s="235"/>
      <c r="Q127">
        <v>124</v>
      </c>
      <c r="R127" s="275">
        <f t="shared" si="40"/>
        <v>33600</v>
      </c>
      <c r="S127" t="str">
        <f t="shared" si="35"/>
        <v>24 - KAIZEN - Redução de peso bruto_MB002289LA_MB002290LA_Rev00_Bruno Manachini</v>
      </c>
      <c r="T127" t="str">
        <f t="shared" si="36"/>
        <v>Diadema</v>
      </c>
      <c r="U127" s="275">
        <f t="shared" si="27"/>
        <v>29532.29</v>
      </c>
      <c r="V127" s="235">
        <f t="shared" ca="1" si="41"/>
        <v>3691.5362500000001</v>
      </c>
      <c r="W127" s="235">
        <f t="shared" ca="1" si="42"/>
        <v>3320.2090956719312</v>
      </c>
      <c r="X127" t="str">
        <f t="shared" si="37"/>
        <v>✓ Concluído</v>
      </c>
      <c r="Y127" s="803">
        <f t="shared" si="38"/>
        <v>46143</v>
      </c>
      <c r="Z127" t="str">
        <f t="shared" si="39"/>
        <v>OK</v>
      </c>
    </row>
    <row r="128" spans="1:26" ht="14.55" x14ac:dyDescent="0.3">
      <c r="A128">
        <v>13</v>
      </c>
      <c r="B128" s="235">
        <f>IFERROR(LARGE(Ferraz!$I$55:$I$114,A128)," ")</f>
        <v>150000.00090000001</v>
      </c>
      <c r="C128" t="str">
        <f>IFERROR(INDEX(
    Ferraz!$C$55:$C$114,
    MATCH(
        B128,
        Ferraz!$I$55:$I$114,
        0
    )
), " ")</f>
        <v>14 - Consumo de EPI's</v>
      </c>
      <c r="D128" s="806">
        <f t="shared" si="44"/>
        <v>1.9025875242017227E-2</v>
      </c>
      <c r="E128" s="362">
        <f t="shared" si="45"/>
        <v>0.9576357170141061</v>
      </c>
      <c r="F128" t="str">
        <f t="shared" si="43"/>
        <v>Ferraz</v>
      </c>
      <c r="G128" t="str">
        <f>_xlfn.XLOOKUP(C128,Ferraz!$C$55:$C$114,Ferraz!$O$55:$O$114)</f>
        <v>⏳ Em Execução</v>
      </c>
      <c r="H128" t="str">
        <f>_xlfn.XLOOKUP(Pareto!C128,Ferraz!$C$55:$C$114,Ferraz!$M$55:$M$114," ")</f>
        <v>OK</v>
      </c>
      <c r="I128" s="803">
        <f>_xlfn.XLOOKUP(C128,Ferraz!$C$55:$C$114,Ferraz!$J$55:$J$114)</f>
        <v>46023</v>
      </c>
      <c r="J128" s="235">
        <f ca="1">INDEX(Ferraz!$AP$55:$AP$114, MATCH(C128, Ferraz!$C$55:$C$114, 0))</f>
        <v>51535.833333333328</v>
      </c>
      <c r="K128" s="235" cm="1">
        <f t="array" aca="1" ref="K128" ca="1">INDEX(Ferraz!$AP$55:$AP$114, MATCH(C128, Ferraz!$C$55:$C$114, 0)+1)</f>
        <v>36880.140000000007</v>
      </c>
      <c r="L128" s="235">
        <f>INDEX(Ferraz!$AH$55:$AH$114, MATCH(C128, Ferraz!$C$55:$C$114, 0))</f>
        <v>30921.5</v>
      </c>
      <c r="M128" s="235"/>
      <c r="N128" s="235"/>
      <c r="O128" s="235"/>
      <c r="P128" s="235"/>
      <c r="Q128">
        <v>125</v>
      </c>
      <c r="R128" s="275">
        <f t="shared" si="40"/>
        <v>33214.550000000003</v>
      </c>
      <c r="S128" t="str">
        <f t="shared" si="35"/>
        <v>22- Eliminar custo com usinagem externa CN 00016/17</v>
      </c>
      <c r="T128" t="str">
        <f t="shared" si="36"/>
        <v>São leopoldo</v>
      </c>
      <c r="U128" s="275">
        <f t="shared" si="27"/>
        <v>8303.6375000000007</v>
      </c>
      <c r="V128" s="235">
        <f t="shared" ca="1" si="41"/>
        <v>2767.8791666666671</v>
      </c>
      <c r="W128" s="235" t="str">
        <f t="shared" ca="1" si="42"/>
        <v/>
      </c>
      <c r="X128" t="str">
        <f t="shared" si="37"/>
        <v>⏳ Em Execução</v>
      </c>
      <c r="Y128" s="803">
        <f t="shared" si="38"/>
        <v>46143</v>
      </c>
      <c r="Z128" t="str">
        <f t="shared" si="39"/>
        <v/>
      </c>
    </row>
    <row r="129" spans="1:26" ht="14.55" x14ac:dyDescent="0.3">
      <c r="A129">
        <v>14</v>
      </c>
      <c r="B129" s="235">
        <f>IFERROR(LARGE(Ferraz!$I$55:$I$114,A129)," ")</f>
        <v>90000</v>
      </c>
      <c r="C129" t="str">
        <f>IFERROR(INDEX(
    Ferraz!$C$55:$C$114,
    MATCH(
        B129,
        Ferraz!$I$55:$I$114,
        0
    )
), " ")</f>
        <v>15 - Enclausuramento do jato granalha</v>
      </c>
      <c r="D129" s="806">
        <f t="shared" si="44"/>
        <v>1.1415525076717184E-2</v>
      </c>
      <c r="E129" s="362">
        <f t="shared" si="45"/>
        <v>0.96905124209082327</v>
      </c>
      <c r="F129" t="str">
        <f t="shared" si="43"/>
        <v>Ferraz</v>
      </c>
      <c r="G129" t="str">
        <f>_xlfn.XLOOKUP(C129,Ferraz!$C$55:$C$114,Ferraz!$O$55:$O$114)</f>
        <v>📝 Não iniciado</v>
      </c>
      <c r="H129">
        <f>_xlfn.XLOOKUP(Pareto!C129,Ferraz!$C$55:$C$114,Ferraz!$M$55:$M$114," ")</f>
        <v>0</v>
      </c>
      <c r="I129" s="803">
        <f>_xlfn.XLOOKUP(C129,Ferraz!$C$55:$C$114,Ferraz!$J$55:$J$114)</f>
        <v>0</v>
      </c>
      <c r="J129" s="235" t="str">
        <f ca="1">INDEX(Ferraz!$AP$55:$AP$114, MATCH(C129, Ferraz!$C$55:$C$114, 0))</f>
        <v/>
      </c>
      <c r="K129" s="235" t="str" cm="1">
        <f t="array" aca="1" ref="K129" ca="1">INDEX(Ferraz!$AP$55:$AP$114, MATCH(C129, Ferraz!$C$55:$C$114, 0)+1)</f>
        <v/>
      </c>
      <c r="L129" s="235">
        <f>INDEX(Ferraz!$AH$55:$AH$114, MATCH(C129, Ferraz!$C$55:$C$114, 0))</f>
        <v>0</v>
      </c>
      <c r="M129" s="235"/>
      <c r="N129" s="235"/>
      <c r="O129" s="235"/>
      <c r="P129" s="235"/>
      <c r="Q129">
        <v>126</v>
      </c>
      <c r="R129" s="275">
        <f t="shared" si="40"/>
        <v>32000</v>
      </c>
      <c r="S129" t="str">
        <f t="shared" si="35"/>
        <v>07 - CONSUMO DE EPI e SERVIÇOS</v>
      </c>
      <c r="T129" t="str">
        <f t="shared" si="36"/>
        <v>Anchieta</v>
      </c>
      <c r="U129" s="275">
        <f t="shared" si="27"/>
        <v>17505.537</v>
      </c>
      <c r="V129" s="235">
        <f t="shared" ca="1" si="41"/>
        <v>17505.537</v>
      </c>
      <c r="W129" s="235">
        <f t="shared" ca="1" si="42"/>
        <v>3607.4251743304703</v>
      </c>
      <c r="X129" t="str">
        <f t="shared" si="37"/>
        <v>⏳ Em Execução</v>
      </c>
      <c r="Y129" s="803">
        <f t="shared" si="38"/>
        <v>46082</v>
      </c>
      <c r="Z129" t="str">
        <f t="shared" si="39"/>
        <v>OK</v>
      </c>
    </row>
    <row r="130" spans="1:26" ht="14.55" x14ac:dyDescent="0.3">
      <c r="A130">
        <v>15</v>
      </c>
      <c r="B130" s="235">
        <f>IFERROR(LARGE(Ferraz!$I$55:$I$114,A130)," ")</f>
        <v>69600</v>
      </c>
      <c r="C130" t="str">
        <f>IFERROR(INDEX(
    Ferraz!$C$55:$C$114,
    MATCH(
        B130,
        Ferraz!$I$55:$I$114,
        0
    )
), " ")</f>
        <v xml:space="preserve">23 - Devolução das máquinas de solda alugadas </v>
      </c>
      <c r="D130" s="806">
        <f t="shared" si="44"/>
        <v>8.8280060593279551E-3</v>
      </c>
      <c r="E130" s="362">
        <f t="shared" si="45"/>
        <v>0.97787924815015126</v>
      </c>
      <c r="F130" t="str">
        <f t="shared" si="43"/>
        <v>Ferraz</v>
      </c>
      <c r="G130" t="str">
        <f>_xlfn.XLOOKUP(C130,Ferraz!$C$55:$C$114,Ferraz!$O$55:$O$114)</f>
        <v>✓ Concluído</v>
      </c>
      <c r="H130">
        <f>_xlfn.XLOOKUP(Pareto!C130,Ferraz!$C$55:$C$114,Ferraz!$M$55:$M$114," ")</f>
        <v>0</v>
      </c>
      <c r="I130" s="803">
        <f>_xlfn.XLOOKUP(C130,Ferraz!$C$55:$C$114,Ferraz!$J$55:$J$114)</f>
        <v>0</v>
      </c>
      <c r="J130" s="235" t="str">
        <f ca="1">INDEX(Ferraz!$AP$55:$AP$114, MATCH(C130, Ferraz!$C$55:$C$114, 0))</f>
        <v/>
      </c>
      <c r="K130" s="235" t="str" cm="1">
        <f t="array" aca="1" ref="K130" ca="1">INDEX(Ferraz!$AP$55:$AP$114, MATCH(C130, Ferraz!$C$55:$C$114, 0)+1)</f>
        <v/>
      </c>
      <c r="L130" s="235">
        <f>INDEX(Ferraz!$AH$55:$AH$114, MATCH(C130, Ferraz!$C$55:$C$114, 0))</f>
        <v>0</v>
      </c>
      <c r="M130" s="235"/>
      <c r="N130" s="235"/>
      <c r="O130" s="235"/>
      <c r="P130" s="235"/>
      <c r="Q130">
        <v>127</v>
      </c>
      <c r="R130" s="275">
        <f t="shared" si="40"/>
        <v>26400.00099</v>
      </c>
      <c r="S130" t="str">
        <f t="shared" si="35"/>
        <v>48 - REDUÇÃO DE MP BOZ0150HX1000</v>
      </c>
      <c r="T130" t="str">
        <f t="shared" si="36"/>
        <v>Diadema</v>
      </c>
      <c r="U130" s="275">
        <f t="shared" si="27"/>
        <v>43285.039999999994</v>
      </c>
      <c r="V130" s="235" t="str">
        <f t="shared" ca="1" si="41"/>
        <v/>
      </c>
      <c r="W130" s="235" t="str">
        <f t="shared" ca="1" si="42"/>
        <v/>
      </c>
      <c r="X130" t="str">
        <f t="shared" si="37"/>
        <v>⏳ Em Execução</v>
      </c>
      <c r="Y130" s="803">
        <f t="shared" si="38"/>
        <v>46235</v>
      </c>
      <c r="Z130" t="str">
        <f t="shared" si="39"/>
        <v>OK</v>
      </c>
    </row>
    <row r="131" spans="1:26" ht="14.55" x14ac:dyDescent="0.3">
      <c r="A131">
        <v>16</v>
      </c>
      <c r="B131" s="235">
        <f>IFERROR(LARGE(Ferraz!$I$55:$I$114,A131)," ")</f>
        <v>60000.008000000002</v>
      </c>
      <c r="C131" t="str">
        <f>IFERROR(INDEX(
    Ferraz!$C$55:$C$114,
    MATCH(
        B131,
        Ferraz!$I$55:$I$114,
        0
    )
), " ")</f>
        <v>20 - Limpador de grelha</v>
      </c>
      <c r="D131" s="806">
        <f t="shared" si="44"/>
        <v>7.6103510658581293E-3</v>
      </c>
      <c r="E131" s="362">
        <f t="shared" si="45"/>
        <v>0.98548959921600943</v>
      </c>
      <c r="F131" t="str">
        <f t="shared" si="43"/>
        <v>Ferraz</v>
      </c>
      <c r="G131" t="str">
        <f>_xlfn.XLOOKUP(C131,Ferraz!$C$55:$C$114,Ferraz!$O$55:$O$114)</f>
        <v>⏳ Em Execução</v>
      </c>
      <c r="H131" t="str">
        <f>_xlfn.XLOOKUP(Pareto!C131,Ferraz!$C$55:$C$114,Ferraz!$M$55:$M$114," ")</f>
        <v>OK</v>
      </c>
      <c r="I131" s="803">
        <f>_xlfn.XLOOKUP(C131,Ferraz!$C$55:$C$114,Ferraz!$J$55:$J$114)</f>
        <v>46204</v>
      </c>
      <c r="J131" s="235" t="str">
        <f ca="1">INDEX(Ferraz!$AP$55:$AP$114, MATCH(C131, Ferraz!$C$55:$C$114, 0))</f>
        <v/>
      </c>
      <c r="K131" s="235" t="str" cm="1">
        <f t="array" aca="1" ref="K131" ca="1">INDEX(Ferraz!$AP$55:$AP$114, MATCH(C131, Ferraz!$C$55:$C$114, 0)+1)</f>
        <v/>
      </c>
      <c r="L131" s="235">
        <f>INDEX(Ferraz!$AH$55:$AH$114, MATCH(C131, Ferraz!$C$55:$C$114, 0))</f>
        <v>16512.86</v>
      </c>
      <c r="M131" s="235"/>
      <c r="N131" s="235"/>
      <c r="O131" s="235"/>
      <c r="P131" s="235"/>
      <c r="Q131">
        <v>128</v>
      </c>
      <c r="R131" s="275">
        <f t="shared" si="40"/>
        <v>26400</v>
      </c>
      <c r="S131" t="str">
        <f t="shared" si="35"/>
        <v>13- REDUZIR A QUANTIDADE DE MÁQUINAS DE SOLDA MIG/MAG LOCADAS</v>
      </c>
      <c r="T131" t="str">
        <f t="shared" si="36"/>
        <v>São leopoldo</v>
      </c>
      <c r="U131" s="275">
        <f t="shared" si="27"/>
        <v>9900</v>
      </c>
      <c r="V131" s="235">
        <f t="shared" ca="1" si="41"/>
        <v>3300</v>
      </c>
      <c r="W131" s="235" t="str">
        <f t="shared" ca="1" si="42"/>
        <v/>
      </c>
      <c r="X131" t="str">
        <f t="shared" si="37"/>
        <v>⏳ Em Execução</v>
      </c>
      <c r="Y131" s="803">
        <f t="shared" si="38"/>
        <v>46144</v>
      </c>
      <c r="Z131" t="str">
        <f t="shared" si="39"/>
        <v/>
      </c>
    </row>
    <row r="132" spans="1:26" ht="14.55" x14ac:dyDescent="0.3">
      <c r="A132">
        <v>17</v>
      </c>
      <c r="B132" s="235">
        <f>IFERROR(LARGE(Ferraz!$I$55:$I$114,A132)," ")</f>
        <v>55000</v>
      </c>
      <c r="C132" t="str">
        <f>IFERROR(INDEX(
    Ferraz!$C$55:$C$114,
    MATCH(
        B132,
        Ferraz!$I$55:$I$114,
        0
    )
), " ")</f>
        <v>19 - Insumos logística</v>
      </c>
      <c r="D132" s="806">
        <f t="shared" si="44"/>
        <v>6.97615421354939E-3</v>
      </c>
      <c r="E132" s="362">
        <f t="shared" si="45"/>
        <v>0.99246575342955878</v>
      </c>
      <c r="F132" t="str">
        <f t="shared" si="43"/>
        <v>Ferraz</v>
      </c>
      <c r="G132" t="str">
        <f>_xlfn.XLOOKUP(C132,Ferraz!$C$55:$C$114,Ferraz!$O$55:$O$114)</f>
        <v>⏳ Em Execução</v>
      </c>
      <c r="H132">
        <f>_xlfn.XLOOKUP(Pareto!C132,Ferraz!$C$55:$C$114,Ferraz!$M$55:$M$114," ")</f>
        <v>0</v>
      </c>
      <c r="I132" s="803">
        <f>_xlfn.XLOOKUP(C132,Ferraz!$C$55:$C$114,Ferraz!$J$55:$J$114)</f>
        <v>0</v>
      </c>
      <c r="J132" s="235" t="str">
        <f ca="1">INDEX(Ferraz!$AP$55:$AP$114, MATCH(C132, Ferraz!$C$55:$C$114, 0))</f>
        <v/>
      </c>
      <c r="K132" s="235" t="str" cm="1">
        <f t="array" aca="1" ref="K132" ca="1">INDEX(Ferraz!$AP$55:$AP$114, MATCH(C132, Ferraz!$C$55:$C$114, 0)+1)</f>
        <v/>
      </c>
      <c r="L132" s="235">
        <f>INDEX(Ferraz!$AH$55:$AH$114, MATCH(C132, Ferraz!$C$55:$C$114, 0))</f>
        <v>0</v>
      </c>
      <c r="M132" s="235"/>
      <c r="N132" s="235"/>
      <c r="O132" s="235"/>
      <c r="P132" s="235"/>
      <c r="Q132">
        <v>129</v>
      </c>
      <c r="R132" s="275">
        <f t="shared" si="40"/>
        <v>26000</v>
      </c>
      <c r="S132" t="str">
        <f t="shared" ref="S132:S163" si="46">_xlfn.XLOOKUP(R132,B:B,C:C)</f>
        <v>25 - KAIZEN - Redução de peso bruto_MB003601LA_Rev00_Bruno Manachini</v>
      </c>
      <c r="T132" t="str">
        <f t="shared" ref="T132:T163" si="47">_xlfn.XLOOKUP(S132,C:C,F:F)</f>
        <v>Diadema</v>
      </c>
      <c r="U132" s="275">
        <f t="shared" si="27"/>
        <v>17427.61</v>
      </c>
      <c r="V132" s="235">
        <f t="shared" ca="1" si="41"/>
        <v>2178.4512500000001</v>
      </c>
      <c r="W132" s="235">
        <f t="shared" ca="1" si="42"/>
        <v>1877.693999999994</v>
      </c>
      <c r="X132" t="str">
        <f t="shared" ref="X132:X163" si="48">_xlfn.XLOOKUP(S132,C:C,G:G)</f>
        <v>✓ Concluído</v>
      </c>
      <c r="Y132" s="803">
        <f t="shared" ref="Y132:Y163" si="49">_xlfn.XLOOKUP(S132,C:C,I:I)</f>
        <v>46143</v>
      </c>
      <c r="Z132" t="str">
        <f t="shared" ref="Z132:Z163" si="50">IF(_xlfn.XLOOKUP(S132,C:C,H:H) = 0, "", _xlfn.XLOOKUP(S132,C:C,H:H))</f>
        <v>OK</v>
      </c>
    </row>
    <row r="133" spans="1:26" ht="14.55" x14ac:dyDescent="0.3">
      <c r="A133">
        <v>18</v>
      </c>
      <c r="B133" s="235">
        <f>IFERROR(LARGE(Ferraz!$I$55:$I$114,A133)," ")</f>
        <v>40400</v>
      </c>
      <c r="C133" t="str">
        <f>IFERROR(INDEX(
    Ferraz!$C$55:$C$114,
    MATCH(
        B133,
        Ferraz!$I$55:$I$114,
        0
    )
), " ")</f>
        <v xml:space="preserve">24 - Aquisição do equipamento de ultrassom </v>
      </c>
      <c r="D133" s="806">
        <f t="shared" si="44"/>
        <v>5.1243023677708249E-3</v>
      </c>
      <c r="E133" s="362">
        <f t="shared" si="45"/>
        <v>0.99759005579732962</v>
      </c>
      <c r="F133" t="str">
        <f t="shared" si="43"/>
        <v>Ferraz</v>
      </c>
      <c r="G133" t="str">
        <f>_xlfn.XLOOKUP(C133,Ferraz!$C$55:$C$114,Ferraz!$O$55:$O$114)</f>
        <v>📝 Não iniciado</v>
      </c>
      <c r="H133">
        <f>_xlfn.XLOOKUP(Pareto!C133,Ferraz!$C$55:$C$114,Ferraz!$M$55:$M$114," ")</f>
        <v>0</v>
      </c>
      <c r="I133" s="803">
        <f>_xlfn.XLOOKUP(C133,Ferraz!$C$55:$C$114,Ferraz!$J$55:$J$114)</f>
        <v>0</v>
      </c>
      <c r="J133" s="235" t="str">
        <f ca="1">INDEX(Ferraz!$AP$55:$AP$114, MATCH(C133, Ferraz!$C$55:$C$114, 0))</f>
        <v/>
      </c>
      <c r="K133" s="235" t="str" cm="1">
        <f t="array" aca="1" ref="K133" ca="1">INDEX(Ferraz!$AP$55:$AP$114, MATCH(C133, Ferraz!$C$55:$C$114, 0)+1)</f>
        <v/>
      </c>
      <c r="L133" s="235">
        <f>INDEX(Ferraz!$AH$55:$AH$114, MATCH(C133, Ferraz!$C$55:$C$114, 0))</f>
        <v>0</v>
      </c>
      <c r="M133" s="235"/>
      <c r="N133" s="235"/>
      <c r="O133" s="235"/>
      <c r="P133" s="235"/>
      <c r="Q133">
        <v>130</v>
      </c>
      <c r="R133" s="275">
        <f t="shared" ref="R133:R164" si="51">IFERROR(LARGE(B:B,Q133)," ")</f>
        <v>24120</v>
      </c>
      <c r="S133" t="str">
        <f t="shared" si="46"/>
        <v>14 - Redução de consumo no passo do blank dos itens VW000950AA/951AA</v>
      </c>
      <c r="T133" t="str">
        <f t="shared" si="47"/>
        <v>Jarinu</v>
      </c>
      <c r="U133" s="275">
        <f t="shared" ref="U133:U175" si="52">_xlfn.XLOOKUP(S133,C:C,L:L)</f>
        <v>2807.0650000000001</v>
      </c>
      <c r="V133" s="235">
        <f t="shared" ref="V133:V164" ca="1" si="53">IFERROR(_xlfn.XLOOKUP(S133,C:C,J:J), "")</f>
        <v>935.68833333333339</v>
      </c>
      <c r="W133" s="235" t="str">
        <f t="shared" ref="W133:W164" ca="1" si="54">IFERROR(_xlfn.XLOOKUP(S133,C:C,K:K), "")</f>
        <v/>
      </c>
      <c r="X133" t="str">
        <f t="shared" si="48"/>
        <v>✓ Concluído</v>
      </c>
      <c r="Y133" s="803">
        <f t="shared" si="49"/>
        <v>46143</v>
      </c>
      <c r="Z133" t="str">
        <f t="shared" si="50"/>
        <v>OK</v>
      </c>
    </row>
    <row r="134" spans="1:26" ht="14.55" x14ac:dyDescent="0.3">
      <c r="A134">
        <v>19</v>
      </c>
      <c r="B134" s="235">
        <f>IFERROR(LARGE(Ferraz!$I$55:$I$114,A134)," ")</f>
        <v>12000</v>
      </c>
      <c r="C134" t="str">
        <f>IFERROR(INDEX(
    Ferraz!$C$55:$C$114,
    MATCH(
        B134,
        Ferraz!$I$55:$I$114,
        0
    )
), " ")</f>
        <v xml:space="preserve">22 - Tablet - Dobradeira </v>
      </c>
      <c r="D134" s="806">
        <f t="shared" si="44"/>
        <v>1.5220700102289578E-3</v>
      </c>
      <c r="E134" s="362">
        <f t="shared" si="45"/>
        <v>0.99911212580755859</v>
      </c>
      <c r="F134" t="str">
        <f t="shared" si="43"/>
        <v>Ferraz</v>
      </c>
      <c r="G134" t="str">
        <f>_xlfn.XLOOKUP(C134,Ferraz!$C$55:$C$114,Ferraz!$O$55:$O$114)</f>
        <v>✓ Concluído</v>
      </c>
      <c r="H134">
        <f>_xlfn.XLOOKUP(Pareto!C134,Ferraz!$C$55:$C$114,Ferraz!$M$55:$M$114," ")</f>
        <v>0</v>
      </c>
      <c r="I134" s="803">
        <f>_xlfn.XLOOKUP(C134,Ferraz!$C$55:$C$114,Ferraz!$J$55:$J$114)</f>
        <v>0</v>
      </c>
      <c r="J134" s="235" t="str">
        <f ca="1">INDEX(Ferraz!$AP$55:$AP$114, MATCH(C134, Ferraz!$C$55:$C$114, 0))</f>
        <v/>
      </c>
      <c r="K134" s="235" t="str" cm="1">
        <f t="array" aca="1" ref="K134" ca="1">INDEX(Ferraz!$AP$55:$AP$114, MATCH(C134, Ferraz!$C$55:$C$114, 0)+1)</f>
        <v/>
      </c>
      <c r="L134" s="235">
        <f>INDEX(Ferraz!$AH$55:$AH$114, MATCH(C134, Ferraz!$C$55:$C$114, 0))</f>
        <v>0</v>
      </c>
      <c r="M134" s="235"/>
      <c r="N134" s="235"/>
      <c r="O134" s="235"/>
      <c r="P134" s="235"/>
      <c r="Q134">
        <v>131</v>
      </c>
      <c r="R134" s="275">
        <f t="shared" si="51"/>
        <v>24000.000899999999</v>
      </c>
      <c r="S134" t="str">
        <f t="shared" si="46"/>
        <v>03 - Otimização de processo - Cavalo Marinho</v>
      </c>
      <c r="T134" t="str">
        <f t="shared" si="47"/>
        <v>Diadema</v>
      </c>
      <c r="U134" s="275">
        <f t="shared" si="52"/>
        <v>24000.000900000003</v>
      </c>
      <c r="V134" s="235">
        <f t="shared" ca="1" si="53"/>
        <v>7200.0002700000005</v>
      </c>
      <c r="W134" s="235" t="str">
        <f t="shared" ca="1" si="54"/>
        <v/>
      </c>
      <c r="X134" t="str">
        <f t="shared" si="48"/>
        <v>✓ Concluído</v>
      </c>
      <c r="Y134" s="803">
        <f t="shared" si="49"/>
        <v>46082</v>
      </c>
      <c r="Z134" t="str">
        <f t="shared" si="50"/>
        <v/>
      </c>
    </row>
    <row r="135" spans="1:26" ht="14.55" x14ac:dyDescent="0.3">
      <c r="A135">
        <v>20</v>
      </c>
      <c r="B135" s="235">
        <f>IFERROR(LARGE(Ferraz!$I$55:$I$114,A135)," ")</f>
        <v>7000.0001561649997</v>
      </c>
      <c r="C135" t="str">
        <f>IFERROR(INDEX(
    Ferraz!$C$55:$C$114,
    MATCH(
        B135,
        Ferraz!$I$55:$I$114,
        0
    )
), " ")</f>
        <v xml:space="preserve">02 - Eficiência dos planos de corte </v>
      </c>
      <c r="D135" s="806">
        <f t="shared" si="44"/>
        <v>8.8787419244139732E-4</v>
      </c>
      <c r="E135" s="362">
        <f t="shared" si="45"/>
        <v>1</v>
      </c>
      <c r="F135" t="str">
        <f t="shared" si="43"/>
        <v>Ferraz</v>
      </c>
      <c r="G135" t="str">
        <f>_xlfn.XLOOKUP(C135,Ferraz!$C$55:$C$114,Ferraz!$O$55:$O$114)</f>
        <v>⏳ Em Execução</v>
      </c>
      <c r="H135" t="str">
        <f>_xlfn.XLOOKUP(Pareto!C135,Ferraz!$C$55:$C$114,Ferraz!$M$55:$M$114," ")</f>
        <v>OK</v>
      </c>
      <c r="I135" s="803">
        <f>_xlfn.XLOOKUP(C135,Ferraz!$C$55:$C$114,Ferraz!$J$55:$J$114)</f>
        <v>46113</v>
      </c>
      <c r="J135" s="235">
        <f ca="1">INDEX(Ferraz!$AP$55:$AP$114, MATCH(C135, Ferraz!$C$55:$C$114, 0))</f>
        <v>1511.1111111111111</v>
      </c>
      <c r="K135" s="235" t="str" cm="1">
        <f t="array" aca="1" ref="K135" ca="1">INDEX(Ferraz!$AP$55:$AP$114, MATCH(C135, Ferraz!$C$55:$C$114, 0)+1)</f>
        <v/>
      </c>
      <c r="L135" s="235">
        <f>INDEX(Ferraz!$AH$55:$AH$114, MATCH(C135, Ferraz!$C$55:$C$114, 0))</f>
        <v>2266.6666666666665</v>
      </c>
      <c r="M135" s="235"/>
      <c r="N135" s="235"/>
      <c r="O135" s="235"/>
      <c r="P135" s="235"/>
      <c r="Q135">
        <v>132</v>
      </c>
      <c r="R135" s="275">
        <f t="shared" si="51"/>
        <v>24000</v>
      </c>
      <c r="S135" t="str">
        <f t="shared" si="46"/>
        <v>10 - Vazamentos de Ar Comprimido</v>
      </c>
      <c r="T135" t="str">
        <f t="shared" si="47"/>
        <v>São leopoldo</v>
      </c>
      <c r="U135" s="275">
        <f t="shared" si="52"/>
        <v>12000</v>
      </c>
      <c r="V135" s="235" t="str">
        <f t="shared" ca="1" si="53"/>
        <v/>
      </c>
      <c r="W135" s="235" t="str">
        <f t="shared" ca="1" si="54"/>
        <v/>
      </c>
      <c r="X135" t="str">
        <f t="shared" si="48"/>
        <v>⏳ Em Execução</v>
      </c>
      <c r="Y135" s="803">
        <f t="shared" si="49"/>
        <v>46204</v>
      </c>
      <c r="Z135" t="str">
        <f t="shared" si="50"/>
        <v/>
      </c>
    </row>
    <row r="136" spans="1:26" x14ac:dyDescent="0.3">
      <c r="A136">
        <v>21</v>
      </c>
      <c r="B136" s="235" t="str">
        <f>IFERROR(LARGE(Ferraz!$I$55:$I$114,A136)," ")</f>
        <v xml:space="preserve"> </v>
      </c>
      <c r="C136" t="str">
        <f>IFERROR(INDEX(
    Ferraz!$C$55:$C$114,
    MATCH(
        B136,
        Ferraz!$I$55:$I$114,
        0
    )
), " ")</f>
        <v xml:space="preserve"> </v>
      </c>
      <c r="D136" s="806" t="str">
        <f t="shared" si="44"/>
        <v xml:space="preserve"> </v>
      </c>
      <c r="E136" s="362" t="str">
        <f t="shared" si="45"/>
        <v xml:space="preserve"> </v>
      </c>
      <c r="F136" t="str">
        <f t="shared" si="43"/>
        <v>Ferraz</v>
      </c>
      <c r="G136" t="e">
        <f>_xlfn.XLOOKUP(C136,Ferraz!$C$55:$C$114,Ferraz!$O$55:$O$114)</f>
        <v>#N/A</v>
      </c>
      <c r="H136" t="str">
        <f>_xlfn.XLOOKUP(Pareto!C136,Ferraz!$C$55:$C$114,Ferraz!$M$55:$M$114," ")</f>
        <v xml:space="preserve"> </v>
      </c>
      <c r="I136" s="803" t="e">
        <f>_xlfn.XLOOKUP(C136,Ferraz!$C$55:$C$114,Ferraz!$J$55:$J$114)</f>
        <v>#N/A</v>
      </c>
      <c r="J136" s="235" t="e">
        <f>INDEX(Ferraz!$AP$55:$AP$114, MATCH(C136, Ferraz!$C$55:$C$114, 0))</f>
        <v>#N/A</v>
      </c>
      <c r="K136" s="235" t="e" cm="1">
        <f t="array" ref="K136">INDEX(Ferraz!$AP$55:$AP$114, MATCH(C136, Ferraz!$C$55:$C$114, 0)+1)</f>
        <v>#N/A</v>
      </c>
      <c r="L136" s="235" t="e">
        <f>INDEX(Ferraz!$AH$55:$AH$114, MATCH(C136, Ferraz!$C$55:$C$114, 0))</f>
        <v>#N/A</v>
      </c>
      <c r="M136" s="235"/>
      <c r="N136" s="235"/>
      <c r="O136" s="235"/>
      <c r="P136" s="235"/>
      <c r="Q136">
        <v>133</v>
      </c>
      <c r="R136" s="275">
        <f t="shared" si="51"/>
        <v>22612.28</v>
      </c>
      <c r="S136" t="str">
        <f t="shared" si="46"/>
        <v>BID tampões pintura Anchieta</v>
      </c>
      <c r="T136" t="str">
        <f t="shared" si="47"/>
        <v>Compras</v>
      </c>
      <c r="U136" s="275">
        <f t="shared" si="52"/>
        <v>21098.91</v>
      </c>
      <c r="V136" s="235">
        <f t="shared" ca="1" si="53"/>
        <v>8791.2124999999996</v>
      </c>
      <c r="W136" s="235">
        <f t="shared" ca="1" si="54"/>
        <v>5472</v>
      </c>
      <c r="X136" t="str">
        <f t="shared" si="48"/>
        <v>✓ Concluído</v>
      </c>
      <c r="Y136" s="803">
        <f t="shared" si="49"/>
        <v>46023</v>
      </c>
      <c r="Z136" t="str">
        <f t="shared" si="50"/>
        <v>OK</v>
      </c>
    </row>
    <row r="137" spans="1:26" ht="14.55" x14ac:dyDescent="0.3">
      <c r="A137">
        <v>22</v>
      </c>
      <c r="B137" s="235" t="str">
        <f>IFERROR(LARGE(Ferraz!$I$55:$I$114,A137)," ")</f>
        <v xml:space="preserve"> </v>
      </c>
      <c r="C137" t="str">
        <f>IFERROR(INDEX(
    Ferraz!$C$55:$C$114,
    MATCH(
        B137,
        Ferraz!$I$55:$I$114,
        0
    )
), " ")</f>
        <v xml:space="preserve"> </v>
      </c>
      <c r="D137" s="806" t="str">
        <f t="shared" si="44"/>
        <v xml:space="preserve"> </v>
      </c>
      <c r="E137" s="362" t="str">
        <f t="shared" si="45"/>
        <v xml:space="preserve"> </v>
      </c>
      <c r="F137" t="str">
        <f t="shared" si="43"/>
        <v>Ferraz</v>
      </c>
      <c r="G137" t="e">
        <f>_xlfn.XLOOKUP(C137,Ferraz!$C$55:$C$114,Ferraz!$O$55:$O$114)</f>
        <v>#N/A</v>
      </c>
      <c r="H137" t="str">
        <f>_xlfn.XLOOKUP(Pareto!C137,Ferraz!$C$55:$C$114,Ferraz!$M$55:$M$114," ")</f>
        <v xml:space="preserve"> </v>
      </c>
      <c r="I137" s="803" t="e">
        <f>_xlfn.XLOOKUP(C137,Ferraz!$C$55:$C$114,Ferraz!$J$55:$J$114)</f>
        <v>#N/A</v>
      </c>
      <c r="J137" s="235" t="e">
        <f>INDEX(Ferraz!$AP$55:$AP$114, MATCH(C137, Ferraz!$C$55:$C$114, 0))</f>
        <v>#N/A</v>
      </c>
      <c r="K137" s="235" t="e" cm="1">
        <f t="array" ref="K137">INDEX(Ferraz!$AP$55:$AP$114, MATCH(C137, Ferraz!$C$55:$C$114, 0)+1)</f>
        <v>#N/A</v>
      </c>
      <c r="L137" s="235" t="e">
        <f>INDEX(Ferraz!$AH$55:$AH$114, MATCH(C137, Ferraz!$C$55:$C$114, 0))</f>
        <v>#N/A</v>
      </c>
      <c r="M137" s="235"/>
      <c r="N137" s="235"/>
      <c r="O137" s="235"/>
      <c r="P137" s="235"/>
      <c r="Q137">
        <v>134</v>
      </c>
      <c r="R137" s="275">
        <f t="shared" si="51"/>
        <v>22050</v>
      </c>
      <c r="S137" t="str">
        <f t="shared" si="46"/>
        <v>11- Substituíção de Empilhadeiras GPL.</v>
      </c>
      <c r="T137" t="str">
        <f t="shared" si="47"/>
        <v>São leopoldo</v>
      </c>
      <c r="U137" s="275">
        <f t="shared" si="52"/>
        <v>0</v>
      </c>
      <c r="V137" s="235" t="str">
        <f t="shared" ca="1" si="53"/>
        <v/>
      </c>
      <c r="W137" s="235" t="str">
        <f t="shared" ca="1" si="54"/>
        <v/>
      </c>
      <c r="X137" t="str">
        <f t="shared" si="48"/>
        <v>⏳ Em Execução</v>
      </c>
      <c r="Y137" s="803">
        <f t="shared" si="49"/>
        <v>0</v>
      </c>
      <c r="Z137" t="str">
        <f t="shared" si="50"/>
        <v/>
      </c>
    </row>
    <row r="138" spans="1:26" ht="14.55" x14ac:dyDescent="0.3">
      <c r="A138">
        <v>23</v>
      </c>
      <c r="B138" s="235" t="str">
        <f>IFERROR(LARGE(Ferraz!$I$55:$I$114,A138)," ")</f>
        <v xml:space="preserve"> </v>
      </c>
      <c r="C138" t="str">
        <f>IFERROR(INDEX(
    Ferraz!$C$55:$C$114,
    MATCH(
        B138,
        Ferraz!$I$55:$I$114,
        0
    )
), " ")</f>
        <v xml:space="preserve"> </v>
      </c>
      <c r="D138" s="806"/>
      <c r="E138" s="362" t="str">
        <f t="shared" si="45"/>
        <v xml:space="preserve"> </v>
      </c>
      <c r="F138" t="str">
        <f t="shared" si="43"/>
        <v>Ferraz</v>
      </c>
      <c r="G138" t="e">
        <f>_xlfn.XLOOKUP(C138,Ferraz!$C$55:$C$114,Ferraz!$O$55:$O$114)</f>
        <v>#N/A</v>
      </c>
      <c r="H138" t="str">
        <f>_xlfn.XLOOKUP(Pareto!C138,Ferraz!$C$55:$C$114,Ferraz!$M$55:$M$114," ")</f>
        <v xml:space="preserve"> </v>
      </c>
      <c r="I138" s="803" t="e">
        <f>_xlfn.XLOOKUP(C138,Ferraz!$C$55:$C$114,Ferraz!$J$55:$J$114)</f>
        <v>#N/A</v>
      </c>
      <c r="J138" s="235" t="e">
        <f>INDEX(Ferraz!$AP$55:$AP$114, MATCH(C138, Ferraz!$C$55:$C$114, 0))</f>
        <v>#N/A</v>
      </c>
      <c r="K138" s="235" t="e" cm="1">
        <f t="array" ref="K138">INDEX(Ferraz!$AP$55:$AP$114, MATCH(C138, Ferraz!$C$55:$C$114, 0)+1)</f>
        <v>#N/A</v>
      </c>
      <c r="L138" s="235" t="e">
        <f>INDEX(Ferraz!$AH$55:$AH$114, MATCH(C138, Ferraz!$C$55:$C$114, 0))</f>
        <v>#N/A</v>
      </c>
      <c r="M138" s="235"/>
      <c r="N138" s="235"/>
      <c r="O138" s="235"/>
      <c r="P138" s="235"/>
      <c r="Q138">
        <v>135</v>
      </c>
      <c r="R138" s="275">
        <f t="shared" si="51"/>
        <v>20000</v>
      </c>
      <c r="S138" t="str">
        <f t="shared" si="46"/>
        <v>04 - Aluguel de corte plasma</v>
      </c>
      <c r="T138" t="str">
        <f t="shared" si="47"/>
        <v>São leopoldo</v>
      </c>
      <c r="U138" s="275">
        <f t="shared" si="52"/>
        <v>7500</v>
      </c>
      <c r="V138" s="235">
        <f t="shared" ca="1" si="53"/>
        <v>2500</v>
      </c>
      <c r="W138" s="235" t="str">
        <f t="shared" ca="1" si="54"/>
        <v/>
      </c>
      <c r="X138" t="str">
        <f t="shared" si="48"/>
        <v>⏳ Em Execução</v>
      </c>
      <c r="Y138" s="803">
        <f t="shared" si="49"/>
        <v>46143</v>
      </c>
      <c r="Z138" t="str">
        <f t="shared" si="50"/>
        <v/>
      </c>
    </row>
    <row r="139" spans="1:26" ht="14.55" x14ac:dyDescent="0.3">
      <c r="A139">
        <v>24</v>
      </c>
      <c r="B139" s="235" t="str">
        <f>IFERROR(LARGE(Ferraz!$I$55:$I$114,A139)," ")</f>
        <v xml:space="preserve"> </v>
      </c>
      <c r="C139" t="str">
        <f>IFERROR(INDEX(
    Ferraz!$C$55:$C$114,
    MATCH(
        B139,
        Ferraz!$I$55:$I$114,
        0
    )
), " ")</f>
        <v xml:space="preserve"> </v>
      </c>
      <c r="D139" s="806"/>
      <c r="E139" s="362" t="str">
        <f t="shared" si="45"/>
        <v xml:space="preserve"> </v>
      </c>
      <c r="F139" t="str">
        <f t="shared" si="43"/>
        <v>Ferraz</v>
      </c>
      <c r="G139" t="e">
        <f>_xlfn.XLOOKUP(C139,Ferraz!$C$55:$C$114,Ferraz!$O$55:$O$114)</f>
        <v>#N/A</v>
      </c>
      <c r="H139" t="str">
        <f>_xlfn.XLOOKUP(Pareto!C139,Ferraz!$C$55:$C$114,Ferraz!$M$55:$M$114," ")</f>
        <v xml:space="preserve"> </v>
      </c>
      <c r="I139" s="803" t="e">
        <f>_xlfn.XLOOKUP(C139,Ferraz!$C$55:$C$114,Ferraz!$J$55:$J$114)</f>
        <v>#N/A</v>
      </c>
      <c r="J139" s="235" t="e">
        <f>INDEX(Ferraz!$AP$55:$AP$114, MATCH(C139, Ferraz!$C$55:$C$114, 0))</f>
        <v>#N/A</v>
      </c>
      <c r="K139" s="235" t="e" cm="1">
        <f t="array" ref="K139">INDEX(Ferraz!$AP$55:$AP$114, MATCH(C139, Ferraz!$C$55:$C$114, 0)+1)</f>
        <v>#N/A</v>
      </c>
      <c r="L139" s="235" t="e">
        <f>INDEX(Ferraz!$AH$55:$AH$114, MATCH(C139, Ferraz!$C$55:$C$114, 0))</f>
        <v>#N/A</v>
      </c>
      <c r="M139" s="235"/>
      <c r="N139" s="235"/>
      <c r="O139" s="235"/>
      <c r="P139" s="235"/>
      <c r="Q139">
        <v>136</v>
      </c>
      <c r="R139" s="275">
        <f t="shared" si="51"/>
        <v>19309</v>
      </c>
      <c r="S139" t="str">
        <f t="shared" si="46"/>
        <v>23 - Redução do consumo de MTP VW000938AB (- 3 mm no passo)</v>
      </c>
      <c r="T139" t="str">
        <f t="shared" si="47"/>
        <v>Jarinu</v>
      </c>
      <c r="U139" s="275">
        <f t="shared" si="52"/>
        <v>3972.3877499999999</v>
      </c>
      <c r="V139" s="235">
        <f t="shared" ca="1" si="53"/>
        <v>2648.2584999999999</v>
      </c>
      <c r="W139" s="235">
        <f t="shared" ca="1" si="54"/>
        <v>3093.1713301104164</v>
      </c>
      <c r="X139" t="str">
        <f t="shared" si="48"/>
        <v>⏳ Em Execução</v>
      </c>
      <c r="Y139" s="803">
        <f t="shared" si="49"/>
        <v>46113</v>
      </c>
      <c r="Z139" t="str">
        <f t="shared" si="50"/>
        <v>OK</v>
      </c>
    </row>
    <row r="140" spans="1:26" ht="14.55" x14ac:dyDescent="0.3">
      <c r="A140">
        <v>25</v>
      </c>
      <c r="B140" s="235" t="str">
        <f>IFERROR(LARGE(Ferraz!$I$55:$I$114,A140)," ")</f>
        <v xml:space="preserve"> </v>
      </c>
      <c r="C140" t="str">
        <f>IFERROR(INDEX(
    Ferraz!$C$55:$C$114,
    MATCH(
        B140,
        Ferraz!$I$55:$I$114,
        0
    )
), " ")</f>
        <v xml:space="preserve"> </v>
      </c>
      <c r="D140" s="806"/>
      <c r="E140" s="362" t="str">
        <f t="shared" si="45"/>
        <v xml:space="preserve"> </v>
      </c>
      <c r="F140" t="str">
        <f t="shared" si="43"/>
        <v>Ferraz</v>
      </c>
      <c r="G140" t="e">
        <f>_xlfn.XLOOKUP(C140,Ferraz!$C$55:$C$114,Ferraz!$O$55:$O$114)</f>
        <v>#N/A</v>
      </c>
      <c r="H140" t="str">
        <f>_xlfn.XLOOKUP(Pareto!C140,Ferraz!$C$55:$C$114,Ferraz!$M$55:$M$114," ")</f>
        <v xml:space="preserve"> </v>
      </c>
      <c r="I140" s="803" t="e">
        <f>_xlfn.XLOOKUP(C140,Ferraz!$C$55:$C$114,Ferraz!$J$55:$J$114)</f>
        <v>#N/A</v>
      </c>
      <c r="J140" s="235" t="e">
        <f>INDEX(Ferraz!$AP$55:$AP$114, MATCH(C140, Ferraz!$C$55:$C$114, 0))</f>
        <v>#N/A</v>
      </c>
      <c r="K140" s="235" t="e" cm="1">
        <f t="array" ref="K140">INDEX(Ferraz!$AP$55:$AP$114, MATCH(C140, Ferraz!$C$55:$C$114, 0)+1)</f>
        <v>#N/A</v>
      </c>
      <c r="L140" s="235" t="e">
        <f>INDEX(Ferraz!$AH$55:$AH$114, MATCH(C140, Ferraz!$C$55:$C$114, 0))</f>
        <v>#N/A</v>
      </c>
      <c r="M140" s="235"/>
      <c r="N140" s="235"/>
      <c r="O140" s="235"/>
      <c r="P140" s="235"/>
      <c r="Q140">
        <v>137</v>
      </c>
      <c r="R140" s="275">
        <f t="shared" si="51"/>
        <v>18000</v>
      </c>
      <c r="S140" t="str">
        <f t="shared" si="46"/>
        <v>14-Adicionar serviços de portaria e limpeza em um único prestador terceirizado com serviços gerais.</v>
      </c>
      <c r="T140" t="str">
        <f t="shared" si="47"/>
        <v>São leopoldo</v>
      </c>
      <c r="U140" s="275">
        <f t="shared" si="52"/>
        <v>4500</v>
      </c>
      <c r="V140" s="235">
        <f t="shared" ca="1" si="53"/>
        <v>1500</v>
      </c>
      <c r="W140" s="235" t="str">
        <f t="shared" ca="1" si="54"/>
        <v/>
      </c>
      <c r="X140" t="str">
        <f t="shared" si="48"/>
        <v>⏳ Em Execução</v>
      </c>
      <c r="Y140" s="803">
        <f t="shared" si="49"/>
        <v>46143</v>
      </c>
      <c r="Z140" t="str">
        <f t="shared" si="50"/>
        <v/>
      </c>
    </row>
    <row r="141" spans="1:26" ht="14.55" x14ac:dyDescent="0.3">
      <c r="A141">
        <v>26</v>
      </c>
      <c r="B141" s="235" t="str">
        <f>IFERROR(LARGE(Ferraz!$I$55:$I$114,A141)," ")</f>
        <v xml:space="preserve"> </v>
      </c>
      <c r="C141" t="str">
        <f>IFERROR(INDEX(
    Ferraz!$C$55:$C$114,
    MATCH(
        B141,
        Ferraz!$I$55:$I$114,
        0
    )
), " ")</f>
        <v xml:space="preserve"> </v>
      </c>
      <c r="D141" s="806"/>
      <c r="E141" s="362" t="str">
        <f t="shared" si="45"/>
        <v xml:space="preserve"> </v>
      </c>
      <c r="F141" t="str">
        <f t="shared" si="43"/>
        <v>Ferraz</v>
      </c>
      <c r="G141" t="e">
        <f>_xlfn.XLOOKUP(C141,Ferraz!$C$55:$C$114,Ferraz!$O$55:$O$114)</f>
        <v>#N/A</v>
      </c>
      <c r="H141" t="str">
        <f>_xlfn.XLOOKUP(Pareto!C141,Ferraz!$C$55:$C$114,Ferraz!$M$55:$M$114," ")</f>
        <v xml:space="preserve"> </v>
      </c>
      <c r="I141" s="803" t="e">
        <f>_xlfn.XLOOKUP(C141,Ferraz!$C$55:$C$114,Ferraz!$J$55:$J$114)</f>
        <v>#N/A</v>
      </c>
      <c r="J141" s="235" t="e">
        <f>INDEX(Ferraz!$AP$55:$AP$114, MATCH(C141, Ferraz!$C$55:$C$114, 0))</f>
        <v>#N/A</v>
      </c>
      <c r="K141" s="235" t="e" cm="1">
        <f t="array" ref="K141">INDEX(Ferraz!$AP$55:$AP$114, MATCH(C141, Ferraz!$C$55:$C$114, 0)+1)</f>
        <v>#N/A</v>
      </c>
      <c r="L141" s="235" t="e">
        <f>INDEX(Ferraz!$AH$55:$AH$114, MATCH(C141, Ferraz!$C$55:$C$114, 0))</f>
        <v>#N/A</v>
      </c>
      <c r="M141" s="235"/>
      <c r="N141" s="235"/>
      <c r="O141" s="235"/>
      <c r="P141" s="235"/>
      <c r="Q141">
        <v>138</v>
      </c>
      <c r="R141" s="275">
        <f t="shared" si="51"/>
        <v>16500</v>
      </c>
      <c r="S141" t="str">
        <f t="shared" si="46"/>
        <v xml:space="preserve"> 07 - Consumo de água</v>
      </c>
      <c r="T141" t="str">
        <f t="shared" si="47"/>
        <v>Diadema</v>
      </c>
      <c r="U141" s="275">
        <f t="shared" si="52"/>
        <v>0</v>
      </c>
      <c r="V141" s="235" t="str">
        <f t="shared" ca="1" si="53"/>
        <v/>
      </c>
      <c r="W141" s="235" t="str">
        <f t="shared" ca="1" si="54"/>
        <v/>
      </c>
      <c r="X141" t="str">
        <f t="shared" si="48"/>
        <v>⏳ Em Execução</v>
      </c>
      <c r="Y141" s="803">
        <f t="shared" si="49"/>
        <v>0</v>
      </c>
      <c r="Z141" t="str">
        <f t="shared" si="50"/>
        <v/>
      </c>
    </row>
    <row r="142" spans="1:26" ht="14.55" x14ac:dyDescent="0.3">
      <c r="A142">
        <v>27</v>
      </c>
      <c r="B142" s="235" t="str">
        <f>IFERROR(LARGE(Ferraz!$I$55:$I$114,A142)," ")</f>
        <v xml:space="preserve"> </v>
      </c>
      <c r="C142" t="str">
        <f>IFERROR(INDEX(
    Ferraz!$C$55:$C$114,
    MATCH(
        B142,
        Ferraz!$I$55:$I$114,
        0
    )
), " ")</f>
        <v xml:space="preserve"> </v>
      </c>
      <c r="D142" s="806"/>
      <c r="E142" s="362" t="str">
        <f t="shared" si="45"/>
        <v xml:space="preserve"> </v>
      </c>
      <c r="F142" t="str">
        <f t="shared" si="43"/>
        <v>Ferraz</v>
      </c>
      <c r="G142" t="e">
        <f>_xlfn.XLOOKUP(C142,Ferraz!$C$55:$C$114,Ferraz!$O$55:$O$114)</f>
        <v>#N/A</v>
      </c>
      <c r="H142" t="str">
        <f>_xlfn.XLOOKUP(Pareto!C142,Ferraz!$C$55:$C$114,Ferraz!$M$55:$M$114," ")</f>
        <v xml:space="preserve"> </v>
      </c>
      <c r="I142" s="803" t="e">
        <f>_xlfn.XLOOKUP(C142,Ferraz!$C$55:$C$114,Ferraz!$J$55:$J$114)</f>
        <v>#N/A</v>
      </c>
      <c r="J142" s="235" t="e">
        <f>INDEX(Ferraz!$AP$55:$AP$114, MATCH(C142, Ferraz!$C$55:$C$114, 0))</f>
        <v>#N/A</v>
      </c>
      <c r="K142" s="235" t="e" cm="1">
        <f t="array" ref="K142">INDEX(Ferraz!$AP$55:$AP$114, MATCH(C142, Ferraz!$C$55:$C$114, 0)+1)</f>
        <v>#N/A</v>
      </c>
      <c r="L142" s="235" t="e">
        <f>INDEX(Ferraz!$AH$55:$AH$114, MATCH(C142, Ferraz!$C$55:$C$114, 0))</f>
        <v>#N/A</v>
      </c>
      <c r="M142" s="235"/>
      <c r="N142" s="235"/>
      <c r="O142" s="235"/>
      <c r="P142" s="235"/>
      <c r="Q142">
        <v>139</v>
      </c>
      <c r="R142" s="275">
        <f t="shared" si="51"/>
        <v>15000</v>
      </c>
      <c r="S142" t="str">
        <f t="shared" si="46"/>
        <v>10 - CONSUMO PERNA DE MOÇA</v>
      </c>
      <c r="T142" t="str">
        <f t="shared" si="47"/>
        <v>Anchieta</v>
      </c>
      <c r="U142" s="275">
        <f t="shared" si="52"/>
        <v>5000</v>
      </c>
      <c r="V142" s="235">
        <f t="shared" ca="1" si="53"/>
        <v>3333.3333333333335</v>
      </c>
      <c r="W142" s="235">
        <f t="shared" ca="1" si="54"/>
        <v>-2886.64</v>
      </c>
      <c r="X142" t="str">
        <f t="shared" si="48"/>
        <v>⏳ Em Execução</v>
      </c>
      <c r="Y142" s="803">
        <f t="shared" si="49"/>
        <v>46113</v>
      </c>
      <c r="Z142" t="str">
        <f t="shared" si="50"/>
        <v>OK</v>
      </c>
    </row>
    <row r="143" spans="1:26" x14ac:dyDescent="0.3">
      <c r="A143">
        <v>28</v>
      </c>
      <c r="B143" s="235" t="str">
        <f>IFERROR(LARGE(Ferraz!$I$55:$I$114,A143)," ")</f>
        <v xml:space="preserve"> </v>
      </c>
      <c r="C143" t="str">
        <f>IFERROR(INDEX(
    Ferraz!$C$55:$C$114,
    MATCH(
        B143,
        Ferraz!$I$55:$I$114,
        0
    )
), " ")</f>
        <v xml:space="preserve"> </v>
      </c>
      <c r="D143" s="806"/>
      <c r="E143" s="362" t="str">
        <f t="shared" si="45"/>
        <v xml:space="preserve"> </v>
      </c>
      <c r="F143" t="str">
        <f t="shared" si="43"/>
        <v>Ferraz</v>
      </c>
      <c r="G143" t="e">
        <f>_xlfn.XLOOKUP(C143,Ferraz!$C$55:$C$114,Ferraz!$O$55:$O$114)</f>
        <v>#N/A</v>
      </c>
      <c r="H143" t="str">
        <f>_xlfn.XLOOKUP(Pareto!C143,Ferraz!$C$55:$C$114,Ferraz!$M$55:$M$114," ")</f>
        <v xml:space="preserve"> </v>
      </c>
      <c r="I143" s="803" t="e">
        <f>_xlfn.XLOOKUP(C143,Ferraz!$C$55:$C$114,Ferraz!$J$55:$J$114)</f>
        <v>#N/A</v>
      </c>
      <c r="J143" s="235" t="e">
        <f>INDEX(Ferraz!$AP$55:$AP$114, MATCH(C143, Ferraz!$C$55:$C$114, 0))</f>
        <v>#N/A</v>
      </c>
      <c r="K143" s="235" t="e" cm="1">
        <f t="array" ref="K143">INDEX(Ferraz!$AP$55:$AP$114, MATCH(C143, Ferraz!$C$55:$C$114, 0)+1)</f>
        <v>#N/A</v>
      </c>
      <c r="L143" s="235" t="e">
        <f>INDEX(Ferraz!$AH$55:$AH$114, MATCH(C143, Ferraz!$C$55:$C$114, 0))</f>
        <v>#N/A</v>
      </c>
      <c r="M143" s="235"/>
      <c r="N143" s="235"/>
      <c r="O143" s="235"/>
      <c r="P143" s="235"/>
      <c r="Q143">
        <v>140</v>
      </c>
      <c r="R143" s="275">
        <f t="shared" si="51"/>
        <v>14893</v>
      </c>
      <c r="S143" t="str">
        <f t="shared" si="46"/>
        <v>BID complementar punções Jarinu</v>
      </c>
      <c r="T143" t="str">
        <f t="shared" si="47"/>
        <v>Compras</v>
      </c>
      <c r="U143" s="275">
        <f t="shared" si="52"/>
        <v>21316.941666666669</v>
      </c>
      <c r="V143" s="235">
        <f t="shared" ca="1" si="53"/>
        <v>6395.0825000000004</v>
      </c>
      <c r="W143" s="235" t="str">
        <f t="shared" ca="1" si="54"/>
        <v/>
      </c>
      <c r="X143" t="str">
        <f t="shared" si="48"/>
        <v>✓ Concluído</v>
      </c>
      <c r="Y143" s="803">
        <f t="shared" si="49"/>
        <v>46082</v>
      </c>
      <c r="Z143" t="str">
        <f t="shared" si="50"/>
        <v>OK</v>
      </c>
    </row>
    <row r="144" spans="1:26" ht="14.55" x14ac:dyDescent="0.3">
      <c r="A144">
        <v>29</v>
      </c>
      <c r="B144" s="235" t="str">
        <f>IFERROR(LARGE(Ferraz!$I$55:$I$114,A144)," ")</f>
        <v xml:space="preserve"> </v>
      </c>
      <c r="C144" t="str">
        <f>IFERROR(INDEX(
    Ferraz!$C$55:$C$114,
    MATCH(
        B144,
        Ferraz!$I$55:$I$114,
        0
    )
), " ")</f>
        <v xml:space="preserve"> </v>
      </c>
      <c r="D144" s="806"/>
      <c r="E144" s="362" t="str">
        <f t="shared" si="45"/>
        <v xml:space="preserve"> </v>
      </c>
      <c r="F144" t="str">
        <f t="shared" si="43"/>
        <v>Ferraz</v>
      </c>
      <c r="G144" t="e">
        <f>_xlfn.XLOOKUP(C144,Ferraz!$C$55:$C$114,Ferraz!$O$55:$O$114)</f>
        <v>#N/A</v>
      </c>
      <c r="H144" t="str">
        <f>_xlfn.XLOOKUP(Pareto!C144,Ferraz!$C$55:$C$114,Ferraz!$M$55:$M$114," ")</f>
        <v xml:space="preserve"> </v>
      </c>
      <c r="I144" s="803" t="e">
        <f>_xlfn.XLOOKUP(C144,Ferraz!$C$55:$C$114,Ferraz!$J$55:$J$114)</f>
        <v>#N/A</v>
      </c>
      <c r="J144" s="235" t="e">
        <f>INDEX(Ferraz!$AP$55:$AP$114, MATCH(C144, Ferraz!$C$55:$C$114, 0))</f>
        <v>#N/A</v>
      </c>
      <c r="K144" s="235" t="e" cm="1">
        <f t="array" ref="K144">INDEX(Ferraz!$AP$55:$AP$114, MATCH(C144, Ferraz!$C$55:$C$114, 0)+1)</f>
        <v>#N/A</v>
      </c>
      <c r="L144" s="235" t="e">
        <f>INDEX(Ferraz!$AH$55:$AH$114, MATCH(C144, Ferraz!$C$55:$C$114, 0))</f>
        <v>#N/A</v>
      </c>
      <c r="M144" s="235"/>
      <c r="N144" s="235"/>
      <c r="O144" s="235"/>
      <c r="P144" s="235"/>
      <c r="Q144">
        <v>141</v>
      </c>
      <c r="R144" s="275">
        <f t="shared" si="51"/>
        <v>14256</v>
      </c>
      <c r="S144" t="str">
        <f t="shared" si="46"/>
        <v>35 - Redução de Peso Bruto do item MB003597LA</v>
      </c>
      <c r="T144" t="str">
        <f t="shared" si="47"/>
        <v>Diadema</v>
      </c>
      <c r="U144" s="275">
        <f t="shared" si="52"/>
        <v>14341.050000000001</v>
      </c>
      <c r="V144" s="235">
        <f t="shared" ca="1" si="53"/>
        <v>4302.3150000000005</v>
      </c>
      <c r="W144" s="235">
        <f t="shared" ca="1" si="54"/>
        <v>3320.9172029923193</v>
      </c>
      <c r="X144" t="str">
        <f t="shared" si="48"/>
        <v>✓ Concluído</v>
      </c>
      <c r="Y144" s="803">
        <f t="shared" si="49"/>
        <v>46082</v>
      </c>
      <c r="Z144" t="str">
        <f t="shared" si="50"/>
        <v>OK</v>
      </c>
    </row>
    <row r="145" spans="1:26" ht="14.55" x14ac:dyDescent="0.3">
      <c r="A145">
        <v>30</v>
      </c>
      <c r="B145" s="235" t="str">
        <f>IFERROR(LARGE(Ferraz!$I$55:$I$114,A145)," ")</f>
        <v xml:space="preserve"> </v>
      </c>
      <c r="C145" t="str">
        <f>IFERROR(INDEX(
    Ferraz!$C$55:$C$114,
    MATCH(
        B145,
        Ferraz!$I$55:$I$114,
        0
    )
), " ")</f>
        <v xml:space="preserve"> </v>
      </c>
      <c r="D145" s="806"/>
      <c r="E145" s="362" t="str">
        <f t="shared" si="45"/>
        <v xml:space="preserve"> </v>
      </c>
      <c r="F145" t="str">
        <f t="shared" si="43"/>
        <v>Ferraz</v>
      </c>
      <c r="G145" t="e">
        <f>_xlfn.XLOOKUP(C145,Ferraz!$C$55:$C$114,Ferraz!$O$55:$O$114)</f>
        <v>#N/A</v>
      </c>
      <c r="H145" t="str">
        <f>_xlfn.XLOOKUP(Pareto!C145,Ferraz!$C$55:$C$114,Ferraz!$M$55:$M$114," ")</f>
        <v xml:space="preserve"> </v>
      </c>
      <c r="I145" s="803" t="e">
        <f>_xlfn.XLOOKUP(C145,Ferraz!$C$55:$C$114,Ferraz!$J$55:$J$114)</f>
        <v>#N/A</v>
      </c>
      <c r="J145" s="235" t="e">
        <f>INDEX(Ferraz!$AP$55:$AP$114, MATCH(C145, Ferraz!$C$55:$C$114, 0))</f>
        <v>#N/A</v>
      </c>
      <c r="K145" s="235" t="e" cm="1">
        <f t="array" ref="K145">INDEX(Ferraz!$AP$55:$AP$114, MATCH(C145, Ferraz!$C$55:$C$114, 0)+1)</f>
        <v>#N/A</v>
      </c>
      <c r="L145" s="235" t="e">
        <f>INDEX(Ferraz!$AH$55:$AH$114, MATCH(C145, Ferraz!$C$55:$C$114, 0))</f>
        <v>#N/A</v>
      </c>
      <c r="M145" s="235"/>
      <c r="N145" s="235"/>
      <c r="O145" s="235"/>
      <c r="P145" s="235"/>
      <c r="Q145">
        <v>142</v>
      </c>
      <c r="R145" s="275">
        <f t="shared" si="51"/>
        <v>13608</v>
      </c>
      <c r="S145" t="str">
        <f t="shared" si="46"/>
        <v>33 - Redução de Peso Bruto do item MB003610LA</v>
      </c>
      <c r="T145" t="str">
        <f t="shared" si="47"/>
        <v>Diadema</v>
      </c>
      <c r="U145" s="275">
        <f t="shared" si="52"/>
        <v>11223.44</v>
      </c>
      <c r="V145" s="235">
        <f t="shared" ca="1" si="53"/>
        <v>3367.0320000000002</v>
      </c>
      <c r="W145" s="235">
        <f t="shared" ca="1" si="54"/>
        <v>2773.3036297872013</v>
      </c>
      <c r="X145" t="str">
        <f t="shared" si="48"/>
        <v>✓ Concluído</v>
      </c>
      <c r="Y145" s="803">
        <f t="shared" si="49"/>
        <v>46082</v>
      </c>
      <c r="Z145" t="str">
        <f t="shared" si="50"/>
        <v>OK</v>
      </c>
    </row>
    <row r="146" spans="1:26" ht="14.55" x14ac:dyDescent="0.3">
      <c r="L146" s="235" t="e">
        <f>INDEX(Ferraz!$AH$55:$AH$114, MATCH(C146, Ferraz!$C$55:$C$114, 0))</f>
        <v>#N/A</v>
      </c>
      <c r="M146" s="235"/>
      <c r="N146" s="235"/>
      <c r="O146" s="235"/>
      <c r="P146" s="235"/>
      <c r="Q146">
        <v>143</v>
      </c>
      <c r="R146" s="275">
        <f t="shared" si="51"/>
        <v>12000</v>
      </c>
      <c r="S146" t="str">
        <f t="shared" si="46"/>
        <v xml:space="preserve">22 - Tablet - Dobradeira </v>
      </c>
      <c r="T146" t="str">
        <f t="shared" si="47"/>
        <v>Ferraz</v>
      </c>
      <c r="U146" s="275">
        <f t="shared" si="52"/>
        <v>0</v>
      </c>
      <c r="V146" s="235" t="str">
        <f t="shared" ca="1" si="53"/>
        <v/>
      </c>
      <c r="W146" s="235" t="str">
        <f t="shared" ca="1" si="54"/>
        <v/>
      </c>
      <c r="X146" t="str">
        <f t="shared" si="48"/>
        <v>✓ Concluído</v>
      </c>
      <c r="Y146" s="803">
        <f t="shared" si="49"/>
        <v>0</v>
      </c>
      <c r="Z146" t="str">
        <f t="shared" si="50"/>
        <v/>
      </c>
    </row>
    <row r="147" spans="1:26" ht="14.85" customHeight="1" x14ac:dyDescent="0.3">
      <c r="A147" s="274" t="s">
        <v>108</v>
      </c>
      <c r="B147" s="274"/>
      <c r="C147" s="274"/>
      <c r="D147" s="805"/>
      <c r="E147" s="805"/>
      <c r="J147" s="1678" t="s">
        <v>2550</v>
      </c>
      <c r="K147" s="1678"/>
      <c r="L147" s="235" t="e">
        <f>INDEX(Ferraz!$AH$55:$AH$114, MATCH(C147, Ferraz!$C$55:$C$114, 0))</f>
        <v>#N/A</v>
      </c>
      <c r="M147" s="235"/>
      <c r="N147" s="235"/>
      <c r="O147" s="235"/>
      <c r="P147" s="235"/>
      <c r="Q147">
        <v>144</v>
      </c>
      <c r="R147" s="275">
        <f t="shared" si="51"/>
        <v>9639</v>
      </c>
      <c r="S147" t="str">
        <f t="shared" si="46"/>
        <v>29 - Redução do consumo MTP no passo do Blank VW000942AB / 943AB -5MM</v>
      </c>
      <c r="T147" t="str">
        <f t="shared" si="47"/>
        <v>Jarinu</v>
      </c>
      <c r="U147" s="275">
        <f t="shared" si="52"/>
        <v>5651.1774999999998</v>
      </c>
      <c r="V147" s="235">
        <f t="shared" ca="1" si="53"/>
        <v>3767.4516666666664</v>
      </c>
      <c r="W147" s="235" t="str">
        <f t="shared" ca="1" si="54"/>
        <v/>
      </c>
      <c r="X147" t="str">
        <f t="shared" si="48"/>
        <v>⏳ Em Execução</v>
      </c>
      <c r="Y147" s="803">
        <f t="shared" si="49"/>
        <v>46142</v>
      </c>
      <c r="Z147" t="str">
        <f t="shared" si="50"/>
        <v>OK</v>
      </c>
    </row>
    <row r="148" spans="1:26" ht="14.85" customHeight="1" x14ac:dyDescent="0.3">
      <c r="A148" s="274"/>
      <c r="B148" s="274"/>
      <c r="C148" s="274"/>
      <c r="D148" s="805"/>
      <c r="E148" s="805"/>
      <c r="J148" s="594" t="s">
        <v>106</v>
      </c>
      <c r="K148" s="594" t="s">
        <v>107</v>
      </c>
      <c r="L148" s="235" t="e">
        <f>INDEX(Ferraz!$AH$55:$AH$114, MATCH(C148, Ferraz!$C$55:$C$114, 0))</f>
        <v>#N/A</v>
      </c>
      <c r="M148" s="235"/>
      <c r="N148" s="235"/>
      <c r="O148" s="235"/>
      <c r="P148" s="235"/>
      <c r="Q148">
        <v>145</v>
      </c>
      <c r="R148" s="275">
        <f t="shared" si="51"/>
        <v>9078</v>
      </c>
      <c r="S148" t="str">
        <f t="shared" si="46"/>
        <v>09 - Taxa de Esgoto</v>
      </c>
      <c r="T148" t="str">
        <f t="shared" si="47"/>
        <v>Diadema</v>
      </c>
      <c r="U148" s="275">
        <f t="shared" si="52"/>
        <v>0</v>
      </c>
      <c r="V148" s="235" t="str">
        <f t="shared" ca="1" si="53"/>
        <v/>
      </c>
      <c r="W148" s="235" t="str">
        <f t="shared" ca="1" si="54"/>
        <v/>
      </c>
      <c r="X148" t="str">
        <f t="shared" si="48"/>
        <v>⏳ Em Execução</v>
      </c>
      <c r="Y148" s="803">
        <f t="shared" si="49"/>
        <v>0</v>
      </c>
      <c r="Z148" t="str">
        <f t="shared" si="50"/>
        <v/>
      </c>
    </row>
    <row r="149" spans="1:26" ht="14.55" x14ac:dyDescent="0.3">
      <c r="A149" cm="1">
        <f t="array" ref="A149:A178">_xlfn.SEQUENCE(30)</f>
        <v>1</v>
      </c>
      <c r="B149" s="235">
        <f>MAX('São Leopoldo'!I55:I124)</f>
        <v>733701.49999999988</v>
      </c>
      <c r="C149" t="str">
        <f>IFERROR(INDEX(
    'São Leopoldo'!C55:C124,
    MATCH(
        B149,
        'São Leopoldo'!I55:I124,
        0
    )
), " ")</f>
        <v>08 - Reestruturação</v>
      </c>
      <c r="D149" s="806">
        <f t="shared" ref="D149:D178" si="55">IFERROR(B149/SUM($B$149:$B$178)," ")</f>
        <v>0.43952008171354706</v>
      </c>
      <c r="E149" s="362">
        <f>D149</f>
        <v>0.43952008171354706</v>
      </c>
      <c r="F149" t="str">
        <f t="shared" ref="F149:F178" si="56">$A$147</f>
        <v>São leopoldo</v>
      </c>
      <c r="G149" t="str">
        <f>_xlfn.XLOOKUP(C149,'São Leopoldo'!$C$55:$C$124,'São Leopoldo'!$O$55:$O$124)</f>
        <v>✓ Concluído</v>
      </c>
      <c r="H149" t="str">
        <f>_xlfn.XLOOKUP(C149,'São Leopoldo'!$C$55:$C$124,'São Leopoldo'!$M$55:$M$124," ")</f>
        <v>OK</v>
      </c>
      <c r="I149" s="803">
        <f>_xlfn.XLOOKUP(C149,'São Leopoldo'!$C$55:$C$124,'São Leopoldo'!$J$55:$J$124)</f>
        <v>46082</v>
      </c>
      <c r="J149" s="235">
        <f ca="1">INDEX('São Leopoldo'!$AP$55:$AP$124, MATCH(C149, 'São Leopoldo'!$C$55:$C$124, 0))</f>
        <v>520985.22899999993</v>
      </c>
      <c r="K149" s="235" cm="1">
        <f t="array" aca="1" ref="K149" ca="1">INDEX('São Leopoldo'!$AP$55:$AP$124, MATCH(C149, 'São Leopoldo'!$C$55:$C$124, 0)+1)</f>
        <v>699813</v>
      </c>
      <c r="L149" s="235">
        <f>INDEX('São Leopoldo'!$AH$55:$AH$124, MATCH(C149, 'São Leopoldo'!$C$55:$C$124, 0))</f>
        <v>520985.22899999993</v>
      </c>
      <c r="M149" s="235"/>
      <c r="N149" s="235"/>
      <c r="O149" s="235"/>
      <c r="P149" s="235"/>
      <c r="Q149">
        <v>146</v>
      </c>
      <c r="R149" s="275">
        <f t="shared" si="51"/>
        <v>8339</v>
      </c>
      <c r="S149" t="str">
        <f t="shared" si="46"/>
        <v>ULTRASOM</v>
      </c>
      <c r="T149" t="str">
        <f t="shared" si="47"/>
        <v>Compras</v>
      </c>
      <c r="U149" s="275">
        <f t="shared" si="52"/>
        <v>3474.583333333333</v>
      </c>
      <c r="V149" s="235" t="str">
        <f t="shared" ca="1" si="53"/>
        <v/>
      </c>
      <c r="W149" s="235" t="str">
        <f t="shared" ca="1" si="54"/>
        <v/>
      </c>
      <c r="X149" t="str">
        <f t="shared" si="48"/>
        <v>⏳ Em Execução</v>
      </c>
      <c r="Y149" s="803">
        <f t="shared" si="49"/>
        <v>46237</v>
      </c>
      <c r="Z149" t="str">
        <f t="shared" si="50"/>
        <v/>
      </c>
    </row>
    <row r="150" spans="1:26" ht="14.55" x14ac:dyDescent="0.3">
      <c r="A150">
        <v>2</v>
      </c>
      <c r="B150" s="235">
        <f>IFERROR(LARGE('São Leopoldo'!$I$55:$I$124,A150)," ")</f>
        <v>218726.78</v>
      </c>
      <c r="C150" t="str">
        <f>IFERROR(INDEX(
    'São Leopoldo'!$C$55:$C$124,
    MATCH(
        B150,
        'São Leopoldo'!$I$55:$I$124,
        0
    )
), " ")</f>
        <v>01 - Redução de Refugo</v>
      </c>
      <c r="D150" s="806">
        <f t="shared" si="55"/>
        <v>0.13102714417040315</v>
      </c>
      <c r="E150" s="362">
        <f>IFERROR(D150+E149," ")</f>
        <v>0.57054722588395024</v>
      </c>
      <c r="F150" t="str">
        <f t="shared" si="56"/>
        <v>São leopoldo</v>
      </c>
      <c r="G150" t="str">
        <f>_xlfn.XLOOKUP(C150,'São Leopoldo'!$C$55:$C$124,'São Leopoldo'!$O$55:$O$124)</f>
        <v>⏳ Em Execução</v>
      </c>
      <c r="H150" t="str">
        <f>_xlfn.XLOOKUP(C150,'São Leopoldo'!$C$55:$C$124,'São Leopoldo'!$M$55:$M$124," ")</f>
        <v>OK</v>
      </c>
      <c r="I150" s="803">
        <f>_xlfn.XLOOKUP(C150,'São Leopoldo'!$C$55:$C$124,'São Leopoldo'!$J$55:$J$124)</f>
        <v>46054</v>
      </c>
      <c r="J150" s="235">
        <f ca="1">INDEX('São Leopoldo'!$AP$55:$AP$124, MATCH(C150, 'São Leopoldo'!$C$55:$C$124, 0))</f>
        <v>79537.01090909091</v>
      </c>
      <c r="K150" s="235" cm="1">
        <f t="array" aca="1" ref="K150" ca="1">INDEX('São Leopoldo'!$AP$55:$AP$124, MATCH(C150, 'São Leopoldo'!$C$55:$C$124, 0)+1)</f>
        <v>98159.34</v>
      </c>
      <c r="L150" s="235">
        <f>INDEX('São Leopoldo'!$AH$55:$AH$124, MATCH(C150, 'São Leopoldo'!$C$55:$C$124, 0))</f>
        <v>59652.758181818179</v>
      </c>
      <c r="M150" s="235"/>
      <c r="N150" s="235"/>
      <c r="O150" s="235"/>
      <c r="P150" s="235"/>
      <c r="Q150">
        <v>147</v>
      </c>
      <c r="R150" s="275">
        <f t="shared" si="51"/>
        <v>7000.0001561649997</v>
      </c>
      <c r="S150" t="str">
        <f t="shared" si="46"/>
        <v xml:space="preserve">02 - Eficiência dos planos de corte </v>
      </c>
      <c r="T150" t="str">
        <f t="shared" si="47"/>
        <v>Ferraz</v>
      </c>
      <c r="U150" s="275">
        <f t="shared" si="52"/>
        <v>2266.6666666666665</v>
      </c>
      <c r="V150" s="235">
        <f t="shared" ca="1" si="53"/>
        <v>1511.1111111111111</v>
      </c>
      <c r="W150" s="235" t="str">
        <f t="shared" ca="1" si="54"/>
        <v/>
      </c>
      <c r="X150" t="str">
        <f t="shared" si="48"/>
        <v>⏳ Em Execução</v>
      </c>
      <c r="Y150" s="803">
        <f t="shared" si="49"/>
        <v>46113</v>
      </c>
      <c r="Z150" t="str">
        <f t="shared" si="50"/>
        <v>OK</v>
      </c>
    </row>
    <row r="151" spans="1:26" ht="14.55" x14ac:dyDescent="0.3">
      <c r="A151">
        <v>3</v>
      </c>
      <c r="B151" s="235">
        <f>IFERROR(LARGE('São Leopoldo'!$I$55:$I$124,A151)," ")</f>
        <v>120860.88</v>
      </c>
      <c r="C151" t="str">
        <f>IFERROR(INDEX(
    'São Leopoldo'!$C$55:$C$124,
    MATCH(
        B151,
        'São Leopoldo'!$I$55:$I$124,
        0
    )
), " ")</f>
        <v>16- Redução de gastos com energia elétrica.</v>
      </c>
      <c r="D151" s="806">
        <f t="shared" si="55"/>
        <v>7.2401083892524698E-2</v>
      </c>
      <c r="E151" s="362">
        <f t="shared" ref="E151:E178" si="57">IFERROR(D151+E150," ")</f>
        <v>0.64294830977647499</v>
      </c>
      <c r="F151" t="str">
        <f t="shared" si="56"/>
        <v>São leopoldo</v>
      </c>
      <c r="G151" t="str">
        <f>_xlfn.XLOOKUP(C151,'São Leopoldo'!$C$55:$C$124,'São Leopoldo'!$O$55:$O$124)</f>
        <v>⏳ Em Execução</v>
      </c>
      <c r="H151">
        <f>_xlfn.XLOOKUP(C151,'São Leopoldo'!$C$55:$C$124,'São Leopoldo'!$M$55:$M$124," ")</f>
        <v>0</v>
      </c>
      <c r="I151" s="803">
        <f>_xlfn.XLOOKUP(C151,'São Leopoldo'!$C$55:$C$124,'São Leopoldo'!$J$55:$J$124)</f>
        <v>0</v>
      </c>
      <c r="J151" s="235" t="str">
        <f ca="1">INDEX('São Leopoldo'!$AP$55:$AP$124, MATCH(C151, 'São Leopoldo'!$C$55:$C$124, 0))</f>
        <v/>
      </c>
      <c r="K151" s="235" t="str" cm="1">
        <f t="array" aca="1" ref="K151" ca="1">INDEX('São Leopoldo'!$AP$55:$AP$124, MATCH(C151, 'São Leopoldo'!$C$55:$C$124, 0)+1)</f>
        <v/>
      </c>
      <c r="L151" s="235">
        <f>INDEX('São Leopoldo'!$AH$55:$AH$124, MATCH(C151, 'São Leopoldo'!$C$55:$C$124, 0))</f>
        <v>0</v>
      </c>
      <c r="M151" s="235"/>
      <c r="N151" s="235"/>
      <c r="O151" s="235"/>
      <c r="P151" s="235"/>
      <c r="Q151">
        <v>148</v>
      </c>
      <c r="R151" s="275">
        <f t="shared" si="51"/>
        <v>7000</v>
      </c>
      <c r="S151" t="str">
        <f t="shared" si="46"/>
        <v>12 - Vendas de descartáveis</v>
      </c>
      <c r="T151" t="str">
        <f t="shared" si="47"/>
        <v>Anchieta</v>
      </c>
      <c r="U151" s="275">
        <f t="shared" si="52"/>
        <v>4200</v>
      </c>
      <c r="V151" s="235" t="str">
        <f t="shared" ca="1" si="53"/>
        <v/>
      </c>
      <c r="W151" s="235" t="str">
        <f t="shared" ca="1" si="54"/>
        <v/>
      </c>
      <c r="X151" t="str">
        <f t="shared" si="48"/>
        <v>⏳ Em Execução</v>
      </c>
      <c r="Y151" s="803">
        <f t="shared" si="49"/>
        <v>46235</v>
      </c>
      <c r="Z151" t="str">
        <f t="shared" si="50"/>
        <v/>
      </c>
    </row>
    <row r="152" spans="1:26" ht="14.55" x14ac:dyDescent="0.3">
      <c r="A152">
        <v>4</v>
      </c>
      <c r="B152" s="235">
        <f>IFERROR(LARGE('São Leopoldo'!$I$55:$I$124,A152)," ")</f>
        <v>110000</v>
      </c>
      <c r="C152" t="str">
        <f>IFERROR(INDEX(
    'São Leopoldo'!$C$55:$C$124,
    MATCH(
        B152,
        'São Leopoldo'!$I$55:$I$124,
        0
    )
), " ")</f>
        <v>07 - Troca dos fornecedores de tubo do Capo CNH CN-13</v>
      </c>
      <c r="D152" s="806">
        <f t="shared" si="55"/>
        <v>6.5894930006944491E-2</v>
      </c>
      <c r="E152" s="362">
        <f t="shared" si="57"/>
        <v>0.70884323978341945</v>
      </c>
      <c r="F152" t="str">
        <f t="shared" si="56"/>
        <v>São leopoldo</v>
      </c>
      <c r="G152" t="str">
        <f>_xlfn.XLOOKUP(C152,'São Leopoldo'!$C$55:$C$124,'São Leopoldo'!$O$55:$O$124)</f>
        <v>⏳ Em Execução</v>
      </c>
      <c r="H152">
        <f>_xlfn.XLOOKUP(C152,'São Leopoldo'!$C$55:$C$124,'São Leopoldo'!$M$55:$M$124," ")</f>
        <v>0</v>
      </c>
      <c r="I152" s="803">
        <f>_xlfn.XLOOKUP(C152,'São Leopoldo'!$C$55:$C$124,'São Leopoldo'!$J$55:$J$124)</f>
        <v>0</v>
      </c>
      <c r="J152" s="235" t="str">
        <f ca="1">INDEX('São Leopoldo'!$AP$55:$AP$124, MATCH(C152, 'São Leopoldo'!$C$55:$C$124, 0))</f>
        <v/>
      </c>
      <c r="K152" s="235" t="str" cm="1">
        <f t="array" aca="1" ref="K152" ca="1">INDEX('São Leopoldo'!$AP$55:$AP$124, MATCH(C152, 'São Leopoldo'!$C$55:$C$124, 0)+1)</f>
        <v/>
      </c>
      <c r="L152" s="235">
        <f>INDEX('São Leopoldo'!$AH$55:$AH$124, MATCH(C152, 'São Leopoldo'!$C$55:$C$124, 0))</f>
        <v>0</v>
      </c>
      <c r="M152" s="235"/>
      <c r="N152" s="235"/>
      <c r="O152" s="235"/>
      <c r="P152" s="235"/>
      <c r="Q152">
        <v>149</v>
      </c>
      <c r="R152" s="275">
        <f t="shared" si="51"/>
        <v>5000</v>
      </c>
      <c r="S152" t="str">
        <f t="shared" si="46"/>
        <v>13 - Consumo de materiais da ETE</v>
      </c>
      <c r="T152" t="str">
        <f t="shared" si="47"/>
        <v>Anchieta</v>
      </c>
      <c r="U152" s="275">
        <f t="shared" si="52"/>
        <v>1875</v>
      </c>
      <c r="V152" s="235">
        <f t="shared" ca="1" si="53"/>
        <v>625</v>
      </c>
      <c r="W152" s="235" t="str">
        <f t="shared" ca="1" si="54"/>
        <v/>
      </c>
      <c r="X152" t="str">
        <f t="shared" si="48"/>
        <v>⏳ Em Execução</v>
      </c>
      <c r="Y152" s="803">
        <f t="shared" si="49"/>
        <v>46143</v>
      </c>
      <c r="Z152" t="str">
        <f t="shared" si="50"/>
        <v/>
      </c>
    </row>
    <row r="153" spans="1:26" ht="14.55" x14ac:dyDescent="0.3">
      <c r="A153">
        <v>5</v>
      </c>
      <c r="B153" s="235">
        <f>IFERROR(LARGE('São Leopoldo'!$I$55:$I$124,A153)," ")</f>
        <v>92802.55</v>
      </c>
      <c r="C153" t="str">
        <f>IFERROR(INDEX(
    'São Leopoldo'!$C$55:$C$124,
    MATCH(
        B153,
        'São Leopoldo'!$I$55:$I$124,
        0
    )
), " ")</f>
        <v>05 -  REDUÇÃO DE PESO BRUTO DD000502/503Z</v>
      </c>
      <c r="D153" s="806">
        <f t="shared" si="55"/>
        <v>5.5592886697417875E-2</v>
      </c>
      <c r="E153" s="362">
        <f t="shared" si="57"/>
        <v>0.76443612648083736</v>
      </c>
      <c r="F153" t="str">
        <f t="shared" si="56"/>
        <v>São leopoldo</v>
      </c>
      <c r="G153" t="str">
        <f>_xlfn.XLOOKUP(C153,'São Leopoldo'!$C$55:$C$124,'São Leopoldo'!$O$55:$O$124)</f>
        <v>⏳ Em Execução</v>
      </c>
      <c r="H153" t="str">
        <f>_xlfn.XLOOKUP(C153,'São Leopoldo'!$C$55:$C$124,'São Leopoldo'!$M$55:$M$124," ")</f>
        <v>OK</v>
      </c>
      <c r="I153" s="803">
        <f>_xlfn.XLOOKUP(C153,'São Leopoldo'!$C$55:$C$124,'São Leopoldo'!$J$55:$J$124)</f>
        <v>46143</v>
      </c>
      <c r="J153" s="235">
        <f ca="1">INDEX('São Leopoldo'!$AP$55:$AP$124, MATCH(C153, 'São Leopoldo'!$C$55:$C$124, 0))</f>
        <v>18796.545346457955</v>
      </c>
      <c r="K153" s="235" t="str" cm="1">
        <f t="array" aca="1" ref="K153" ca="1">INDEX('São Leopoldo'!$AP$55:$AP$124, MATCH(C153, 'São Leopoldo'!$C$55:$C$124, 0)+1)</f>
        <v/>
      </c>
      <c r="L153" s="235">
        <f>INDEX('São Leopoldo'!$AH$55:$AH$124, MATCH(C153, 'São Leopoldo'!$C$55:$C$124, 0))</f>
        <v>56389.636039373865</v>
      </c>
      <c r="M153" s="235"/>
      <c r="N153" s="235"/>
      <c r="O153" s="235"/>
      <c r="P153" s="235"/>
      <c r="Q153">
        <v>150</v>
      </c>
      <c r="R153" s="275">
        <f t="shared" si="51"/>
        <v>4840</v>
      </c>
      <c r="S153" t="str">
        <f t="shared" si="46"/>
        <v>46 - AGUA DESMINERALIZADA</v>
      </c>
      <c r="T153" t="str">
        <f t="shared" si="47"/>
        <v>Diadema</v>
      </c>
      <c r="U153" s="275">
        <f t="shared" si="52"/>
        <v>4840</v>
      </c>
      <c r="V153" s="235">
        <f t="shared" ca="1" si="53"/>
        <v>1075.5555555555557</v>
      </c>
      <c r="W153" s="235" t="str">
        <f t="shared" ca="1" si="54"/>
        <v/>
      </c>
      <c r="X153" t="str">
        <f t="shared" si="48"/>
        <v>✓ Concluído</v>
      </c>
      <c r="Y153" s="803">
        <f t="shared" si="49"/>
        <v>46113</v>
      </c>
      <c r="Z153" t="str">
        <f t="shared" si="50"/>
        <v/>
      </c>
    </row>
    <row r="154" spans="1:26" ht="14.55" x14ac:dyDescent="0.3">
      <c r="A154">
        <v>6</v>
      </c>
      <c r="B154" s="235">
        <f>IFERROR(LARGE('São Leopoldo'!$I$55:$I$124,A154)," ")</f>
        <v>82981.320000000007</v>
      </c>
      <c r="C154" t="str">
        <f>IFERROR(INDEX(
    'São Leopoldo'!$C$55:$C$124,
    MATCH(
        B154,
        'São Leopoldo'!$I$55:$I$124,
        0
    )
), " ")</f>
        <v>15- Redução do custo mensal de empilhadeira locada (LOCAPEX).</v>
      </c>
      <c r="D154" s="806">
        <f t="shared" si="55"/>
        <v>4.9709529757126031E-2</v>
      </c>
      <c r="E154" s="362">
        <f t="shared" si="57"/>
        <v>0.81414565623796342</v>
      </c>
      <c r="F154" t="str">
        <f t="shared" si="56"/>
        <v>São leopoldo</v>
      </c>
      <c r="G154" t="str">
        <f>_xlfn.XLOOKUP(C154,'São Leopoldo'!$C$55:$C$124,'São Leopoldo'!$O$55:$O$124)</f>
        <v>⏳ Em Execução</v>
      </c>
      <c r="H154" t="str">
        <f>_xlfn.XLOOKUP(C154,'São Leopoldo'!$C$55:$C$124,'São Leopoldo'!$M$55:$M$124," ")</f>
        <v>OK</v>
      </c>
      <c r="I154" s="803">
        <f>_xlfn.XLOOKUP(C154,'São Leopoldo'!$C$55:$C$124,'São Leopoldo'!$J$55:$J$124)</f>
        <v>46113</v>
      </c>
      <c r="J154" s="235">
        <f ca="1">INDEX('São Leopoldo'!$AP$55:$AP$124, MATCH(C154, 'São Leopoldo'!$C$55:$C$124, 0))</f>
        <v>8868.8966666666656</v>
      </c>
      <c r="K154" s="235" cm="1">
        <f t="array" aca="1" ref="K154" ca="1">INDEX('São Leopoldo'!$AP$55:$AP$124, MATCH(C154, 'São Leopoldo'!$C$55:$C$124, 0)+1)</f>
        <v>9965.119999999999</v>
      </c>
      <c r="L154" s="235">
        <f>INDEX('São Leopoldo'!$AH$55:$AH$124, MATCH(C154, 'São Leopoldo'!$C$55:$C$124, 0))</f>
        <v>13303.344999999998</v>
      </c>
      <c r="M154" s="235"/>
      <c r="N154" s="235"/>
      <c r="O154" s="235"/>
      <c r="P154" s="235"/>
      <c r="Q154">
        <v>151</v>
      </c>
      <c r="R154" s="275">
        <f t="shared" si="51"/>
        <v>4200.0006659999999</v>
      </c>
      <c r="S154" t="str">
        <f t="shared" si="46"/>
        <v>28 - DA000487Z_DA000488Z - STC Scania P</v>
      </c>
      <c r="T154" t="str">
        <f t="shared" si="47"/>
        <v>Diadema</v>
      </c>
      <c r="U154" s="275">
        <f t="shared" si="52"/>
        <v>4200.0006659999999</v>
      </c>
      <c r="V154" s="235" t="str">
        <f t="shared" ca="1" si="53"/>
        <v/>
      </c>
      <c r="W154" s="235" t="str">
        <f t="shared" ca="1" si="54"/>
        <v/>
      </c>
      <c r="X154" t="str">
        <f t="shared" si="48"/>
        <v>⏳ Em Execução</v>
      </c>
      <c r="Y154" s="803">
        <f t="shared" si="49"/>
        <v>46174</v>
      </c>
      <c r="Z154" t="str">
        <f t="shared" si="50"/>
        <v>Não Ok</v>
      </c>
    </row>
    <row r="155" spans="1:26" ht="14.55" x14ac:dyDescent="0.3">
      <c r="A155">
        <v>7</v>
      </c>
      <c r="B155" s="235">
        <f>IFERROR(LARGE('São Leopoldo'!$I$55:$I$124,A155)," ")</f>
        <v>48730.19</v>
      </c>
      <c r="C155" t="str">
        <f>IFERROR(INDEX(
    'São Leopoldo'!$C$55:$C$124,
    MATCH(
        B155,
        'São Leopoldo'!$I$55:$I$124,
        0
    )
), " ")</f>
        <v xml:space="preserve">12 -  REDUÇÃO DE PESO BRUTO DD000504/505Z
</v>
      </c>
      <c r="D155" s="806">
        <f t="shared" si="55"/>
        <v>2.9191567811591875E-2</v>
      </c>
      <c r="E155" s="362">
        <f t="shared" si="57"/>
        <v>0.84333722404955525</v>
      </c>
      <c r="F155" t="str">
        <f t="shared" si="56"/>
        <v>São leopoldo</v>
      </c>
      <c r="G155" t="str">
        <f>_xlfn.XLOOKUP(C155,'São Leopoldo'!$C$55:$C$124,'São Leopoldo'!$O$55:$O$124)</f>
        <v>⏳ Em Execução</v>
      </c>
      <c r="H155" t="str">
        <f>_xlfn.XLOOKUP(C155,'São Leopoldo'!$C$55:$C$124,'São Leopoldo'!$M$55:$M$124," ")</f>
        <v>OK</v>
      </c>
      <c r="I155" s="803">
        <f>_xlfn.XLOOKUP(C155,'São Leopoldo'!$C$55:$C$124,'São Leopoldo'!$J$55:$J$124)</f>
        <v>46143</v>
      </c>
      <c r="J155" s="235">
        <f ca="1">INDEX('São Leopoldo'!$AP$55:$AP$124, MATCH(C155, 'São Leopoldo'!$C$55:$C$124, 0))</f>
        <v>9882.7682588400057</v>
      </c>
      <c r="K155" s="235" t="str" cm="1">
        <f t="array" aca="1" ref="K155" ca="1">INDEX('São Leopoldo'!$AP$55:$AP$124, MATCH(C155, 'São Leopoldo'!$C$55:$C$124, 0)+1)</f>
        <v/>
      </c>
      <c r="L155" s="235">
        <f>INDEX('São Leopoldo'!$AH$55:$AH$124, MATCH(C155, 'São Leopoldo'!$C$55:$C$124, 0))</f>
        <v>29648.304776520017</v>
      </c>
      <c r="M155" s="235"/>
      <c r="N155" s="235"/>
      <c r="O155" s="235"/>
      <c r="P155" s="235"/>
      <c r="Q155">
        <v>152</v>
      </c>
      <c r="R155" s="275">
        <f t="shared" si="51"/>
        <v>4200</v>
      </c>
      <c r="S155" t="str">
        <f t="shared" si="46"/>
        <v>38 - Redução de Peso Bruto do item SV000205LB</v>
      </c>
      <c r="T155" t="str">
        <f t="shared" si="47"/>
        <v>Diadema</v>
      </c>
      <c r="U155" s="275">
        <f t="shared" si="52"/>
        <v>3546.8400000000006</v>
      </c>
      <c r="V155" s="235">
        <f t="shared" ca="1" si="53"/>
        <v>1064.0520000000001</v>
      </c>
      <c r="W155" s="235">
        <f t="shared" ca="1" si="54"/>
        <v>1630.73404622</v>
      </c>
      <c r="X155" t="str">
        <f t="shared" si="48"/>
        <v>✓ Concluído</v>
      </c>
      <c r="Y155" s="803">
        <f t="shared" si="49"/>
        <v>46082</v>
      </c>
      <c r="Z155" t="str">
        <f t="shared" si="50"/>
        <v>OK</v>
      </c>
    </row>
    <row r="156" spans="1:26" x14ac:dyDescent="0.3">
      <c r="A156">
        <v>8</v>
      </c>
      <c r="B156" s="235">
        <f>IFERROR(LARGE('São Leopoldo'!$I$55:$I$124,A156)," ")</f>
        <v>40500</v>
      </c>
      <c r="C156" t="str">
        <f>IFERROR(INDEX(
    'São Leopoldo'!$C$55:$C$124,
    MATCH(
        B156,
        'São Leopoldo'!$I$55:$I$124,
        0
    )
), " ")</f>
        <v>06 - Acabamento capo CN13</v>
      </c>
      <c r="D156" s="806">
        <f t="shared" si="55"/>
        <v>2.4261315138920471E-2</v>
      </c>
      <c r="E156" s="362">
        <f t="shared" si="57"/>
        <v>0.86759853918847574</v>
      </c>
      <c r="F156" t="str">
        <f t="shared" si="56"/>
        <v>São leopoldo</v>
      </c>
      <c r="G156" t="str">
        <f>_xlfn.XLOOKUP(C156,'São Leopoldo'!$C$55:$C$124,'São Leopoldo'!$O$55:$O$124)</f>
        <v>⏳ Em Execução</v>
      </c>
      <c r="H156" t="str">
        <f>_xlfn.XLOOKUP(C156,'São Leopoldo'!$C$55:$C$124,'São Leopoldo'!$M$55:$M$124," ")</f>
        <v>OK</v>
      </c>
      <c r="I156" s="803">
        <f>_xlfn.XLOOKUP(C156,'São Leopoldo'!$C$55:$C$124,'São Leopoldo'!$J$55:$J$124)</f>
        <v>46113</v>
      </c>
      <c r="J156" s="235">
        <f ca="1">INDEX('São Leopoldo'!$AP$55:$AP$124, MATCH(C156, 'São Leopoldo'!$C$55:$C$124, 0))</f>
        <v>13560.8</v>
      </c>
      <c r="K156" s="235" cm="1">
        <f t="array" aca="1" ref="K156" ca="1">INDEX('São Leopoldo'!$AP$55:$AP$124, MATCH(C156, 'São Leopoldo'!$C$55:$C$124, 0)+1)</f>
        <v>13560.8</v>
      </c>
      <c r="L156" s="235">
        <f>INDEX('São Leopoldo'!$AH$55:$AH$124, MATCH(C156, 'São Leopoldo'!$C$55:$C$124, 0))</f>
        <v>20341.199999999997</v>
      </c>
      <c r="M156" s="235"/>
      <c r="N156" s="235"/>
      <c r="O156" s="235"/>
      <c r="P156" s="235"/>
      <c r="Q156">
        <v>153</v>
      </c>
      <c r="R156" s="275">
        <f t="shared" si="51"/>
        <v>3852.73</v>
      </c>
      <c r="S156" t="str">
        <f t="shared" si="46"/>
        <v>BID carimbos industriais</v>
      </c>
      <c r="T156" t="str">
        <f t="shared" si="47"/>
        <v>Compras</v>
      </c>
      <c r="U156" s="275">
        <f t="shared" si="52"/>
        <v>2541.6083333333331</v>
      </c>
      <c r="V156" s="235">
        <f t="shared" ca="1" si="53"/>
        <v>762.48249999999996</v>
      </c>
      <c r="W156" s="235" t="str">
        <f t="shared" ca="1" si="54"/>
        <v/>
      </c>
      <c r="X156" t="str">
        <f t="shared" si="48"/>
        <v>✓ Concluído</v>
      </c>
      <c r="Y156" s="803">
        <f t="shared" si="49"/>
        <v>46082</v>
      </c>
      <c r="Z156" t="str">
        <f t="shared" si="50"/>
        <v>OK</v>
      </c>
    </row>
    <row r="157" spans="1:26" ht="14.55" x14ac:dyDescent="0.3">
      <c r="A157">
        <v>9</v>
      </c>
      <c r="B157" s="235">
        <f>IFERROR(LARGE('São Leopoldo'!$I$55:$I$124,A157)," ")</f>
        <v>40000</v>
      </c>
      <c r="C157" t="str">
        <f>IFERROR(INDEX(
    'São Leopoldo'!$C$55:$C$124,
    MATCH(
        B157,
        'São Leopoldo'!$I$55:$I$124,
        0
    )
), " ")</f>
        <v>03- Comunização de Materiais</v>
      </c>
      <c r="D157" s="806">
        <f t="shared" si="55"/>
        <v>2.3961792729797995E-2</v>
      </c>
      <c r="E157" s="362">
        <f t="shared" si="57"/>
        <v>0.89156033191827377</v>
      </c>
      <c r="F157" t="str">
        <f t="shared" si="56"/>
        <v>São leopoldo</v>
      </c>
      <c r="G157" t="str">
        <f>_xlfn.XLOOKUP(C157,'São Leopoldo'!$C$55:$C$124,'São Leopoldo'!$O$55:$O$124)</f>
        <v>⏳ Em Execução</v>
      </c>
      <c r="H157">
        <f>_xlfn.XLOOKUP(C157,'São Leopoldo'!$C$55:$C$124,'São Leopoldo'!$M$55:$M$124," ")</f>
        <v>0</v>
      </c>
      <c r="I157" s="803">
        <f>_xlfn.XLOOKUP(C157,'São Leopoldo'!$C$55:$C$124,'São Leopoldo'!$J$55:$J$124)</f>
        <v>46143</v>
      </c>
      <c r="J157" s="235">
        <f ca="1">INDEX('São Leopoldo'!$AP$55:$AP$124, MATCH(C157, 'São Leopoldo'!$C$55:$C$124, 0))</f>
        <v>5000</v>
      </c>
      <c r="K157" s="235" t="str" cm="1">
        <f t="array" aca="1" ref="K157" ca="1">INDEX('São Leopoldo'!$AP$55:$AP$124, MATCH(C157, 'São Leopoldo'!$C$55:$C$124, 0)+1)</f>
        <v/>
      </c>
      <c r="L157" s="235">
        <f>INDEX('São Leopoldo'!$AH$55:$AH$124, MATCH(C157, 'São Leopoldo'!$C$55:$C$124, 0))</f>
        <v>15000</v>
      </c>
      <c r="M157" s="235"/>
      <c r="N157" s="235"/>
      <c r="O157" s="235"/>
      <c r="P157" s="235"/>
      <c r="Q157">
        <v>154</v>
      </c>
      <c r="R157" s="275">
        <f t="shared" si="51"/>
        <v>3279.77</v>
      </c>
      <c r="S157" t="str">
        <f t="shared" si="46"/>
        <v>15 - Kaizem - Botões BI - MANUAL</v>
      </c>
      <c r="T157" t="str">
        <f t="shared" si="47"/>
        <v>Diadema</v>
      </c>
      <c r="U157" s="275">
        <f t="shared" si="52"/>
        <v>3656.94</v>
      </c>
      <c r="V157" s="235">
        <f t="shared" ca="1" si="53"/>
        <v>3656.94</v>
      </c>
      <c r="W157" s="235">
        <f t="shared" si="54"/>
        <v>0</v>
      </c>
      <c r="X157" t="str">
        <f t="shared" si="48"/>
        <v>✓ Concluído</v>
      </c>
      <c r="Y157" s="803">
        <f t="shared" si="49"/>
        <v>46023</v>
      </c>
      <c r="Z157" t="str">
        <f t="shared" si="50"/>
        <v>OK</v>
      </c>
    </row>
    <row r="158" spans="1:26" ht="14.55" x14ac:dyDescent="0.3">
      <c r="A158">
        <v>10</v>
      </c>
      <c r="B158" s="235">
        <f>IFERROR(LARGE('São Leopoldo'!$I$55:$I$124,A158)," ")</f>
        <v>37356.410000000003</v>
      </c>
      <c r="C158" t="str">
        <f>IFERROR(INDEX(
    'São Leopoldo'!$C$55:$C$124,
    MATCH(
        B158,
        'São Leopoldo'!$I$55:$I$124,
        0
    )
), " ")</f>
        <v xml:space="preserve">02 -  REDUÇÃO DE PESO BRUTO DD000506Z
</v>
      </c>
      <c r="D158" s="806">
        <f t="shared" si="55"/>
        <v>2.2378163838733832E-2</v>
      </c>
      <c r="E158" s="362">
        <f t="shared" si="57"/>
        <v>0.91393849575700759</v>
      </c>
      <c r="F158" t="str">
        <f t="shared" si="56"/>
        <v>São leopoldo</v>
      </c>
      <c r="G158" t="str">
        <f>_xlfn.XLOOKUP(C158,'São Leopoldo'!$C$55:$C$124,'São Leopoldo'!$O$55:$O$124)</f>
        <v>⏳ Em Execução</v>
      </c>
      <c r="H158" t="str">
        <f>_xlfn.XLOOKUP(C158,'São Leopoldo'!$C$55:$C$124,'São Leopoldo'!$M$55:$M$124," ")</f>
        <v>OK</v>
      </c>
      <c r="I158" s="803">
        <f>_xlfn.XLOOKUP(C158,'São Leopoldo'!$C$55:$C$124,'São Leopoldo'!$J$55:$J$124)</f>
        <v>46143</v>
      </c>
      <c r="J158" s="235">
        <f ca="1">INDEX('São Leopoldo'!$AP$55:$AP$124, MATCH(C158, 'São Leopoldo'!$C$55:$C$124, 0))</f>
        <v>4057.7649026985005</v>
      </c>
      <c r="K158" s="235" t="str" cm="1">
        <f t="array" aca="1" ref="K158" ca="1">INDEX('São Leopoldo'!$AP$55:$AP$124, MATCH(C158, 'São Leopoldo'!$C$55:$C$124, 0)+1)</f>
        <v/>
      </c>
      <c r="L158" s="235">
        <f>INDEX('São Leopoldo'!$AH$55:$AH$124, MATCH(C158, 'São Leopoldo'!$C$55:$C$124, 0))</f>
        <v>12173.294708095502</v>
      </c>
      <c r="M158" s="235"/>
      <c r="N158" s="235"/>
      <c r="O158" s="235"/>
      <c r="P158" s="235"/>
      <c r="Q158">
        <v>155</v>
      </c>
      <c r="R158" s="275">
        <f t="shared" si="51"/>
        <v>3262</v>
      </c>
      <c r="S158" t="str">
        <f t="shared" si="46"/>
        <v>34 - Redução de Peso Bruto do item MB003554LA</v>
      </c>
      <c r="T158" t="str">
        <f t="shared" si="47"/>
        <v>Diadema</v>
      </c>
      <c r="U158" s="275">
        <f t="shared" si="52"/>
        <v>2387.0700000000002</v>
      </c>
      <c r="V158" s="235">
        <f t="shared" ca="1" si="53"/>
        <v>716.12100000000009</v>
      </c>
      <c r="W158" s="235">
        <f t="shared" si="54"/>
        <v>0</v>
      </c>
      <c r="X158" t="str">
        <f t="shared" si="48"/>
        <v>✓ Concluído</v>
      </c>
      <c r="Y158" s="803">
        <f t="shared" si="49"/>
        <v>46082</v>
      </c>
      <c r="Z158" t="str">
        <f t="shared" si="50"/>
        <v>OK</v>
      </c>
    </row>
    <row r="159" spans="1:26" ht="14.55" x14ac:dyDescent="0.3">
      <c r="A159">
        <v>11</v>
      </c>
      <c r="B159" s="235">
        <f>IFERROR(LARGE('São Leopoldo'!$I$55:$I$124,A159)," ")</f>
        <v>33214.550000000003</v>
      </c>
      <c r="C159" t="str">
        <f>IFERROR(INDEX(
    'São Leopoldo'!$C$55:$C$124,
    MATCH(
        B159,
        'São Leopoldo'!$I$55:$I$124,
        0
    )
), " ")</f>
        <v>22- Eliminar custo com usinagem externa CN 00016/17</v>
      </c>
      <c r="D159" s="806">
        <f t="shared" si="55"/>
        <v>1.9897004067837804E-2</v>
      </c>
      <c r="E159" s="362">
        <f t="shared" si="57"/>
        <v>0.93383549982484537</v>
      </c>
      <c r="F159" t="str">
        <f t="shared" si="56"/>
        <v>São leopoldo</v>
      </c>
      <c r="G159" t="str">
        <f>_xlfn.XLOOKUP(C159,'São Leopoldo'!$C$55:$C$124,'São Leopoldo'!$O$55:$O$124)</f>
        <v>⏳ Em Execução</v>
      </c>
      <c r="H159">
        <f>_xlfn.XLOOKUP(C159,'São Leopoldo'!$C$55:$C$124,'São Leopoldo'!$M$55:$M$124," ")</f>
        <v>0</v>
      </c>
      <c r="I159" s="803">
        <f>_xlfn.XLOOKUP(C159,'São Leopoldo'!$C$55:$C$124,'São Leopoldo'!$J$55:$J$124)</f>
        <v>46143</v>
      </c>
      <c r="J159" s="235">
        <f ca="1">INDEX('São Leopoldo'!$AP$55:$AP$124, MATCH(C159, 'São Leopoldo'!$C$55:$C$124, 0))</f>
        <v>2767.8791666666671</v>
      </c>
      <c r="K159" s="235" t="str" cm="1">
        <f t="array" aca="1" ref="K159" ca="1">INDEX('São Leopoldo'!$AP$55:$AP$124, MATCH(C159, 'São Leopoldo'!$C$55:$C$124, 0)+1)</f>
        <v/>
      </c>
      <c r="L159" s="235">
        <f>INDEX('São Leopoldo'!$AH$55:$AH$124, MATCH(C159, 'São Leopoldo'!$C$55:$C$124, 0))</f>
        <v>8303.6375000000007</v>
      </c>
      <c r="M159" s="235"/>
      <c r="N159" s="235"/>
      <c r="O159" s="235"/>
      <c r="P159" s="235"/>
      <c r="Q159">
        <v>156</v>
      </c>
      <c r="R159" s="275">
        <f t="shared" si="51"/>
        <v>2928</v>
      </c>
      <c r="S159" t="str">
        <f t="shared" si="46"/>
        <v>10 - Padronização de arame de solda</v>
      </c>
      <c r="T159" t="str">
        <f t="shared" si="47"/>
        <v>Diadema</v>
      </c>
      <c r="U159" s="275">
        <f t="shared" si="52"/>
        <v>2928</v>
      </c>
      <c r="V159" s="235">
        <f t="shared" ca="1" si="53"/>
        <v>366</v>
      </c>
      <c r="W159" s="235">
        <f t="shared" si="54"/>
        <v>0</v>
      </c>
      <c r="X159" t="str">
        <f t="shared" si="48"/>
        <v>⏳ Em Execução</v>
      </c>
      <c r="Y159" s="803">
        <f t="shared" si="49"/>
        <v>46143</v>
      </c>
      <c r="Z159" t="str">
        <f t="shared" si="50"/>
        <v/>
      </c>
    </row>
    <row r="160" spans="1:26" ht="14.55" x14ac:dyDescent="0.3">
      <c r="A160">
        <v>12</v>
      </c>
      <c r="B160" s="235">
        <f>IFERROR(LARGE('São Leopoldo'!$I$55:$I$124,A160)," ")</f>
        <v>26400</v>
      </c>
      <c r="C160" t="str">
        <f>IFERROR(INDEX(
    'São Leopoldo'!$C$55:$C$124,
    MATCH(
        B160,
        'São Leopoldo'!$I$55:$I$124,
        0
    )
), " ")</f>
        <v>13- REDUZIR A QUANTIDADE DE MÁQUINAS DE SOLDA MIG/MAG LOCADAS</v>
      </c>
      <c r="D160" s="806">
        <f t="shared" si="55"/>
        <v>1.5814783201666679E-2</v>
      </c>
      <c r="E160" s="362">
        <f t="shared" si="57"/>
        <v>0.949650283026512</v>
      </c>
      <c r="F160" t="str">
        <f t="shared" si="56"/>
        <v>São leopoldo</v>
      </c>
      <c r="G160" t="str">
        <f>_xlfn.XLOOKUP(C160,'São Leopoldo'!$C$55:$C$124,'São Leopoldo'!$O$55:$O$124)</f>
        <v>⏳ Em Execução</v>
      </c>
      <c r="H160">
        <f>_xlfn.XLOOKUP(C160,'São Leopoldo'!$C$55:$C$124,'São Leopoldo'!$M$55:$M$124," ")</f>
        <v>0</v>
      </c>
      <c r="I160" s="803">
        <f>_xlfn.XLOOKUP(C160,'São Leopoldo'!$C$55:$C$124,'São Leopoldo'!$J$55:$J$124)</f>
        <v>46144</v>
      </c>
      <c r="J160" s="235">
        <f ca="1">INDEX('São Leopoldo'!$AP$55:$AP$124, MATCH(C160, 'São Leopoldo'!$C$55:$C$124, 0))</f>
        <v>3300</v>
      </c>
      <c r="K160" s="235" t="str" cm="1">
        <f t="array" aca="1" ref="K160" ca="1">INDEX('São Leopoldo'!$AP$55:$AP$124, MATCH(C160, 'São Leopoldo'!$C$55:$C$124, 0)+1)</f>
        <v/>
      </c>
      <c r="L160" s="235">
        <f>INDEX('São Leopoldo'!$AH$55:$AH$124, MATCH(C160, 'São Leopoldo'!$C$55:$C$124, 0))</f>
        <v>9900</v>
      </c>
      <c r="M160" s="235"/>
      <c r="N160" s="235"/>
      <c r="O160" s="235"/>
      <c r="P160" s="235"/>
      <c r="Q160">
        <v>157</v>
      </c>
      <c r="R160" s="275">
        <f t="shared" si="51"/>
        <v>2500</v>
      </c>
      <c r="S160" t="str">
        <f t="shared" si="46"/>
        <v>33- Rollout impressora Administrativo</v>
      </c>
      <c r="T160" t="str">
        <f t="shared" si="47"/>
        <v>Jarinu</v>
      </c>
      <c r="U160" s="275">
        <f t="shared" si="52"/>
        <v>0</v>
      </c>
      <c r="V160" s="235" t="str">
        <f t="shared" ca="1" si="53"/>
        <v/>
      </c>
      <c r="W160" s="235" t="str">
        <f t="shared" ca="1" si="54"/>
        <v/>
      </c>
      <c r="X160" t="str">
        <f t="shared" si="48"/>
        <v>⏳ Em Execução</v>
      </c>
      <c r="Y160" s="803">
        <f t="shared" si="49"/>
        <v>0</v>
      </c>
      <c r="Z160" t="str">
        <f t="shared" si="50"/>
        <v/>
      </c>
    </row>
    <row r="161" spans="1:26" ht="14.55" x14ac:dyDescent="0.3">
      <c r="A161">
        <v>13</v>
      </c>
      <c r="B161" s="235">
        <f>IFERROR(LARGE('São Leopoldo'!$I$55:$I$124,A161)," ")</f>
        <v>24000</v>
      </c>
      <c r="C161" t="str">
        <f>IFERROR(INDEX(
    'São Leopoldo'!$C$55:$C$124,
    MATCH(
        B161,
        'São Leopoldo'!$I$55:$I$124,
        0
    )
), " ")</f>
        <v>10 - Vazamentos de Ar Comprimido</v>
      </c>
      <c r="D161" s="806">
        <f t="shared" si="55"/>
        <v>1.4377075637878798E-2</v>
      </c>
      <c r="E161" s="362">
        <f t="shared" si="57"/>
        <v>0.96402735866439082</v>
      </c>
      <c r="F161" t="str">
        <f t="shared" si="56"/>
        <v>São leopoldo</v>
      </c>
      <c r="G161" t="str">
        <f>_xlfn.XLOOKUP(C161,'São Leopoldo'!$C$55:$C$124,'São Leopoldo'!$O$55:$O$124)</f>
        <v>⏳ Em Execução</v>
      </c>
      <c r="H161">
        <f>_xlfn.XLOOKUP(C161,'São Leopoldo'!$C$55:$C$124,'São Leopoldo'!$M$55:$M$124," ")</f>
        <v>0</v>
      </c>
      <c r="I161" s="803">
        <f>_xlfn.XLOOKUP(C161,'São Leopoldo'!$C$55:$C$124,'São Leopoldo'!$J$55:$J$124)</f>
        <v>46204</v>
      </c>
      <c r="J161" s="235" t="str">
        <f ca="1">INDEX('São Leopoldo'!$AP$55:$AP$124, MATCH(C161, 'São Leopoldo'!$C$55:$C$124, 0))</f>
        <v/>
      </c>
      <c r="K161" s="235" t="str" cm="1">
        <f t="array" aca="1" ref="K161" ca="1">INDEX('São Leopoldo'!$AP$55:$AP$124, MATCH(C161, 'São Leopoldo'!$C$55:$C$124, 0)+1)</f>
        <v/>
      </c>
      <c r="L161" s="235">
        <f>INDEX('São Leopoldo'!$AH$55:$AH$124, MATCH(C161, 'São Leopoldo'!$C$55:$C$124, 0))</f>
        <v>12000</v>
      </c>
      <c r="M161" s="235"/>
      <c r="N161" s="235"/>
      <c r="O161" s="235"/>
      <c r="P161" s="235"/>
      <c r="Q161">
        <v>158</v>
      </c>
      <c r="R161" s="275">
        <f t="shared" si="51"/>
        <v>2000</v>
      </c>
      <c r="S161" t="str">
        <f t="shared" si="46"/>
        <v>37 - Redução de Peso Bruto do item MB003673LD</v>
      </c>
      <c r="T161" t="str">
        <f t="shared" si="47"/>
        <v>Diadema</v>
      </c>
      <c r="U161" s="275">
        <f t="shared" si="52"/>
        <v>2241.91</v>
      </c>
      <c r="V161" s="235">
        <f t="shared" ca="1" si="53"/>
        <v>672.57299999999987</v>
      </c>
      <c r="W161" s="235">
        <f t="shared" si="54"/>
        <v>0</v>
      </c>
      <c r="X161" t="str">
        <f t="shared" si="48"/>
        <v>✓ Concluído</v>
      </c>
      <c r="Y161" s="803">
        <f t="shared" si="49"/>
        <v>46082</v>
      </c>
      <c r="Z161" t="str">
        <f t="shared" si="50"/>
        <v>OK</v>
      </c>
    </row>
    <row r="162" spans="1:26" ht="14.55" x14ac:dyDescent="0.3">
      <c r="A162">
        <v>14</v>
      </c>
      <c r="B162" s="235">
        <f>IFERROR(LARGE('São Leopoldo'!$I$55:$I$124,A162)," ")</f>
        <v>22050</v>
      </c>
      <c r="C162" t="str">
        <f>IFERROR(INDEX(
    'São Leopoldo'!$C$55:$C$124,
    MATCH(
        B162,
        'São Leopoldo'!$I$55:$I$124,
        0
    )
), " ")</f>
        <v>11- Substituíção de Empilhadeiras GPL.</v>
      </c>
      <c r="D162" s="806">
        <f t="shared" si="55"/>
        <v>1.3208938242301146E-2</v>
      </c>
      <c r="E162" s="362">
        <f t="shared" si="57"/>
        <v>0.977236296906692</v>
      </c>
      <c r="F162" t="str">
        <f t="shared" si="56"/>
        <v>São leopoldo</v>
      </c>
      <c r="G162" t="str">
        <f>_xlfn.XLOOKUP(C162,'São Leopoldo'!$C$55:$C$124,'São Leopoldo'!$O$55:$O$124)</f>
        <v>⏳ Em Execução</v>
      </c>
      <c r="H162">
        <f>_xlfn.XLOOKUP(C162,'São Leopoldo'!$C$55:$C$124,'São Leopoldo'!$M$55:$M$124," ")</f>
        <v>0</v>
      </c>
      <c r="I162" s="803">
        <f>_xlfn.XLOOKUP(C162,'São Leopoldo'!$C$55:$C$124,'São Leopoldo'!$J$55:$J$124)</f>
        <v>0</v>
      </c>
      <c r="J162" s="235" t="str">
        <f ca="1">INDEX('São Leopoldo'!$AP$55:$AP$124, MATCH(C162, 'São Leopoldo'!$C$55:$C$124, 0))</f>
        <v/>
      </c>
      <c r="K162" s="235" t="str" cm="1">
        <f t="array" aca="1" ref="K162" ca="1">INDEX('São Leopoldo'!$AP$55:$AP$124, MATCH(C162, 'São Leopoldo'!$C$55:$C$124, 0)+1)</f>
        <v/>
      </c>
      <c r="L162" s="235">
        <f>INDEX('São Leopoldo'!$AH$55:$AH$124, MATCH(C162, 'São Leopoldo'!$C$55:$C$124, 0))</f>
        <v>0</v>
      </c>
      <c r="M162" s="235"/>
      <c r="N162" s="235"/>
      <c r="O162" s="235"/>
      <c r="P162" s="235"/>
      <c r="Q162">
        <v>159</v>
      </c>
      <c r="R162" s="275">
        <f t="shared" si="51"/>
        <v>1890</v>
      </c>
      <c r="S162" t="str">
        <f t="shared" si="46"/>
        <v>13 - Redução de Componente - 4065 de 6 para 4</v>
      </c>
      <c r="T162" t="str">
        <f t="shared" si="47"/>
        <v>Diadema</v>
      </c>
      <c r="U162" s="275">
        <f t="shared" si="52"/>
        <v>1962.46</v>
      </c>
      <c r="V162" s="235">
        <f t="shared" ca="1" si="53"/>
        <v>436.10222222222222</v>
      </c>
      <c r="W162" s="235">
        <f t="shared" si="54"/>
        <v>0</v>
      </c>
      <c r="X162" t="str">
        <f t="shared" si="48"/>
        <v>⏳ Em Execução</v>
      </c>
      <c r="Y162" s="803">
        <f t="shared" si="49"/>
        <v>46113</v>
      </c>
      <c r="Z162" t="str">
        <f t="shared" si="50"/>
        <v>OK</v>
      </c>
    </row>
    <row r="163" spans="1:26" ht="14.55" x14ac:dyDescent="0.3">
      <c r="A163">
        <v>15</v>
      </c>
      <c r="B163" s="235">
        <f>IFERROR(LARGE('São Leopoldo'!$I$55:$I$124,A163)," ")</f>
        <v>20000</v>
      </c>
      <c r="C163" t="str">
        <f>IFERROR(INDEX(
    'São Leopoldo'!$C$55:$C$124,
    MATCH(
        B163,
        'São Leopoldo'!$I$55:$I$124,
        0
    )
), " ")</f>
        <v>04 - Aluguel de corte plasma</v>
      </c>
      <c r="D163" s="806">
        <f t="shared" si="55"/>
        <v>1.1980896364898998E-2</v>
      </c>
      <c r="E163" s="362">
        <f t="shared" si="57"/>
        <v>0.98921719327159097</v>
      </c>
      <c r="F163" t="str">
        <f t="shared" si="56"/>
        <v>São leopoldo</v>
      </c>
      <c r="G163" t="str">
        <f>_xlfn.XLOOKUP(C163,'São Leopoldo'!$C$55:$C$124,'São Leopoldo'!$O$55:$O$124)</f>
        <v>⏳ Em Execução</v>
      </c>
      <c r="H163">
        <f>_xlfn.XLOOKUP(C163,'São Leopoldo'!$C$55:$C$124,'São Leopoldo'!$M$55:$M$124," ")</f>
        <v>0</v>
      </c>
      <c r="I163" s="803">
        <f>_xlfn.XLOOKUP(C163,'São Leopoldo'!$C$55:$C$124,'São Leopoldo'!$J$55:$J$124)</f>
        <v>46143</v>
      </c>
      <c r="J163" s="235">
        <f ca="1">INDEX('São Leopoldo'!$AP$55:$AP$124, MATCH(C163, 'São Leopoldo'!$C$55:$C$124, 0))</f>
        <v>2500</v>
      </c>
      <c r="K163" s="235" t="str" cm="1">
        <f t="array" aca="1" ref="K163" ca="1">INDEX('São Leopoldo'!$AP$55:$AP$124, MATCH(C163, 'São Leopoldo'!$C$55:$C$124, 0)+1)</f>
        <v/>
      </c>
      <c r="L163" s="235">
        <f>INDEX('São Leopoldo'!$AH$55:$AH$124, MATCH(C163, 'São Leopoldo'!$C$55:$C$124, 0))</f>
        <v>7500</v>
      </c>
      <c r="M163" s="235"/>
      <c r="N163" s="235"/>
      <c r="O163" s="235"/>
      <c r="P163" s="235"/>
      <c r="Q163">
        <v>160</v>
      </c>
      <c r="R163" s="275">
        <f t="shared" si="51"/>
        <v>1800</v>
      </c>
      <c r="S163" t="str">
        <f t="shared" si="46"/>
        <v>39 - Redução de Peso Bruto do item VB000323LA</v>
      </c>
      <c r="T163" t="str">
        <f t="shared" si="47"/>
        <v>Diadema</v>
      </c>
      <c r="U163" s="275">
        <f t="shared" si="52"/>
        <v>1584.8700000000001</v>
      </c>
      <c r="V163" s="235">
        <f t="shared" ca="1" si="53"/>
        <v>475.46100000000001</v>
      </c>
      <c r="W163" s="235">
        <f t="shared" si="54"/>
        <v>0</v>
      </c>
      <c r="X163" t="str">
        <f t="shared" si="48"/>
        <v>✓ Concluído</v>
      </c>
      <c r="Y163" s="803">
        <f t="shared" si="49"/>
        <v>46082</v>
      </c>
      <c r="Z163" t="str">
        <f t="shared" si="50"/>
        <v>OK</v>
      </c>
    </row>
    <row r="164" spans="1:26" ht="14.55" x14ac:dyDescent="0.3">
      <c r="A164">
        <v>16</v>
      </c>
      <c r="B164" s="235">
        <f>IFERROR(LARGE('São Leopoldo'!$I$55:$I$124,A164)," ")</f>
        <v>18000</v>
      </c>
      <c r="C164" t="str">
        <f>IFERROR(INDEX(
    'São Leopoldo'!$C$55:$C$124,
    MATCH(
        B164,
        'São Leopoldo'!$I$55:$I$124,
        0
    )
), " ")</f>
        <v>14-Adicionar serviços de portaria e limpeza em um único prestador terceirizado com serviços gerais.</v>
      </c>
      <c r="D164" s="806">
        <f t="shared" si="55"/>
        <v>1.0782806728409098E-2</v>
      </c>
      <c r="E164" s="362">
        <f t="shared" si="57"/>
        <v>1</v>
      </c>
      <c r="F164" t="str">
        <f t="shared" si="56"/>
        <v>São leopoldo</v>
      </c>
      <c r="G164" t="str">
        <f>_xlfn.XLOOKUP(C164,'São Leopoldo'!$C$55:$C$124,'São Leopoldo'!$O$55:$O$124)</f>
        <v>⏳ Em Execução</v>
      </c>
      <c r="H164">
        <f>_xlfn.XLOOKUP(C164,'São Leopoldo'!$C$55:$C$124,'São Leopoldo'!$M$55:$M$124," ")</f>
        <v>0</v>
      </c>
      <c r="I164" s="803">
        <f>_xlfn.XLOOKUP(C164,'São Leopoldo'!$C$55:$C$124,'São Leopoldo'!$J$55:$J$124)</f>
        <v>46143</v>
      </c>
      <c r="J164" s="235">
        <f ca="1">INDEX('São Leopoldo'!$AP$55:$AP$124, MATCH(C164, 'São Leopoldo'!$C$55:$C$124, 0))</f>
        <v>1500</v>
      </c>
      <c r="K164" s="235" t="str" cm="1">
        <f t="array" aca="1" ref="K164" ca="1">INDEX('São Leopoldo'!$AP$55:$AP$124, MATCH(C164, 'São Leopoldo'!$C$55:$C$124, 0)+1)</f>
        <v/>
      </c>
      <c r="L164" s="235">
        <f>INDEX('São Leopoldo'!$AH$55:$AH$124, MATCH(C164, 'São Leopoldo'!$C$55:$C$124, 0))</f>
        <v>4500</v>
      </c>
      <c r="M164" s="235"/>
      <c r="N164" s="235"/>
      <c r="O164" s="235"/>
      <c r="P164" s="235"/>
      <c r="Q164">
        <v>161</v>
      </c>
      <c r="R164" s="275">
        <f t="shared" si="51"/>
        <v>1224</v>
      </c>
      <c r="S164" t="str">
        <f t="shared" ref="S164:S195" si="58">_xlfn.XLOOKUP(R164,B:B,C:C)</f>
        <v>31 - Redução impressora Backup</v>
      </c>
      <c r="T164" t="str">
        <f t="shared" ref="T164:T195" si="59">_xlfn.XLOOKUP(S164,C:C,F:F)</f>
        <v>Jarinu</v>
      </c>
      <c r="U164" s="275">
        <f t="shared" si="52"/>
        <v>306</v>
      </c>
      <c r="V164" s="235">
        <f t="shared" ca="1" si="53"/>
        <v>204</v>
      </c>
      <c r="W164" s="235">
        <f t="shared" ca="1" si="54"/>
        <v>204</v>
      </c>
      <c r="X164" t="str">
        <f t="shared" ref="X164:X198" si="60">_xlfn.XLOOKUP(S164,C:C,G:G)</f>
        <v>⏳ Em Execução</v>
      </c>
      <c r="Y164" s="803">
        <f t="shared" ref="Y164:Y195" si="61">_xlfn.XLOOKUP(S164,C:C,I:I)</f>
        <v>46113</v>
      </c>
      <c r="Z164" t="str">
        <f t="shared" ref="Z164:Z198" si="62">IF(_xlfn.XLOOKUP(S164,C:C,H:H) = 0, "", _xlfn.XLOOKUP(S164,C:C,H:H))</f>
        <v>OK</v>
      </c>
    </row>
    <row r="165" spans="1:26" ht="14.55" x14ac:dyDescent="0.3">
      <c r="A165">
        <v>17</v>
      </c>
      <c r="B165" s="235"/>
      <c r="C165" t="str">
        <f>IFERROR(INDEX(
    'São Leopoldo'!$C$55:$C$124,
    MATCH(
        B165,
        'São Leopoldo'!$I$55:$I$124,
        0
    )
), " ")</f>
        <v xml:space="preserve"> </v>
      </c>
      <c r="D165" s="806">
        <f t="shared" si="55"/>
        <v>0</v>
      </c>
      <c r="E165" s="362">
        <f t="shared" si="57"/>
        <v>1</v>
      </c>
      <c r="F165" t="str">
        <f t="shared" si="56"/>
        <v>São leopoldo</v>
      </c>
      <c r="G165" t="e">
        <f>_xlfn.XLOOKUP(C165,'São Leopoldo'!$C$55:$C$124,'São Leopoldo'!$O$55:$O$124)</f>
        <v>#N/A</v>
      </c>
      <c r="H165" t="str">
        <f>_xlfn.XLOOKUP(C165,'São Leopoldo'!$C$55:$C$124,'São Leopoldo'!$M$55:$M$124," ")</f>
        <v xml:space="preserve"> </v>
      </c>
      <c r="I165" s="803" t="e">
        <f>_xlfn.XLOOKUP(C165,'São Leopoldo'!$C$55:$C$124,'São Leopoldo'!$J$55:$J$124)</f>
        <v>#N/A</v>
      </c>
      <c r="J165" s="235" t="e">
        <f>INDEX('São Leopoldo'!$AP$55:$AP$124, MATCH(C165, 'São Leopoldo'!$C$55:$C$124, 0))</f>
        <v>#N/A</v>
      </c>
      <c r="K165" s="235" t="e" cm="1">
        <f t="array" ref="K165">INDEX('São Leopoldo'!$AP$55:$AP$124, MATCH(C165, 'São Leopoldo'!$C$55:$C$124, 0)+1)</f>
        <v>#N/A</v>
      </c>
      <c r="L165" s="235" t="e">
        <f>INDEX('São Leopoldo'!$AH$55:$AH$124, MATCH(C165, 'São Leopoldo'!$C$55:$C$124, 0))</f>
        <v>#N/A</v>
      </c>
      <c r="M165" s="235"/>
      <c r="N165" s="235"/>
      <c r="O165" s="235"/>
      <c r="P165" s="235"/>
      <c r="Q165">
        <v>162</v>
      </c>
      <c r="R165" s="275">
        <f t="shared" ref="R165:R211" si="63">IFERROR(LARGE(B:B,Q165)," ")</f>
        <v>1200</v>
      </c>
      <c r="S165" t="str">
        <f t="shared" si="58"/>
        <v>40 - Redução de Peso Bruto do item VW001138LA</v>
      </c>
      <c r="T165" t="str">
        <f t="shared" si="59"/>
        <v>Diadema</v>
      </c>
      <c r="U165" s="275">
        <f t="shared" si="52"/>
        <v>1896.5199999999998</v>
      </c>
      <c r="V165" s="235">
        <f t="shared" ref="V165:V198" ca="1" si="64">IFERROR(_xlfn.XLOOKUP(S165,C:C,J:J), "")</f>
        <v>568.9559999999999</v>
      </c>
      <c r="W165" s="235">
        <f t="shared" ref="W165:W198" si="65">IFERROR(_xlfn.XLOOKUP(S165,C:C,K:K), "")</f>
        <v>0</v>
      </c>
      <c r="X165" t="str">
        <f t="shared" si="60"/>
        <v>✓ Concluído</v>
      </c>
      <c r="Y165" s="803">
        <f t="shared" si="61"/>
        <v>46082</v>
      </c>
      <c r="Z165" t="str">
        <f t="shared" si="62"/>
        <v>OK</v>
      </c>
    </row>
    <row r="166" spans="1:26" ht="14.55" x14ac:dyDescent="0.3">
      <c r="A166">
        <v>18</v>
      </c>
      <c r="B166" s="235" t="str">
        <f>IFERROR(LARGE('São Leopoldo'!$I$55:$I$124,A166)," ")</f>
        <v xml:space="preserve"> </v>
      </c>
      <c r="C166" t="str">
        <f>IFERROR(INDEX(
    'São Leopoldo'!$C$55:$C$124,
    MATCH(
        B166,
        'São Leopoldo'!$I$55:$I$124,
        0
    )
), " ")</f>
        <v xml:space="preserve"> </v>
      </c>
      <c r="D166" s="806" t="str">
        <f t="shared" si="55"/>
        <v xml:space="preserve"> </v>
      </c>
      <c r="E166" s="362" t="str">
        <f t="shared" si="57"/>
        <v xml:space="preserve"> </v>
      </c>
      <c r="F166" t="str">
        <f t="shared" si="56"/>
        <v>São leopoldo</v>
      </c>
      <c r="G166" t="e">
        <f>_xlfn.XLOOKUP(C166,'São Leopoldo'!$C$55:$C$124,'São Leopoldo'!$O$55:$O$124)</f>
        <v>#N/A</v>
      </c>
      <c r="H166" t="str">
        <f>_xlfn.XLOOKUP(C166,'São Leopoldo'!$C$55:$C$124,'São Leopoldo'!$M$55:$M$124," ")</f>
        <v xml:space="preserve"> </v>
      </c>
      <c r="I166" s="803" t="e">
        <f>_xlfn.XLOOKUP(C166,'São Leopoldo'!$C$55:$C$124,'São Leopoldo'!$J$55:$J$124)</f>
        <v>#N/A</v>
      </c>
      <c r="J166" s="235" t="e">
        <f>INDEX('São Leopoldo'!$AP$55:$AP$124, MATCH(C166, 'São Leopoldo'!$C$55:$C$124, 0))</f>
        <v>#N/A</v>
      </c>
      <c r="K166" s="235" t="e" cm="1">
        <f t="array" ref="K166">INDEX('São Leopoldo'!$AP$55:$AP$124, MATCH(C166, 'São Leopoldo'!$C$55:$C$124, 0)+1)</f>
        <v>#N/A</v>
      </c>
      <c r="L166" s="235" t="e">
        <f>INDEX('São Leopoldo'!$AH$55:$AH$124, MATCH(C166, 'São Leopoldo'!$C$55:$C$124, 0))</f>
        <v>#N/A</v>
      </c>
      <c r="M166" s="235"/>
      <c r="N166" s="235"/>
      <c r="O166" s="235"/>
      <c r="P166" s="235"/>
      <c r="Q166">
        <v>163</v>
      </c>
      <c r="R166" s="275">
        <f t="shared" si="63"/>
        <v>630.00015099999996</v>
      </c>
      <c r="S166" t="str">
        <f t="shared" si="58"/>
        <v>32 - Redução de Peso Bruto do item MB003594LA</v>
      </c>
      <c r="T166" t="str">
        <f t="shared" si="59"/>
        <v>Diadema</v>
      </c>
      <c r="U166" s="275">
        <f t="shared" si="52"/>
        <v>525.25</v>
      </c>
      <c r="V166" s="235">
        <f t="shared" ca="1" si="64"/>
        <v>157.57499999999999</v>
      </c>
      <c r="W166" s="235">
        <f t="shared" si="65"/>
        <v>0</v>
      </c>
      <c r="X166" t="str">
        <f t="shared" si="60"/>
        <v>✓ Concluído</v>
      </c>
      <c r="Y166" s="803">
        <f t="shared" si="61"/>
        <v>46082</v>
      </c>
      <c r="Z166" t="str">
        <f t="shared" si="62"/>
        <v>OK</v>
      </c>
    </row>
    <row r="167" spans="1:26" ht="14.55" x14ac:dyDescent="0.3">
      <c r="A167">
        <v>19</v>
      </c>
      <c r="B167" s="235" t="str">
        <f>IFERROR(LARGE('São Leopoldo'!$I$55:$I$124,A167)," ")</f>
        <v xml:space="preserve"> </v>
      </c>
      <c r="C167" t="str">
        <f>IFERROR(INDEX(
    'São Leopoldo'!$C$55:$C$124,
    MATCH(
        B167,
        'São Leopoldo'!$I$55:$I$124,
        0
    )
), " ")</f>
        <v xml:space="preserve"> </v>
      </c>
      <c r="D167" s="806" t="str">
        <f t="shared" si="55"/>
        <v xml:space="preserve"> </v>
      </c>
      <c r="E167" s="362" t="str">
        <f t="shared" si="57"/>
        <v xml:space="preserve"> </v>
      </c>
      <c r="F167" t="str">
        <f t="shared" si="56"/>
        <v>São leopoldo</v>
      </c>
      <c r="G167" t="e">
        <f>_xlfn.XLOOKUP(C167,'São Leopoldo'!$C$55:$C$124,'São Leopoldo'!$O$55:$O$124)</f>
        <v>#N/A</v>
      </c>
      <c r="H167" t="str">
        <f>_xlfn.XLOOKUP(C167,'São Leopoldo'!$C$55:$C$124,'São Leopoldo'!$M$55:$M$124," ")</f>
        <v xml:space="preserve"> </v>
      </c>
      <c r="I167" s="803" t="e">
        <f>_xlfn.XLOOKUP(C167,'São Leopoldo'!$C$55:$C$124,'São Leopoldo'!$J$55:$J$124)</f>
        <v>#N/A</v>
      </c>
      <c r="J167" s="235" t="e">
        <f>INDEX('São Leopoldo'!$AP$55:$AP$124, MATCH(C167, 'São Leopoldo'!$C$55:$C$124, 0))</f>
        <v>#N/A</v>
      </c>
      <c r="K167" s="235" t="e" cm="1">
        <f t="array" ref="K167">INDEX('São Leopoldo'!$AP$55:$AP$124, MATCH(C167, 'São Leopoldo'!$C$55:$C$124, 0)+1)</f>
        <v>#N/A</v>
      </c>
      <c r="L167" s="235" t="e">
        <f>INDEX('São Leopoldo'!$AH$55:$AH$124, MATCH(C167, 'São Leopoldo'!$C$55:$C$124, 0))</f>
        <v>#N/A</v>
      </c>
      <c r="M167" s="235"/>
      <c r="N167" s="235"/>
      <c r="O167" s="235"/>
      <c r="P167" s="235"/>
      <c r="Q167">
        <v>164</v>
      </c>
      <c r="R167" s="275">
        <f t="shared" si="63"/>
        <v>630</v>
      </c>
      <c r="S167" t="str">
        <f t="shared" si="58"/>
        <v>36 - Redução de Peso Bruto do item MB003673LA</v>
      </c>
      <c r="T167" t="str">
        <f t="shared" si="59"/>
        <v>Diadema</v>
      </c>
      <c r="U167" s="275">
        <f t="shared" si="52"/>
        <v>635.70000000000005</v>
      </c>
      <c r="V167" s="235">
        <f t="shared" ca="1" si="64"/>
        <v>190.71000000000004</v>
      </c>
      <c r="W167" s="235">
        <f t="shared" si="65"/>
        <v>0</v>
      </c>
      <c r="X167" t="str">
        <f t="shared" si="60"/>
        <v>✓ Concluído</v>
      </c>
      <c r="Y167" s="803">
        <f t="shared" si="61"/>
        <v>46082</v>
      </c>
      <c r="Z167" t="str">
        <f t="shared" si="62"/>
        <v>OK</v>
      </c>
    </row>
    <row r="168" spans="1:26" ht="14.55" x14ac:dyDescent="0.3">
      <c r="A168">
        <v>20</v>
      </c>
      <c r="B168" s="235" t="str">
        <f>IFERROR(LARGE('São Leopoldo'!$I$55:$I$124,A168)," ")</f>
        <v xml:space="preserve"> </v>
      </c>
      <c r="C168" t="str">
        <f>IFERROR(INDEX(
    'São Leopoldo'!$C$55:$C$124,
    MATCH(
        B168,
        'São Leopoldo'!$I$55:$I$124,
        0
    )
), " ")</f>
        <v xml:space="preserve"> </v>
      </c>
      <c r="D168" s="806" t="str">
        <f t="shared" si="55"/>
        <v xml:space="preserve"> </v>
      </c>
      <c r="E168" s="362" t="str">
        <f t="shared" si="57"/>
        <v xml:space="preserve"> </v>
      </c>
      <c r="F168" t="str">
        <f t="shared" si="56"/>
        <v>São leopoldo</v>
      </c>
      <c r="G168" t="e">
        <f>_xlfn.XLOOKUP(C168,'São Leopoldo'!$C$55:$C$124,'São Leopoldo'!$O$55:$O$124)</f>
        <v>#N/A</v>
      </c>
      <c r="H168" t="str">
        <f>_xlfn.XLOOKUP(C168,'São Leopoldo'!$C$55:$C$124,'São Leopoldo'!$M$55:$M$124," ")</f>
        <v xml:space="preserve"> </v>
      </c>
      <c r="I168" s="803" t="e">
        <f>_xlfn.XLOOKUP(C168,'São Leopoldo'!$C$55:$C$124,'São Leopoldo'!$J$55:$J$124)</f>
        <v>#N/A</v>
      </c>
      <c r="J168" s="235" t="e">
        <f>INDEX('São Leopoldo'!$AP$55:$AP$124, MATCH(C168, 'São Leopoldo'!$C$55:$C$124, 0))</f>
        <v>#N/A</v>
      </c>
      <c r="K168" s="235" t="e" cm="1">
        <f t="array" ref="K168">INDEX('São Leopoldo'!$AP$55:$AP$124, MATCH(C168, 'São Leopoldo'!$C$55:$C$124, 0)+1)</f>
        <v>#N/A</v>
      </c>
      <c r="L168" s="235" t="e">
        <f>INDEX('São Leopoldo'!$AH$55:$AH$124, MATCH(C168, 'São Leopoldo'!$C$55:$C$124, 0))</f>
        <v>#N/A</v>
      </c>
      <c r="M168" s="235"/>
      <c r="N168" s="235"/>
      <c r="O168" s="235"/>
      <c r="P168" s="235"/>
      <c r="Q168">
        <v>165</v>
      </c>
      <c r="R168" s="275">
        <f t="shared" si="63"/>
        <v>1.5355000000000001</v>
      </c>
      <c r="S168" t="str">
        <f t="shared" si="58"/>
        <v>11 - Resourcing de DSL para DD</v>
      </c>
      <c r="T168" t="str">
        <f t="shared" si="59"/>
        <v>Diadema</v>
      </c>
      <c r="U168" s="275">
        <f t="shared" si="52"/>
        <v>0</v>
      </c>
      <c r="V168" s="235" t="str">
        <f t="shared" ca="1" si="64"/>
        <v/>
      </c>
      <c r="W168" s="235">
        <f t="shared" si="65"/>
        <v>0</v>
      </c>
      <c r="X168" t="str">
        <f t="shared" si="60"/>
        <v>📝 Não iniciado</v>
      </c>
      <c r="Y168" s="803" t="str">
        <f t="shared" si="61"/>
        <v/>
      </c>
      <c r="Z168" t="str">
        <f t="shared" si="62"/>
        <v/>
      </c>
    </row>
    <row r="169" spans="1:26" ht="14.55" x14ac:dyDescent="0.3">
      <c r="A169">
        <v>21</v>
      </c>
      <c r="B169" s="235" t="str">
        <f>IFERROR(LARGE('São Leopoldo'!$I$55:$I$124,A169)," ")</f>
        <v xml:space="preserve"> </v>
      </c>
      <c r="C169" t="str">
        <f>IFERROR(INDEX(
    'São Leopoldo'!$C$55:$C$124,
    MATCH(
        B169,
        'São Leopoldo'!$I$55:$I$124,
        0
    )
), " ")</f>
        <v xml:space="preserve"> </v>
      </c>
      <c r="D169" s="806" t="str">
        <f t="shared" si="55"/>
        <v xml:space="preserve"> </v>
      </c>
      <c r="E169" s="362" t="str">
        <f t="shared" si="57"/>
        <v xml:space="preserve"> </v>
      </c>
      <c r="F169" t="str">
        <f t="shared" si="56"/>
        <v>São leopoldo</v>
      </c>
      <c r="G169" t="e">
        <f>_xlfn.XLOOKUP(C169,'São Leopoldo'!$C$55:$C$124,'São Leopoldo'!$O$55:$O$124)</f>
        <v>#N/A</v>
      </c>
      <c r="H169" t="str">
        <f>_xlfn.XLOOKUP(C169,'São Leopoldo'!$C$55:$C$124,'São Leopoldo'!$M$55:$M$124," ")</f>
        <v xml:space="preserve"> </v>
      </c>
      <c r="I169" s="803" t="e">
        <f>_xlfn.XLOOKUP(C169,'São Leopoldo'!$C$55:$C$124,'São Leopoldo'!$J$55:$J$124)</f>
        <v>#N/A</v>
      </c>
      <c r="J169" s="235" t="e">
        <f>INDEX('São Leopoldo'!$AP$55:$AP$124, MATCH(C169, 'São Leopoldo'!$C$55:$C$124, 0))</f>
        <v>#N/A</v>
      </c>
      <c r="K169" s="235" t="e" cm="1">
        <f t="array" ref="K169">INDEX('São Leopoldo'!$AP$55:$AP$124, MATCH(C169, 'São Leopoldo'!$C$55:$C$124, 0)+1)</f>
        <v>#N/A</v>
      </c>
      <c r="L169" s="235" t="e">
        <f>INDEX('São Leopoldo'!$AH$55:$AH$124, MATCH(C169, 'São Leopoldo'!$C$55:$C$124, 0))</f>
        <v>#N/A</v>
      </c>
      <c r="M169" s="235"/>
      <c r="N169" s="235"/>
      <c r="O169" s="235"/>
      <c r="P169" s="235"/>
      <c r="Q169">
        <v>166</v>
      </c>
      <c r="R169" s="275">
        <f t="shared" si="63"/>
        <v>0</v>
      </c>
      <c r="S169" t="str">
        <f t="shared" si="58"/>
        <v>Conseguir Ex tarifário Ferramentas Saga</v>
      </c>
      <c r="T169" t="str">
        <f t="shared" si="59"/>
        <v>Compras</v>
      </c>
      <c r="U169" s="275">
        <f t="shared" si="52"/>
        <v>0</v>
      </c>
      <c r="V169" s="235" t="str">
        <f t="shared" ca="1" si="64"/>
        <v/>
      </c>
      <c r="W169" s="235" t="str">
        <f t="shared" ca="1" si="65"/>
        <v/>
      </c>
      <c r="X169" t="str">
        <f t="shared" si="60"/>
        <v>⏳ Em Execução</v>
      </c>
      <c r="Y169" s="803">
        <f t="shared" si="61"/>
        <v>46296</v>
      </c>
      <c r="Z169" t="str">
        <f t="shared" si="62"/>
        <v/>
      </c>
    </row>
    <row r="170" spans="1:26" ht="14.55" x14ac:dyDescent="0.3">
      <c r="A170">
        <v>22</v>
      </c>
      <c r="B170" s="235" t="str">
        <f>IFERROR(LARGE('São Leopoldo'!$I$55:$I$124,A170)," ")</f>
        <v xml:space="preserve"> </v>
      </c>
      <c r="C170" t="str">
        <f>IFERROR(INDEX(
    'São Leopoldo'!$C$55:$C$124,
    MATCH(
        B170,
        'São Leopoldo'!$I$55:$I$124,
        0
    )
), " ")</f>
        <v xml:space="preserve"> </v>
      </c>
      <c r="D170" s="806" t="str">
        <f t="shared" si="55"/>
        <v xml:space="preserve"> </v>
      </c>
      <c r="E170" s="362" t="str">
        <f t="shared" si="57"/>
        <v xml:space="preserve"> </v>
      </c>
      <c r="F170" t="str">
        <f t="shared" si="56"/>
        <v>São leopoldo</v>
      </c>
      <c r="G170" t="e">
        <f>_xlfn.XLOOKUP(C170,'São Leopoldo'!$C$55:$C$124,'São Leopoldo'!$O$55:$O$124)</f>
        <v>#N/A</v>
      </c>
      <c r="H170" t="str">
        <f>_xlfn.XLOOKUP(C170,'São Leopoldo'!$C$55:$C$124,'São Leopoldo'!$M$55:$M$124," ")</f>
        <v xml:space="preserve"> </v>
      </c>
      <c r="I170" s="803" t="e">
        <f>_xlfn.XLOOKUP(C170,'São Leopoldo'!$C$55:$C$124,'São Leopoldo'!$J$55:$J$124)</f>
        <v>#N/A</v>
      </c>
      <c r="J170" s="235" t="e">
        <f>INDEX('São Leopoldo'!$AP$55:$AP$124, MATCH(C170, 'São Leopoldo'!$C$55:$C$124, 0))</f>
        <v>#N/A</v>
      </c>
      <c r="K170" s="235" t="e" cm="1">
        <f t="array" ref="K170">INDEX('São Leopoldo'!$AP$55:$AP$124, MATCH(C170, 'São Leopoldo'!$C$55:$C$124, 0)+1)</f>
        <v>#N/A</v>
      </c>
      <c r="L170" s="235" t="e">
        <f>INDEX('São Leopoldo'!$AH$55:$AH$124, MATCH(C170, 'São Leopoldo'!$C$55:$C$124, 0))</f>
        <v>#N/A</v>
      </c>
      <c r="M170" s="235"/>
      <c r="N170" s="235"/>
      <c r="O170" s="235"/>
      <c r="P170" s="235"/>
      <c r="Q170">
        <v>167</v>
      </c>
      <c r="R170" s="275">
        <f t="shared" si="63"/>
        <v>0</v>
      </c>
      <c r="S170" t="str">
        <f t="shared" si="58"/>
        <v>Conseguir Ex tarifário Ferramentas Saga</v>
      </c>
      <c r="T170" t="str">
        <f t="shared" si="59"/>
        <v>Compras</v>
      </c>
      <c r="U170" s="275">
        <f t="shared" si="52"/>
        <v>0</v>
      </c>
      <c r="V170" s="235" t="str">
        <f t="shared" ca="1" si="64"/>
        <v/>
      </c>
      <c r="W170" s="235" t="str">
        <f t="shared" ca="1" si="65"/>
        <v/>
      </c>
      <c r="X170" t="str">
        <f t="shared" si="60"/>
        <v>⏳ Em Execução</v>
      </c>
      <c r="Y170" s="803">
        <f t="shared" si="61"/>
        <v>46296</v>
      </c>
      <c r="Z170" t="str">
        <f t="shared" si="62"/>
        <v/>
      </c>
    </row>
    <row r="171" spans="1:26" ht="14.55" x14ac:dyDescent="0.3">
      <c r="A171">
        <v>23</v>
      </c>
      <c r="B171" s="235" t="str">
        <f>IFERROR(LARGE('São Leopoldo'!$I$55:$I$124,A171)," ")</f>
        <v xml:space="preserve"> </v>
      </c>
      <c r="C171" t="str">
        <f>IFERROR(INDEX(
    'São Leopoldo'!$C$55:$C$124,
    MATCH(
        B171,
        'São Leopoldo'!$I$55:$I$124,
        0
    )
), " ")</f>
        <v xml:space="preserve"> </v>
      </c>
      <c r="D171" s="806" t="str">
        <f t="shared" si="55"/>
        <v xml:space="preserve"> </v>
      </c>
      <c r="E171" s="362" t="str">
        <f t="shared" si="57"/>
        <v xml:space="preserve"> </v>
      </c>
      <c r="F171" t="str">
        <f t="shared" si="56"/>
        <v>São leopoldo</v>
      </c>
      <c r="G171" t="e">
        <f>_xlfn.XLOOKUP(C171,'São Leopoldo'!$C$55:$C$124,'São Leopoldo'!$O$55:$O$124)</f>
        <v>#N/A</v>
      </c>
      <c r="H171" t="str">
        <f>_xlfn.XLOOKUP(C171,'São Leopoldo'!$C$55:$C$124,'São Leopoldo'!$M$55:$M$124," ")</f>
        <v xml:space="preserve"> </v>
      </c>
      <c r="I171" s="803" t="e">
        <f>_xlfn.XLOOKUP(C171,'São Leopoldo'!$C$55:$C$124,'São Leopoldo'!$J$55:$J$124)</f>
        <v>#N/A</v>
      </c>
      <c r="J171" s="235" t="e">
        <f>INDEX('São Leopoldo'!$AP$55:$AP$124, MATCH(C171, 'São Leopoldo'!$C$55:$C$124, 0))</f>
        <v>#N/A</v>
      </c>
      <c r="K171" s="235" t="e" cm="1">
        <f t="array" ref="K171">INDEX('São Leopoldo'!$AP$55:$AP$124, MATCH(C171, 'São Leopoldo'!$C$55:$C$124, 0)+1)</f>
        <v>#N/A</v>
      </c>
      <c r="L171" s="235" t="e">
        <f>INDEX('São Leopoldo'!$AH$55:$AH$124, MATCH(C171, 'São Leopoldo'!$C$55:$C$124, 0))</f>
        <v>#N/A</v>
      </c>
      <c r="M171" s="235"/>
      <c r="N171" s="235"/>
      <c r="O171" s="235"/>
      <c r="P171" s="235"/>
      <c r="Q171">
        <v>168</v>
      </c>
      <c r="R171" s="275">
        <f t="shared" si="63"/>
        <v>0</v>
      </c>
      <c r="S171" t="str">
        <f t="shared" si="58"/>
        <v>Conseguir Ex tarifário Ferramentas Saga</v>
      </c>
      <c r="T171" t="str">
        <f t="shared" si="59"/>
        <v>Compras</v>
      </c>
      <c r="U171" s="275">
        <f t="shared" si="52"/>
        <v>0</v>
      </c>
      <c r="V171" s="235" t="str">
        <f t="shared" ca="1" si="64"/>
        <v/>
      </c>
      <c r="W171" s="235" t="str">
        <f t="shared" ca="1" si="65"/>
        <v/>
      </c>
      <c r="X171" t="str">
        <f t="shared" si="60"/>
        <v>⏳ Em Execução</v>
      </c>
      <c r="Y171" s="803">
        <f t="shared" si="61"/>
        <v>46296</v>
      </c>
      <c r="Z171" t="str">
        <f t="shared" si="62"/>
        <v/>
      </c>
    </row>
    <row r="172" spans="1:26" ht="14.55" x14ac:dyDescent="0.3">
      <c r="A172">
        <v>24</v>
      </c>
      <c r="B172" s="235" t="str">
        <f>IFERROR(LARGE('São Leopoldo'!$I$55:$I$124,A172)," ")</f>
        <v xml:space="preserve"> </v>
      </c>
      <c r="C172" t="str">
        <f>IFERROR(INDEX(
    'São Leopoldo'!$C$55:$C$124,
    MATCH(
        B172,
        'São Leopoldo'!$I$55:$I$124,
        0
    )
), " ")</f>
        <v xml:space="preserve"> </v>
      </c>
      <c r="D172" s="806" t="str">
        <f t="shared" si="55"/>
        <v xml:space="preserve"> </v>
      </c>
      <c r="E172" s="362" t="str">
        <f t="shared" si="57"/>
        <v xml:space="preserve"> </v>
      </c>
      <c r="F172" t="str">
        <f t="shared" si="56"/>
        <v>São leopoldo</v>
      </c>
      <c r="G172" t="e">
        <f>_xlfn.XLOOKUP(C172,'São Leopoldo'!$C$55:$C$124,'São Leopoldo'!$O$55:$O$124)</f>
        <v>#N/A</v>
      </c>
      <c r="H172" t="str">
        <f>_xlfn.XLOOKUP(C172,'São Leopoldo'!$C$55:$C$124,'São Leopoldo'!$M$55:$M$124," ")</f>
        <v xml:space="preserve"> </v>
      </c>
      <c r="I172" s="803" t="e">
        <f>_xlfn.XLOOKUP(C172,'São Leopoldo'!$C$55:$C$124,'São Leopoldo'!$J$55:$J$124)</f>
        <v>#N/A</v>
      </c>
      <c r="J172" s="235" t="e">
        <f>INDEX('São Leopoldo'!$AP$55:$AP$124, MATCH(C172, 'São Leopoldo'!$C$55:$C$124, 0))</f>
        <v>#N/A</v>
      </c>
      <c r="K172" s="235" t="e" cm="1">
        <f t="array" ref="K172">INDEX('São Leopoldo'!$AP$55:$AP$124, MATCH(C172, 'São Leopoldo'!$C$55:$C$124, 0)+1)</f>
        <v>#N/A</v>
      </c>
      <c r="L172" s="235" t="e">
        <f>INDEX('São Leopoldo'!$AH$55:$AH$124, MATCH(C172, 'São Leopoldo'!$C$55:$C$124, 0))</f>
        <v>#N/A</v>
      </c>
      <c r="M172" s="235"/>
      <c r="N172" s="235"/>
      <c r="O172" s="235"/>
      <c r="P172" s="235"/>
      <c r="Q172">
        <v>169</v>
      </c>
      <c r="R172" s="275" t="str">
        <f t="shared" si="63"/>
        <v xml:space="preserve"> </v>
      </c>
      <c r="S172" t="str">
        <f t="shared" si="58"/>
        <v/>
      </c>
      <c r="T172" t="str">
        <f t="shared" si="59"/>
        <v>Diadema</v>
      </c>
      <c r="U172" s="275">
        <f t="shared" si="52"/>
        <v>0</v>
      </c>
      <c r="V172" s="235" t="str">
        <f t="shared" si="64"/>
        <v/>
      </c>
      <c r="W172" s="235">
        <f t="shared" si="65"/>
        <v>0</v>
      </c>
      <c r="X172" t="e">
        <f t="shared" si="60"/>
        <v>#N/A</v>
      </c>
      <c r="Y172" s="803" t="e">
        <f t="shared" si="61"/>
        <v>#N/A</v>
      </c>
      <c r="Z172" t="str">
        <f t="shared" si="62"/>
        <v xml:space="preserve"> </v>
      </c>
    </row>
    <row r="173" spans="1:26" ht="14.55" x14ac:dyDescent="0.3">
      <c r="A173">
        <v>25</v>
      </c>
      <c r="B173" s="235" t="str">
        <f>IFERROR(LARGE('São Leopoldo'!$I$55:$I$124,A173)," ")</f>
        <v xml:space="preserve"> </v>
      </c>
      <c r="C173" t="str">
        <f>IFERROR(INDEX(
    'São Leopoldo'!$C$55:$C$124,
    MATCH(
        B173,
        'São Leopoldo'!$I$55:$I$124,
        0
    )
), " ")</f>
        <v xml:space="preserve"> </v>
      </c>
      <c r="D173" s="806" t="str">
        <f t="shared" si="55"/>
        <v xml:space="preserve"> </v>
      </c>
      <c r="E173" s="362" t="str">
        <f t="shared" si="57"/>
        <v xml:space="preserve"> </v>
      </c>
      <c r="F173" t="str">
        <f t="shared" si="56"/>
        <v>São leopoldo</v>
      </c>
      <c r="G173" t="e">
        <f>_xlfn.XLOOKUP(C173,'São Leopoldo'!$C$55:$C$124,'São Leopoldo'!$O$55:$O$124)</f>
        <v>#N/A</v>
      </c>
      <c r="H173" t="str">
        <f>_xlfn.XLOOKUP(C173,'São Leopoldo'!$C$55:$C$124,'São Leopoldo'!$M$55:$M$124," ")</f>
        <v xml:space="preserve"> </v>
      </c>
      <c r="I173" s="803" t="e">
        <f>_xlfn.XLOOKUP(C173,'São Leopoldo'!$C$55:$C$124,'São Leopoldo'!$J$55:$J$124)</f>
        <v>#N/A</v>
      </c>
      <c r="J173" s="235" t="e">
        <f>INDEX('São Leopoldo'!$AP$55:$AP$124, MATCH(C173, 'São Leopoldo'!$C$55:$C$124, 0))</f>
        <v>#N/A</v>
      </c>
      <c r="K173" s="235" t="e" cm="1">
        <f t="array" ref="K173">INDEX('São Leopoldo'!$AP$55:$AP$124, MATCH(C173, 'São Leopoldo'!$C$55:$C$124, 0)+1)</f>
        <v>#N/A</v>
      </c>
      <c r="L173" s="235" t="e">
        <f>INDEX('São Leopoldo'!$AH$55:$AH$124, MATCH(C173, 'São Leopoldo'!$C$55:$C$124, 0))</f>
        <v>#N/A</v>
      </c>
      <c r="M173" s="235"/>
      <c r="N173" s="235"/>
      <c r="O173" s="235"/>
      <c r="P173" s="235"/>
      <c r="Q173">
        <v>170</v>
      </c>
      <c r="R173" s="275" t="str">
        <f t="shared" si="63"/>
        <v xml:space="preserve"> </v>
      </c>
      <c r="S173" t="str">
        <f t="shared" si="58"/>
        <v/>
      </c>
      <c r="T173" t="str">
        <f t="shared" si="59"/>
        <v>Diadema</v>
      </c>
      <c r="U173" s="275">
        <f t="shared" si="52"/>
        <v>0</v>
      </c>
      <c r="V173" s="235" t="str">
        <f t="shared" si="64"/>
        <v/>
      </c>
      <c r="W173" s="235">
        <f t="shared" si="65"/>
        <v>0</v>
      </c>
      <c r="X173" t="e">
        <f t="shared" si="60"/>
        <v>#N/A</v>
      </c>
      <c r="Y173" s="803" t="e">
        <f t="shared" si="61"/>
        <v>#N/A</v>
      </c>
      <c r="Z173" t="str">
        <f t="shared" si="62"/>
        <v xml:space="preserve"> </v>
      </c>
    </row>
    <row r="174" spans="1:26" ht="14.55" x14ac:dyDescent="0.3">
      <c r="A174">
        <v>26</v>
      </c>
      <c r="B174" s="235" t="str">
        <f>IFERROR(LARGE('São Leopoldo'!$I$55:$I$124,A174)," ")</f>
        <v xml:space="preserve"> </v>
      </c>
      <c r="C174" t="str">
        <f>IFERROR(INDEX(
    'São Leopoldo'!$C$55:$C$124,
    MATCH(
        B174,
        'São Leopoldo'!$I$55:$I$124,
        0
    )
), " ")</f>
        <v xml:space="preserve"> </v>
      </c>
      <c r="D174" s="806" t="str">
        <f t="shared" si="55"/>
        <v xml:space="preserve"> </v>
      </c>
      <c r="E174" s="362" t="str">
        <f t="shared" si="57"/>
        <v xml:space="preserve"> </v>
      </c>
      <c r="F174" t="str">
        <f t="shared" si="56"/>
        <v>São leopoldo</v>
      </c>
      <c r="G174" t="e">
        <f>_xlfn.XLOOKUP(C174,'São Leopoldo'!$C$55:$C$124,'São Leopoldo'!$O$55:$O$124)</f>
        <v>#N/A</v>
      </c>
      <c r="H174" t="str">
        <f>_xlfn.XLOOKUP(C174,'São Leopoldo'!$C$55:$C$124,'São Leopoldo'!$M$55:$M$124," ")</f>
        <v xml:space="preserve"> </v>
      </c>
      <c r="I174" s="803" t="e">
        <f>_xlfn.XLOOKUP(C174,'São Leopoldo'!$C$55:$C$124,'São Leopoldo'!$J$55:$J$124)</f>
        <v>#N/A</v>
      </c>
      <c r="J174" s="235" t="e">
        <f>INDEX('São Leopoldo'!$AP$55:$AP$124, MATCH(C174, 'São Leopoldo'!$C$55:$C$124, 0))</f>
        <v>#N/A</v>
      </c>
      <c r="K174" s="235" t="e" cm="1">
        <f t="array" ref="K174">INDEX('São Leopoldo'!$AP$55:$AP$124, MATCH(C174, 'São Leopoldo'!$C$55:$C$124, 0)+1)</f>
        <v>#N/A</v>
      </c>
      <c r="L174" s="235" t="e">
        <f>INDEX('São Leopoldo'!$AH$55:$AH$124, MATCH(C174, 'São Leopoldo'!$C$55:$C$124, 0))</f>
        <v>#N/A</v>
      </c>
      <c r="M174" s="235"/>
      <c r="N174" s="235"/>
      <c r="O174" s="235"/>
      <c r="P174" s="235"/>
      <c r="Q174">
        <v>171</v>
      </c>
      <c r="R174" s="275" t="str">
        <f t="shared" si="63"/>
        <v xml:space="preserve"> </v>
      </c>
      <c r="S174" t="str">
        <f t="shared" si="58"/>
        <v/>
      </c>
      <c r="T174" t="str">
        <f t="shared" si="59"/>
        <v>Diadema</v>
      </c>
      <c r="U174" s="275">
        <f t="shared" si="52"/>
        <v>0</v>
      </c>
      <c r="V174" s="235" t="str">
        <f t="shared" si="64"/>
        <v/>
      </c>
      <c r="W174" s="235">
        <f t="shared" si="65"/>
        <v>0</v>
      </c>
      <c r="X174" t="e">
        <f t="shared" si="60"/>
        <v>#N/A</v>
      </c>
      <c r="Y174" s="803" t="e">
        <f t="shared" si="61"/>
        <v>#N/A</v>
      </c>
      <c r="Z174" t="str">
        <f t="shared" si="62"/>
        <v xml:space="preserve"> </v>
      </c>
    </row>
    <row r="175" spans="1:26" ht="14.55" x14ac:dyDescent="0.3">
      <c r="A175">
        <v>27</v>
      </c>
      <c r="B175" s="235" t="str">
        <f>IFERROR(LARGE('São Leopoldo'!$I$55:$I$124,A175)," ")</f>
        <v xml:space="preserve"> </v>
      </c>
      <c r="C175" t="str">
        <f>IFERROR(INDEX(
    'São Leopoldo'!$C$55:$C$124,
    MATCH(
        B175,
        'São Leopoldo'!$I$55:$I$124,
        0
    )
), " ")</f>
        <v xml:space="preserve"> </v>
      </c>
      <c r="D175" s="806" t="str">
        <f t="shared" si="55"/>
        <v xml:space="preserve"> </v>
      </c>
      <c r="E175" s="362" t="str">
        <f t="shared" si="57"/>
        <v xml:space="preserve"> </v>
      </c>
      <c r="F175" t="str">
        <f t="shared" si="56"/>
        <v>São leopoldo</v>
      </c>
      <c r="G175" t="e">
        <f>_xlfn.XLOOKUP(C175,'São Leopoldo'!$C$55:$C$124,'São Leopoldo'!$O$55:$O$124)</f>
        <v>#N/A</v>
      </c>
      <c r="H175" t="str">
        <f>_xlfn.XLOOKUP(C175,'São Leopoldo'!$C$55:$C$124,'São Leopoldo'!$M$55:$M$124," ")</f>
        <v xml:space="preserve"> </v>
      </c>
      <c r="I175" s="803" t="e">
        <f>_xlfn.XLOOKUP(C175,'São Leopoldo'!$C$55:$C$124,'São Leopoldo'!$J$55:$J$124)</f>
        <v>#N/A</v>
      </c>
      <c r="J175" s="235" t="e">
        <f>INDEX('São Leopoldo'!$AP$55:$AP$124, MATCH(C175, 'São Leopoldo'!$C$55:$C$124, 0))</f>
        <v>#N/A</v>
      </c>
      <c r="K175" s="235" t="e" cm="1">
        <f t="array" ref="K175">INDEX('São Leopoldo'!$AP$55:$AP$124, MATCH(C175, 'São Leopoldo'!$C$55:$C$124, 0)+1)</f>
        <v>#N/A</v>
      </c>
      <c r="L175" s="235" t="e">
        <f>INDEX('São Leopoldo'!$AH$55:$AH$124, MATCH(C175, 'São Leopoldo'!$C$55:$C$124, 0))</f>
        <v>#N/A</v>
      </c>
      <c r="M175" s="235"/>
      <c r="N175" s="235"/>
      <c r="O175" s="235"/>
      <c r="P175" s="235"/>
      <c r="Q175">
        <v>172</v>
      </c>
      <c r="R175" s="275" t="str">
        <f t="shared" si="63"/>
        <v xml:space="preserve"> </v>
      </c>
      <c r="S175" t="str">
        <f t="shared" si="58"/>
        <v/>
      </c>
      <c r="T175" t="str">
        <f t="shared" si="59"/>
        <v>Diadema</v>
      </c>
      <c r="U175" s="275">
        <f t="shared" si="52"/>
        <v>0</v>
      </c>
      <c r="V175" s="235" t="str">
        <f t="shared" si="64"/>
        <v/>
      </c>
      <c r="W175" s="235">
        <f t="shared" si="65"/>
        <v>0</v>
      </c>
      <c r="X175" t="e">
        <f t="shared" si="60"/>
        <v>#N/A</v>
      </c>
      <c r="Y175" s="803" t="e">
        <f t="shared" si="61"/>
        <v>#N/A</v>
      </c>
      <c r="Z175" t="str">
        <f t="shared" si="62"/>
        <v xml:space="preserve"> </v>
      </c>
    </row>
    <row r="176" spans="1:26" ht="14.55" x14ac:dyDescent="0.3">
      <c r="A176">
        <v>28</v>
      </c>
      <c r="B176" s="235" t="str">
        <f>IFERROR(LARGE('São Leopoldo'!$I$55:$I$124,A176)," ")</f>
        <v xml:space="preserve"> </v>
      </c>
      <c r="C176" t="str">
        <f>IFERROR(INDEX(
    'São Leopoldo'!$C$55:$C$124,
    MATCH(
        B176,
        'São Leopoldo'!$I$55:$I$124,
        0
    )
), " ")</f>
        <v xml:space="preserve"> </v>
      </c>
      <c r="D176" s="806" t="str">
        <f t="shared" si="55"/>
        <v xml:space="preserve"> </v>
      </c>
      <c r="E176" s="362" t="str">
        <f t="shared" si="57"/>
        <v xml:space="preserve"> </v>
      </c>
      <c r="F176" t="str">
        <f t="shared" si="56"/>
        <v>São leopoldo</v>
      </c>
      <c r="G176" t="e">
        <f>_xlfn.XLOOKUP(C176,'São Leopoldo'!$C$55:$C$124,'São Leopoldo'!$O$55:$O$124)</f>
        <v>#N/A</v>
      </c>
      <c r="H176" t="str">
        <f>_xlfn.XLOOKUP(C176,'São Leopoldo'!$C$55:$C$124,'São Leopoldo'!$M$55:$M$124," ")</f>
        <v xml:space="preserve"> </v>
      </c>
      <c r="I176" s="803" t="e">
        <f>_xlfn.XLOOKUP(C176,'São Leopoldo'!$C$55:$C$124,'São Leopoldo'!$J$55:$J$124)</f>
        <v>#N/A</v>
      </c>
      <c r="J176" s="235" t="e">
        <f>INDEX('São Leopoldo'!$AP$55:$AP$124, MATCH(C176, 'São Leopoldo'!$C$55:$C$124, 0))</f>
        <v>#N/A</v>
      </c>
      <c r="K176" s="235" t="e" cm="1">
        <f t="array" ref="K176">INDEX('São Leopoldo'!$AP$55:$AP$124, MATCH(C176, 'São Leopoldo'!$C$55:$C$124, 0)+1)</f>
        <v>#N/A</v>
      </c>
      <c r="L176" s="235" t="e">
        <f>INDEX('São Leopoldo'!$AH$55:$AH$124, MATCH(C176, 'São Leopoldo'!$C$55:$C$124, 0))</f>
        <v>#N/A</v>
      </c>
      <c r="M176" s="235"/>
      <c r="N176" s="235"/>
      <c r="O176" s="235"/>
      <c r="P176" s="235"/>
      <c r="Q176">
        <v>173</v>
      </c>
      <c r="R176" s="275" t="str">
        <f t="shared" si="63"/>
        <v xml:space="preserve"> </v>
      </c>
      <c r="S176" t="str">
        <f t="shared" si="58"/>
        <v/>
      </c>
      <c r="T176" t="str">
        <f t="shared" si="59"/>
        <v>Diadema</v>
      </c>
      <c r="V176" s="235" t="str">
        <f t="shared" si="64"/>
        <v/>
      </c>
      <c r="W176" s="235">
        <f t="shared" si="65"/>
        <v>0</v>
      </c>
      <c r="X176" t="e">
        <f t="shared" si="60"/>
        <v>#N/A</v>
      </c>
      <c r="Y176" s="803" t="e">
        <f t="shared" si="61"/>
        <v>#N/A</v>
      </c>
      <c r="Z176" t="str">
        <f t="shared" si="62"/>
        <v xml:space="preserve"> </v>
      </c>
    </row>
    <row r="177" spans="1:26" ht="14.55" x14ac:dyDescent="0.3">
      <c r="A177">
        <v>29</v>
      </c>
      <c r="B177" s="235" t="str">
        <f>IFERROR(LARGE('São Leopoldo'!$I$55:$I$124,A177)," ")</f>
        <v xml:space="preserve"> </v>
      </c>
      <c r="C177" t="str">
        <f>IFERROR(INDEX(
    'São Leopoldo'!$C$55:$C$124,
    MATCH(
        B177,
        'São Leopoldo'!$I$55:$I$124,
        0
    )
), " ")</f>
        <v xml:space="preserve"> </v>
      </c>
      <c r="D177" s="806" t="str">
        <f t="shared" si="55"/>
        <v xml:space="preserve"> </v>
      </c>
      <c r="E177" s="362" t="str">
        <f t="shared" si="57"/>
        <v xml:space="preserve"> </v>
      </c>
      <c r="F177" t="str">
        <f t="shared" si="56"/>
        <v>São leopoldo</v>
      </c>
      <c r="G177" t="e">
        <f>_xlfn.XLOOKUP(C177,'São Leopoldo'!$C$55:$C$124,'São Leopoldo'!$O$55:$O$124)</f>
        <v>#N/A</v>
      </c>
      <c r="H177" t="str">
        <f>_xlfn.XLOOKUP(C177,'São Leopoldo'!$C$55:$C$124,'São Leopoldo'!$M$55:$M$124," ")</f>
        <v xml:space="preserve"> </v>
      </c>
      <c r="I177" s="803" t="e">
        <f>_xlfn.XLOOKUP(C177,'São Leopoldo'!$C$55:$C$124,'São Leopoldo'!$J$55:$J$124)</f>
        <v>#N/A</v>
      </c>
      <c r="J177" s="235" t="e">
        <f>INDEX('São Leopoldo'!$AP$55:$AP$124, MATCH(C177, 'São Leopoldo'!$C$55:$C$124, 0))</f>
        <v>#N/A</v>
      </c>
      <c r="K177" s="235" t="e" cm="1">
        <f t="array" ref="K177">INDEX('São Leopoldo'!$AP$55:$AP$124, MATCH(C177, 'São Leopoldo'!$C$55:$C$124, 0)+1)</f>
        <v>#N/A</v>
      </c>
      <c r="L177" s="235" t="e">
        <f>INDEX('São Leopoldo'!$AH$55:$AH$124, MATCH(C177, 'São Leopoldo'!$C$55:$C$124, 0))</f>
        <v>#N/A</v>
      </c>
      <c r="M177" s="235"/>
      <c r="N177" s="235"/>
      <c r="O177" s="235"/>
      <c r="P177" s="235"/>
      <c r="Q177">
        <v>174</v>
      </c>
      <c r="R177" s="275" t="str">
        <f t="shared" si="63"/>
        <v xml:space="preserve"> </v>
      </c>
      <c r="S177" t="str">
        <f t="shared" si="58"/>
        <v/>
      </c>
      <c r="T177" t="str">
        <f t="shared" si="59"/>
        <v>Diadema</v>
      </c>
      <c r="V177" s="235" t="str">
        <f t="shared" si="64"/>
        <v/>
      </c>
      <c r="W177" s="235">
        <f t="shared" si="65"/>
        <v>0</v>
      </c>
      <c r="X177" t="e">
        <f t="shared" si="60"/>
        <v>#N/A</v>
      </c>
      <c r="Y177" s="803" t="e">
        <f t="shared" si="61"/>
        <v>#N/A</v>
      </c>
      <c r="Z177" t="str">
        <f t="shared" si="62"/>
        <v xml:space="preserve"> </v>
      </c>
    </row>
    <row r="178" spans="1:26" ht="14.55" x14ac:dyDescent="0.3">
      <c r="A178">
        <v>30</v>
      </c>
      <c r="B178" s="235" t="str">
        <f>IFERROR(LARGE('São Leopoldo'!$I$55:$I$124,A178)," ")</f>
        <v xml:space="preserve"> </v>
      </c>
      <c r="C178" t="str">
        <f>IFERROR(INDEX(
    'São Leopoldo'!$C$55:$C$124,
    MATCH(
        B178,
        'São Leopoldo'!$I$55:$I$124,
        0
    )
), " ")</f>
        <v xml:space="preserve"> </v>
      </c>
      <c r="D178" s="806" t="str">
        <f t="shared" si="55"/>
        <v xml:space="preserve"> </v>
      </c>
      <c r="E178" s="362" t="str">
        <f t="shared" si="57"/>
        <v xml:space="preserve"> </v>
      </c>
      <c r="F178" t="str">
        <f t="shared" si="56"/>
        <v>São leopoldo</v>
      </c>
      <c r="G178" t="e">
        <f>_xlfn.XLOOKUP(C178,'São Leopoldo'!$C$55:$C$124,'São Leopoldo'!$O$55:$O$124)</f>
        <v>#N/A</v>
      </c>
      <c r="H178" t="str">
        <f>_xlfn.XLOOKUP(C178,'São Leopoldo'!$C$55:$C$124,'São Leopoldo'!$M$55:$M$124," ")</f>
        <v xml:space="preserve"> </v>
      </c>
      <c r="I178" s="803" t="e">
        <f>_xlfn.XLOOKUP(C178,'São Leopoldo'!$C$55:$C$124,'São Leopoldo'!$J$55:$J$124)</f>
        <v>#N/A</v>
      </c>
      <c r="J178" s="235" t="e">
        <f>INDEX('São Leopoldo'!$AP$55:$AP$124, MATCH(C178, 'São Leopoldo'!$C$55:$C$124, 0))</f>
        <v>#N/A</v>
      </c>
      <c r="K178" s="235" t="e" cm="1">
        <f t="array" ref="K178">INDEX('São Leopoldo'!$AP$55:$AP$124, MATCH(C178, 'São Leopoldo'!$C$55:$C$124, 0)+1)</f>
        <v>#N/A</v>
      </c>
      <c r="L178" s="235" t="e">
        <f>INDEX('São Leopoldo'!$AH$55:$AH$124, MATCH(C178, 'São Leopoldo'!$C$55:$C$124, 0))</f>
        <v>#N/A</v>
      </c>
      <c r="M178" s="235"/>
      <c r="N178" s="235"/>
      <c r="O178" s="235"/>
      <c r="P178" s="235"/>
      <c r="Q178">
        <v>175</v>
      </c>
      <c r="R178" s="275" t="str">
        <f t="shared" si="63"/>
        <v xml:space="preserve"> </v>
      </c>
      <c r="S178" t="str">
        <f t="shared" si="58"/>
        <v/>
      </c>
      <c r="T178" t="str">
        <f t="shared" si="59"/>
        <v>Diadema</v>
      </c>
      <c r="V178" s="235" t="str">
        <f t="shared" si="64"/>
        <v/>
      </c>
      <c r="W178" s="235">
        <f t="shared" si="65"/>
        <v>0</v>
      </c>
      <c r="X178" t="e">
        <f t="shared" si="60"/>
        <v>#N/A</v>
      </c>
      <c r="Y178" s="803" t="e">
        <f t="shared" si="61"/>
        <v>#N/A</v>
      </c>
      <c r="Z178" t="str">
        <f t="shared" si="62"/>
        <v xml:space="preserve"> </v>
      </c>
    </row>
    <row r="179" spans="1:26" ht="14.55" x14ac:dyDescent="0.3">
      <c r="B179" s="235"/>
      <c r="D179" s="806"/>
      <c r="L179" s="235"/>
      <c r="M179" s="235"/>
      <c r="N179" s="235"/>
      <c r="O179" s="235"/>
      <c r="P179" s="235"/>
      <c r="Q179">
        <v>176</v>
      </c>
      <c r="R179" s="275" t="str">
        <f t="shared" si="63"/>
        <v xml:space="preserve"> </v>
      </c>
      <c r="S179" t="str">
        <f t="shared" si="58"/>
        <v/>
      </c>
      <c r="T179" t="str">
        <f t="shared" si="59"/>
        <v>Diadema</v>
      </c>
      <c r="V179" s="235" t="str">
        <f t="shared" si="64"/>
        <v/>
      </c>
      <c r="W179" s="235">
        <f t="shared" si="65"/>
        <v>0</v>
      </c>
      <c r="X179" t="e">
        <f t="shared" si="60"/>
        <v>#N/A</v>
      </c>
      <c r="Y179" s="803" t="e">
        <f t="shared" si="61"/>
        <v>#N/A</v>
      </c>
      <c r="Z179" t="str">
        <f t="shared" si="62"/>
        <v xml:space="preserve"> </v>
      </c>
    </row>
    <row r="180" spans="1:26" ht="14.85" customHeight="1" x14ac:dyDescent="0.3">
      <c r="A180" s="274" t="s">
        <v>25</v>
      </c>
      <c r="B180" s="274"/>
      <c r="C180" s="274"/>
      <c r="D180" s="805"/>
      <c r="E180" s="805"/>
      <c r="J180" s="1678" t="s">
        <v>2550</v>
      </c>
      <c r="K180" s="1678"/>
      <c r="L180" s="235"/>
      <c r="M180" s="235"/>
      <c r="N180" s="235"/>
      <c r="O180" s="235"/>
      <c r="P180" s="235"/>
      <c r="Q180">
        <v>177</v>
      </c>
      <c r="R180" s="275" t="str">
        <f t="shared" si="63"/>
        <v xml:space="preserve"> </v>
      </c>
      <c r="S180" t="str">
        <f t="shared" si="58"/>
        <v/>
      </c>
      <c r="T180" t="str">
        <f t="shared" si="59"/>
        <v>Diadema</v>
      </c>
      <c r="V180" s="235" t="str">
        <f t="shared" si="64"/>
        <v/>
      </c>
      <c r="W180" s="235">
        <f t="shared" si="65"/>
        <v>0</v>
      </c>
      <c r="X180" t="e">
        <f t="shared" si="60"/>
        <v>#N/A</v>
      </c>
      <c r="Y180" s="803" t="e">
        <f t="shared" si="61"/>
        <v>#N/A</v>
      </c>
      <c r="Z180" t="str">
        <f t="shared" si="62"/>
        <v xml:space="preserve"> </v>
      </c>
    </row>
    <row r="181" spans="1:26" ht="14.85" customHeight="1" x14ac:dyDescent="0.3">
      <c r="A181" s="274"/>
      <c r="B181" s="274"/>
      <c r="C181" s="274"/>
      <c r="D181" s="805"/>
      <c r="E181" s="805"/>
      <c r="J181" s="594" t="s">
        <v>106</v>
      </c>
      <c r="K181" s="594" t="s">
        <v>107</v>
      </c>
      <c r="L181" s="235"/>
      <c r="M181" s="235"/>
      <c r="N181" s="235"/>
      <c r="O181" s="235"/>
      <c r="P181" s="235"/>
      <c r="Q181">
        <v>178</v>
      </c>
      <c r="R181" s="275" t="str">
        <f t="shared" si="63"/>
        <v xml:space="preserve"> </v>
      </c>
      <c r="S181" t="str">
        <f t="shared" si="58"/>
        <v/>
      </c>
      <c r="T181" t="str">
        <f t="shared" si="59"/>
        <v>Diadema</v>
      </c>
      <c r="V181" s="235" t="str">
        <f t="shared" si="64"/>
        <v/>
      </c>
      <c r="W181" s="235">
        <f t="shared" si="65"/>
        <v>0</v>
      </c>
      <c r="X181" t="e">
        <f t="shared" si="60"/>
        <v>#N/A</v>
      </c>
      <c r="Y181" s="803" t="e">
        <f t="shared" si="61"/>
        <v>#N/A</v>
      </c>
      <c r="Z181" t="str">
        <f t="shared" si="62"/>
        <v xml:space="preserve"> </v>
      </c>
    </row>
    <row r="182" spans="1:26" ht="14.55" x14ac:dyDescent="0.3">
      <c r="A182" cm="1">
        <f t="array" ref="A182:A211">_xlfn.SEQUENCE(30)</f>
        <v>1</v>
      </c>
      <c r="B182" s="237">
        <f>MAX(Anchieta!$I$55:$I$102)</f>
        <v>530000</v>
      </c>
      <c r="C182" t="str">
        <f>Anchieta!C55</f>
        <v>01 - VENDA DE ATIVOS</v>
      </c>
      <c r="D182" s="806">
        <f>IFERROR(B182/SUM($B$182:$B$211)," ")</f>
        <v>0.41568627447720108</v>
      </c>
      <c r="E182" s="362">
        <f>D182</f>
        <v>0.41568627447720108</v>
      </c>
      <c r="F182" t="str">
        <f t="shared" ref="F182:F211" si="66">$A$180</f>
        <v>Anchieta</v>
      </c>
      <c r="G182" t="str">
        <f>_xlfn.XLOOKUP(C182,Anchieta!$C$55:$C$102,Anchieta!$O$55:$O$102)</f>
        <v>⏳ Em Execução</v>
      </c>
      <c r="H182" t="str">
        <f>_xlfn.XLOOKUP(C182,Anchieta!$C$55:$C$102,Anchieta!$M$55:$M$102," ")</f>
        <v>OK</v>
      </c>
      <c r="I182" s="803">
        <f>_xlfn.XLOOKUP(C182,Anchieta!$C$55:$C$102,Anchieta!$J$55:$J$102)</f>
        <v>0</v>
      </c>
      <c r="J182" s="235">
        <f ca="1">INDEX(Anchieta!$AP$55:$AP$102, MATCH(C182, Anchieta!$C$55:$C$102, 0))</f>
        <v>50000</v>
      </c>
      <c r="K182" s="235" cm="1">
        <f t="array" aca="1" ref="K182" ca="1">INDEX(Anchieta!$AP$55:$AP$102, MATCH(C182, Anchieta!$C$55:$C$102, 0)+1)</f>
        <v>50000</v>
      </c>
      <c r="L182" s="235">
        <f>INDEX(Anchieta!$AH$55:$AH$102, MATCH(C182, Anchieta!$C$55:$C$102, 0))</f>
        <v>0</v>
      </c>
      <c r="M182" s="235"/>
      <c r="N182" s="235"/>
      <c r="O182" s="235"/>
      <c r="P182" s="235"/>
      <c r="Q182">
        <v>179</v>
      </c>
      <c r="R182" s="275" t="str">
        <f t="shared" si="63"/>
        <v xml:space="preserve"> </v>
      </c>
      <c r="S182" t="str">
        <f t="shared" si="58"/>
        <v/>
      </c>
      <c r="T182" t="str">
        <f t="shared" si="59"/>
        <v>Diadema</v>
      </c>
      <c r="V182" s="235" t="str">
        <f t="shared" si="64"/>
        <v/>
      </c>
      <c r="W182" s="235">
        <f t="shared" si="65"/>
        <v>0</v>
      </c>
      <c r="X182" t="e">
        <f t="shared" si="60"/>
        <v>#N/A</v>
      </c>
      <c r="Y182" s="803" t="e">
        <f t="shared" si="61"/>
        <v>#N/A</v>
      </c>
      <c r="Z182" t="str">
        <f t="shared" si="62"/>
        <v xml:space="preserve"> </v>
      </c>
    </row>
    <row r="183" spans="1:26" ht="14.55" x14ac:dyDescent="0.3">
      <c r="A183">
        <v>2</v>
      </c>
      <c r="B183" s="237">
        <f>IFERROR(LARGE(Anchieta!$I$55:$I$102,A183)," ")</f>
        <v>400000</v>
      </c>
      <c r="C183" s="387" t="str">
        <f>Anchieta!C57</f>
        <v>02 - TANQUE DE DECAPAGEM</v>
      </c>
      <c r="D183" s="806">
        <f t="shared" ref="D183:D211" si="67">IFERROR(B183/SUM($B$182:$B$203)," ")</f>
        <v>0.3137254901714725</v>
      </c>
      <c r="E183" s="362">
        <f>IFERROR(D183+E182," ")</f>
        <v>0.72941176464867352</v>
      </c>
      <c r="F183" t="str">
        <f t="shared" si="66"/>
        <v>Anchieta</v>
      </c>
      <c r="G183" t="str">
        <f>_xlfn.XLOOKUP(C183,Anchieta!$C$55:$C$102,Anchieta!$O$55:$O$102)</f>
        <v>⏳ Em Execução</v>
      </c>
      <c r="H183" t="str">
        <f>_xlfn.XLOOKUP(C183,Anchieta!$C$55:$C$102,Anchieta!$M$55:$M$102," ")</f>
        <v>OK</v>
      </c>
      <c r="I183" s="803">
        <f>_xlfn.XLOOKUP(C183,Anchieta!$C$55:$C$102,Anchieta!$J$55:$J$102)</f>
        <v>46218</v>
      </c>
      <c r="J183" s="235" t="str">
        <f ca="1">INDEX(Anchieta!$AP$55:$AP$102, MATCH(C183, Anchieta!$C$55:$C$102, 0))</f>
        <v/>
      </c>
      <c r="K183" s="235" t="str" cm="1">
        <f t="array" aca="1" ref="K183" ca="1">INDEX(Anchieta!$AP$55:$AP$102, MATCH(C183, Anchieta!$C$55:$C$102, 0)+1)</f>
        <v/>
      </c>
      <c r="L183" s="235">
        <f>INDEX(Anchieta!$AH$55:$AH$102, MATCH(C183, Anchieta!$C$55:$C$102, 0))</f>
        <v>200000</v>
      </c>
      <c r="M183" s="235"/>
      <c r="N183" s="235"/>
      <c r="O183" s="235"/>
      <c r="P183" s="235"/>
      <c r="Q183">
        <v>180</v>
      </c>
      <c r="R183" s="275" t="str">
        <f t="shared" si="63"/>
        <v xml:space="preserve"> </v>
      </c>
      <c r="S183" t="str">
        <f t="shared" si="58"/>
        <v/>
      </c>
      <c r="T183" t="str">
        <f t="shared" si="59"/>
        <v>Diadema</v>
      </c>
      <c r="V183" s="235" t="str">
        <f t="shared" si="64"/>
        <v/>
      </c>
      <c r="W183" s="235">
        <f t="shared" si="65"/>
        <v>0</v>
      </c>
      <c r="X183" t="e">
        <f t="shared" si="60"/>
        <v>#N/A</v>
      </c>
      <c r="Y183" s="803" t="e">
        <f t="shared" si="61"/>
        <v>#N/A</v>
      </c>
      <c r="Z183" t="str">
        <f t="shared" si="62"/>
        <v xml:space="preserve"> </v>
      </c>
    </row>
    <row r="184" spans="1:26" ht="14.55" x14ac:dyDescent="0.3">
      <c r="A184">
        <v>3</v>
      </c>
      <c r="B184" s="237">
        <f>IFERROR(LARGE(Anchieta!$I$55:$I$102,A184)," ")</f>
        <v>135000</v>
      </c>
      <c r="C184" s="387" t="str">
        <f>IFERROR(INDEX(
    Anchieta!$C$59:$C$102,
    MATCH(
        B184,
        Anchieta!$I$59:$I$102,
        0
    )
), " ")</f>
        <v>03 - PRODUTOS QUÍMICOS KTL</v>
      </c>
      <c r="D184" s="806">
        <f t="shared" si="67"/>
        <v>0.10588235293287197</v>
      </c>
      <c r="E184" s="362">
        <f t="shared" ref="E184:E211" si="68">IFERROR(D184+E183," ")</f>
        <v>0.83529411758154548</v>
      </c>
      <c r="F184" t="str">
        <f t="shared" si="66"/>
        <v>Anchieta</v>
      </c>
      <c r="G184" t="str">
        <f>_xlfn.XLOOKUP(C184,Anchieta!$C$55:$C$102,Anchieta!$O$55:$O$102)</f>
        <v>⏳ Em Execução</v>
      </c>
      <c r="H184" t="str">
        <f>_xlfn.XLOOKUP(C184,Anchieta!$C$55:$C$102,Anchieta!$M$55:$M$102," ")</f>
        <v>OK</v>
      </c>
      <c r="I184" s="803">
        <f>_xlfn.XLOOKUP(C184,Anchieta!$C$55:$C$102,Anchieta!$J$55:$J$102)</f>
        <v>46054</v>
      </c>
      <c r="J184" s="235">
        <f ca="1">INDEX(Anchieta!$AP$55:$AP$102, MATCH(C184, Anchieta!$C$55:$C$102, 0))</f>
        <v>49406.047090909095</v>
      </c>
      <c r="K184" s="235" cm="1">
        <f t="array" aca="1" ref="K184" ca="1">INDEX(Anchieta!$AP$55:$AP$102, MATCH(C184, Anchieta!$C$55:$C$102, 0)+1)</f>
        <v>93186.13900000001</v>
      </c>
      <c r="L184" s="235">
        <f>INDEX(Anchieta!$AH$55:$AH$102, MATCH(C184, Anchieta!$C$55:$C$102, 0))</f>
        <v>37054.535318181821</v>
      </c>
      <c r="M184" s="235"/>
      <c r="N184" s="235"/>
      <c r="O184" s="235"/>
      <c r="P184" s="235"/>
      <c r="Q184">
        <v>181</v>
      </c>
      <c r="R184" s="275" t="str">
        <f t="shared" si="63"/>
        <v xml:space="preserve"> </v>
      </c>
      <c r="S184" t="str">
        <f t="shared" si="58"/>
        <v/>
      </c>
      <c r="T184" t="str">
        <f t="shared" si="59"/>
        <v>Diadema</v>
      </c>
      <c r="V184" s="235" t="str">
        <f t="shared" si="64"/>
        <v/>
      </c>
      <c r="W184" s="235">
        <f t="shared" si="65"/>
        <v>0</v>
      </c>
      <c r="X184" t="e">
        <f t="shared" si="60"/>
        <v>#N/A</v>
      </c>
      <c r="Y184" s="803" t="e">
        <f t="shared" si="61"/>
        <v>#N/A</v>
      </c>
      <c r="Z184" t="str">
        <f t="shared" si="62"/>
        <v xml:space="preserve"> </v>
      </c>
    </row>
    <row r="185" spans="1:26" ht="14.55" x14ac:dyDescent="0.3">
      <c r="A185">
        <v>4</v>
      </c>
      <c r="B185" s="237">
        <f>IFERROR(LARGE(Anchieta!$I$55:$I$102,A185)," ")</f>
        <v>100000.0001</v>
      </c>
      <c r="C185" t="str">
        <f>IFERROR(INDEX(
    Anchieta!$C$59:$C$102,
    MATCH(
        B185,
        Anchieta!$I$59:$I$102,
        0
    )
), " ")</f>
        <v>04 - GÁS</v>
      </c>
      <c r="D185" s="806">
        <f t="shared" si="67"/>
        <v>7.8431372621299497E-2</v>
      </c>
      <c r="E185" s="362">
        <f t="shared" si="68"/>
        <v>0.91372549020284499</v>
      </c>
      <c r="F185" t="str">
        <f t="shared" si="66"/>
        <v>Anchieta</v>
      </c>
      <c r="G185" t="str">
        <f>_xlfn.XLOOKUP(C185,Anchieta!$C$55:$C$102,Anchieta!$O$55:$O$102)</f>
        <v>⏳ Em Execução</v>
      </c>
      <c r="H185" t="str">
        <f>_xlfn.XLOOKUP(C185,Anchieta!$C$55:$C$102,Anchieta!$M$55:$M$102," ")</f>
        <v>OK</v>
      </c>
      <c r="I185" s="803">
        <f>_xlfn.XLOOKUP(C185,Anchieta!$C$55:$C$102,Anchieta!$J$55:$J$102)</f>
        <v>46113</v>
      </c>
      <c r="J185" s="235">
        <f ca="1">INDEX(Anchieta!$AP$55:$AP$102, MATCH(C185, Anchieta!$C$55:$C$102, 0))</f>
        <v>56244.064444444448</v>
      </c>
      <c r="K185" s="235" cm="1">
        <f t="array" aca="1" ref="K185" ca="1">INDEX(Anchieta!$AP$55:$AP$102, MATCH(C185, Anchieta!$C$55:$C$102, 0)+1)</f>
        <v>-2790.25</v>
      </c>
      <c r="L185" s="235">
        <f>INDEX(Anchieta!$AH$55:$AH$102, MATCH(C185, Anchieta!$C$55:$C$102, 0))</f>
        <v>84366.096666666679</v>
      </c>
      <c r="M185" s="235"/>
      <c r="N185" s="235"/>
      <c r="O185" s="235"/>
      <c r="P185" s="235"/>
      <c r="Q185">
        <v>182</v>
      </c>
      <c r="R185" s="275" t="str">
        <f t="shared" si="63"/>
        <v xml:space="preserve"> </v>
      </c>
      <c r="S185" t="str">
        <f t="shared" si="58"/>
        <v/>
      </c>
      <c r="T185" t="str">
        <f t="shared" si="59"/>
        <v>Diadema</v>
      </c>
      <c r="V185" s="235" t="str">
        <f t="shared" si="64"/>
        <v/>
      </c>
      <c r="W185" s="235">
        <f t="shared" si="65"/>
        <v>0</v>
      </c>
      <c r="X185" t="e">
        <f t="shared" si="60"/>
        <v>#N/A</v>
      </c>
      <c r="Y185" s="803" t="e">
        <f t="shared" si="61"/>
        <v>#N/A</v>
      </c>
      <c r="Z185" t="str">
        <f t="shared" si="62"/>
        <v xml:space="preserve"> </v>
      </c>
    </row>
    <row r="186" spans="1:26" ht="14.55" x14ac:dyDescent="0.3">
      <c r="A186">
        <v>5</v>
      </c>
      <c r="B186" s="237">
        <f>IFERROR(LARGE(Anchieta!$I$55:$I$102,A186)," ")</f>
        <v>51000</v>
      </c>
      <c r="C186" t="str">
        <f>IFERROR(INDEX(
    Anchieta!$C$59:$C$102,
    MATCH(
        B186,
        Anchieta!$I$59:$I$102,
        0
    )
), " ")</f>
        <v>06 - CONSUMO DE TINTA PÓ</v>
      </c>
      <c r="D186" s="806">
        <f t="shared" si="67"/>
        <v>3.9999999996862746E-2</v>
      </c>
      <c r="E186" s="362">
        <f t="shared" si="68"/>
        <v>0.95372549019970776</v>
      </c>
      <c r="F186" t="str">
        <f t="shared" si="66"/>
        <v>Anchieta</v>
      </c>
      <c r="G186" t="str">
        <f>_xlfn.XLOOKUP(C186,Anchieta!$C$55:$C$102,Anchieta!$O$55:$O$102)</f>
        <v>⏳ Em Execução</v>
      </c>
      <c r="H186" t="str">
        <f>_xlfn.XLOOKUP(C186,Anchieta!$C$55:$C$102,Anchieta!$M$55:$M$102," ")</f>
        <v>Não Ok</v>
      </c>
      <c r="I186" s="803">
        <f>_xlfn.XLOOKUP(C186,Anchieta!$C$55:$C$102,Anchieta!$J$55:$J$102)</f>
        <v>0</v>
      </c>
      <c r="J186" s="235" t="str">
        <f ca="1">INDEX(Anchieta!$AP$55:$AP$102, MATCH(C186, Anchieta!$C$55:$C$102, 0))</f>
        <v/>
      </c>
      <c r="K186" s="235" t="str" cm="1">
        <f t="array" aca="1" ref="K186" ca="1">INDEX(Anchieta!$AP$55:$AP$102, MATCH(C186, Anchieta!$C$55:$C$102, 0)+1)</f>
        <v/>
      </c>
      <c r="L186" s="235">
        <f>INDEX(Anchieta!$AH$55:$AH$102, MATCH(C186, Anchieta!$C$55:$C$102, 0))</f>
        <v>0</v>
      </c>
      <c r="M186" s="235"/>
      <c r="N186" s="235"/>
      <c r="O186" s="235"/>
      <c r="P186" s="235"/>
      <c r="Q186">
        <v>183</v>
      </c>
      <c r="R186" s="275" t="str">
        <f t="shared" si="63"/>
        <v xml:space="preserve"> </v>
      </c>
      <c r="S186" t="str">
        <f t="shared" si="58"/>
        <v/>
      </c>
      <c r="T186" t="str">
        <f t="shared" si="59"/>
        <v>Diadema</v>
      </c>
      <c r="V186" s="235" t="str">
        <f t="shared" si="64"/>
        <v/>
      </c>
      <c r="W186" s="235">
        <f t="shared" si="65"/>
        <v>0</v>
      </c>
      <c r="X186" t="e">
        <f t="shared" si="60"/>
        <v>#N/A</v>
      </c>
      <c r="Y186" s="803" t="e">
        <f t="shared" si="61"/>
        <v>#N/A</v>
      </c>
      <c r="Z186" t="str">
        <f t="shared" si="62"/>
        <v xml:space="preserve"> </v>
      </c>
    </row>
    <row r="187" spans="1:26" ht="14.55" x14ac:dyDescent="0.3">
      <c r="A187">
        <v>6</v>
      </c>
      <c r="B187" s="237">
        <f>IFERROR(LARGE(Anchieta!$I$55:$I$102,A187)," ")</f>
        <v>32000</v>
      </c>
      <c r="C187" t="str">
        <f>IFERROR(INDEX(
    Anchieta!$C$59:$C$102,
    MATCH(
        B187,
        Anchieta!$I$59:$I$102,
        0
    )
), " ")</f>
        <v>07 - CONSUMO DE EPI e SERVIÇOS</v>
      </c>
      <c r="D187" s="806">
        <f t="shared" si="67"/>
        <v>2.5098039213717799E-2</v>
      </c>
      <c r="E187" s="362">
        <f t="shared" si="68"/>
        <v>0.97882352941342554</v>
      </c>
      <c r="F187" t="str">
        <f t="shared" si="66"/>
        <v>Anchieta</v>
      </c>
      <c r="G187" t="str">
        <f>_xlfn.XLOOKUP(C187,Anchieta!$C$55:$C$102,Anchieta!$O$55:$O$102)</f>
        <v>⏳ Em Execução</v>
      </c>
      <c r="H187" t="str">
        <f>_xlfn.XLOOKUP(C187,Anchieta!$C$55:$C$102,Anchieta!$M$55:$M$102," ")</f>
        <v>OK</v>
      </c>
      <c r="I187" s="803">
        <f>_xlfn.XLOOKUP(C187,Anchieta!$C$55:$C$102,Anchieta!$J$55:$J$102)</f>
        <v>46082</v>
      </c>
      <c r="J187" s="235">
        <f ca="1">INDEX(Anchieta!$AP$55:$AP$102, MATCH(C187, Anchieta!$C$55:$C$102, 0))</f>
        <v>17505.537</v>
      </c>
      <c r="K187" s="235" cm="1">
        <f t="array" aca="1" ref="K187" ca="1">INDEX(Anchieta!$AP$55:$AP$102, MATCH(C187, Anchieta!$C$55:$C$102, 0)+1)</f>
        <v>3607.4251743304703</v>
      </c>
      <c r="L187" s="235">
        <f>INDEX(Anchieta!$AH$55:$AH$102, MATCH(C187, Anchieta!$C$55:$C$102, 0))</f>
        <v>17505.537</v>
      </c>
      <c r="M187" s="235"/>
      <c r="N187" s="235"/>
      <c r="O187" s="235"/>
      <c r="P187" s="235"/>
      <c r="Q187">
        <v>184</v>
      </c>
      <c r="R187" s="275" t="str">
        <f t="shared" si="63"/>
        <v xml:space="preserve"> </v>
      </c>
      <c r="S187" t="str">
        <f t="shared" si="58"/>
        <v/>
      </c>
      <c r="T187" t="str">
        <f t="shared" si="59"/>
        <v>Diadema</v>
      </c>
      <c r="V187" s="235" t="str">
        <f t="shared" si="64"/>
        <v/>
      </c>
      <c r="W187" s="235">
        <f t="shared" si="65"/>
        <v>0</v>
      </c>
      <c r="X187" t="e">
        <f t="shared" si="60"/>
        <v>#N/A</v>
      </c>
      <c r="Y187" s="803" t="e">
        <f t="shared" si="61"/>
        <v>#N/A</v>
      </c>
      <c r="Z187" t="str">
        <f t="shared" si="62"/>
        <v xml:space="preserve"> </v>
      </c>
    </row>
    <row r="188" spans="1:26" ht="14.55" x14ac:dyDescent="0.3">
      <c r="A188">
        <v>7</v>
      </c>
      <c r="B188" s="237">
        <f>IFERROR(LARGE(Anchieta!$I$55:$I$102,A188)," ")</f>
        <v>15000</v>
      </c>
      <c r="C188" t="str">
        <f>IFERROR(INDEX(
    Anchieta!$C$59:$C$102,
    MATCH(
        B188,
        Anchieta!$I$59:$I$102,
        0
    )
), " ")</f>
        <v>10 - CONSUMO PERNA DE MOÇA</v>
      </c>
      <c r="D188" s="806">
        <f t="shared" si="67"/>
        <v>1.1764705881430219E-2</v>
      </c>
      <c r="E188" s="362">
        <f t="shared" si="68"/>
        <v>0.99058823529485573</v>
      </c>
      <c r="F188" t="str">
        <f t="shared" si="66"/>
        <v>Anchieta</v>
      </c>
      <c r="G188" t="str">
        <f>_xlfn.XLOOKUP(C188,Anchieta!$C$55:$C$102,Anchieta!$O$55:$O$102)</f>
        <v>⏳ Em Execução</v>
      </c>
      <c r="H188" t="str">
        <f>_xlfn.XLOOKUP(C188,Anchieta!$C$55:$C$102,Anchieta!$M$55:$M$102," ")</f>
        <v>OK</v>
      </c>
      <c r="I188" s="803">
        <f>_xlfn.XLOOKUP(C188,Anchieta!$C$55:$C$102,Anchieta!$J$55:$J$102)</f>
        <v>46113</v>
      </c>
      <c r="J188" s="235">
        <f ca="1">INDEX(Anchieta!$AP$55:$AP$102, MATCH(C188, Anchieta!$C$55:$C$102, 0))</f>
        <v>3333.3333333333335</v>
      </c>
      <c r="K188" s="235" cm="1">
        <f t="array" aca="1" ref="K188" ca="1">INDEX(Anchieta!$AP$55:$AP$102, MATCH(C188, Anchieta!$C$55:$C$102, 0)+1)</f>
        <v>-2886.64</v>
      </c>
      <c r="L188" s="235">
        <f>INDEX(Anchieta!$AH$55:$AH$102, MATCH(C188, Anchieta!$C$55:$C$102, 0))</f>
        <v>5000</v>
      </c>
      <c r="M188" s="235"/>
      <c r="N188" s="235"/>
      <c r="O188" s="235"/>
      <c r="P188" s="235"/>
      <c r="Q188">
        <v>185</v>
      </c>
      <c r="R188" s="275" t="str">
        <f t="shared" si="63"/>
        <v xml:space="preserve"> </v>
      </c>
      <c r="S188" t="str">
        <f t="shared" si="58"/>
        <v/>
      </c>
      <c r="T188" t="str">
        <f t="shared" si="59"/>
        <v>Diadema</v>
      </c>
      <c r="V188" s="235" t="str">
        <f t="shared" si="64"/>
        <v/>
      </c>
      <c r="W188" s="235">
        <f t="shared" si="65"/>
        <v>0</v>
      </c>
      <c r="X188" t="e">
        <f t="shared" si="60"/>
        <v>#N/A</v>
      </c>
      <c r="Y188" s="803" t="e">
        <f t="shared" si="61"/>
        <v>#N/A</v>
      </c>
      <c r="Z188" t="str">
        <f t="shared" si="62"/>
        <v xml:space="preserve"> </v>
      </c>
    </row>
    <row r="189" spans="1:26" ht="14.55" x14ac:dyDescent="0.3">
      <c r="A189">
        <v>8</v>
      </c>
      <c r="B189" s="237">
        <f>IFERROR(LARGE(Anchieta!$I$55:$I$102,A189)," ")</f>
        <v>7000</v>
      </c>
      <c r="C189" t="str">
        <f>IFERROR(INDEX(
    Anchieta!$C$59:$C$102,
    MATCH(
        B189,
        Anchieta!$I$59:$I$102,
        0
    )
), " ")</f>
        <v>12 - Vendas de descartáveis</v>
      </c>
      <c r="D189" s="806">
        <f t="shared" si="67"/>
        <v>5.4901960780007683E-3</v>
      </c>
      <c r="E189" s="362">
        <f t="shared" si="68"/>
        <v>0.99607843137285645</v>
      </c>
      <c r="F189" t="str">
        <f t="shared" si="66"/>
        <v>Anchieta</v>
      </c>
      <c r="G189" t="str">
        <f>_xlfn.XLOOKUP(C189,Anchieta!$C$55:$C$102,Anchieta!$O$55:$O$102)</f>
        <v>⏳ Em Execução</v>
      </c>
      <c r="H189">
        <f>_xlfn.XLOOKUP(C189,Anchieta!$C$55:$C$102,Anchieta!$M$55:$M$102," ")</f>
        <v>0</v>
      </c>
      <c r="I189" s="803">
        <f>_xlfn.XLOOKUP(C189,Anchieta!$C$55:$C$102,Anchieta!$J$55:$J$102)</f>
        <v>46235</v>
      </c>
      <c r="J189" s="235" t="str">
        <f ca="1">INDEX(Anchieta!$AP$55:$AP$102, MATCH(C189, Anchieta!$C$55:$C$102, 0))</f>
        <v/>
      </c>
      <c r="K189" s="235" t="str" cm="1">
        <f t="array" aca="1" ref="K189" ca="1">INDEX(Anchieta!$AP$55:$AP$102, MATCH(C189, Anchieta!$C$55:$C$102, 0)+1)</f>
        <v/>
      </c>
      <c r="L189" s="235">
        <f>INDEX(Anchieta!$AH$55:$AH$102, MATCH(C189, Anchieta!$C$55:$C$102, 0))</f>
        <v>4200</v>
      </c>
      <c r="M189" s="235"/>
      <c r="N189" s="235"/>
      <c r="O189" s="235"/>
      <c r="P189" s="235"/>
      <c r="Q189">
        <v>186</v>
      </c>
      <c r="R189" s="275" t="str">
        <f t="shared" si="63"/>
        <v xml:space="preserve"> </v>
      </c>
      <c r="S189" t="str">
        <f t="shared" si="58"/>
        <v/>
      </c>
      <c r="T189" t="str">
        <f t="shared" si="59"/>
        <v>Diadema</v>
      </c>
      <c r="V189" s="235" t="str">
        <f t="shared" si="64"/>
        <v/>
      </c>
      <c r="W189" s="235">
        <f t="shared" si="65"/>
        <v>0</v>
      </c>
      <c r="X189" t="e">
        <f t="shared" si="60"/>
        <v>#N/A</v>
      </c>
      <c r="Y189" s="803" t="e">
        <f t="shared" si="61"/>
        <v>#N/A</v>
      </c>
      <c r="Z189" t="str">
        <f t="shared" si="62"/>
        <v xml:space="preserve"> </v>
      </c>
    </row>
    <row r="190" spans="1:26" ht="14.55" x14ac:dyDescent="0.3">
      <c r="A190">
        <v>9</v>
      </c>
      <c r="B190" s="237">
        <f>IFERROR(LARGE(Anchieta!$I$55:$I$102,A190)," ")</f>
        <v>5000</v>
      </c>
      <c r="C190" t="str">
        <f>IFERROR(INDEX(
    Anchieta!$C$59:$C$102,
    MATCH(
        B190,
        Anchieta!$I$59:$I$102,
        0
    )
), " ")</f>
        <v>13 - Consumo de materiais da ETE</v>
      </c>
      <c r="D190" s="806">
        <f t="shared" si="67"/>
        <v>3.9215686271434061E-3</v>
      </c>
      <c r="E190" s="362">
        <f t="shared" si="68"/>
        <v>0.99999999999999989</v>
      </c>
      <c r="F190" t="str">
        <f t="shared" si="66"/>
        <v>Anchieta</v>
      </c>
      <c r="G190" t="str">
        <f>_xlfn.XLOOKUP(C190,Anchieta!$C$55:$C$102,Anchieta!$O$55:$O$102)</f>
        <v>⏳ Em Execução</v>
      </c>
      <c r="H190">
        <f>_xlfn.XLOOKUP(C190,Anchieta!$C$55:$C$102,Anchieta!$M$55:$M$102," ")</f>
        <v>0</v>
      </c>
      <c r="I190" s="803">
        <f>_xlfn.XLOOKUP(C190,Anchieta!$C$55:$C$102,Anchieta!$J$55:$J$102)</f>
        <v>46143</v>
      </c>
      <c r="J190" s="235">
        <f ca="1">INDEX(Anchieta!$AP$55:$AP$102, MATCH(C190, Anchieta!$C$55:$C$102, 0))</f>
        <v>625</v>
      </c>
      <c r="K190" s="235" t="str" cm="1">
        <f t="array" aca="1" ref="K190" ca="1">INDEX(Anchieta!$AP$55:$AP$102, MATCH(C190, Anchieta!$C$55:$C$102, 0)+1)</f>
        <v/>
      </c>
      <c r="L190" s="235">
        <f>INDEX(Anchieta!$AH$55:$AH$102, MATCH(C190, Anchieta!$C$55:$C$102, 0))</f>
        <v>1875</v>
      </c>
      <c r="M190" s="235"/>
      <c r="N190" s="235"/>
      <c r="O190" s="235"/>
      <c r="P190" s="235"/>
      <c r="Q190">
        <v>187</v>
      </c>
      <c r="R190" s="275" t="str">
        <f t="shared" si="63"/>
        <v xml:space="preserve"> </v>
      </c>
      <c r="S190" t="str">
        <f t="shared" si="58"/>
        <v/>
      </c>
      <c r="T190" t="str">
        <f t="shared" si="59"/>
        <v>Diadema</v>
      </c>
      <c r="V190" s="235" t="str">
        <f t="shared" si="64"/>
        <v/>
      </c>
      <c r="W190" s="235">
        <f t="shared" si="65"/>
        <v>0</v>
      </c>
      <c r="X190" t="e">
        <f t="shared" si="60"/>
        <v>#N/A</v>
      </c>
      <c r="Y190" s="803" t="e">
        <f t="shared" si="61"/>
        <v>#N/A</v>
      </c>
      <c r="Z190" t="str">
        <f t="shared" si="62"/>
        <v xml:space="preserve"> </v>
      </c>
    </row>
    <row r="191" spans="1:26" ht="14.55" x14ac:dyDescent="0.3">
      <c r="A191">
        <v>10</v>
      </c>
      <c r="B191" s="237" t="str">
        <f>IFERROR(LARGE(Anchieta!$I$55:$I$102,A191)," ")</f>
        <v xml:space="preserve"> </v>
      </c>
      <c r="C191" t="str">
        <f>IFERROR(INDEX(
    Anchieta!$C$59:$C$102,
    MATCH(
        B191,
        Anchieta!$I$59:$I$102,
        0
    )
), " ")</f>
        <v xml:space="preserve"> </v>
      </c>
      <c r="D191" s="806" t="str">
        <f t="shared" si="67"/>
        <v xml:space="preserve"> </v>
      </c>
      <c r="E191" s="362" t="str">
        <f t="shared" si="68"/>
        <v xml:space="preserve"> </v>
      </c>
      <c r="F191" t="str">
        <f t="shared" si="66"/>
        <v>Anchieta</v>
      </c>
      <c r="G191" t="e">
        <f>_xlfn.XLOOKUP(C191,Anchieta!$C$55:$C$102,Anchieta!$O$55:$O$102)</f>
        <v>#N/A</v>
      </c>
      <c r="H191" t="str">
        <f>_xlfn.XLOOKUP(C191,Anchieta!$C$55:$C$102,Anchieta!$M$55:$M$102," ")</f>
        <v xml:space="preserve"> </v>
      </c>
      <c r="I191" s="803" t="e">
        <f>_xlfn.XLOOKUP(C191,Anchieta!$C$55:$C$102,Anchieta!$J$55:$J$102)</f>
        <v>#N/A</v>
      </c>
      <c r="J191" s="235" t="e">
        <f>INDEX(Anchieta!$AP$55:$AP$102, MATCH(C191, Anchieta!$C$55:$C$102, 0))</f>
        <v>#N/A</v>
      </c>
      <c r="K191" s="235" t="e" cm="1">
        <f t="array" ref="K191">INDEX(Anchieta!$AP$55:$AP$102, MATCH(C191, Anchieta!$C$55:$C$102, 0)+1)</f>
        <v>#N/A</v>
      </c>
      <c r="L191" s="235" t="e">
        <f>INDEX(Anchieta!$AH$55:$AH$102, MATCH(C191, Anchieta!$C$55:$C$102, 0))</f>
        <v>#N/A</v>
      </c>
      <c r="M191" s="235"/>
      <c r="N191" s="235"/>
      <c r="O191" s="235"/>
      <c r="P191" s="235"/>
      <c r="Q191">
        <v>188</v>
      </c>
      <c r="R191" s="275" t="str">
        <f t="shared" si="63"/>
        <v xml:space="preserve"> </v>
      </c>
      <c r="S191" t="str">
        <f t="shared" si="58"/>
        <v/>
      </c>
      <c r="T191" t="str">
        <f t="shared" si="59"/>
        <v>Diadema</v>
      </c>
      <c r="V191" s="235" t="str">
        <f t="shared" si="64"/>
        <v/>
      </c>
      <c r="W191" s="235">
        <f t="shared" si="65"/>
        <v>0</v>
      </c>
      <c r="X191" t="e">
        <f t="shared" si="60"/>
        <v>#N/A</v>
      </c>
      <c r="Y191" s="803" t="e">
        <f t="shared" si="61"/>
        <v>#N/A</v>
      </c>
      <c r="Z191" t="str">
        <f t="shared" si="62"/>
        <v xml:space="preserve"> </v>
      </c>
    </row>
    <row r="192" spans="1:26" ht="14.55" x14ac:dyDescent="0.3">
      <c r="A192">
        <v>11</v>
      </c>
      <c r="B192" s="237" t="str">
        <f>IFERROR(LARGE(Anchieta!$I$55:$I$102,A192)," ")</f>
        <v xml:space="preserve"> </v>
      </c>
      <c r="C192" t="str">
        <f>IFERROR(INDEX(
    Anchieta!$C$59:$C$102,
    MATCH(
        B192,
        Anchieta!$I$59:$I$102,
        0
    )
), " ")</f>
        <v xml:space="preserve"> </v>
      </c>
      <c r="D192" s="806" t="str">
        <f t="shared" si="67"/>
        <v xml:space="preserve"> </v>
      </c>
      <c r="E192" s="362" t="str">
        <f t="shared" si="68"/>
        <v xml:space="preserve"> </v>
      </c>
      <c r="F192" t="str">
        <f t="shared" si="66"/>
        <v>Anchieta</v>
      </c>
      <c r="G192" t="e">
        <f>_xlfn.XLOOKUP(C192,Anchieta!$C$55:$C$102,Anchieta!$O$55:$O$102)</f>
        <v>#N/A</v>
      </c>
      <c r="H192" t="str">
        <f>_xlfn.XLOOKUP(C192,Anchieta!$C$55:$C$102,Anchieta!$M$55:$M$102," ")</f>
        <v xml:space="preserve"> </v>
      </c>
      <c r="I192" s="803" t="e">
        <f>_xlfn.XLOOKUP(C192,Anchieta!$C$55:$C$102,Anchieta!$J$55:$J$102)</f>
        <v>#N/A</v>
      </c>
      <c r="J192" s="235" t="e">
        <f>INDEX(Anchieta!$AP$55:$AP$102, MATCH(C192, Anchieta!$C$55:$C$102, 0))</f>
        <v>#N/A</v>
      </c>
      <c r="K192" s="235" t="e" cm="1">
        <f t="array" ref="K192">INDEX(Anchieta!$AP$55:$AP$102, MATCH(C192, Anchieta!$C$55:$C$102, 0)+1)</f>
        <v>#N/A</v>
      </c>
      <c r="L192" s="235" t="e">
        <f>INDEX(Anchieta!$AH$55:$AH$102, MATCH(C192, Anchieta!$C$55:$C$102, 0))</f>
        <v>#N/A</v>
      </c>
      <c r="M192" s="235"/>
      <c r="N192" s="235"/>
      <c r="O192" s="235"/>
      <c r="P192" s="235"/>
      <c r="Q192">
        <v>189</v>
      </c>
      <c r="R192" s="275" t="str">
        <f t="shared" si="63"/>
        <v xml:space="preserve"> </v>
      </c>
      <c r="S192" t="str">
        <f t="shared" si="58"/>
        <v/>
      </c>
      <c r="T192" t="str">
        <f t="shared" si="59"/>
        <v>Diadema</v>
      </c>
      <c r="V192" s="235" t="str">
        <f t="shared" si="64"/>
        <v/>
      </c>
      <c r="W192" s="235">
        <f t="shared" si="65"/>
        <v>0</v>
      </c>
      <c r="X192" t="e">
        <f t="shared" si="60"/>
        <v>#N/A</v>
      </c>
      <c r="Y192" s="803" t="e">
        <f t="shared" si="61"/>
        <v>#N/A</v>
      </c>
      <c r="Z192" t="str">
        <f t="shared" si="62"/>
        <v xml:space="preserve"> </v>
      </c>
    </row>
    <row r="193" spans="1:26" ht="14.55" x14ac:dyDescent="0.3">
      <c r="A193">
        <v>12</v>
      </c>
      <c r="B193" s="235" t="str">
        <f>IFERROR(LARGE(Anchieta!$I$55:$I$102,A193)," ")</f>
        <v xml:space="preserve"> </v>
      </c>
      <c r="C193" t="str">
        <f>IFERROR(INDEX(
    Anchieta!$C$59:$C$102,
    MATCH(
        B193,
        Anchieta!$I$59:$I$102,
        0
    )
), " ")</f>
        <v xml:space="preserve"> </v>
      </c>
      <c r="D193" s="806" t="str">
        <f t="shared" si="67"/>
        <v xml:space="preserve"> </v>
      </c>
      <c r="E193" s="362" t="str">
        <f t="shared" si="68"/>
        <v xml:space="preserve"> </v>
      </c>
      <c r="F193" t="str">
        <f t="shared" si="66"/>
        <v>Anchieta</v>
      </c>
      <c r="G193" t="e">
        <f>_xlfn.XLOOKUP(C193,Anchieta!$C$55:$C$102,Anchieta!$O$55:$O$102)</f>
        <v>#N/A</v>
      </c>
      <c r="H193" t="str">
        <f>_xlfn.XLOOKUP(C193,Anchieta!$C$55:$C$102,Anchieta!$M$55:$M$102," ")</f>
        <v xml:space="preserve"> </v>
      </c>
      <c r="I193" s="803" t="e">
        <f>_xlfn.XLOOKUP(C193,Anchieta!$C$55:$C$102,Anchieta!$J$55:$J$102)</f>
        <v>#N/A</v>
      </c>
      <c r="J193" s="235" t="e">
        <f>INDEX(Anchieta!$AP$55:$AP$102, MATCH(C193, Anchieta!$C$55:$C$102, 0))</f>
        <v>#N/A</v>
      </c>
      <c r="K193" s="235" t="e" cm="1">
        <f t="array" ref="K193">INDEX(Anchieta!$AP$55:$AP$102, MATCH(C193, Anchieta!$C$55:$C$102, 0)+1)</f>
        <v>#N/A</v>
      </c>
      <c r="L193" s="235" t="e">
        <f>INDEX(Anchieta!$AH$55:$AH$102, MATCH(C193, Anchieta!$C$55:$C$102, 0))</f>
        <v>#N/A</v>
      </c>
      <c r="M193" s="235"/>
      <c r="N193" s="235"/>
      <c r="O193" s="235"/>
      <c r="P193" s="235"/>
      <c r="Q193">
        <v>190</v>
      </c>
      <c r="R193" s="275" t="str">
        <f t="shared" si="63"/>
        <v xml:space="preserve"> </v>
      </c>
      <c r="S193" t="str">
        <f t="shared" si="58"/>
        <v/>
      </c>
      <c r="T193" t="str">
        <f t="shared" si="59"/>
        <v>Diadema</v>
      </c>
      <c r="V193" s="235" t="str">
        <f t="shared" si="64"/>
        <v/>
      </c>
      <c r="W193" s="235">
        <f t="shared" si="65"/>
        <v>0</v>
      </c>
      <c r="X193" t="e">
        <f t="shared" si="60"/>
        <v>#N/A</v>
      </c>
      <c r="Y193" s="803" t="e">
        <f t="shared" si="61"/>
        <v>#N/A</v>
      </c>
      <c r="Z193" t="str">
        <f t="shared" si="62"/>
        <v xml:space="preserve"> </v>
      </c>
    </row>
    <row r="194" spans="1:26" ht="14.55" x14ac:dyDescent="0.3">
      <c r="A194">
        <v>13</v>
      </c>
      <c r="B194" s="235" t="str">
        <f>IFERROR(LARGE(Anchieta!$I$55:$I$102,A194)," ")</f>
        <v xml:space="preserve"> </v>
      </c>
      <c r="C194" t="str">
        <f>IFERROR(INDEX(
    Anchieta!$C$59:$C$102,
    MATCH(
        B194,
        Anchieta!$I$59:$I$102,
        0
    )
), " ")</f>
        <v xml:space="preserve"> </v>
      </c>
      <c r="D194" s="806" t="str">
        <f t="shared" si="67"/>
        <v xml:space="preserve"> </v>
      </c>
      <c r="E194" s="362" t="str">
        <f t="shared" si="68"/>
        <v xml:space="preserve"> </v>
      </c>
      <c r="F194" t="str">
        <f t="shared" si="66"/>
        <v>Anchieta</v>
      </c>
      <c r="G194" t="e">
        <f>_xlfn.XLOOKUP(C194,Anchieta!$C$55:$C$102,Anchieta!$O$55:$O$102)</f>
        <v>#N/A</v>
      </c>
      <c r="H194" t="str">
        <f>_xlfn.XLOOKUP(C194,Anchieta!$C$55:$C$102,Anchieta!$M$55:$M$102," ")</f>
        <v xml:space="preserve"> </v>
      </c>
      <c r="I194" s="803" t="e">
        <f>_xlfn.XLOOKUP(C194,Anchieta!$C$55:$C$102,Anchieta!$J$55:$J$102)</f>
        <v>#N/A</v>
      </c>
      <c r="J194" s="235" t="e">
        <f>INDEX(Anchieta!$AP$55:$AP$102, MATCH(C194, Anchieta!$C$55:$C$102, 0))</f>
        <v>#N/A</v>
      </c>
      <c r="K194" s="235" t="e" cm="1">
        <f t="array" ref="K194">INDEX(Anchieta!$AP$55:$AP$102, MATCH(C194, Anchieta!$C$55:$C$102, 0)+1)</f>
        <v>#N/A</v>
      </c>
      <c r="L194" s="235" t="e">
        <f>INDEX(Anchieta!$AH$55:$AH$102, MATCH(C194, Anchieta!$C$55:$C$102, 0))</f>
        <v>#N/A</v>
      </c>
      <c r="M194" s="235"/>
      <c r="N194" s="235"/>
      <c r="O194" s="235"/>
      <c r="P194" s="235"/>
      <c r="Q194">
        <v>191</v>
      </c>
      <c r="R194" s="275" t="str">
        <f t="shared" si="63"/>
        <v xml:space="preserve"> </v>
      </c>
      <c r="S194" t="str">
        <f t="shared" si="58"/>
        <v/>
      </c>
      <c r="T194" t="str">
        <f t="shared" si="59"/>
        <v>Diadema</v>
      </c>
      <c r="V194" s="235" t="str">
        <f t="shared" si="64"/>
        <v/>
      </c>
      <c r="W194" s="235">
        <f t="shared" si="65"/>
        <v>0</v>
      </c>
      <c r="X194" t="e">
        <f t="shared" si="60"/>
        <v>#N/A</v>
      </c>
      <c r="Y194" s="803" t="e">
        <f t="shared" si="61"/>
        <v>#N/A</v>
      </c>
      <c r="Z194" t="str">
        <f t="shared" si="62"/>
        <v xml:space="preserve"> </v>
      </c>
    </row>
    <row r="195" spans="1:26" ht="14.55" x14ac:dyDescent="0.3">
      <c r="A195">
        <v>14</v>
      </c>
      <c r="B195" s="235" t="str">
        <f>IFERROR(LARGE(Anchieta!$I$55:$I$102,A195)," ")</f>
        <v xml:space="preserve"> </v>
      </c>
      <c r="C195" t="str">
        <f>IFERROR(INDEX(
    Anchieta!$C$59:$C$102,
    MATCH(
        B195,
        Anchieta!$I$59:$I$102,
        0
    )
), " ")</f>
        <v xml:space="preserve"> </v>
      </c>
      <c r="D195" s="806" t="str">
        <f t="shared" si="67"/>
        <v xml:space="preserve"> </v>
      </c>
      <c r="E195" s="362" t="str">
        <f t="shared" si="68"/>
        <v xml:space="preserve"> </v>
      </c>
      <c r="F195" t="str">
        <f t="shared" si="66"/>
        <v>Anchieta</v>
      </c>
      <c r="G195" t="e">
        <f>_xlfn.XLOOKUP(C195,Anchieta!$C$55:$C$102,Anchieta!$O$55:$O$102)</f>
        <v>#N/A</v>
      </c>
      <c r="H195" t="str">
        <f>_xlfn.XLOOKUP(C195,Anchieta!$C$55:$C$102,Anchieta!$M$55:$M$102," ")</f>
        <v xml:space="preserve"> </v>
      </c>
      <c r="I195" s="803" t="e">
        <f>_xlfn.XLOOKUP(C195,Anchieta!$C$55:$C$102,Anchieta!$J$55:$J$102)</f>
        <v>#N/A</v>
      </c>
      <c r="J195" s="235" t="e">
        <f>INDEX(Anchieta!$AP$55:$AP$102, MATCH(C195, Anchieta!$C$55:$C$102, 0))</f>
        <v>#N/A</v>
      </c>
      <c r="K195" s="235" t="e" cm="1">
        <f t="array" ref="K195">INDEX(Anchieta!$AP$55:$AP$102, MATCH(C195, Anchieta!$C$55:$C$102, 0)+1)</f>
        <v>#N/A</v>
      </c>
      <c r="L195" s="235" t="e">
        <f>INDEX(Anchieta!$AH$55:$AH$102, MATCH(C195, Anchieta!$C$55:$C$102, 0))</f>
        <v>#N/A</v>
      </c>
      <c r="M195" s="235"/>
      <c r="N195" s="235"/>
      <c r="O195" s="235"/>
      <c r="P195" s="235"/>
      <c r="Q195">
        <v>192</v>
      </c>
      <c r="R195" s="275" t="str">
        <f t="shared" si="63"/>
        <v xml:space="preserve"> </v>
      </c>
      <c r="S195" t="str">
        <f t="shared" si="58"/>
        <v/>
      </c>
      <c r="T195" t="str">
        <f t="shared" si="59"/>
        <v>Diadema</v>
      </c>
      <c r="V195" s="235" t="str">
        <f t="shared" si="64"/>
        <v/>
      </c>
      <c r="W195" s="235">
        <f t="shared" si="65"/>
        <v>0</v>
      </c>
      <c r="X195" t="e">
        <f t="shared" si="60"/>
        <v>#N/A</v>
      </c>
      <c r="Y195" s="803" t="e">
        <f t="shared" si="61"/>
        <v>#N/A</v>
      </c>
      <c r="Z195" t="str">
        <f t="shared" si="62"/>
        <v xml:space="preserve"> </v>
      </c>
    </row>
    <row r="196" spans="1:26" ht="14.55" x14ac:dyDescent="0.3">
      <c r="A196">
        <v>15</v>
      </c>
      <c r="B196" s="235" t="str">
        <f>IFERROR(LARGE(Anchieta!$I$55:$I$102,A196)," ")</f>
        <v xml:space="preserve"> </v>
      </c>
      <c r="C196" t="str">
        <f>IFERROR(INDEX(
    Anchieta!$C$59:$C$102,
    MATCH(
        B196,
        Anchieta!$I$59:$I$102,
        0
    )
), " ")</f>
        <v xml:space="preserve"> </v>
      </c>
      <c r="D196" s="806" t="str">
        <f t="shared" si="67"/>
        <v xml:space="preserve"> </v>
      </c>
      <c r="E196" s="362" t="str">
        <f t="shared" si="68"/>
        <v xml:space="preserve"> </v>
      </c>
      <c r="F196" t="str">
        <f t="shared" si="66"/>
        <v>Anchieta</v>
      </c>
      <c r="G196" t="e">
        <f>_xlfn.XLOOKUP(C196,Anchieta!$C$55:$C$102,Anchieta!$O$55:$O$102)</f>
        <v>#N/A</v>
      </c>
      <c r="H196" t="str">
        <f>_xlfn.XLOOKUP(C196,Anchieta!$C$55:$C$102,Anchieta!$M$55:$M$102," ")</f>
        <v xml:space="preserve"> </v>
      </c>
      <c r="I196" s="803" t="e">
        <f>_xlfn.XLOOKUP(C196,Anchieta!$C$55:$C$102,Anchieta!$J$55:$J$102)</f>
        <v>#N/A</v>
      </c>
      <c r="J196" s="235" t="e">
        <f>INDEX(Anchieta!$AP$55:$AP$102, MATCH(C196, Anchieta!$C$55:$C$102, 0))</f>
        <v>#N/A</v>
      </c>
      <c r="K196" s="235" t="e" cm="1">
        <f t="array" ref="K196">INDEX(Anchieta!$AP$55:$AP$102, MATCH(C196, Anchieta!$C$55:$C$102, 0)+1)</f>
        <v>#N/A</v>
      </c>
      <c r="L196" s="235" t="e">
        <f>INDEX(Anchieta!$AH$55:$AH$102, MATCH(C196, Anchieta!$C$55:$C$102, 0))</f>
        <v>#N/A</v>
      </c>
      <c r="M196" s="235"/>
      <c r="N196" s="235"/>
      <c r="O196" s="235"/>
      <c r="P196" s="235"/>
      <c r="Q196">
        <v>193</v>
      </c>
      <c r="R196" s="275" t="str">
        <f t="shared" si="63"/>
        <v xml:space="preserve"> </v>
      </c>
      <c r="S196" t="str">
        <f t="shared" ref="S196:S198" si="69">_xlfn.XLOOKUP(R196,B:B,C:C)</f>
        <v/>
      </c>
      <c r="T196" t="str">
        <f t="shared" ref="T196:T198" si="70">_xlfn.XLOOKUP(S196,C:C,F:F)</f>
        <v>Diadema</v>
      </c>
      <c r="V196" s="235" t="str">
        <f t="shared" si="64"/>
        <v/>
      </c>
      <c r="W196" s="235">
        <f t="shared" si="65"/>
        <v>0</v>
      </c>
      <c r="X196" t="e">
        <f t="shared" si="60"/>
        <v>#N/A</v>
      </c>
      <c r="Y196" s="803" t="e">
        <f t="shared" ref="Y196:Y203" si="71">_xlfn.XLOOKUP(S196,C:C,I:I)</f>
        <v>#N/A</v>
      </c>
      <c r="Z196" t="str">
        <f t="shared" si="62"/>
        <v xml:space="preserve"> </v>
      </c>
    </row>
    <row r="197" spans="1:26" ht="14.55" x14ac:dyDescent="0.3">
      <c r="A197">
        <v>16</v>
      </c>
      <c r="B197" s="235" t="str">
        <f>IFERROR(LARGE(Anchieta!$I$55:$I$102,A197)," ")</f>
        <v xml:space="preserve"> </v>
      </c>
      <c r="C197" t="str">
        <f>IFERROR(INDEX(
    Anchieta!$C$59:$C$102,
    MATCH(
        B197,
        Anchieta!$I$59:$I$102,
        0
    )
), " ")</f>
        <v xml:space="preserve"> </v>
      </c>
      <c r="D197" s="806" t="str">
        <f t="shared" si="67"/>
        <v xml:space="preserve"> </v>
      </c>
      <c r="E197" s="362" t="str">
        <f t="shared" si="68"/>
        <v xml:space="preserve"> </v>
      </c>
      <c r="F197" t="str">
        <f t="shared" si="66"/>
        <v>Anchieta</v>
      </c>
      <c r="G197" t="e">
        <f>_xlfn.XLOOKUP(C197,Anchieta!$C$55:$C$102,Anchieta!$O$55:$O$102)</f>
        <v>#N/A</v>
      </c>
      <c r="H197" t="str">
        <f>_xlfn.XLOOKUP(C197,Anchieta!$C$55:$C$102,Anchieta!$M$55:$M$102," ")</f>
        <v xml:space="preserve"> </v>
      </c>
      <c r="I197" s="803" t="e">
        <f>_xlfn.XLOOKUP(C197,Anchieta!$C$55:$C$102,Anchieta!$J$55:$J$102)</f>
        <v>#N/A</v>
      </c>
      <c r="J197" s="235" t="e">
        <f>INDEX(Anchieta!$AP$55:$AP$102, MATCH(C197, Anchieta!$C$55:$C$102, 0))</f>
        <v>#N/A</v>
      </c>
      <c r="K197" s="235" t="e" cm="1">
        <f t="array" ref="K197">INDEX(Anchieta!$AP$55:$AP$102, MATCH(C197, Anchieta!$C$55:$C$102, 0)+1)</f>
        <v>#N/A</v>
      </c>
      <c r="L197" s="235" t="e">
        <f>INDEX(Anchieta!$AH$55:$AH$102, MATCH(C197, Anchieta!$C$55:$C$102, 0))</f>
        <v>#N/A</v>
      </c>
      <c r="M197" s="235"/>
      <c r="N197" s="235"/>
      <c r="O197" s="235"/>
      <c r="P197" s="235"/>
      <c r="Q197">
        <v>194</v>
      </c>
      <c r="R197" s="275" t="str">
        <f t="shared" si="63"/>
        <v xml:space="preserve"> </v>
      </c>
      <c r="S197" t="str">
        <f t="shared" si="69"/>
        <v/>
      </c>
      <c r="T197" t="str">
        <f t="shared" si="70"/>
        <v>Diadema</v>
      </c>
      <c r="V197" s="235" t="str">
        <f t="shared" si="64"/>
        <v/>
      </c>
      <c r="W197" s="235">
        <f t="shared" si="65"/>
        <v>0</v>
      </c>
      <c r="X197" t="e">
        <f t="shared" si="60"/>
        <v>#N/A</v>
      </c>
      <c r="Y197" s="803" t="e">
        <f t="shared" si="71"/>
        <v>#N/A</v>
      </c>
      <c r="Z197" t="str">
        <f t="shared" si="62"/>
        <v xml:space="preserve"> </v>
      </c>
    </row>
    <row r="198" spans="1:26" ht="14.55" x14ac:dyDescent="0.3">
      <c r="A198">
        <v>17</v>
      </c>
      <c r="B198" s="235" t="str">
        <f>IFERROR(LARGE(Anchieta!$I$59:$I$102,A198)," ")</f>
        <v xml:space="preserve"> </v>
      </c>
      <c r="C198" t="str">
        <f>IFERROR(INDEX(
    Anchieta!$C$59:$C$102,
    MATCH(
        B198,
        Anchieta!$I$59:$I$102,
        0
    )
), " ")</f>
        <v xml:space="preserve"> </v>
      </c>
      <c r="D198" s="806" t="str">
        <f t="shared" si="67"/>
        <v xml:space="preserve"> </v>
      </c>
      <c r="E198" s="362" t="str">
        <f t="shared" si="68"/>
        <v xml:space="preserve"> </v>
      </c>
      <c r="F198" t="str">
        <f t="shared" si="66"/>
        <v>Anchieta</v>
      </c>
      <c r="G198" t="e">
        <f>_xlfn.XLOOKUP(C198,Anchieta!$C$55:$C$102,Anchieta!$O$55:$O$102)</f>
        <v>#N/A</v>
      </c>
      <c r="H198" t="str">
        <f>_xlfn.XLOOKUP(C198,Anchieta!$C$55:$C$102,Anchieta!$M$55:$M$102," ")</f>
        <v xml:space="preserve"> </v>
      </c>
      <c r="I198" s="803" t="e">
        <f>_xlfn.XLOOKUP(C198,Anchieta!$C$55:$C$102,Anchieta!$J$55:$J$102)</f>
        <v>#N/A</v>
      </c>
      <c r="J198" s="235" t="e">
        <f>INDEX(Anchieta!$AP$55:$AP$102, MATCH(C198, Anchieta!$C$55:$C$102, 0))</f>
        <v>#N/A</v>
      </c>
      <c r="K198" s="235" t="e" cm="1">
        <f t="array" ref="K198">INDEX(Anchieta!$AP$55:$AP$102, MATCH(C198, Anchieta!$C$55:$C$102, 0)+1)</f>
        <v>#N/A</v>
      </c>
      <c r="L198" s="235" t="e">
        <f>INDEX(Anchieta!$AH$55:$AH$102, MATCH(C198, Anchieta!$C$55:$C$102, 0))</f>
        <v>#N/A</v>
      </c>
      <c r="M198" s="235"/>
      <c r="N198" s="235"/>
      <c r="O198" s="235"/>
      <c r="P198" s="235"/>
      <c r="Q198">
        <v>195</v>
      </c>
      <c r="R198" s="275" t="str">
        <f t="shared" si="63"/>
        <v xml:space="preserve"> </v>
      </c>
      <c r="S198" t="str">
        <f t="shared" si="69"/>
        <v/>
      </c>
      <c r="T198" t="str">
        <f t="shared" si="70"/>
        <v>Diadema</v>
      </c>
      <c r="V198" s="235" t="str">
        <f t="shared" si="64"/>
        <v/>
      </c>
      <c r="W198" s="235">
        <f t="shared" si="65"/>
        <v>0</v>
      </c>
      <c r="X198" t="e">
        <f t="shared" si="60"/>
        <v>#N/A</v>
      </c>
      <c r="Y198" s="803" t="e">
        <f t="shared" si="71"/>
        <v>#N/A</v>
      </c>
      <c r="Z198" t="str">
        <f t="shared" si="62"/>
        <v xml:space="preserve"> </v>
      </c>
    </row>
    <row r="199" spans="1:26" ht="14.55" x14ac:dyDescent="0.3">
      <c r="A199">
        <v>18</v>
      </c>
      <c r="B199" s="235" t="str">
        <f>IFERROR(LARGE(Anchieta!$I$59:$I$102,A199)," ")</f>
        <v xml:space="preserve"> </v>
      </c>
      <c r="C199" t="str">
        <f>IFERROR(INDEX(
    Anchieta!$C$59:$C$102,
    MATCH(
        B199,
        Anchieta!$I$59:$I$102,
        0
    )
), " ")</f>
        <v xml:space="preserve"> </v>
      </c>
      <c r="D199" s="806" t="str">
        <f t="shared" si="67"/>
        <v xml:space="preserve"> </v>
      </c>
      <c r="E199" s="362" t="str">
        <f t="shared" si="68"/>
        <v xml:space="preserve"> </v>
      </c>
      <c r="F199" t="str">
        <f t="shared" si="66"/>
        <v>Anchieta</v>
      </c>
      <c r="G199" t="e">
        <f>_xlfn.XLOOKUP(C199,Anchieta!$C$55:$C$102,Anchieta!$O$55:$O$102)</f>
        <v>#N/A</v>
      </c>
      <c r="H199" t="str">
        <f>_xlfn.XLOOKUP(C199,Anchieta!$C$55:$C$102,Anchieta!$M$55:$M$102," ")</f>
        <v xml:space="preserve"> </v>
      </c>
      <c r="I199" s="803" t="e">
        <f>_xlfn.XLOOKUP(C199,Anchieta!$C$55:$C$102,Anchieta!$J$55:$J$102)</f>
        <v>#N/A</v>
      </c>
      <c r="J199" s="235" t="e">
        <f>INDEX(Anchieta!$AP$55:$AP$102, MATCH(C199, Anchieta!$C$55:$C$102, 0))</f>
        <v>#N/A</v>
      </c>
      <c r="K199" s="235" t="e" cm="1">
        <f t="array" ref="K199">INDEX(Anchieta!$AP$55:$AP$102, MATCH(C199, Anchieta!$C$55:$C$102, 0)+1)</f>
        <v>#N/A</v>
      </c>
      <c r="L199" s="235" t="e">
        <f>INDEX(Anchieta!$AH$55:$AH$102, MATCH(C199, Anchieta!$C$55:$C$102, 0))</f>
        <v>#N/A</v>
      </c>
      <c r="M199" s="235"/>
      <c r="N199" s="235"/>
      <c r="O199" s="235"/>
      <c r="P199" s="235"/>
      <c r="Q199">
        <v>196</v>
      </c>
      <c r="R199" s="275" t="str">
        <f t="shared" si="63"/>
        <v xml:space="preserve"> </v>
      </c>
      <c r="Y199" s="803">
        <f t="shared" si="71"/>
        <v>0</v>
      </c>
    </row>
    <row r="200" spans="1:26" ht="14.55" x14ac:dyDescent="0.3">
      <c r="A200">
        <v>19</v>
      </c>
      <c r="B200" s="235" t="str">
        <f>IFERROR(LARGE(Anchieta!$I$59:$I$102,A200)," ")</f>
        <v xml:space="preserve"> </v>
      </c>
      <c r="C200" t="str">
        <f>IFERROR(INDEX(
    Anchieta!$C$59:$C$102,
    MATCH(
        B200,
        Anchieta!$I$59:$I$102,
        0
    )
), " ")</f>
        <v xml:space="preserve"> </v>
      </c>
      <c r="D200" s="806" t="str">
        <f t="shared" si="67"/>
        <v xml:space="preserve"> </v>
      </c>
      <c r="E200" s="362" t="str">
        <f t="shared" si="68"/>
        <v xml:space="preserve"> </v>
      </c>
      <c r="F200" t="str">
        <f t="shared" si="66"/>
        <v>Anchieta</v>
      </c>
      <c r="G200" t="e">
        <f>_xlfn.XLOOKUP(C200,Anchieta!$C$55:$C$102,Anchieta!$O$55:$O$102)</f>
        <v>#N/A</v>
      </c>
      <c r="H200" t="str">
        <f>_xlfn.XLOOKUP(C200,Anchieta!$C$55:$C$102,Anchieta!$M$55:$M$102," ")</f>
        <v xml:space="preserve"> </v>
      </c>
      <c r="I200" s="803" t="e">
        <f>_xlfn.XLOOKUP(C200,Anchieta!$C$55:$C$102,Anchieta!$J$55:$J$102)</f>
        <v>#N/A</v>
      </c>
      <c r="J200" s="235" t="e">
        <f>INDEX(Anchieta!$AP$55:$AP$102, MATCH(C200, Anchieta!$C$55:$C$102, 0))</f>
        <v>#N/A</v>
      </c>
      <c r="K200" s="235" t="e" cm="1">
        <f t="array" ref="K200">INDEX(Anchieta!$AP$55:$AP$102, MATCH(C200, Anchieta!$C$55:$C$102, 0)+1)</f>
        <v>#N/A</v>
      </c>
      <c r="L200" s="235" t="e">
        <f>INDEX(Anchieta!$AH$55:$AH$102, MATCH(C200, Anchieta!$C$55:$C$102, 0))</f>
        <v>#N/A</v>
      </c>
      <c r="M200" s="235"/>
      <c r="N200" s="235"/>
      <c r="O200" s="235"/>
      <c r="P200" s="235"/>
      <c r="Q200">
        <v>197</v>
      </c>
      <c r="R200" s="275" t="str">
        <f t="shared" si="63"/>
        <v xml:space="preserve"> </v>
      </c>
      <c r="Y200" s="803">
        <f t="shared" si="71"/>
        <v>0</v>
      </c>
    </row>
    <row r="201" spans="1:26" ht="14.55" x14ac:dyDescent="0.3">
      <c r="A201">
        <v>20</v>
      </c>
      <c r="B201" s="235" t="str">
        <f>IFERROR(LARGE(Anchieta!$I$59:$I$102,A201)," ")</f>
        <v xml:space="preserve"> </v>
      </c>
      <c r="C201" t="str">
        <f>IFERROR(INDEX(
    Anchieta!$C$59:$C$102,
    MATCH(
        B201,
        Anchieta!$I$59:$I$102,
        0
    )
), " ")</f>
        <v xml:space="preserve"> </v>
      </c>
      <c r="D201" s="806" t="str">
        <f t="shared" si="67"/>
        <v xml:space="preserve"> </v>
      </c>
      <c r="E201" s="362" t="str">
        <f t="shared" si="68"/>
        <v xml:space="preserve"> </v>
      </c>
      <c r="F201" t="str">
        <f t="shared" si="66"/>
        <v>Anchieta</v>
      </c>
      <c r="G201" t="e">
        <f>_xlfn.XLOOKUP(C201,Anchieta!$C$55:$C$102,Anchieta!$O$55:$O$102)</f>
        <v>#N/A</v>
      </c>
      <c r="H201" t="str">
        <f>_xlfn.XLOOKUP(C201,Anchieta!$C$55:$C$102,Anchieta!$M$55:$M$102," ")</f>
        <v xml:space="preserve"> </v>
      </c>
      <c r="I201" s="803" t="e">
        <f>_xlfn.XLOOKUP(C201,Anchieta!$C$55:$C$102,Anchieta!$J$55:$J$102)</f>
        <v>#N/A</v>
      </c>
      <c r="J201" s="235" t="e">
        <f>INDEX(Anchieta!$AP$55:$AP$102, MATCH(C201, Anchieta!$C$55:$C$102, 0))</f>
        <v>#N/A</v>
      </c>
      <c r="K201" s="235" t="e" cm="1">
        <f t="array" ref="K201">INDEX(Anchieta!$AP$55:$AP$102, MATCH(C201, Anchieta!$C$55:$C$102, 0)+1)</f>
        <v>#N/A</v>
      </c>
      <c r="L201" s="235" t="e">
        <f>INDEX(Anchieta!$AH$55:$AH$102, MATCH(C201, Anchieta!$C$55:$C$102, 0))</f>
        <v>#N/A</v>
      </c>
      <c r="M201" s="235"/>
      <c r="N201" s="235"/>
      <c r="O201" s="235"/>
      <c r="P201" s="235"/>
      <c r="Q201">
        <v>198</v>
      </c>
      <c r="R201" s="275" t="str">
        <f t="shared" si="63"/>
        <v xml:space="preserve"> </v>
      </c>
      <c r="Y201" s="803">
        <f t="shared" si="71"/>
        <v>0</v>
      </c>
    </row>
    <row r="202" spans="1:26" ht="14.55" x14ac:dyDescent="0.3">
      <c r="A202">
        <v>21</v>
      </c>
      <c r="B202" s="235" t="str">
        <f>IFERROR(LARGE(Anchieta!$I$59:$I$102,A202)," ")</f>
        <v xml:space="preserve"> </v>
      </c>
      <c r="C202" t="str">
        <f>IFERROR(INDEX(
    Anchieta!$C$59:$C$102,
    MATCH(
        B202,
        Anchieta!$I$59:$I$102,
        0
    )
), " ")</f>
        <v xml:space="preserve"> </v>
      </c>
      <c r="D202" s="806" t="str">
        <f t="shared" si="67"/>
        <v xml:space="preserve"> </v>
      </c>
      <c r="E202" s="362" t="str">
        <f t="shared" si="68"/>
        <v xml:space="preserve"> </v>
      </c>
      <c r="F202" t="str">
        <f t="shared" si="66"/>
        <v>Anchieta</v>
      </c>
      <c r="G202" t="e">
        <f>_xlfn.XLOOKUP(C202,Anchieta!$C$55:$C$102,Anchieta!$O$55:$O$102)</f>
        <v>#N/A</v>
      </c>
      <c r="H202" t="str">
        <f>_xlfn.XLOOKUP(C202,Anchieta!$C$55:$C$102,Anchieta!$M$55:$M$102," ")</f>
        <v xml:space="preserve"> </v>
      </c>
      <c r="I202" s="803" t="e">
        <f>_xlfn.XLOOKUP(C202,Anchieta!$C$55:$C$102,Anchieta!$J$55:$J$102)</f>
        <v>#N/A</v>
      </c>
      <c r="J202" s="235" t="e">
        <f>INDEX(Anchieta!$AP$55:$AP$102, MATCH(C202, Anchieta!$C$55:$C$102, 0))</f>
        <v>#N/A</v>
      </c>
      <c r="K202" s="235" t="e" cm="1">
        <f t="array" ref="K202">INDEX(Anchieta!$AP$55:$AP$102, MATCH(C202, Anchieta!$C$55:$C$102, 0)+1)</f>
        <v>#N/A</v>
      </c>
      <c r="L202" s="235" t="e">
        <f>INDEX(Anchieta!$AH$55:$AH$102, MATCH(C202, Anchieta!$C$55:$C$102, 0))</f>
        <v>#N/A</v>
      </c>
      <c r="M202" s="235"/>
      <c r="N202" s="235"/>
      <c r="O202" s="235"/>
      <c r="P202" s="235"/>
      <c r="Q202">
        <v>199</v>
      </c>
      <c r="R202" s="275" t="str">
        <f t="shared" si="63"/>
        <v xml:space="preserve"> </v>
      </c>
      <c r="Y202" s="803">
        <f t="shared" si="71"/>
        <v>0</v>
      </c>
    </row>
    <row r="203" spans="1:26" ht="14.55" x14ac:dyDescent="0.3">
      <c r="A203">
        <v>22</v>
      </c>
      <c r="B203" s="235" t="str">
        <f>IFERROR(LARGE(Anchieta!$I$59:$I$102,A203)," ")</f>
        <v xml:space="preserve"> </v>
      </c>
      <c r="C203" t="str">
        <f>IFERROR(INDEX(
    Anchieta!$C$59:$C$102,
    MATCH(
        B203,
        Anchieta!$I$59:$I$102,
        0
    )
), " ")</f>
        <v xml:space="preserve"> </v>
      </c>
      <c r="D203" s="806" t="str">
        <f t="shared" si="67"/>
        <v xml:space="preserve"> </v>
      </c>
      <c r="E203" s="362" t="str">
        <f t="shared" si="68"/>
        <v xml:space="preserve"> </v>
      </c>
      <c r="F203" t="str">
        <f t="shared" si="66"/>
        <v>Anchieta</v>
      </c>
      <c r="G203" t="e">
        <f>_xlfn.XLOOKUP(C203,Anchieta!$C$55:$C$102,Anchieta!$O$55:$O$102)</f>
        <v>#N/A</v>
      </c>
      <c r="H203" t="str">
        <f>_xlfn.XLOOKUP(C203,Anchieta!$C$55:$C$102,Anchieta!$M$55:$M$102," ")</f>
        <v xml:space="preserve"> </v>
      </c>
      <c r="I203" s="803" t="e">
        <f>_xlfn.XLOOKUP(C203,Anchieta!$C$55:$C$102,Anchieta!$J$55:$J$102)</f>
        <v>#N/A</v>
      </c>
      <c r="J203" s="235" t="e">
        <f>INDEX(Anchieta!$AP$55:$AP$102, MATCH(C203, Anchieta!$C$55:$C$102, 0))</f>
        <v>#N/A</v>
      </c>
      <c r="K203" s="235" t="e" cm="1">
        <f t="array" ref="K203">INDEX(Anchieta!$AP$55:$AP$102, MATCH(C203, Anchieta!$C$55:$C$102, 0)+1)</f>
        <v>#N/A</v>
      </c>
      <c r="L203" s="235" t="e">
        <f>INDEX(Anchieta!$AH$55:$AH$102, MATCH(C203, Anchieta!$C$55:$C$102, 0))</f>
        <v>#N/A</v>
      </c>
      <c r="M203" s="235"/>
      <c r="N203" s="235"/>
      <c r="O203" s="235"/>
      <c r="P203" s="235"/>
      <c r="Q203">
        <v>200</v>
      </c>
      <c r="R203" s="275" t="str">
        <f t="shared" si="63"/>
        <v xml:space="preserve"> </v>
      </c>
      <c r="Y203" s="803">
        <f t="shared" si="71"/>
        <v>0</v>
      </c>
    </row>
    <row r="204" spans="1:26" ht="14.55" x14ac:dyDescent="0.3">
      <c r="A204">
        <v>23</v>
      </c>
      <c r="B204" s="235" t="str">
        <f>IFERROR(LARGE(Anchieta!$I$59:$I$102,A204)," ")</f>
        <v xml:space="preserve"> </v>
      </c>
      <c r="C204" t="str">
        <f>IFERROR(INDEX(
    Anchieta!$C$59:$C$102,
    MATCH(
        B204,
        Anchieta!$I$59:$I$102,
        0
    )
), " ")</f>
        <v xml:space="preserve"> </v>
      </c>
      <c r="D204" s="806" t="str">
        <f t="shared" si="67"/>
        <v xml:space="preserve"> </v>
      </c>
      <c r="E204" s="362" t="str">
        <f t="shared" si="68"/>
        <v xml:space="preserve"> </v>
      </c>
      <c r="F204" t="str">
        <f t="shared" si="66"/>
        <v>Anchieta</v>
      </c>
      <c r="G204" t="e">
        <f>_xlfn.XLOOKUP(C204,Anchieta!$C$55:$C$102,Anchieta!$O$55:$O$102)</f>
        <v>#N/A</v>
      </c>
      <c r="H204" t="str">
        <f>_xlfn.XLOOKUP(C204,Anchieta!$C$55:$C$102,Anchieta!$M$55:$M$102," ")</f>
        <v xml:space="preserve"> </v>
      </c>
      <c r="I204" s="803" t="e">
        <f>_xlfn.XLOOKUP(C204,Anchieta!$C$55:$C$102,Anchieta!$J$55:$J$102)</f>
        <v>#N/A</v>
      </c>
      <c r="J204" s="235" t="e">
        <f>INDEX(Anchieta!$AP$55:$AP$102, MATCH(C204, Anchieta!$C$55:$C$102, 0))</f>
        <v>#N/A</v>
      </c>
      <c r="K204" s="235" t="e" cm="1">
        <f t="array" ref="K204">INDEX(Anchieta!$AP$55:$AP$102, MATCH(C204, Anchieta!$C$55:$C$102, 0)+1)</f>
        <v>#N/A</v>
      </c>
      <c r="L204" s="235" t="e">
        <f>INDEX(Anchieta!$AH$55:$AH$102, MATCH(C204, Anchieta!$C$55:$C$102, 0))</f>
        <v>#N/A</v>
      </c>
      <c r="M204" s="235"/>
      <c r="N204" s="235"/>
      <c r="O204" s="235"/>
      <c r="P204" s="235"/>
      <c r="R204" s="275" t="str">
        <f t="shared" si="63"/>
        <v xml:space="preserve"> </v>
      </c>
      <c r="Y204" s="803"/>
    </row>
    <row r="205" spans="1:26" ht="14.55" x14ac:dyDescent="0.3">
      <c r="A205">
        <v>24</v>
      </c>
      <c r="B205" s="235" t="str">
        <f>IFERROR(LARGE(Anchieta!$I$59:$I$102,A205)," ")</f>
        <v xml:space="preserve"> </v>
      </c>
      <c r="C205" t="str">
        <f>IFERROR(INDEX(
    Anchieta!$C$59:$C$102,
    MATCH(
        B205,
        Anchieta!$I$59:$I$102,
        0
    )
), " ")</f>
        <v xml:space="preserve"> </v>
      </c>
      <c r="D205" s="806" t="str">
        <f t="shared" si="67"/>
        <v xml:space="preserve"> </v>
      </c>
      <c r="E205" s="362" t="str">
        <f t="shared" si="68"/>
        <v xml:space="preserve"> </v>
      </c>
      <c r="F205" t="str">
        <f t="shared" si="66"/>
        <v>Anchieta</v>
      </c>
      <c r="G205" t="e">
        <f>_xlfn.XLOOKUP(C205,Anchieta!$C$55:$C$102,Anchieta!$O$55:$O$102)</f>
        <v>#N/A</v>
      </c>
      <c r="H205" t="str">
        <f>_xlfn.XLOOKUP(C205,Anchieta!$C$55:$C$102,Anchieta!$M$55:$M$102," ")</f>
        <v xml:space="preserve"> </v>
      </c>
      <c r="I205" s="803" t="e">
        <f>_xlfn.XLOOKUP(C205,Anchieta!$C$55:$C$102,Anchieta!$J$55:$J$102)</f>
        <v>#N/A</v>
      </c>
      <c r="J205" s="235" t="e">
        <f>INDEX(Anchieta!$AP$55:$AP$102, MATCH(C205, Anchieta!$C$55:$C$102, 0))</f>
        <v>#N/A</v>
      </c>
      <c r="K205" s="235" t="e" cm="1">
        <f t="array" ref="K205">INDEX(Anchieta!$AP$55:$AP$102, MATCH(C205, Anchieta!$C$55:$C$102, 0)+1)</f>
        <v>#N/A</v>
      </c>
      <c r="L205" s="235" t="e">
        <f>INDEX(Anchieta!$AH$55:$AH$102, MATCH(C205, Anchieta!$C$55:$C$102, 0))</f>
        <v>#N/A</v>
      </c>
      <c r="M205" s="235"/>
      <c r="N205" s="235"/>
      <c r="O205" s="235"/>
      <c r="P205" s="235"/>
      <c r="R205" s="275" t="str">
        <f t="shared" si="63"/>
        <v xml:space="preserve"> </v>
      </c>
      <c r="Y205" s="803"/>
    </row>
    <row r="206" spans="1:26" ht="14.55" x14ac:dyDescent="0.3">
      <c r="A206">
        <v>25</v>
      </c>
      <c r="B206" s="235" t="str">
        <f>IFERROR(LARGE(Anchieta!$I$59:$I$102,A206)," ")</f>
        <v xml:space="preserve"> </v>
      </c>
      <c r="C206" t="str">
        <f>IFERROR(INDEX(
    Anchieta!$C$59:$C$102,
    MATCH(
        B206,
        Anchieta!$I$59:$I$102,
        0
    )
), " ")</f>
        <v xml:space="preserve"> </v>
      </c>
      <c r="D206" s="806" t="str">
        <f t="shared" si="67"/>
        <v xml:space="preserve"> </v>
      </c>
      <c r="E206" s="362" t="str">
        <f t="shared" si="68"/>
        <v xml:space="preserve"> </v>
      </c>
      <c r="F206" t="str">
        <f t="shared" si="66"/>
        <v>Anchieta</v>
      </c>
      <c r="G206" t="e">
        <f>_xlfn.XLOOKUP(C206,Anchieta!$C$55:$C$102,Anchieta!$O$55:$O$102)</f>
        <v>#N/A</v>
      </c>
      <c r="H206" t="str">
        <f>_xlfn.XLOOKUP(C206,Anchieta!$C$55:$C$102,Anchieta!$M$55:$M$102," ")</f>
        <v xml:space="preserve"> </v>
      </c>
      <c r="I206" s="803" t="e">
        <f>_xlfn.XLOOKUP(C206,Anchieta!$C$55:$C$102,Anchieta!$J$55:$J$102)</f>
        <v>#N/A</v>
      </c>
      <c r="J206" s="235" t="e">
        <f>INDEX(Anchieta!$AP$55:$AP$102, MATCH(C206, Anchieta!$C$55:$C$102, 0))</f>
        <v>#N/A</v>
      </c>
      <c r="K206" s="235" t="e" cm="1">
        <f t="array" ref="K206">INDEX(Anchieta!$AP$55:$AP$102, MATCH(C206, Anchieta!$C$55:$C$102, 0)+1)</f>
        <v>#N/A</v>
      </c>
      <c r="L206" s="235" t="e">
        <f>INDEX(Anchieta!$AH$55:$AH$102, MATCH(C206, Anchieta!$C$55:$C$102, 0))</f>
        <v>#N/A</v>
      </c>
      <c r="M206" s="235"/>
      <c r="N206" s="235"/>
      <c r="O206" s="235"/>
      <c r="P206" s="235"/>
      <c r="R206" s="275" t="str">
        <f t="shared" si="63"/>
        <v xml:space="preserve"> </v>
      </c>
      <c r="Y206" s="803"/>
    </row>
    <row r="207" spans="1:26" ht="14.55" x14ac:dyDescent="0.3">
      <c r="A207">
        <v>26</v>
      </c>
      <c r="B207" s="235" t="str">
        <f>IFERROR(LARGE(Anchieta!$I$59:$I$102,A207)," ")</f>
        <v xml:space="preserve"> </v>
      </c>
      <c r="C207" t="str">
        <f>IFERROR(INDEX(
    Anchieta!$C$59:$C$102,
    MATCH(
        B207,
        Anchieta!$I$59:$I$102,
        0
    )
), " ")</f>
        <v xml:space="preserve"> </v>
      </c>
      <c r="D207" s="806" t="str">
        <f t="shared" si="67"/>
        <v xml:space="preserve"> </v>
      </c>
      <c r="E207" s="362" t="str">
        <f t="shared" si="68"/>
        <v xml:space="preserve"> </v>
      </c>
      <c r="F207" t="str">
        <f t="shared" si="66"/>
        <v>Anchieta</v>
      </c>
      <c r="G207" t="e">
        <f>_xlfn.XLOOKUP(C207,Anchieta!$C$55:$C$102,Anchieta!$O$55:$O$102)</f>
        <v>#N/A</v>
      </c>
      <c r="H207" t="str">
        <f>_xlfn.XLOOKUP(C207,Anchieta!$C$55:$C$102,Anchieta!$M$55:$M$102," ")</f>
        <v xml:space="preserve"> </v>
      </c>
      <c r="I207" s="803" t="e">
        <f>_xlfn.XLOOKUP(C207,Anchieta!$C$55:$C$102,Anchieta!$J$55:$J$102)</f>
        <v>#N/A</v>
      </c>
      <c r="J207" s="235" t="e">
        <f>INDEX(Anchieta!$AP$55:$AP$102, MATCH(C207, Anchieta!$C$55:$C$102, 0))</f>
        <v>#N/A</v>
      </c>
      <c r="K207" s="235" t="e" cm="1">
        <f t="array" ref="K207">INDEX(Anchieta!$AP$55:$AP$102, MATCH(C207, Anchieta!$C$55:$C$102, 0)+1)</f>
        <v>#N/A</v>
      </c>
      <c r="L207" s="235" t="e">
        <f>INDEX(Anchieta!$AH$55:$AH$102, MATCH(C207, Anchieta!$C$55:$C$102, 0))</f>
        <v>#N/A</v>
      </c>
      <c r="M207" s="235"/>
      <c r="N207" s="235"/>
      <c r="O207" s="235"/>
      <c r="P207" s="235"/>
      <c r="R207" s="275" t="str">
        <f t="shared" si="63"/>
        <v xml:space="preserve"> </v>
      </c>
      <c r="Y207" s="803"/>
    </row>
    <row r="208" spans="1:26" ht="14.55" x14ac:dyDescent="0.3">
      <c r="A208">
        <v>27</v>
      </c>
      <c r="B208" s="235" t="str">
        <f>IFERROR(LARGE(Anchieta!$I$59:$I$102,A208)," ")</f>
        <v xml:space="preserve"> </v>
      </c>
      <c r="C208" t="str">
        <f>IFERROR(INDEX(
    Anchieta!$C$59:$C$102,
    MATCH(
        B208,
        Anchieta!$I$59:$I$102,
        0
    )
), " ")</f>
        <v xml:space="preserve"> </v>
      </c>
      <c r="D208" s="806" t="str">
        <f t="shared" si="67"/>
        <v xml:space="preserve"> </v>
      </c>
      <c r="E208" s="362" t="str">
        <f t="shared" si="68"/>
        <v xml:space="preserve"> </v>
      </c>
      <c r="F208" t="str">
        <f t="shared" si="66"/>
        <v>Anchieta</v>
      </c>
      <c r="G208" t="e">
        <f>_xlfn.XLOOKUP(C208,Anchieta!$C$55:$C$102,Anchieta!$O$55:$O$102)</f>
        <v>#N/A</v>
      </c>
      <c r="H208" t="str">
        <f>_xlfn.XLOOKUP(C208,Anchieta!$C$55:$C$102,Anchieta!$M$55:$M$102," ")</f>
        <v xml:space="preserve"> </v>
      </c>
      <c r="I208" s="803" t="e">
        <f>_xlfn.XLOOKUP(C208,Anchieta!$C$55:$C$102,Anchieta!$J$55:$J$102)</f>
        <v>#N/A</v>
      </c>
      <c r="J208" s="235" t="e">
        <f>INDEX(Anchieta!$AP$55:$AP$102, MATCH(C208, Anchieta!$C$55:$C$102, 0))</f>
        <v>#N/A</v>
      </c>
      <c r="K208" s="235" t="e" cm="1">
        <f t="array" ref="K208">INDEX(Anchieta!$AP$55:$AP$102, MATCH(C208, Anchieta!$C$55:$C$102, 0)+1)</f>
        <v>#N/A</v>
      </c>
      <c r="L208" s="235" t="e">
        <f>INDEX(Anchieta!$AH$55:$AH$102, MATCH(C208, Anchieta!$C$55:$C$102, 0))</f>
        <v>#N/A</v>
      </c>
      <c r="M208" s="235"/>
      <c r="N208" s="235"/>
      <c r="O208" s="235"/>
      <c r="P208" s="235"/>
      <c r="R208" s="275" t="str">
        <f t="shared" si="63"/>
        <v xml:space="preserve"> </v>
      </c>
      <c r="Y208" s="803"/>
    </row>
    <row r="209" spans="1:25" ht="14.55" x14ac:dyDescent="0.3">
      <c r="A209">
        <v>28</v>
      </c>
      <c r="B209" s="235" t="str">
        <f>IFERROR(LARGE(Anchieta!$I$59:$I$102,A209)," ")</f>
        <v xml:space="preserve"> </v>
      </c>
      <c r="C209" t="str">
        <f>IFERROR(INDEX(
    Anchieta!$C$59:$C$102,
    MATCH(
        B209,
        Anchieta!$I$59:$I$102,
        0
    )
), " ")</f>
        <v xml:space="preserve"> </v>
      </c>
      <c r="D209" s="806" t="str">
        <f t="shared" si="67"/>
        <v xml:space="preserve"> </v>
      </c>
      <c r="E209" s="362" t="str">
        <f t="shared" si="68"/>
        <v xml:space="preserve"> </v>
      </c>
      <c r="F209" t="str">
        <f t="shared" si="66"/>
        <v>Anchieta</v>
      </c>
      <c r="G209" t="e">
        <f>_xlfn.XLOOKUP(C209,Anchieta!$C$55:$C$102,Anchieta!$O$55:$O$102)</f>
        <v>#N/A</v>
      </c>
      <c r="H209" t="str">
        <f>_xlfn.XLOOKUP(C209,Anchieta!$C$55:$C$102,Anchieta!$M$55:$M$102," ")</f>
        <v xml:space="preserve"> </v>
      </c>
      <c r="I209" s="803" t="e">
        <f>_xlfn.XLOOKUP(C209,Anchieta!$C$55:$C$102,Anchieta!$J$55:$J$102)</f>
        <v>#N/A</v>
      </c>
      <c r="J209" s="235" t="e">
        <f>INDEX(Anchieta!$AP$55:$AP$102, MATCH(C209, Anchieta!$C$55:$C$102, 0))</f>
        <v>#N/A</v>
      </c>
      <c r="K209" s="235" t="e" cm="1">
        <f t="array" ref="K209">INDEX(Anchieta!$AP$55:$AP$102, MATCH(C209, Anchieta!$C$55:$C$102, 0)+1)</f>
        <v>#N/A</v>
      </c>
      <c r="L209" s="235" t="e">
        <f>INDEX(Anchieta!$AH$55:$AH$102, MATCH(C209, Anchieta!$C$55:$C$102, 0))</f>
        <v>#N/A</v>
      </c>
      <c r="M209" s="235"/>
      <c r="N209" s="235"/>
      <c r="O209" s="235"/>
      <c r="P209" s="235"/>
      <c r="R209" s="275" t="str">
        <f t="shared" si="63"/>
        <v xml:space="preserve"> </v>
      </c>
      <c r="Y209" s="803"/>
    </row>
    <row r="210" spans="1:25" ht="14.55" x14ac:dyDescent="0.3">
      <c r="A210">
        <v>29</v>
      </c>
      <c r="B210" s="235" t="str">
        <f>IFERROR(LARGE(Anchieta!$I$59:$I$102,A210)," ")</f>
        <v xml:space="preserve"> </v>
      </c>
      <c r="C210" t="str">
        <f>IFERROR(INDEX(
    Anchieta!$C$59:$C$102,
    MATCH(
        B210,
        Anchieta!$I$59:$I$102,
        0
    )
), " ")</f>
        <v xml:space="preserve"> </v>
      </c>
      <c r="D210" s="806" t="str">
        <f t="shared" si="67"/>
        <v xml:space="preserve"> </v>
      </c>
      <c r="E210" s="362" t="str">
        <f t="shared" si="68"/>
        <v xml:space="preserve"> </v>
      </c>
      <c r="F210" t="str">
        <f t="shared" si="66"/>
        <v>Anchieta</v>
      </c>
      <c r="G210" t="e">
        <f>_xlfn.XLOOKUP(C210,Anchieta!$C$55:$C$102,Anchieta!$O$55:$O$102)</f>
        <v>#N/A</v>
      </c>
      <c r="H210" t="str">
        <f>_xlfn.XLOOKUP(C210,Anchieta!$C$55:$C$102,Anchieta!$M$55:$M$102," ")</f>
        <v xml:space="preserve"> </v>
      </c>
      <c r="I210" s="803" t="e">
        <f>_xlfn.XLOOKUP(C210,Anchieta!$C$55:$C$102,Anchieta!$J$55:$J$102)</f>
        <v>#N/A</v>
      </c>
      <c r="J210" s="235" t="e">
        <f>INDEX(Anchieta!$AP$55:$AP$102, MATCH(C210, Anchieta!$C$55:$C$102, 0))</f>
        <v>#N/A</v>
      </c>
      <c r="K210" s="235" t="e" cm="1">
        <f t="array" ref="K210">INDEX(Anchieta!$AP$55:$AP$102, MATCH(C210, Anchieta!$C$55:$C$102, 0)+1)</f>
        <v>#N/A</v>
      </c>
      <c r="L210" s="235" t="e">
        <f>INDEX(Anchieta!$AH$55:$AH$102, MATCH(C210, Anchieta!$C$55:$C$102, 0))</f>
        <v>#N/A</v>
      </c>
      <c r="M210" s="235"/>
      <c r="N210" s="235"/>
      <c r="O210" s="235"/>
      <c r="P210" s="235"/>
      <c r="R210" s="275" t="str">
        <f t="shared" si="63"/>
        <v xml:space="preserve"> </v>
      </c>
      <c r="Y210" s="803"/>
    </row>
    <row r="211" spans="1:25" ht="14.55" x14ac:dyDescent="0.3">
      <c r="A211">
        <v>30</v>
      </c>
      <c r="B211" s="235" t="str">
        <f>IFERROR(LARGE(Anchieta!$I$59:$I$102,A211)," ")</f>
        <v xml:space="preserve"> </v>
      </c>
      <c r="C211" t="str">
        <f>IFERROR(INDEX(
    Anchieta!$C$59:$C$102,
    MATCH(
        B211,
        Anchieta!$I$59:$I$102,
        0
    )
), " ")</f>
        <v xml:space="preserve"> </v>
      </c>
      <c r="D211" s="806" t="str">
        <f t="shared" si="67"/>
        <v xml:space="preserve"> </v>
      </c>
      <c r="E211" s="362" t="str">
        <f t="shared" si="68"/>
        <v xml:space="preserve"> </v>
      </c>
      <c r="F211" t="str">
        <f t="shared" si="66"/>
        <v>Anchieta</v>
      </c>
      <c r="G211" t="e">
        <f>_xlfn.XLOOKUP(C211,Anchieta!$C$55:$C$102,Anchieta!$O$55:$O$102)</f>
        <v>#N/A</v>
      </c>
      <c r="H211" t="str">
        <f>_xlfn.XLOOKUP(C211,Anchieta!$C$55:$C$102,Anchieta!$M$55:$M$102," ")</f>
        <v xml:space="preserve"> </v>
      </c>
      <c r="I211" s="803" t="e">
        <f>_xlfn.XLOOKUP(C211,Anchieta!$C$55:$C$102,Anchieta!$J$55:$J$102)</f>
        <v>#N/A</v>
      </c>
      <c r="J211" s="235" t="e">
        <f>INDEX(Anchieta!$AP$55:$AP$102, MATCH(C211, Anchieta!$C$55:$C$102, 0))</f>
        <v>#N/A</v>
      </c>
      <c r="K211" s="235" t="e" cm="1">
        <f t="array" ref="K211">INDEX(Anchieta!$AP$55:$AP$102, MATCH(C211, Anchieta!$C$55:$C$102, 0)+1)</f>
        <v>#N/A</v>
      </c>
      <c r="L211" s="235" t="e">
        <f>INDEX(Anchieta!$AH$55:$AH$102, MATCH(C211, Anchieta!$C$55:$C$102, 0))</f>
        <v>#N/A</v>
      </c>
      <c r="M211" s="235"/>
      <c r="N211" s="235"/>
      <c r="O211" s="235"/>
      <c r="P211" s="235"/>
      <c r="R211" s="275" t="str">
        <f t="shared" si="63"/>
        <v xml:space="preserve"> </v>
      </c>
      <c r="Y211" s="803"/>
    </row>
    <row r="212" spans="1:25" x14ac:dyDescent="0.3">
      <c r="B212" s="235"/>
      <c r="D212" s="806"/>
      <c r="Y212" s="803"/>
    </row>
    <row r="213" spans="1:25" x14ac:dyDescent="0.3">
      <c r="B213" s="235"/>
      <c r="D213" s="806"/>
      <c r="Y213" s="803"/>
    </row>
    <row r="214" spans="1:25" ht="25.8" x14ac:dyDescent="0.3">
      <c r="A214" s="274" t="s">
        <v>26</v>
      </c>
      <c r="B214" s="274"/>
      <c r="C214" s="274"/>
      <c r="D214" s="805"/>
      <c r="E214" s="805"/>
      <c r="J214" s="1678" t="s">
        <v>2550</v>
      </c>
      <c r="K214" s="1678"/>
      <c r="Y214" s="803"/>
    </row>
    <row r="215" spans="1:25" ht="25.8" x14ac:dyDescent="0.3">
      <c r="A215" s="274"/>
      <c r="B215" s="274"/>
      <c r="C215" s="274"/>
      <c r="D215" s="805"/>
      <c r="E215" s="805"/>
      <c r="J215" s="594" t="s">
        <v>106</v>
      </c>
      <c r="K215" s="594" t="s">
        <v>107</v>
      </c>
      <c r="Y215" s="803"/>
    </row>
    <row r="216" spans="1:25" x14ac:dyDescent="0.3">
      <c r="A216" cm="1">
        <f t="array" ref="A216:A265">_xlfn.SEQUENCE(50)</f>
        <v>1</v>
      </c>
      <c r="B216" s="237">
        <f>MAX('Compras '!I31:I146)</f>
        <v>4008000</v>
      </c>
      <c r="C216" t="str">
        <f>IFERROR(INDEX(
    'Compras '!D31:D146,
    MATCH(
        B216,'Compras '!I31:I146,
        0
    )
), " ")</f>
        <v>Venda de Equipamentos</v>
      </c>
      <c r="D216" s="806">
        <f t="shared" ref="D216:D245" si="72">IFERROR(B216/SUM($B$216:$B$245)," ")</f>
        <v>0.22590029636770073</v>
      </c>
      <c r="E216" s="362">
        <f>D216</f>
        <v>0.22590029636770073</v>
      </c>
      <c r="F216" t="str">
        <f>$A$214</f>
        <v>Compras</v>
      </c>
      <c r="G216" t="str">
        <f>_xlfn.XLOOKUP(C216,'Compras '!$D$31:$D$146,'Compras '!$O$31:$O$146)</f>
        <v>⏳ Em Execução</v>
      </c>
      <c r="H216">
        <f>_xlfn.XLOOKUP(C216,'Compras '!$D$31:$D$146,'Compras '!$M$31:$M$146," ")</f>
        <v>0</v>
      </c>
      <c r="I216" s="803">
        <f>_xlfn.XLOOKUP(C216,'Compras '!$D$31:$D$146,'Compras '!$J$31:$J$146)</f>
        <v>46357</v>
      </c>
      <c r="J216" s="235" t="str">
        <f ca="1">INDEX('Compras '!$AQ$31:$AQ$146, MATCH(C216, 'Compras '!$D$31:$D$146, 0))</f>
        <v/>
      </c>
      <c r="K216" s="235" t="str" cm="1">
        <f t="array" aca="1" ref="K216" ca="1">INDEX('Compras '!$AQ$31:$AQ$146, MATCH(C216, 'Compras '!$D$31:$D$146, 0)+1)</f>
        <v/>
      </c>
      <c r="L216" s="235">
        <f>INDEX('Compras '!$AJ$31:$AJ$146, MATCH(C216, 'Compras '!$D$31:$D$146, 0))</f>
        <v>334000</v>
      </c>
      <c r="M216" s="235"/>
      <c r="N216" s="235"/>
      <c r="O216" s="235"/>
      <c r="P216" s="235"/>
      <c r="Y216" s="803"/>
    </row>
    <row r="217" spans="1:25" x14ac:dyDescent="0.3">
      <c r="A217">
        <v>2</v>
      </c>
      <c r="B217" s="235">
        <f>IFERROR(LARGE('Compras '!$I$31:$I$146,A217)," ")</f>
        <v>3256202</v>
      </c>
      <c r="C217" t="str">
        <f>IFERROR(INDEX(
   'Compras '!$D$31:$D$146,
    MATCH(
        B217,
       'Compras '!$I$31:$I$146,
        0
    )
), " ")</f>
        <v>Projeto DANA - Mudança de CH para BQ</v>
      </c>
      <c r="D217" s="806">
        <f t="shared" si="72"/>
        <v>0.18352719481863769</v>
      </c>
      <c r="E217" s="362">
        <f>IFERROR(D217+E216," ")</f>
        <v>0.40942749118633842</v>
      </c>
      <c r="F217" t="str">
        <f t="shared" ref="F217:F265" si="73">$A$214</f>
        <v>Compras</v>
      </c>
      <c r="G217" t="str">
        <f>_xlfn.XLOOKUP(C217,'Compras '!$D$31:$D$146,'Compras '!$O$31:$O$146)</f>
        <v>✓ Concluído</v>
      </c>
      <c r="H217" t="str">
        <f>_xlfn.XLOOKUP(C217,'Compras '!$D$31:$D$146,'Compras '!$M$31:$M$146," ")</f>
        <v>OK</v>
      </c>
      <c r="I217" s="803">
        <f>_xlfn.XLOOKUP(C217,'Compras '!$D$31:$D$146,'Compras '!$J$31:$J$146)</f>
        <v>46174</v>
      </c>
      <c r="J217" s="235" t="str">
        <f ca="1">INDEX('Compras '!$AQ$31:$AQ$146, MATCH(C217, 'Compras '!$D$31:$D$146, 0))</f>
        <v/>
      </c>
      <c r="K217" s="235" t="str" cm="1">
        <f t="array" aca="1" ref="K217" ca="1">INDEX('Compras '!$AQ$31:$AQ$146, MATCH(C217, 'Compras '!$D$31:$D$146, 0)+1)</f>
        <v/>
      </c>
      <c r="L217" s="235">
        <f>INDEX('Compras '!$AJ$31:$AJ$146, MATCH(C217, 'Compras '!$D$31:$D$146, 0))</f>
        <v>842612.59250000003</v>
      </c>
      <c r="M217" s="235"/>
      <c r="N217" s="235"/>
      <c r="O217" s="235"/>
      <c r="P217" s="235"/>
      <c r="Y217" s="803"/>
    </row>
    <row r="218" spans="1:25" x14ac:dyDescent="0.3">
      <c r="A218">
        <v>3</v>
      </c>
      <c r="B218" s="235">
        <f>IFERROR(LARGE('Compras '!$I$31:$I$146,A218)," ")</f>
        <v>2674685</v>
      </c>
      <c r="C218" t="str">
        <f>IFERROR(INDEX(
   'Compras '!$D$31:$D$146,
    MATCH(
        B218,
       'Compras '!$I$31:$I$146,
        0
    )
), " ")</f>
        <v>Negociação de preços materiais carcaça Dana</v>
      </c>
      <c r="D218" s="806">
        <f t="shared" si="72"/>
        <v>0.15075153048658774</v>
      </c>
      <c r="E218" s="362">
        <f t="shared" ref="E218:E245" si="74">IFERROR(D218+E217," ")</f>
        <v>0.5601790216729261</v>
      </c>
      <c r="F218" t="str">
        <f t="shared" si="73"/>
        <v>Compras</v>
      </c>
      <c r="G218" t="str">
        <f>_xlfn.XLOOKUP(C218,'Compras '!$D$31:$D$146,'Compras '!$O$31:$O$146)</f>
        <v>✓ Concluído</v>
      </c>
      <c r="H218" t="str">
        <f>_xlfn.XLOOKUP(C218,'Compras '!$D$31:$D$146,'Compras '!$M$31:$M$146," ")</f>
        <v>OK</v>
      </c>
      <c r="I218" s="803">
        <f>_xlfn.XLOOKUP(C218,'Compras '!$D$31:$D$146,'Compras '!$J$31:$J$146)</f>
        <v>45992</v>
      </c>
      <c r="J218" s="235">
        <f ca="1">INDEX('Compras '!$AQ$31:$AQ$146, MATCH(C218, 'Compras '!$D$31:$D$146, 0))</f>
        <v>1104667.6333333333</v>
      </c>
      <c r="K218" s="235" cm="1">
        <f t="array" aca="1" ref="K218" ca="1">INDEX('Compras '!$AQ$31:$AQ$146, MATCH(C218, 'Compras '!$D$31:$D$146, 0)+1)</f>
        <v>570440.18000000005</v>
      </c>
      <c r="L218" s="235">
        <f>INDEX('Compras '!$AJ$31:$AJ$146, MATCH(C218, 'Compras '!$D$31:$D$146, 0))</f>
        <v>2430268.7933333335</v>
      </c>
      <c r="M218" s="235"/>
      <c r="N218" s="235"/>
      <c r="O218" s="235"/>
      <c r="P218" s="235"/>
      <c r="Y218" s="803"/>
    </row>
    <row r="219" spans="1:25" x14ac:dyDescent="0.3">
      <c r="A219">
        <v>4</v>
      </c>
      <c r="B219" s="235">
        <f>IFERROR(LARGE('Compras '!$I$31:$I$146,A219)," ")</f>
        <v>1138260</v>
      </c>
      <c r="C219" t="str">
        <f>IFERROR(INDEX(
   'Compras '!$D$31:$D$146,
    MATCH(
        B219,
       'Compras '!$I$31:$I$146,
        0
    )
), " ")</f>
        <v>Ex Tarifário Transfer Norda</v>
      </c>
      <c r="D219" s="806">
        <f t="shared" si="72"/>
        <v>6.4155007820234297E-2</v>
      </c>
      <c r="E219" s="362">
        <f t="shared" si="74"/>
        <v>0.62433402949316041</v>
      </c>
      <c r="F219" t="str">
        <f t="shared" si="73"/>
        <v>Compras</v>
      </c>
      <c r="G219" t="str">
        <f>_xlfn.XLOOKUP(C219,'Compras '!$D$31:$D$146,'Compras '!$O$31:$O$146)</f>
        <v>⏳ Em Execução</v>
      </c>
      <c r="H219">
        <f>_xlfn.XLOOKUP(C219,'Compras '!$D$31:$D$146,'Compras '!$M$31:$M$146," ")</f>
        <v>0</v>
      </c>
      <c r="I219" s="803">
        <f>_xlfn.XLOOKUP(C219,'Compras '!$D$31:$D$146,'Compras '!$J$31:$J$146)</f>
        <v>46311</v>
      </c>
      <c r="J219" s="235" t="str">
        <f ca="1">INDEX('Compras '!$AQ$31:$AQ$146, MATCH(C219, 'Compras '!$D$31:$D$146, 0))</f>
        <v/>
      </c>
      <c r="K219" s="235" t="str" cm="1">
        <f t="array" aca="1" ref="K219" ca="1">INDEX('Compras '!$AQ$31:$AQ$146, MATCH(C219, 'Compras '!$D$31:$D$146, 0)+1)</f>
        <v/>
      </c>
      <c r="L219" s="235">
        <f>INDEX('Compras '!$AJ$31:$AJ$146, MATCH(C219, 'Compras '!$D$31:$D$146, 0))</f>
        <v>284565</v>
      </c>
      <c r="M219" s="235"/>
      <c r="N219" s="235"/>
      <c r="O219" s="235"/>
      <c r="P219" s="235"/>
      <c r="Y219" s="803"/>
    </row>
    <row r="220" spans="1:25" x14ac:dyDescent="0.3">
      <c r="A220">
        <v>5</v>
      </c>
      <c r="B220" s="235">
        <f>IFERROR(LARGE('Compras '!$I$31:$I$146,A220)," ")</f>
        <v>624848</v>
      </c>
      <c r="C220" t="str">
        <f>IFERROR(INDEX(
   'Compras '!$D$31:$D$146,
    MATCH(
        B220,
       'Compras '!$I$31:$I$146,
        0
    )
), " ")</f>
        <v>Nacionalização RIBE - 
Item 75640 (Pino Rebite M6 x 16)</v>
      </c>
      <c r="D220" s="806">
        <f t="shared" si="72"/>
        <v>3.5217901293604061E-2</v>
      </c>
      <c r="E220" s="362">
        <f t="shared" si="74"/>
        <v>0.65955193078676444</v>
      </c>
      <c r="F220" t="str">
        <f t="shared" si="73"/>
        <v>Compras</v>
      </c>
      <c r="G220" t="str">
        <f>_xlfn.XLOOKUP(C220,'Compras '!$D$31:$D$146,'Compras '!$O$31:$O$146)</f>
        <v>⏳ Em Execução</v>
      </c>
      <c r="H220">
        <f>_xlfn.XLOOKUP(C220,'Compras '!$D$31:$D$146,'Compras '!$M$31:$M$146," ")</f>
        <v>0</v>
      </c>
      <c r="I220" s="803">
        <f>_xlfn.XLOOKUP(C220,'Compras '!$D$31:$D$146,'Compras '!$J$31:$J$146)</f>
        <v>46371</v>
      </c>
      <c r="J220" s="235" t="str">
        <f ca="1">INDEX('Compras '!$AQ$31:$AQ$146, MATCH(C220, 'Compras '!$D$31:$D$146, 0))</f>
        <v/>
      </c>
      <c r="K220" s="235" t="str" cm="1">
        <f t="array" aca="1" ref="K220" ca="1">INDEX('Compras '!$AQ$31:$AQ$146, MATCH(C220, 'Compras '!$D$31:$D$146, 0)+1)</f>
        <v/>
      </c>
      <c r="L220" s="235">
        <f>INDEX('Compras '!$AJ$31:$AJ$146, MATCH(C220, 'Compras '!$D$31:$D$146, 0))</f>
        <v>52070.666666666664</v>
      </c>
      <c r="M220" s="235"/>
      <c r="N220" s="235"/>
      <c r="O220" s="235"/>
      <c r="P220" s="235"/>
      <c r="Y220" s="803"/>
    </row>
    <row r="221" spans="1:25" x14ac:dyDescent="0.3">
      <c r="A221">
        <v>6</v>
      </c>
      <c r="B221" s="235">
        <f>IFERROR(LARGE('Compras '!$I$31:$I$146,A221)," ")</f>
        <v>606000</v>
      </c>
      <c r="C221" t="str">
        <f>IFERROR(INDEX(
   'Compras '!$D$31:$D$146,
    MATCH(
        B221,
       'Compras '!$I$31:$I$146,
        0
    )
), " ")</f>
        <v>Negociação Produtos Pré tratamento</v>
      </c>
      <c r="D221" s="806">
        <f t="shared" si="72"/>
        <v>3.415558373224218E-2</v>
      </c>
      <c r="E221" s="362">
        <f t="shared" si="74"/>
        <v>0.69370751451900659</v>
      </c>
      <c r="F221" t="str">
        <f t="shared" si="73"/>
        <v>Compras</v>
      </c>
      <c r="G221" t="str">
        <f>_xlfn.XLOOKUP(C221,'Compras '!$D$31:$D$146,'Compras '!$O$31:$O$146)</f>
        <v>⏳ Em Execução</v>
      </c>
      <c r="H221">
        <f>_xlfn.XLOOKUP(C221,'Compras '!$D$31:$D$146,'Compras '!$M$31:$M$146," ")</f>
        <v>0</v>
      </c>
      <c r="I221" s="803">
        <f>_xlfn.XLOOKUP(C221,'Compras '!$D$31:$D$146,'Compras '!$J$31:$J$146)</f>
        <v>46204</v>
      </c>
      <c r="J221" s="235" t="str">
        <f ca="1">INDEX('Compras '!$AQ$31:$AQ$146, MATCH(C221, 'Compras '!$D$31:$D$146, 0))</f>
        <v/>
      </c>
      <c r="K221" s="235" t="str" cm="1">
        <f t="array" aca="1" ref="K221" ca="1">INDEX('Compras '!$AQ$31:$AQ$146, MATCH(C221, 'Compras '!$D$31:$D$146, 0)+1)</f>
        <v/>
      </c>
      <c r="L221" s="235">
        <f>INDEX('Compras '!$AJ$31:$AJ$146, MATCH(C221, 'Compras '!$D$31:$D$146, 0))</f>
        <v>303000</v>
      </c>
      <c r="M221" s="235"/>
      <c r="N221" s="235"/>
      <c r="O221" s="235"/>
      <c r="P221" s="235"/>
      <c r="Y221" s="803"/>
    </row>
    <row r="222" spans="1:25" x14ac:dyDescent="0.3">
      <c r="A222">
        <v>7</v>
      </c>
      <c r="B222" s="235">
        <f>IFERROR(LARGE('Compras '!$I$31:$I$146,A222)," ")</f>
        <v>600868</v>
      </c>
      <c r="C222" t="str">
        <f>IFERROR(INDEX(
   'Compras '!$D$31:$D$146,
    MATCH(
        B222,
       'Compras '!$I$31:$I$146,
        0
    )
), " ")</f>
        <v>Mão de Obra Terceirizada</v>
      </c>
      <c r="D222" s="806">
        <f t="shared" si="72"/>
        <v>3.3866332155156588E-2</v>
      </c>
      <c r="E222" s="362">
        <f t="shared" si="74"/>
        <v>0.72757384667416314</v>
      </c>
      <c r="F222" t="str">
        <f t="shared" si="73"/>
        <v>Compras</v>
      </c>
      <c r="G222" t="str">
        <f>_xlfn.XLOOKUP(C222,'Compras '!$D$31:$D$146,'Compras '!$O$31:$O$146)</f>
        <v>⏳ Em Execução</v>
      </c>
      <c r="H222">
        <f>_xlfn.XLOOKUP(C222,'Compras '!$D$31:$D$146,'Compras '!$M$31:$M$146," ")</f>
        <v>0</v>
      </c>
      <c r="I222" s="803">
        <f>_xlfn.XLOOKUP(C222,'Compras '!$D$31:$D$146,'Compras '!$J$31:$J$146)</f>
        <v>46174</v>
      </c>
      <c r="J222" s="235" t="str">
        <f ca="1">INDEX('Compras '!$AQ$31:$AQ$146, MATCH(C222, 'Compras '!$D$31:$D$146, 0))</f>
        <v/>
      </c>
      <c r="K222" s="235" t="str" cm="1">
        <f t="array" aca="1" ref="K222" ca="1">INDEX('Compras '!$AQ$31:$AQ$146, MATCH(C222, 'Compras '!$D$31:$D$146, 0)+1)</f>
        <v/>
      </c>
      <c r="L222" s="235">
        <f>INDEX('Compras '!$AJ$31:$AJ$146, MATCH(C222, 'Compras '!$D$31:$D$146, 0))</f>
        <v>350506.33333333331</v>
      </c>
      <c r="M222" s="235"/>
      <c r="N222" s="235"/>
      <c r="O222" s="235"/>
      <c r="P222" s="235"/>
      <c r="Y222" s="803"/>
    </row>
    <row r="223" spans="1:25" x14ac:dyDescent="0.3">
      <c r="A223">
        <v>8</v>
      </c>
      <c r="B223" s="235">
        <f>IFERROR(LARGE('Compras '!$I$31:$I$146,A223)," ")</f>
        <v>500000</v>
      </c>
      <c r="C223" t="str">
        <f>IFERROR(INDEX(
   'Compras '!$D$31:$D$146,
    MATCH(
        B223,
       'Compras '!$I$31:$I$146,
        0
    )
), " ")</f>
        <v>Viabilizar Material Alternativo de Menor Custo para Utilização na Carcaça da Scania</v>
      </c>
      <c r="D223" s="806">
        <f t="shared" si="72"/>
        <v>2.8181174696569455E-2</v>
      </c>
      <c r="E223" s="362">
        <f t="shared" si="74"/>
        <v>0.75575502137073258</v>
      </c>
      <c r="F223" t="str">
        <f t="shared" si="73"/>
        <v>Compras</v>
      </c>
      <c r="G223" t="str">
        <f>_xlfn.XLOOKUP(C223,'Compras '!$D$31:$D$146,'Compras '!$O$31:$O$146)</f>
        <v>⏳ Em Execução</v>
      </c>
      <c r="H223">
        <f>_xlfn.XLOOKUP(C223,'Compras '!$D$31:$D$146,'Compras '!$M$31:$M$146," ")</f>
        <v>0</v>
      </c>
      <c r="I223" s="803">
        <f>_xlfn.XLOOKUP(C223,'Compras '!$D$31:$D$146,'Compras '!$J$31:$J$146)</f>
        <v>46327</v>
      </c>
      <c r="J223" s="235" t="str">
        <f ca="1">INDEX('Compras '!$AQ$31:$AQ$146, MATCH(C223, 'Compras '!$D$31:$D$146, 0))</f>
        <v/>
      </c>
      <c r="K223" s="235" t="str" cm="1">
        <f t="array" aca="1" ref="K223" ca="1">INDEX('Compras '!$AQ$31:$AQ$146, MATCH(C223, 'Compras '!$D$31:$D$146, 0)+1)</f>
        <v/>
      </c>
      <c r="L223" s="235">
        <f>INDEX('Compras '!$AJ$31:$AJ$146, MATCH(C223, 'Compras '!$D$31:$D$146, 0))</f>
        <v>83333.333333333328</v>
      </c>
      <c r="M223" s="235"/>
      <c r="N223" s="235"/>
      <c r="O223" s="235"/>
      <c r="P223" s="235"/>
      <c r="Y223" s="803"/>
    </row>
    <row r="224" spans="1:25" x14ac:dyDescent="0.3">
      <c r="A224">
        <v>9</v>
      </c>
      <c r="B224" s="235">
        <f>IFERROR(LARGE('Compras '!$I$31:$I$146,A224)," ")</f>
        <v>403768</v>
      </c>
      <c r="C224" t="str">
        <f>IFERROR(INDEX(
   'Compras '!$D$31:$D$146,
    MATCH(
        B224,
       'Compras '!$I$31:$I$146,
        0
    )
), " ")</f>
        <v>Troca de fonte do arame de solda de Belgo para Gerdau</v>
      </c>
      <c r="D224" s="806">
        <f t="shared" si="72"/>
        <v>2.2757313089768909E-2</v>
      </c>
      <c r="E224" s="362">
        <f t="shared" si="74"/>
        <v>0.7785123344605015</v>
      </c>
      <c r="F224" t="str">
        <f t="shared" si="73"/>
        <v>Compras</v>
      </c>
      <c r="G224" t="str">
        <f>_xlfn.XLOOKUP(C224,'Compras '!$D$31:$D$146,'Compras '!$O$31:$O$146)</f>
        <v>✓ Concluído</v>
      </c>
      <c r="H224">
        <f>_xlfn.XLOOKUP(C224,'Compras '!$D$31:$D$146,'Compras '!$M$31:$M$146," ")</f>
        <v>0</v>
      </c>
      <c r="I224" s="803">
        <f>_xlfn.XLOOKUP(C224,'Compras '!$D$31:$D$146,'Compras '!$J$31:$J$146)</f>
        <v>46174</v>
      </c>
      <c r="J224" s="235" t="str">
        <f ca="1">INDEX('Compras '!$AQ$31:$AQ$146, MATCH(C224, 'Compras '!$D$31:$D$146, 0))</f>
        <v/>
      </c>
      <c r="K224" s="235" t="str" cm="1">
        <f t="array" aca="1" ref="K224" ca="1">INDEX('Compras '!$AQ$31:$AQ$146, MATCH(C224, 'Compras '!$D$31:$D$146, 0)+1)</f>
        <v/>
      </c>
      <c r="L224" s="235">
        <f>INDEX('Compras '!$AJ$31:$AJ$146, MATCH(C224, 'Compras '!$D$31:$D$146, 0))</f>
        <v>235531.33333333337</v>
      </c>
      <c r="M224" s="235"/>
      <c r="N224" s="235"/>
      <c r="O224" s="235"/>
      <c r="P224" s="235"/>
      <c r="Y224" s="803"/>
    </row>
    <row r="225" spans="1:25" x14ac:dyDescent="0.3">
      <c r="A225">
        <v>10</v>
      </c>
      <c r="B225" s="235">
        <f>IFERROR(LARGE('Compras '!$I$31:$I$146,A225)," ")</f>
        <v>372095</v>
      </c>
      <c r="C225" t="str">
        <f>IFERROR(INDEX(
   'Compras '!$D$31:$D$146,
    MATCH(
        B225,
       'Compras '!$I$31:$I$146,
        0
    )
), " ")</f>
        <v>Redução de custo Porca 73189 da curva A</v>
      </c>
      <c r="D225" s="806">
        <f t="shared" si="72"/>
        <v>2.0972148397440021E-2</v>
      </c>
      <c r="E225" s="362">
        <f t="shared" si="74"/>
        <v>0.79948448285794149</v>
      </c>
      <c r="F225" t="str">
        <f t="shared" si="73"/>
        <v>Compras</v>
      </c>
      <c r="G225" t="str">
        <f>_xlfn.XLOOKUP(C225,'Compras '!$D$31:$D$146,'Compras '!$O$31:$O$146)</f>
        <v>⏳ Em Execução</v>
      </c>
      <c r="H225">
        <f>_xlfn.XLOOKUP(C225,'Compras '!$D$31:$D$146,'Compras '!$M$31:$M$146," ")</f>
        <v>0</v>
      </c>
      <c r="I225" s="803">
        <f>_xlfn.XLOOKUP(C225,'Compras '!$D$31:$D$146,'Compras '!$J$31:$J$146)</f>
        <v>46222</v>
      </c>
      <c r="J225" s="235" t="str">
        <f ca="1">INDEX('Compras '!$AQ$31:$AQ$146, MATCH(C225, 'Compras '!$D$31:$D$146, 0))</f>
        <v/>
      </c>
      <c r="K225" s="235" t="str" cm="1">
        <f t="array" aca="1" ref="K225" ca="1">INDEX('Compras '!$AQ$31:$AQ$146, MATCH(C225, 'Compras '!$D$31:$D$146, 0)+1)</f>
        <v/>
      </c>
      <c r="L225" s="235">
        <f>INDEX('Compras '!$AJ$31:$AJ$146, MATCH(C225, 'Compras '!$D$31:$D$146, 0))</f>
        <v>186047.5</v>
      </c>
      <c r="M225" s="235"/>
      <c r="N225" s="235"/>
      <c r="O225" s="235"/>
      <c r="P225" s="235"/>
      <c r="Y225" s="803"/>
    </row>
    <row r="226" spans="1:25" x14ac:dyDescent="0.3">
      <c r="A226">
        <v>11</v>
      </c>
      <c r="B226" s="235">
        <f>IFERROR(LARGE('Compras '!$I$31:$I$146,A226)," ")</f>
        <v>364573</v>
      </c>
      <c r="C226" t="str">
        <f>IFERROR(INDEX(
   'Compras '!$D$31:$D$146,
    MATCH(
        B226,
       'Compras '!$I$31:$I$146,
        0
    )
), " ")</f>
        <v>Projeto DANA - Fornecimento MTL</v>
      </c>
      <c r="D226" s="806">
        <f t="shared" si="72"/>
        <v>2.0548190805304831E-2</v>
      </c>
      <c r="E226" s="362">
        <f t="shared" si="74"/>
        <v>0.82003267366324628</v>
      </c>
      <c r="F226" t="str">
        <f t="shared" si="73"/>
        <v>Compras</v>
      </c>
      <c r="G226" t="str">
        <f>_xlfn.XLOOKUP(C226,'Compras '!$D$31:$D$146,'Compras '!$O$31:$O$146)</f>
        <v>📝 Não iniciado</v>
      </c>
      <c r="H226">
        <f>_xlfn.XLOOKUP(C226,'Compras '!$D$31:$D$146,'Compras '!$M$31:$M$146," ")</f>
        <v>0</v>
      </c>
      <c r="I226" s="803">
        <f>_xlfn.XLOOKUP(C226,'Compras '!$D$31:$D$146,'Compras '!$J$31:$J$146)</f>
        <v>46204</v>
      </c>
      <c r="J226" s="235" t="str">
        <f ca="1">INDEX('Compras '!$AQ$31:$AQ$146, MATCH(C226, 'Compras '!$D$31:$D$146, 0))</f>
        <v/>
      </c>
      <c r="K226" s="235" t="str" cm="1">
        <f t="array" aca="1" ref="K226" ca="1">INDEX('Compras '!$AQ$31:$AQ$146, MATCH(C226, 'Compras '!$D$31:$D$146, 0)+1)</f>
        <v/>
      </c>
      <c r="L226" s="235">
        <f>INDEX('Compras '!$AJ$31:$AJ$146, MATCH(C226, 'Compras '!$D$31:$D$146, 0))</f>
        <v>182286.5</v>
      </c>
      <c r="M226" s="235"/>
      <c r="N226" s="235"/>
      <c r="O226" s="235"/>
      <c r="P226" s="235"/>
      <c r="Y226" s="803"/>
    </row>
    <row r="227" spans="1:25" x14ac:dyDescent="0.3">
      <c r="A227">
        <v>12</v>
      </c>
      <c r="B227" s="235">
        <f>IFERROR(LARGE('Compras '!$I$31:$I$146,A227)," ")</f>
        <v>353954</v>
      </c>
      <c r="C227" t="str">
        <f>IFERROR(INDEX(
   'Compras '!$D$31:$D$146,
    MATCH(
        B227,
       'Compras '!$I$31:$I$146,
        0
    )
), " ")</f>
        <v>Recuperação de valores - Água</v>
      </c>
      <c r="D227" s="806">
        <f t="shared" si="72"/>
        <v>1.9949679017099087E-2</v>
      </c>
      <c r="E227" s="362">
        <f t="shared" si="74"/>
        <v>0.83998235268034538</v>
      </c>
      <c r="F227" t="str">
        <f t="shared" si="73"/>
        <v>Compras</v>
      </c>
      <c r="G227" t="str">
        <f>_xlfn.XLOOKUP(C227,'Compras '!$D$31:$D$146,'Compras '!$O$31:$O$146)</f>
        <v>⏳ Em Execução</v>
      </c>
      <c r="H227">
        <f>_xlfn.XLOOKUP(C227,'Compras '!$D$31:$D$146,'Compras '!$M$31:$M$146," ")</f>
        <v>0</v>
      </c>
      <c r="I227" s="803">
        <f>_xlfn.XLOOKUP(C227,'Compras '!$D$31:$D$146,'Compras '!$J$31:$J$146)</f>
        <v>46357</v>
      </c>
      <c r="J227" s="235" t="str">
        <f ca="1">INDEX('Compras '!$AQ$31:$AQ$146, MATCH(C227, 'Compras '!$D$31:$D$146, 0))</f>
        <v/>
      </c>
      <c r="K227" s="235" t="str" cm="1">
        <f t="array" aca="1" ref="K227" ca="1">INDEX('Compras '!$AQ$31:$AQ$146, MATCH(C227, 'Compras '!$D$31:$D$146, 0)+1)</f>
        <v/>
      </c>
      <c r="L227" s="235">
        <f>INDEX('Compras '!$AJ$31:$AJ$146, MATCH(C227, 'Compras '!$D$31:$D$146, 0))</f>
        <v>29496.166666666668</v>
      </c>
      <c r="M227" s="235"/>
      <c r="N227" s="235"/>
      <c r="O227" s="235"/>
      <c r="P227" s="235"/>
      <c r="Y227" s="803"/>
    </row>
    <row r="228" spans="1:25" x14ac:dyDescent="0.3">
      <c r="A228">
        <v>13</v>
      </c>
      <c r="B228" s="235">
        <f>IFERROR(LARGE('Compras '!$I$31:$I$146,A228)," ")</f>
        <v>348550.6</v>
      </c>
      <c r="C228" t="str">
        <f>IFERROR(INDEX(
   'Compras '!$D$31:$D$146,
    MATCH(
        B228,
       'Compras '!$I$31:$I$146,
        0
    )
), " ")</f>
        <v>Troca da fonte de arame de solda para China</v>
      </c>
      <c r="D228" s="806">
        <f t="shared" si="72"/>
        <v>1.9645130698388202E-2</v>
      </c>
      <c r="E228" s="362">
        <f t="shared" si="74"/>
        <v>0.85962748337873363</v>
      </c>
      <c r="F228" t="str">
        <f t="shared" si="73"/>
        <v>Compras</v>
      </c>
      <c r="G228" t="str">
        <f>_xlfn.XLOOKUP(C228,'Compras '!$D$31:$D$146,'Compras '!$O$31:$O$146)</f>
        <v>📝 Não iniciado</v>
      </c>
      <c r="H228">
        <f>_xlfn.XLOOKUP(C228,'Compras '!$D$31:$D$146,'Compras '!$M$31:$M$146," ")</f>
        <v>0</v>
      </c>
      <c r="I228" s="803">
        <f>_xlfn.XLOOKUP(C228,'Compras '!$D$31:$D$146,'Compras '!$J$31:$J$146)</f>
        <v>46568</v>
      </c>
      <c r="J228" s="235" t="str">
        <f ca="1">INDEX('Compras '!$AQ$31:$AQ$146, MATCH(C228, 'Compras '!$D$31:$D$146, 0))</f>
        <v/>
      </c>
      <c r="K228" s="235" t="str" cm="1">
        <f t="array" aca="1" ref="K228" ca="1">INDEX('Compras '!$AQ$31:$AQ$146, MATCH(C228, 'Compras '!$D$31:$D$146, 0)+1)</f>
        <v/>
      </c>
      <c r="L228" s="235">
        <f>INDEX('Compras '!$AJ$31:$AJ$146, MATCH(C228, 'Compras '!$D$31:$D$146, 0))</f>
        <v>0</v>
      </c>
      <c r="M228" s="235"/>
      <c r="N228" s="235"/>
      <c r="O228" s="235"/>
      <c r="P228" s="235"/>
      <c r="Y228" s="803"/>
    </row>
    <row r="229" spans="1:25" x14ac:dyDescent="0.3">
      <c r="A229">
        <v>14</v>
      </c>
      <c r="B229" s="235">
        <f>IFERROR(LARGE('Compras '!$I$31:$I$146,A229)," ")</f>
        <v>317391</v>
      </c>
      <c r="C229" t="str">
        <f>IFERROR(INDEX(
   'Compras '!$D$31:$D$146,
    MATCH(
        B229,
       'Compras '!$I$31:$I$146,
        0
    )
), " ")</f>
        <v>Viabilizar itens Usiminas via Gonvarri-Full Service</v>
      </c>
      <c r="D229" s="806">
        <f t="shared" si="72"/>
        <v>1.7888902436237749E-2</v>
      </c>
      <c r="E229" s="362">
        <f t="shared" si="74"/>
        <v>0.87751638581497138</v>
      </c>
      <c r="F229" t="str">
        <f t="shared" si="73"/>
        <v>Compras</v>
      </c>
      <c r="G229" t="str">
        <f>_xlfn.XLOOKUP(C229,'Compras '!$D$31:$D$146,'Compras '!$O$31:$O$146)</f>
        <v>✓ Concluído</v>
      </c>
      <c r="H229">
        <f>_xlfn.XLOOKUP(C229,'Compras '!$D$31:$D$146,'Compras '!$M$31:$M$146," ")</f>
        <v>0</v>
      </c>
      <c r="I229" s="803">
        <f>_xlfn.XLOOKUP(C229,'Compras '!$D$31:$D$146,'Compras '!$J$31:$J$146)</f>
        <v>46082</v>
      </c>
      <c r="J229" s="235">
        <f ca="1">INDEX('Compras '!$AQ$31:$AQ$146, MATCH(C229, 'Compras '!$D$31:$D$146, 0))</f>
        <v>79347.75</v>
      </c>
      <c r="K229" s="235" t="str" cm="1">
        <f t="array" aca="1" ref="K229" ca="1">INDEX('Compras '!$AQ$31:$AQ$146, MATCH(C229, 'Compras '!$D$31:$D$146, 0)+1)</f>
        <v/>
      </c>
      <c r="L229" s="235">
        <f>INDEX('Compras '!$AJ$31:$AJ$146, MATCH(C229, 'Compras '!$D$31:$D$146, 0))</f>
        <v>264492.5</v>
      </c>
      <c r="M229" s="235"/>
      <c r="N229" s="235"/>
      <c r="O229" s="235"/>
      <c r="P229" s="235"/>
      <c r="Y229" s="803"/>
    </row>
    <row r="230" spans="1:25" x14ac:dyDescent="0.3">
      <c r="A230">
        <v>15</v>
      </c>
      <c r="B230" s="235">
        <f>IFERROR(LARGE('Compras '!$I$31:$I$146,A230)," ")</f>
        <v>219761</v>
      </c>
      <c r="C230" t="str">
        <f>IFERROR(INDEX(
   'Compras '!$D$31:$D$146,
    MATCH(
        B230,
       'Compras '!$I$31:$I$146,
        0
    )
), " ")</f>
        <v>Resourcing Maletas Man (Mercante para Cartec)</v>
      </c>
      <c r="D230" s="806">
        <f t="shared" si="72"/>
        <v>1.2386246264985599E-2</v>
      </c>
      <c r="E230" s="362">
        <f t="shared" si="74"/>
        <v>0.88990263207995701</v>
      </c>
      <c r="F230" t="str">
        <f t="shared" si="73"/>
        <v>Compras</v>
      </c>
      <c r="G230" t="str">
        <f>_xlfn.XLOOKUP(C230,'Compras '!$D$31:$D$146,'Compras '!$O$31:$O$146)</f>
        <v>✓ Concluído</v>
      </c>
      <c r="H230" t="str">
        <f>_xlfn.XLOOKUP(C230,'Compras '!$D$31:$D$146,'Compras '!$M$31:$M$146," ")</f>
        <v>Não Ok</v>
      </c>
      <c r="I230" s="803">
        <f>_xlfn.XLOOKUP(C230,'Compras '!$D$31:$D$146,'Compras '!$J$31:$J$146)</f>
        <v>46097</v>
      </c>
      <c r="J230" s="235">
        <f ca="1">INDEX('Compras '!$AQ$31:$AQ$146, MATCH(C230, 'Compras '!$D$31:$D$146, 0))</f>
        <v>54940.25</v>
      </c>
      <c r="K230" s="235" t="str" cm="1">
        <f t="array" aca="1" ref="K230" ca="1">INDEX('Compras '!$AQ$31:$AQ$146, MATCH(C230, 'Compras '!$D$31:$D$146, 0)+1)</f>
        <v/>
      </c>
      <c r="L230" s="235">
        <f>INDEX('Compras '!$AJ$31:$AJ$146, MATCH(C230, 'Compras '!$D$31:$D$146, 0))</f>
        <v>183134.16666666666</v>
      </c>
      <c r="M230" s="235"/>
      <c r="N230" s="235"/>
      <c r="O230" s="235"/>
      <c r="P230" s="235"/>
      <c r="Y230" s="803"/>
    </row>
    <row r="231" spans="1:25" x14ac:dyDescent="0.3">
      <c r="A231">
        <v>16</v>
      </c>
      <c r="B231" s="235">
        <f>IFERROR(LARGE('Compras '!$I$31:$I$146,A231)," ")</f>
        <v>214329</v>
      </c>
      <c r="C231" t="str">
        <f>IFERROR(INDEX(
   'Compras '!$D$31:$D$146,
    MATCH(
        B231,
       'Compras '!$I$31:$I$146,
        0
    )
), " ")</f>
        <v>Redução Itens Mercedes</v>
      </c>
      <c r="D231" s="806">
        <f t="shared" si="72"/>
        <v>1.2080085983082068E-2</v>
      </c>
      <c r="E231" s="362">
        <f t="shared" si="74"/>
        <v>0.90198271806303909</v>
      </c>
      <c r="F231" t="str">
        <f t="shared" si="73"/>
        <v>Compras</v>
      </c>
      <c r="G231" t="str">
        <f>_xlfn.XLOOKUP(C231,'Compras '!$D$31:$D$146,'Compras '!$O$31:$O$146)</f>
        <v>⏳ Em Execução</v>
      </c>
      <c r="H231">
        <f>_xlfn.XLOOKUP(C231,'Compras '!$D$31:$D$146,'Compras '!$M$31:$M$146," ")</f>
        <v>0</v>
      </c>
      <c r="I231" s="803">
        <f>_xlfn.XLOOKUP(C231,'Compras '!$D$31:$D$146,'Compras '!$J$31:$J$146)</f>
        <v>46113</v>
      </c>
      <c r="J231" s="235">
        <f ca="1">INDEX('Compras '!$AQ$31:$AQ$146, MATCH(C231, 'Compras '!$D$31:$D$146, 0))</f>
        <v>35721.5</v>
      </c>
      <c r="K231" s="235" t="str" cm="1">
        <f t="array" aca="1" ref="K231" ca="1">INDEX('Compras '!$AQ$31:$AQ$146, MATCH(C231, 'Compras '!$D$31:$D$146, 0)+1)</f>
        <v/>
      </c>
      <c r="L231" s="235">
        <f>INDEX('Compras '!$AJ$31:$AJ$146, MATCH(C231, 'Compras '!$D$31:$D$146, 0))</f>
        <v>160746.75</v>
      </c>
      <c r="M231" s="235"/>
      <c r="N231" s="235"/>
      <c r="O231" s="235"/>
      <c r="P231" s="235"/>
      <c r="Y231" s="803"/>
    </row>
    <row r="232" spans="1:25" x14ac:dyDescent="0.3">
      <c r="A232">
        <v>17</v>
      </c>
      <c r="B232" s="235">
        <f>IFERROR(LARGE('Compras '!$I$31:$I$146,A232)," ")</f>
        <v>171002</v>
      </c>
      <c r="C232" t="str">
        <f>IFERROR(INDEX(
   'Compras '!$D$31:$D$146,
    MATCH(
        B232,
       'Compras '!$I$31:$I$146,
        0
    )
), " ")</f>
        <v>Troca de fonte fita zebrada e etiqueta litografada</v>
      </c>
      <c r="D232" s="806">
        <f t="shared" si="72"/>
        <v>9.6380744709255398E-3</v>
      </c>
      <c r="E232" s="362">
        <f t="shared" si="74"/>
        <v>0.91162079253396466</v>
      </c>
      <c r="F232" t="str">
        <f t="shared" si="73"/>
        <v>Compras</v>
      </c>
      <c r="G232" t="str">
        <f>_xlfn.XLOOKUP(C232,'Compras '!$D$31:$D$146,'Compras '!$O$31:$O$146)</f>
        <v>✓ Concluído</v>
      </c>
      <c r="H232">
        <f>_xlfn.XLOOKUP(C232,'Compras '!$D$31:$D$146,'Compras '!$M$31:$M$146," ")</f>
        <v>0</v>
      </c>
      <c r="I232" s="803">
        <f>_xlfn.XLOOKUP(C232,'Compras '!$D$31:$D$146,'Compras '!$J$31:$J$146)</f>
        <v>46113</v>
      </c>
      <c r="J232" s="235">
        <f ca="1">INDEX('Compras '!$AQ$31:$AQ$146, MATCH(C232, 'Compras '!$D$31:$D$146, 0))</f>
        <v>28500.333333333332</v>
      </c>
      <c r="K232" s="235" t="str" cm="1">
        <f t="array" aca="1" ref="K232" ca="1">INDEX('Compras '!$AQ$31:$AQ$146, MATCH(C232, 'Compras '!$D$31:$D$146, 0)+1)</f>
        <v/>
      </c>
      <c r="L232" s="235">
        <f>INDEX('Compras '!$AJ$31:$AJ$146, MATCH(C232, 'Compras '!$D$31:$D$146, 0))</f>
        <v>128251.50000000001</v>
      </c>
      <c r="M232" s="235"/>
      <c r="N232" s="235"/>
      <c r="O232" s="235"/>
      <c r="P232" s="235"/>
      <c r="Y232" s="803"/>
    </row>
    <row r="233" spans="1:25" x14ac:dyDescent="0.3">
      <c r="A233">
        <v>18</v>
      </c>
      <c r="B233" s="235">
        <f>IFERROR(LARGE('Compras '!$I$31:$I$146,A233)," ")</f>
        <v>158990</v>
      </c>
      <c r="C233" t="str">
        <f>IFERROR(INDEX(
   'Compras '!$D$31:$D$146,
    MATCH(
        B233,
       'Compras '!$I$31:$I$146,
        0
    )
), " ")</f>
        <v>Redução de custo Abrasivos Curva A Ferraz</v>
      </c>
      <c r="D233" s="806">
        <f t="shared" si="72"/>
        <v>8.9610499300151556E-3</v>
      </c>
      <c r="E233" s="362">
        <f t="shared" si="74"/>
        <v>0.92058184246397978</v>
      </c>
      <c r="F233" t="str">
        <f t="shared" si="73"/>
        <v>Compras</v>
      </c>
      <c r="G233" t="str">
        <f>_xlfn.XLOOKUP(C233,'Compras '!$D$31:$D$146,'Compras '!$O$31:$O$146)</f>
        <v>✓ Concluído</v>
      </c>
      <c r="H233" t="str">
        <f>_xlfn.XLOOKUP(C233,'Compras '!$D$31:$D$146,'Compras '!$M$31:$M$146," ")</f>
        <v>Não Ok</v>
      </c>
      <c r="I233" s="803">
        <f>_xlfn.XLOOKUP(C233,'Compras '!$D$31:$D$146,'Compras '!$J$31:$J$146)</f>
        <v>46071</v>
      </c>
      <c r="J233" s="235">
        <f ca="1">INDEX('Compras '!$AQ$31:$AQ$146, MATCH(C233, 'Compras '!$D$31:$D$146, 0))</f>
        <v>52996.666666666664</v>
      </c>
      <c r="K233" s="235" t="str" cm="1">
        <f t="array" aca="1" ref="K233" ca="1">INDEX('Compras '!$AQ$31:$AQ$146, MATCH(C233, 'Compras '!$D$31:$D$146, 0)+1)</f>
        <v/>
      </c>
      <c r="L233" s="235">
        <f>INDEX('Compras '!$AJ$31:$AJ$146, MATCH(C233, 'Compras '!$D$31:$D$146, 0))</f>
        <v>145740.83333333334</v>
      </c>
      <c r="M233" s="235"/>
      <c r="N233" s="235"/>
      <c r="O233" s="235"/>
      <c r="P233" s="235"/>
      <c r="Y233" s="803"/>
    </row>
    <row r="234" spans="1:25" x14ac:dyDescent="0.3">
      <c r="A234">
        <v>19</v>
      </c>
      <c r="B234" s="235">
        <f>IFERROR(LARGE('Compras '!$I$31:$I$146,A234)," ")</f>
        <v>155799</v>
      </c>
      <c r="C234" t="str">
        <f>IFERROR(INDEX(
   'Compras '!$D$31:$D$146,
    MATCH(
        B234,
       'Compras '!$I$31:$I$146,
        0
    )
), " ")</f>
        <v>Resourcing Hasmman para Metalac</v>
      </c>
      <c r="D234" s="806">
        <f t="shared" si="72"/>
        <v>8.7811976731016483E-3</v>
      </c>
      <c r="E234" s="362">
        <f t="shared" si="74"/>
        <v>0.92936304013708138</v>
      </c>
      <c r="F234" t="str">
        <f t="shared" si="73"/>
        <v>Compras</v>
      </c>
      <c r="G234" t="str">
        <f>_xlfn.XLOOKUP(C234,'Compras '!$D$31:$D$146,'Compras '!$O$31:$O$146)</f>
        <v>✓ Concluído</v>
      </c>
      <c r="H234" t="str">
        <f>_xlfn.XLOOKUP(C234,'Compras '!$D$31:$D$146,'Compras '!$M$31:$M$146," ")</f>
        <v>OK</v>
      </c>
      <c r="I234" s="803">
        <f>_xlfn.XLOOKUP(C234,'Compras '!$D$31:$D$146,'Compras '!$J$31:$J$146)</f>
        <v>46072</v>
      </c>
      <c r="J234" s="235">
        <f ca="1">INDEX('Compras '!$AQ$31:$AQ$146, MATCH(C234, 'Compras '!$D$31:$D$146, 0))</f>
        <v>51645.666666666664</v>
      </c>
      <c r="K234" s="235" t="str" cm="1">
        <f t="array" aca="1" ref="K234" ca="1">INDEX('Compras '!$AQ$31:$AQ$146, MATCH(C234, 'Compras '!$D$31:$D$146, 0)+1)</f>
        <v/>
      </c>
      <c r="L234" s="235">
        <f>INDEX('Compras '!$AJ$31:$AJ$146, MATCH(C234, 'Compras '!$D$31:$D$146, 0))</f>
        <v>142025.58333333334</v>
      </c>
      <c r="M234" s="235"/>
      <c r="N234" s="235"/>
      <c r="O234" s="235"/>
      <c r="P234" s="235"/>
    </row>
    <row r="235" spans="1:25" x14ac:dyDescent="0.3">
      <c r="A235">
        <v>20</v>
      </c>
      <c r="B235" s="235">
        <f>IFERROR(LARGE('Compras '!$I$31:$I$146,A235)," ")</f>
        <v>150000</v>
      </c>
      <c r="C235" t="str">
        <f>IFERROR(INDEX(
   'Compras '!$D$31:$D$146,
    MATCH(
        B235,
       'Compras '!$I$31:$I$146,
        0
    )
), " ")</f>
        <v>Negociação Mercante (Laser)</v>
      </c>
      <c r="D235" s="806">
        <f t="shared" si="72"/>
        <v>8.4543524089708364E-3</v>
      </c>
      <c r="E235" s="362">
        <f t="shared" si="74"/>
        <v>0.93781739254605223</v>
      </c>
      <c r="F235" t="str">
        <f t="shared" si="73"/>
        <v>Compras</v>
      </c>
      <c r="G235" t="str">
        <f>_xlfn.XLOOKUP(C235,'Compras '!$D$31:$D$146,'Compras '!$O$31:$O$146)</f>
        <v>⏳ Em Execução</v>
      </c>
      <c r="H235">
        <f>_xlfn.XLOOKUP(C235,'Compras '!$D$31:$D$146,'Compras '!$M$31:$M$146," ")</f>
        <v>0</v>
      </c>
      <c r="I235" s="803">
        <f>_xlfn.XLOOKUP(C235,'Compras '!$D$31:$D$146,'Compras '!$J$31:$J$146)</f>
        <v>46293</v>
      </c>
      <c r="J235" s="235" t="str">
        <f ca="1">INDEX('Compras '!$AQ$31:$AQ$146, MATCH(C235, 'Compras '!$D$31:$D$146, 0))</f>
        <v/>
      </c>
      <c r="K235" s="235" t="str" cm="1">
        <f t="array" aca="1" ref="K235" ca="1">INDEX('Compras '!$AQ$31:$AQ$146, MATCH(C235, 'Compras '!$D$31:$D$146, 0)+1)</f>
        <v/>
      </c>
      <c r="L235" s="235">
        <f>INDEX('Compras '!$AJ$31:$AJ$146, MATCH(C235, 'Compras '!$D$31:$D$146, 0))</f>
        <v>50000</v>
      </c>
      <c r="M235" s="235"/>
      <c r="N235" s="235"/>
      <c r="O235" s="235"/>
      <c r="P235" s="235"/>
    </row>
    <row r="236" spans="1:25" x14ac:dyDescent="0.3">
      <c r="A236">
        <v>21</v>
      </c>
      <c r="B236" s="235">
        <f>IFERROR(LARGE('Compras '!$I$31:$I$146,A236)," ")</f>
        <v>130748</v>
      </c>
      <c r="C236" t="str">
        <f>IFERROR(INDEX(
   'Compras '!$D$31:$D$146,
    MATCH(
        B236,
       'Compras '!$I$31:$I$146,
        0
    )
), " ")</f>
        <v>Testes e troca do fornecedor de insumos de usinagem</v>
      </c>
      <c r="D236" s="806">
        <f t="shared" si="72"/>
        <v>7.3692644584541257E-3</v>
      </c>
      <c r="E236" s="362">
        <f t="shared" si="74"/>
        <v>0.94518665700450633</v>
      </c>
      <c r="F236" t="str">
        <f t="shared" si="73"/>
        <v>Compras</v>
      </c>
      <c r="G236" t="str">
        <f>_xlfn.XLOOKUP(C236,'Compras '!$D$31:$D$146,'Compras '!$O$31:$O$146)</f>
        <v>⏳ Em Execução</v>
      </c>
      <c r="H236">
        <f>_xlfn.XLOOKUP(C236,'Compras '!$D$31:$D$146,'Compras '!$M$31:$M$146," ")</f>
        <v>0</v>
      </c>
      <c r="I236" s="803">
        <f>_xlfn.XLOOKUP(C236,'Compras '!$D$31:$D$146,'Compras '!$J$31:$J$146)</f>
        <v>46204</v>
      </c>
      <c r="J236" s="235" t="str">
        <f ca="1">INDEX('Compras '!$AQ$31:$AQ$146, MATCH(C236, 'Compras '!$D$31:$D$146, 0))</f>
        <v/>
      </c>
      <c r="K236" s="235" t="str" cm="1">
        <f t="array" aca="1" ref="K236" ca="1">INDEX('Compras '!$AQ$31:$AQ$146, MATCH(C236, 'Compras '!$D$31:$D$146, 0)+1)</f>
        <v/>
      </c>
      <c r="L236" s="235">
        <f>INDEX('Compras '!$AJ$31:$AJ$146, MATCH(C236, 'Compras '!$D$31:$D$146, 0))</f>
        <v>65373.999999999993</v>
      </c>
      <c r="M236" s="235"/>
      <c r="N236" s="235"/>
      <c r="O236" s="235"/>
      <c r="P236" s="235"/>
    </row>
    <row r="237" spans="1:25" x14ac:dyDescent="0.3">
      <c r="A237">
        <v>22</v>
      </c>
      <c r="B237" s="235">
        <f>IFERROR(LARGE('Compras '!$I$31:$I$146,A237)," ")</f>
        <v>130308</v>
      </c>
      <c r="C237" t="str">
        <f>IFERROR(INDEX(
   'Compras '!$D$31:$D$146,
    MATCH(
        B237,
       'Compras '!$I$31:$I$146,
        0
    )
), " ")</f>
        <v>MIGRAÇÃO ITENS USIMINAS PARA ARCELOR</v>
      </c>
      <c r="D237" s="806">
        <f t="shared" si="72"/>
        <v>7.3444650247211449E-3</v>
      </c>
      <c r="E237" s="362">
        <f t="shared" si="74"/>
        <v>0.95253112202922752</v>
      </c>
      <c r="F237" t="str">
        <f t="shared" si="73"/>
        <v>Compras</v>
      </c>
      <c r="G237" t="str">
        <f>_xlfn.XLOOKUP(C237,'Compras '!$D$31:$D$146,'Compras '!$O$31:$O$146)</f>
        <v>⏳ Em Execução</v>
      </c>
      <c r="H237">
        <f>_xlfn.XLOOKUP(C237,'Compras '!$D$31:$D$146,'Compras '!$M$31:$M$146," ")</f>
        <v>0</v>
      </c>
      <c r="I237" s="803">
        <f>_xlfn.XLOOKUP(C237,'Compras '!$D$31:$D$146,'Compras '!$J$31:$J$146)</f>
        <v>46235</v>
      </c>
      <c r="J237" s="235" t="str">
        <f ca="1">INDEX('Compras '!$AQ$31:$AQ$146, MATCH(C237, 'Compras '!$D$31:$D$146, 0))</f>
        <v/>
      </c>
      <c r="K237" s="235" t="str" cm="1">
        <f t="array" aca="1" ref="K237" ca="1">INDEX('Compras '!$AQ$31:$AQ$146, MATCH(C237, 'Compras '!$D$31:$D$146, 0)+1)</f>
        <v/>
      </c>
      <c r="L237" s="235">
        <f>INDEX('Compras '!$AJ$31:$AJ$146, MATCH(C237, 'Compras '!$D$31:$D$146, 0))</f>
        <v>54295</v>
      </c>
      <c r="M237" s="235"/>
      <c r="N237" s="235"/>
      <c r="O237" s="235"/>
      <c r="P237" s="235"/>
    </row>
    <row r="238" spans="1:25" x14ac:dyDescent="0.3">
      <c r="A238">
        <v>23</v>
      </c>
      <c r="B238" s="235">
        <f>IFERROR(LARGE('Compras '!$I$31:$I$146,A238)," ")</f>
        <v>126386</v>
      </c>
      <c r="C238" t="str">
        <f>IFERROR(INDEX(
   'Compras '!$D$31:$D$146,
    MATCH(
        B238,
       'Compras '!$I$31:$I$146,
        0
    )
), " ")</f>
        <v>Troca fornecedor decapagem gancheiras Ferraz</v>
      </c>
      <c r="D238" s="806">
        <f t="shared" si="72"/>
        <v>7.1234118904012541E-3</v>
      </c>
      <c r="E238" s="362">
        <f t="shared" si="74"/>
        <v>0.95965453391962874</v>
      </c>
      <c r="F238" t="str">
        <f t="shared" si="73"/>
        <v>Compras</v>
      </c>
      <c r="G238" t="str">
        <f>_xlfn.XLOOKUP(C238,'Compras '!$D$31:$D$146,'Compras '!$O$31:$O$146)</f>
        <v>✓ Concluído</v>
      </c>
      <c r="H238" t="str">
        <f>_xlfn.XLOOKUP(C238,'Compras '!$D$31:$D$146,'Compras '!$M$31:$M$146," ")</f>
        <v>OK</v>
      </c>
      <c r="I238" s="803">
        <f>_xlfn.XLOOKUP(C238,'Compras '!$D$31:$D$146,'Compras '!$J$31:$J$146)</f>
        <v>46071</v>
      </c>
      <c r="J238" s="235">
        <f ca="1">INDEX('Compras '!$AQ$31:$AQ$146, MATCH(C238, 'Compras '!$D$31:$D$146, 0))</f>
        <v>32969.933333333334</v>
      </c>
      <c r="K238" s="235" cm="1">
        <f t="array" aca="1" ref="K238" ca="1">INDEX('Compras '!$AQ$31:$AQ$146, MATCH(C238, 'Compras '!$D$31:$D$146, 0)+1)</f>
        <v>544.5</v>
      </c>
      <c r="L238" s="235">
        <f>INDEX('Compras '!$AJ$31:$AJ$146, MATCH(C238, 'Compras '!$D$31:$D$146, 0))</f>
        <v>90667.316666666695</v>
      </c>
      <c r="M238" s="235"/>
      <c r="N238" s="235"/>
      <c r="O238" s="235"/>
      <c r="P238" s="235"/>
    </row>
    <row r="239" spans="1:25" x14ac:dyDescent="0.3">
      <c r="A239">
        <v>24</v>
      </c>
      <c r="B239" s="235">
        <f>IFERROR(LARGE('Compras '!$I$31:$I$146,A239)," ")</f>
        <v>112000</v>
      </c>
      <c r="C239" t="str">
        <f>IFERROR(INDEX(
   'Compras '!$D$31:$D$146,
    MATCH(
        B239,
       'Compras '!$I$31:$I$146,
        0
    )
), " ")</f>
        <v>Resourcing Pino Esférico GM Lipos p/ Maxdel</v>
      </c>
      <c r="D239" s="806">
        <f t="shared" si="72"/>
        <v>6.3125831320315576E-3</v>
      </c>
      <c r="E239" s="362">
        <f t="shared" si="74"/>
        <v>0.96596711705166027</v>
      </c>
      <c r="F239" t="str">
        <f t="shared" si="73"/>
        <v>Compras</v>
      </c>
      <c r="G239" t="str">
        <f>_xlfn.XLOOKUP(C239,'Compras '!$D$31:$D$146,'Compras '!$O$31:$O$146)</f>
        <v>⏳ Em Execução</v>
      </c>
      <c r="H239">
        <f>_xlfn.XLOOKUP(C239,'Compras '!$D$31:$D$146,'Compras '!$M$31:$M$146," ")</f>
        <v>0</v>
      </c>
      <c r="I239" s="803">
        <f>_xlfn.XLOOKUP(C239,'Compras '!$D$31:$D$146,'Compras '!$J$31:$J$146)</f>
        <v>46300</v>
      </c>
      <c r="J239" s="235" t="str">
        <f ca="1">INDEX('Compras '!$AQ$31:$AQ$146, MATCH(C239, 'Compras '!$D$31:$D$146, 0))</f>
        <v/>
      </c>
      <c r="K239" s="235" t="str" cm="1">
        <f t="array" aca="1" ref="K239" ca="1">INDEX('Compras '!$AQ$31:$AQ$146, MATCH(C239, 'Compras '!$D$31:$D$146, 0)+1)</f>
        <v/>
      </c>
      <c r="L239" s="235">
        <f>INDEX('Compras '!$AJ$31:$AJ$146, MATCH(C239, 'Compras '!$D$31:$D$146, 0))</f>
        <v>28000</v>
      </c>
      <c r="M239" s="235"/>
      <c r="N239" s="235"/>
      <c r="O239" s="235"/>
      <c r="P239" s="235"/>
    </row>
    <row r="240" spans="1:25" x14ac:dyDescent="0.3">
      <c r="A240">
        <v>25</v>
      </c>
      <c r="B240" s="235">
        <f>IFERROR(LARGE('Compras '!$I$31:$I$146,A240)," ")</f>
        <v>102750</v>
      </c>
      <c r="C240" t="str">
        <f>IFERROR(INDEX(
   'Compras '!$D$31:$D$146,
    MATCH(
        B240,
       'Compras '!$I$31:$I$146,
        0
    )
), " ")</f>
        <v>Estudo de viabilidade lixadeiras</v>
      </c>
      <c r="D240" s="806">
        <f t="shared" si="72"/>
        <v>5.791231400145023E-3</v>
      </c>
      <c r="E240" s="362">
        <f t="shared" si="74"/>
        <v>0.97175834845180531</v>
      </c>
      <c r="F240" t="str">
        <f t="shared" si="73"/>
        <v>Compras</v>
      </c>
      <c r="G240" t="str">
        <f>_xlfn.XLOOKUP(C240,'Compras '!$D$31:$D$146,'Compras '!$O$31:$O$146)</f>
        <v>⏳ Em Execução</v>
      </c>
      <c r="H240">
        <f>_xlfn.XLOOKUP(C240,'Compras '!$D$31:$D$146,'Compras '!$M$31:$M$146," ")</f>
        <v>0</v>
      </c>
      <c r="I240" s="803">
        <f>_xlfn.XLOOKUP(C240,'Compras '!$D$31:$D$146,'Compras '!$J$31:$J$146)</f>
        <v>46113</v>
      </c>
      <c r="J240" s="235">
        <f ca="1">INDEX('Compras '!$AQ$31:$AQ$146, MATCH(C240, 'Compras '!$D$31:$D$146, 0))</f>
        <v>17125</v>
      </c>
      <c r="K240" s="235" t="str" cm="1">
        <f t="array" aca="1" ref="K240" ca="1">INDEX('Compras '!$AQ$31:$AQ$146, MATCH(C240, 'Compras '!$D$31:$D$146, 0)+1)</f>
        <v/>
      </c>
      <c r="L240" s="235">
        <f>INDEX('Compras '!$AJ$31:$AJ$146, MATCH(C240, 'Compras '!$D$31:$D$146, 0))</f>
        <v>77062.5</v>
      </c>
      <c r="M240" s="235"/>
      <c r="N240" s="235"/>
      <c r="O240" s="235"/>
      <c r="P240" s="235"/>
    </row>
    <row r="241" spans="1:16" x14ac:dyDescent="0.3">
      <c r="A241">
        <v>26</v>
      </c>
      <c r="B241" s="235">
        <f>IFERROR(LARGE('Compras '!$I$31:$I$146,A241)," ")</f>
        <v>100871</v>
      </c>
      <c r="C241" t="str">
        <f>IFERROR(INDEX(
   'Compras '!$D$31:$D$146,
    MATCH(
        B241,
       'Compras '!$I$31:$I$146,
        0
    )
), " ")</f>
        <v>Negociação Boellhoff
85290 - PORCA QUADRADA SOLDA PROJEÇÃO - M5</v>
      </c>
      <c r="D241" s="806">
        <f t="shared" si="72"/>
        <v>5.6853265456353148E-3</v>
      </c>
      <c r="E241" s="362">
        <f t="shared" si="74"/>
        <v>0.97744367499744067</v>
      </c>
      <c r="F241" t="str">
        <f t="shared" si="73"/>
        <v>Compras</v>
      </c>
      <c r="G241" t="str">
        <f>_xlfn.XLOOKUP(C241,'Compras '!$D$31:$D$146,'Compras '!$O$31:$O$146)</f>
        <v>⏳ Em Execução</v>
      </c>
      <c r="H241">
        <f>_xlfn.XLOOKUP(C241,'Compras '!$D$31:$D$146,'Compras '!$M$31:$M$146," ")</f>
        <v>0</v>
      </c>
      <c r="I241" s="803">
        <f>_xlfn.XLOOKUP(C241,'Compras '!$D$31:$D$146,'Compras '!$J$31:$J$146)</f>
        <v>46204</v>
      </c>
      <c r="J241" s="235" t="str">
        <f ca="1">INDEX('Compras '!$AQ$31:$AQ$146, MATCH(C241, 'Compras '!$D$31:$D$146, 0))</f>
        <v/>
      </c>
      <c r="K241" s="235" t="str" cm="1">
        <f t="array" aca="1" ref="K241" ca="1">INDEX('Compras '!$AQ$31:$AQ$146, MATCH(C241, 'Compras '!$D$31:$D$146, 0)+1)</f>
        <v/>
      </c>
      <c r="L241" s="235">
        <f>INDEX('Compras '!$AJ$31:$AJ$146, MATCH(C241, 'Compras '!$D$31:$D$146, 0))</f>
        <v>50435.499999999993</v>
      </c>
      <c r="M241" s="235"/>
      <c r="N241" s="235"/>
      <c r="O241" s="235"/>
      <c r="P241" s="235"/>
    </row>
    <row r="242" spans="1:16" x14ac:dyDescent="0.3">
      <c r="A242">
        <v>27</v>
      </c>
      <c r="B242" s="235">
        <f>IFERROR(LARGE('Compras '!$I$31:$I$146,A242)," ")</f>
        <v>100602</v>
      </c>
      <c r="C242" t="str">
        <f>IFERROR(INDEX(
   'Compras '!$D$31:$D$146,
    MATCH(
        B242,
       'Compras '!$I$31:$I$146,
        0
    )
), " ")</f>
        <v>Substituição Plano Médico - São Leopoldo</v>
      </c>
      <c r="D242" s="806">
        <f t="shared" si="72"/>
        <v>5.6701650736485599E-3</v>
      </c>
      <c r="E242" s="362">
        <f t="shared" si="74"/>
        <v>0.98311384007108926</v>
      </c>
      <c r="F242" t="str">
        <f t="shared" si="73"/>
        <v>Compras</v>
      </c>
      <c r="G242" t="str">
        <f>_xlfn.XLOOKUP(C242,'Compras '!$D$31:$D$146,'Compras '!$O$31:$O$146)</f>
        <v>⏳ Em Execução</v>
      </c>
      <c r="H242">
        <f>_xlfn.XLOOKUP(C242,'Compras '!$D$31:$D$146,'Compras '!$M$31:$M$146," ")</f>
        <v>0</v>
      </c>
      <c r="I242" s="803">
        <f>_xlfn.XLOOKUP(C242,'Compras '!$D$31:$D$146,'Compras '!$J$31:$J$146)</f>
        <v>46174</v>
      </c>
      <c r="J242" s="235" t="str">
        <f ca="1">INDEX('Compras '!$AQ$31:$AQ$146, MATCH(C242, 'Compras '!$D$31:$D$146, 0))</f>
        <v/>
      </c>
      <c r="K242" s="235" t="str" cm="1">
        <f t="array" aca="1" ref="K242" ca="1">INDEX('Compras '!$AQ$31:$AQ$146, MATCH(C242, 'Compras '!$D$31:$D$146, 0)+1)</f>
        <v/>
      </c>
      <c r="L242" s="235">
        <f>INDEX('Compras '!$AJ$31:$AJ$146, MATCH(C242, 'Compras '!$D$31:$D$146, 0))</f>
        <v>58684.5</v>
      </c>
      <c r="M242" s="235"/>
      <c r="N242" s="235"/>
      <c r="O242" s="235"/>
      <c r="P242" s="235"/>
    </row>
    <row r="243" spans="1:16" x14ac:dyDescent="0.3">
      <c r="A243">
        <v>28</v>
      </c>
      <c r="B243" s="235">
        <f>IFERROR(LARGE('Compras '!$I$31:$I$146,A243)," ")</f>
        <v>100000.0009</v>
      </c>
      <c r="C243" t="str">
        <f>IFERROR(INDEX(
   'Compras '!$D$31:$D$146,
    MATCH(
        B243,
       'Compras '!$I$31:$I$146,
        0
    )
), " ")</f>
        <v>SRM Componentes</v>
      </c>
      <c r="D243" s="806">
        <f t="shared" si="72"/>
        <v>5.6362349900400052E-3</v>
      </c>
      <c r="E243" s="362">
        <f t="shared" si="74"/>
        <v>0.98875007506112922</v>
      </c>
      <c r="F243" t="str">
        <f t="shared" si="73"/>
        <v>Compras</v>
      </c>
      <c r="G243" t="str">
        <f>_xlfn.XLOOKUP(C243,'Compras '!$D$31:$D$146,'Compras '!$O$31:$O$146)</f>
        <v>⏳ Em Execução</v>
      </c>
      <c r="H243">
        <f>_xlfn.XLOOKUP(C243,'Compras '!$D$31:$D$146,'Compras '!$M$31:$M$146," ")</f>
        <v>0</v>
      </c>
      <c r="I243" s="803">
        <f>_xlfn.XLOOKUP(C243,'Compras '!$D$31:$D$146,'Compras '!$J$31:$J$146)</f>
        <v>46279</v>
      </c>
      <c r="J243" s="235" t="str">
        <f ca="1">INDEX('Compras '!$AQ$31:$AQ$146, MATCH(C243, 'Compras '!$D$31:$D$146, 0))</f>
        <v/>
      </c>
      <c r="K243" s="235" t="str" cm="1">
        <f t="array" aca="1" ref="K243" ca="1">INDEX('Compras '!$AQ$31:$AQ$146, MATCH(C243, 'Compras '!$D$31:$D$146, 0)+1)</f>
        <v/>
      </c>
      <c r="L243" s="235">
        <f>INDEX('Compras '!$AJ$31:$AJ$146, MATCH(C243, 'Compras '!$D$31:$D$146, 0))</f>
        <v>33333.333633333335</v>
      </c>
      <c r="M243" s="235"/>
      <c r="N243" s="235"/>
      <c r="O243" s="235"/>
      <c r="P243" s="235"/>
    </row>
    <row r="244" spans="1:16" x14ac:dyDescent="0.3">
      <c r="A244">
        <v>29</v>
      </c>
      <c r="B244" s="235">
        <f>IFERROR(LARGE('Compras '!$I$31:$I$146,A244)," ")</f>
        <v>100000</v>
      </c>
      <c r="C244" t="str">
        <f>IFERROR(INDEX(
   'Compras '!$D$31:$D$146,
    MATCH(
        B244,
       'Compras '!$I$31:$I$146,
        0
    )
), " ")</f>
        <v>Recuperação de valores - Energia Elétrica</v>
      </c>
      <c r="D244" s="806">
        <f t="shared" si="72"/>
        <v>5.6362349393138909E-3</v>
      </c>
      <c r="E244" s="362">
        <f t="shared" si="74"/>
        <v>0.99438631000044309</v>
      </c>
      <c r="F244" t="str">
        <f t="shared" si="73"/>
        <v>Compras</v>
      </c>
      <c r="G244" t="str">
        <f>_xlfn.XLOOKUP(C244,'Compras '!$D$31:$D$146,'Compras '!$O$31:$O$146)</f>
        <v>⏳ Em Execução</v>
      </c>
      <c r="H244">
        <f>_xlfn.XLOOKUP(C244,'Compras '!$D$31:$D$146,'Compras '!$M$31:$M$146," ")</f>
        <v>0</v>
      </c>
      <c r="I244" s="803">
        <f>_xlfn.XLOOKUP(C244,'Compras '!$D$31:$D$146,'Compras '!$J$31:$J$146)</f>
        <v>46174</v>
      </c>
      <c r="J244" s="235" t="str">
        <f ca="1">INDEX('Compras '!$AQ$31:$AQ$146, MATCH(C244, 'Compras '!$D$31:$D$146, 0))</f>
        <v/>
      </c>
      <c r="K244" s="235" t="str" cm="1">
        <f t="array" aca="1" ref="K244" ca="1">INDEX('Compras '!$AQ$31:$AQ$146, MATCH(C244, 'Compras '!$D$31:$D$146, 0)+1)</f>
        <v/>
      </c>
      <c r="L244" s="235">
        <f>INDEX('Compras '!$AJ$31:$AJ$146, MATCH(C244, 'Compras '!$D$31:$D$146, 0))</f>
        <v>0</v>
      </c>
      <c r="M244" s="235"/>
      <c r="N244" s="235"/>
      <c r="O244" s="235"/>
      <c r="P244" s="235"/>
    </row>
    <row r="245" spans="1:16" x14ac:dyDescent="0.3">
      <c r="A245">
        <v>30</v>
      </c>
      <c r="B245" s="235">
        <f>IFERROR(LARGE('Compras '!$I$31:$I$146,A245)," ")</f>
        <v>99600</v>
      </c>
      <c r="C245" t="str">
        <f>IFERROR(INDEX(
   'Compras '!$D$31:$D$146,
    MATCH(
        B245,
       'Compras '!$I$31:$I$146,
        0
    )
), " ")</f>
        <v>Locação de Compressores</v>
      </c>
      <c r="D245" s="806">
        <f t="shared" si="72"/>
        <v>5.6136899995566352E-3</v>
      </c>
      <c r="E245" s="362">
        <f t="shared" si="74"/>
        <v>0.99999999999999967</v>
      </c>
      <c r="F245" t="str">
        <f t="shared" si="73"/>
        <v>Compras</v>
      </c>
      <c r="G245" t="str">
        <f>_xlfn.XLOOKUP(C245,'Compras '!$D$31:$D$146,'Compras '!$O$31:$O$146)</f>
        <v>⏳ Em Execução</v>
      </c>
      <c r="H245">
        <f>_xlfn.XLOOKUP(C245,'Compras '!$D$31:$D$146,'Compras '!$M$31:$M$146," ")</f>
        <v>0</v>
      </c>
      <c r="I245" s="803">
        <f>_xlfn.XLOOKUP(C245,'Compras '!$D$31:$D$146,'Compras '!$J$31:$J$146)</f>
        <v>46174</v>
      </c>
      <c r="J245" s="235" t="str">
        <f ca="1">INDEX('Compras '!$AQ$31:$AQ$146, MATCH(C245, 'Compras '!$D$31:$D$146, 0))</f>
        <v/>
      </c>
      <c r="K245" s="235" t="str" cm="1">
        <f t="array" aca="1" ref="K245" ca="1">INDEX('Compras '!$AQ$31:$AQ$146, MATCH(C245, 'Compras '!$D$31:$D$146, 0)+1)</f>
        <v/>
      </c>
      <c r="L245" s="235">
        <f>INDEX('Compras '!$AJ$31:$AJ$146, MATCH(C245, 'Compras '!$D$31:$D$146, 0))</f>
        <v>58100</v>
      </c>
      <c r="M245" s="235"/>
      <c r="N245" s="235"/>
      <c r="O245" s="235"/>
      <c r="P245" s="235"/>
    </row>
    <row r="246" spans="1:16" x14ac:dyDescent="0.3">
      <c r="A246">
        <v>31</v>
      </c>
      <c r="B246" s="235">
        <f>IFERROR(LARGE('Compras '!$I$31:$I$146,A246)," ")</f>
        <v>83880.740000000005</v>
      </c>
      <c r="C246" t="str">
        <f>IFERROR(INDEX(
   'Compras '!$D$31:$D$146,
    MATCH(
        B246,
       'Compras '!$I$31:$I$146,
        0
    )
), " ")</f>
        <v>BID Poliuretano Expansivo</v>
      </c>
      <c r="D246" s="806">
        <f t="shared" ref="D246:D265" si="75">IFERROR(B246/SUM($B$216:$B$245)," ")</f>
        <v>4.7277155752350423E-3</v>
      </c>
      <c r="E246" s="362">
        <f t="shared" ref="E246:E265" si="76">IFERROR(D246+E245," ")</f>
        <v>1.0047277155752348</v>
      </c>
      <c r="F246" t="str">
        <f t="shared" si="73"/>
        <v>Compras</v>
      </c>
      <c r="G246" t="str">
        <f>_xlfn.XLOOKUP(C246,'Compras '!$D$31:$D$146,'Compras '!$O$31:$O$146)</f>
        <v>⏳ Em Execução</v>
      </c>
      <c r="H246">
        <f>_xlfn.XLOOKUP(C246,'Compras '!$D$31:$D$146,'Compras '!$M$31:$M$146," ")</f>
        <v>0</v>
      </c>
      <c r="I246" s="803">
        <f>_xlfn.XLOOKUP(C246,'Compras '!$D$31:$D$146,'Compras '!$J$31:$J$146)</f>
        <v>46266</v>
      </c>
      <c r="J246" s="235" t="str">
        <f ca="1">INDEX('Compras '!$AQ$31:$AQ$146, MATCH(C246, 'Compras '!$D$31:$D$146, 0))</f>
        <v/>
      </c>
      <c r="K246" s="235" t="str" cm="1">
        <f t="array" aca="1" ref="K246" ca="1">INDEX('Compras '!$AQ$31:$AQ$146, MATCH(C246, 'Compras '!$D$31:$D$146, 0)+1)</f>
        <v/>
      </c>
      <c r="L246" s="235">
        <f>INDEX('Compras '!$AJ$31:$AJ$146, MATCH(C246, 'Compras '!$D$31:$D$146, 0))</f>
        <v>27960.24666666667</v>
      </c>
      <c r="M246" s="235"/>
      <c r="N246" s="235"/>
      <c r="O246" s="235"/>
      <c r="P246" s="235"/>
    </row>
    <row r="247" spans="1:16" x14ac:dyDescent="0.3">
      <c r="A247">
        <v>32</v>
      </c>
      <c r="B247" s="235">
        <f>IFERROR(LARGE('Compras '!$I$31:$I$146,A247)," ")</f>
        <v>72408</v>
      </c>
      <c r="C247" t="str">
        <f>IFERROR(INDEX(
   'Compras '!$D$31:$D$146,
    MATCH(
        B247,
       'Compras '!$I$31:$I$146,
        0
    )
), " ")</f>
        <v>Modalidade Tarifária</v>
      </c>
      <c r="D247" s="806">
        <f t="shared" si="75"/>
        <v>4.0810849948584018E-3</v>
      </c>
      <c r="E247" s="362">
        <f t="shared" si="76"/>
        <v>1.0088088005700933</v>
      </c>
      <c r="F247" t="str">
        <f t="shared" si="73"/>
        <v>Compras</v>
      </c>
      <c r="G247" t="str">
        <f>_xlfn.XLOOKUP(C247,'Compras '!$D$31:$D$146,'Compras '!$O$31:$O$146)</f>
        <v>✓ Concluído</v>
      </c>
      <c r="H247">
        <f>_xlfn.XLOOKUP(C247,'Compras '!$D$31:$D$146,'Compras '!$M$31:$M$146," ")</f>
        <v>0</v>
      </c>
      <c r="I247" s="803">
        <f>_xlfn.XLOOKUP(C247,'Compras '!$D$31:$D$146,'Compras '!$J$31:$J$146)</f>
        <v>46111</v>
      </c>
      <c r="J247" s="235">
        <f ca="1">INDEX('Compras '!$AQ$31:$AQ$146, MATCH(C247, 'Compras '!$D$31:$D$146, 0))</f>
        <v>18102</v>
      </c>
      <c r="K247" s="235" t="str" cm="1">
        <f t="array" aca="1" ref="K247" ca="1">INDEX('Compras '!$AQ$31:$AQ$146, MATCH(C247, 'Compras '!$D$31:$D$146, 0)+1)</f>
        <v/>
      </c>
      <c r="L247" s="235">
        <f>INDEX('Compras '!$AJ$31:$AJ$146, MATCH(C247, 'Compras '!$D$31:$D$146, 0))</f>
        <v>60340</v>
      </c>
      <c r="M247" s="235"/>
      <c r="N247" s="235"/>
      <c r="O247" s="235"/>
      <c r="P247" s="235"/>
    </row>
    <row r="248" spans="1:16" x14ac:dyDescent="0.3">
      <c r="A248">
        <v>33</v>
      </c>
      <c r="B248" s="235">
        <f>IFERROR(LARGE('Compras '!$I$31:$I$146,A248)," ")</f>
        <v>63045.48</v>
      </c>
      <c r="C248" t="str">
        <f>IFERROR(INDEX(
   'Compras '!$D$31:$D$146,
    MATCH(
        B248,
       'Compras '!$I$31:$I$146,
        0
    )
), " ")</f>
        <v>Destinação Borra Plasma Ferraz</v>
      </c>
      <c r="D248" s="806">
        <f t="shared" si="75"/>
        <v>3.5533913714181514E-3</v>
      </c>
      <c r="E248" s="362">
        <f t="shared" si="76"/>
        <v>1.0123621919415113</v>
      </c>
      <c r="F248" t="str">
        <f t="shared" si="73"/>
        <v>Compras</v>
      </c>
      <c r="G248" t="str">
        <f>_xlfn.XLOOKUP(C248,'Compras '!$D$31:$D$146,'Compras '!$O$31:$O$146)</f>
        <v>✓ Concluído</v>
      </c>
      <c r="H248">
        <f>_xlfn.XLOOKUP(C248,'Compras '!$D$31:$D$146,'Compras '!$M$31:$M$146," ")</f>
        <v>0</v>
      </c>
      <c r="I248" s="803">
        <f>_xlfn.XLOOKUP(C248,'Compras '!$D$31:$D$146,'Compras '!$J$31:$J$146)</f>
        <v>46143</v>
      </c>
      <c r="J248" s="235">
        <f ca="1">INDEX('Compras '!$AQ$31:$AQ$146, MATCH(C248, 'Compras '!$D$31:$D$146, 0))</f>
        <v>5253.79</v>
      </c>
      <c r="K248" s="235" t="str" cm="1">
        <f t="array" aca="1" ref="K248" ca="1">INDEX('Compras '!$AQ$31:$AQ$146, MATCH(C248, 'Compras '!$D$31:$D$146, 0)+1)</f>
        <v/>
      </c>
      <c r="L248" s="235">
        <f>INDEX('Compras '!$AJ$31:$AJ$146, MATCH(C248, 'Compras '!$D$31:$D$146, 0))</f>
        <v>42030.32</v>
      </c>
      <c r="M248" s="235"/>
      <c r="N248" s="235"/>
      <c r="O248" s="235"/>
      <c r="P248" s="235"/>
    </row>
    <row r="249" spans="1:16" x14ac:dyDescent="0.3">
      <c r="A249">
        <v>34</v>
      </c>
      <c r="B249" s="235">
        <f>IFERROR(LARGE('Compras '!$I$31:$I$146,A249)," ")</f>
        <v>56550.98</v>
      </c>
      <c r="C249" t="str">
        <f>IFERROR(INDEX(
   'Compras '!$D$31:$D$146,
    MATCH(
        B249,
       'Compras '!$I$31:$I$146,
        0
    )
), " ")</f>
        <v>Redução MP Viga Banana</v>
      </c>
      <c r="D249" s="806">
        <f t="shared" si="75"/>
        <v>3.1873460932844108E-3</v>
      </c>
      <c r="E249" s="362">
        <f t="shared" si="76"/>
        <v>1.0155495380347956</v>
      </c>
      <c r="F249" t="str">
        <f t="shared" si="73"/>
        <v>Compras</v>
      </c>
      <c r="G249" t="str">
        <f>_xlfn.XLOOKUP(C249,'Compras '!$D$31:$D$146,'Compras '!$O$31:$O$146)</f>
        <v>✓ Concluído</v>
      </c>
      <c r="H249" t="str">
        <f>_xlfn.XLOOKUP(C249,'Compras '!$D$31:$D$146,'Compras '!$M$31:$M$146," ")</f>
        <v>OK</v>
      </c>
      <c r="I249" s="803">
        <f>_xlfn.XLOOKUP(C249,'Compras '!$D$31:$D$146,'Compras '!$J$31:$J$146)</f>
        <v>46066</v>
      </c>
      <c r="J249" s="235">
        <f ca="1">INDEX('Compras '!$AQ$31:$AQ$146, MATCH(C249, 'Compras '!$D$31:$D$146, 0))</f>
        <v>28977.666666666668</v>
      </c>
      <c r="K249" s="235" cm="1">
        <f t="array" aca="1" ref="K249" ca="1">INDEX('Compras '!$AQ$31:$AQ$146, MATCH(C249, 'Compras '!$D$31:$D$146, 0)+1)</f>
        <v>10777.72075764</v>
      </c>
      <c r="L249" s="235">
        <f>INDEX('Compras '!$AJ$31:$AJ$146, MATCH(C249, 'Compras '!$D$31:$D$146, 0))</f>
        <v>79688.583333333328</v>
      </c>
      <c r="M249" s="235"/>
      <c r="N249" s="235"/>
      <c r="O249" s="235"/>
      <c r="P249" s="235"/>
    </row>
    <row r="250" spans="1:16" x14ac:dyDescent="0.3">
      <c r="A250">
        <v>35</v>
      </c>
      <c r="B250" s="235">
        <f>IFERROR(LARGE('Compras '!$I$31:$I$146,A250)," ")</f>
        <v>49053</v>
      </c>
      <c r="C250" t="str">
        <f>IFERROR(INDEX(
   'Compras '!$D$31:$D$146,
    MATCH(
        B250,
       'Compras '!$I$31:$I$146,
        0
    )
), " ")</f>
        <v>Negociação TCC00690/691</v>
      </c>
      <c r="D250" s="806">
        <f t="shared" si="75"/>
        <v>2.7647423247816427E-3</v>
      </c>
      <c r="E250" s="362">
        <f t="shared" si="76"/>
        <v>1.0183142803595773</v>
      </c>
      <c r="F250" t="str">
        <f t="shared" si="73"/>
        <v>Compras</v>
      </c>
      <c r="G250" t="str">
        <f>_xlfn.XLOOKUP(C250,'Compras '!$D$31:$D$146,'Compras '!$O$31:$O$146)</f>
        <v>✓ Concluído</v>
      </c>
      <c r="H250">
        <f>_xlfn.XLOOKUP(C250,'Compras '!$D$31:$D$146,'Compras '!$M$31:$M$146," ")</f>
        <v>0</v>
      </c>
      <c r="I250" s="803">
        <f>_xlfn.XLOOKUP(C250,'Compras '!$D$31:$D$146,'Compras '!$J$31:$J$146)</f>
        <v>46148</v>
      </c>
      <c r="J250" s="235">
        <f ca="1">INDEX('Compras '!$AQ$31:$AQ$146, MATCH(C250, 'Compras '!$D$31:$D$146, 0))</f>
        <v>4087.75</v>
      </c>
      <c r="K250" s="235" t="str" cm="1">
        <f t="array" aca="1" ref="K250" ca="1">INDEX('Compras '!$AQ$31:$AQ$146, MATCH(C250, 'Compras '!$D$31:$D$146, 0)+1)</f>
        <v/>
      </c>
      <c r="L250" s="235">
        <f>INDEX('Compras '!$AJ$31:$AJ$146, MATCH(C250, 'Compras '!$D$31:$D$146, 0))</f>
        <v>32702</v>
      </c>
      <c r="M250" s="235"/>
      <c r="N250" s="235"/>
      <c r="O250" s="235"/>
      <c r="P250" s="235"/>
    </row>
    <row r="251" spans="1:16" x14ac:dyDescent="0.3">
      <c r="A251">
        <v>36</v>
      </c>
      <c r="B251" s="235">
        <f>IFERROR(LARGE('Compras '!$I$31:$I$146,A251)," ")</f>
        <v>46745</v>
      </c>
      <c r="C251" t="str">
        <f>IFERROR(INDEX(
   'Compras '!$D$31:$D$146,
    MATCH(
        B251,
       'Compras '!$I$31:$I$146,
        0
    )
), " ")</f>
        <v>BID eletrodos de solda</v>
      </c>
      <c r="D251" s="806">
        <f t="shared" si="75"/>
        <v>2.6346580223822781E-3</v>
      </c>
      <c r="E251" s="362">
        <f t="shared" si="76"/>
        <v>1.0209489383819597</v>
      </c>
      <c r="F251" t="str">
        <f t="shared" si="73"/>
        <v>Compras</v>
      </c>
      <c r="G251" t="str">
        <f>_xlfn.XLOOKUP(C251,'Compras '!$D$31:$D$146,'Compras '!$O$31:$O$146)</f>
        <v>⏳ Em Execução</v>
      </c>
      <c r="H251">
        <f>_xlfn.XLOOKUP(C251,'Compras '!$D$31:$D$146,'Compras '!$M$31:$M$146," ")</f>
        <v>0</v>
      </c>
      <c r="I251" s="803">
        <f>_xlfn.XLOOKUP(C251,'Compras '!$D$31:$D$146,'Compras '!$J$31:$J$146)</f>
        <v>46113</v>
      </c>
      <c r="J251" s="235" t="str">
        <f ca="1">INDEX('Compras '!$AQ$31:$AQ$146, MATCH(C251, 'Compras '!$D$31:$D$146, 0))</f>
        <v/>
      </c>
      <c r="K251" s="235" t="str" cm="1">
        <f t="array" aca="1" ref="K251" ca="1">INDEX('Compras '!$AQ$31:$AQ$146, MATCH(C251, 'Compras '!$D$31:$D$146, 0)+1)</f>
        <v/>
      </c>
      <c r="L251" s="235">
        <f>INDEX('Compras '!$AJ$31:$AJ$146, MATCH(C251, 'Compras '!$D$31:$D$146, 0))</f>
        <v>0</v>
      </c>
      <c r="M251" s="235"/>
      <c r="N251" s="235"/>
      <c r="O251" s="235"/>
      <c r="P251" s="235"/>
    </row>
    <row r="252" spans="1:16" x14ac:dyDescent="0.3">
      <c r="A252">
        <v>37</v>
      </c>
      <c r="B252" s="235">
        <f>IFERROR(LARGE('Compras '!$I$31:$I$146,A252)," ")</f>
        <v>43500</v>
      </c>
      <c r="C252" t="str">
        <f>IFERROR(INDEX(
   'Compras '!$D$31:$D$146,
    MATCH(
        B252,
       'Compras '!$I$31:$I$146,
        0
    )
), " ")</f>
        <v>Mudança de Modalidade Gerador Anchieta</v>
      </c>
      <c r="D252" s="806">
        <f t="shared" si="75"/>
        <v>2.4517621986015425E-3</v>
      </c>
      <c r="E252" s="362">
        <f t="shared" si="76"/>
        <v>1.0234007005805612</v>
      </c>
      <c r="F252" t="str">
        <f t="shared" si="73"/>
        <v>Compras</v>
      </c>
      <c r="G252" t="str">
        <f>_xlfn.XLOOKUP(C252,'Compras '!$D$31:$D$146,'Compras '!$O$31:$O$146)</f>
        <v>✓ Concluído</v>
      </c>
      <c r="H252" t="str">
        <f>_xlfn.XLOOKUP(C252,'Compras '!$D$31:$D$146,'Compras '!$M$31:$M$146," ")</f>
        <v>OK</v>
      </c>
      <c r="I252" s="803">
        <f>_xlfn.XLOOKUP(C252,'Compras '!$D$31:$D$146,'Compras '!$J$31:$J$146)</f>
        <v>46038</v>
      </c>
      <c r="J252" s="235">
        <f ca="1">INDEX('Compras '!$AQ$31:$AQ$146, MATCH(C252, 'Compras '!$D$31:$D$146, 0))</f>
        <v>16448.45</v>
      </c>
      <c r="K252" s="235" cm="1">
        <f t="array" aca="1" ref="K252" ca="1">INDEX('Compras '!$AQ$31:$AQ$146, MATCH(C252, 'Compras '!$D$31:$D$146, 0)+1)</f>
        <v>9869.07</v>
      </c>
      <c r="L252" s="235">
        <f>INDEX('Compras '!$AJ$31:$AJ$146, MATCH(C252, 'Compras '!$D$31:$D$146, 0))</f>
        <v>39476.28</v>
      </c>
      <c r="M252" s="235"/>
      <c r="N252" s="235"/>
      <c r="O252" s="235"/>
      <c r="P252" s="235"/>
    </row>
    <row r="253" spans="1:16" x14ac:dyDescent="0.3">
      <c r="A253">
        <v>38</v>
      </c>
      <c r="B253" s="235">
        <f>IFERROR(LARGE('Compras '!$I$31:$I$146,A253)," ")</f>
        <v>39383</v>
      </c>
      <c r="C253" t="str">
        <f>IFERROR(INDEX(
   'Compras '!$D$31:$D$146,
    MATCH(
        B253,
       'Compras '!$I$31:$I$146,
        0
    )
), " ")</f>
        <v>Negociação Porca Bollhoff 15341 Saga</v>
      </c>
      <c r="D253" s="806">
        <f t="shared" si="75"/>
        <v>2.2197184061499894E-3</v>
      </c>
      <c r="E253" s="362">
        <f t="shared" si="76"/>
        <v>1.0256204189867113</v>
      </c>
      <c r="F253" t="str">
        <f t="shared" si="73"/>
        <v>Compras</v>
      </c>
      <c r="G253" t="str">
        <f>_xlfn.XLOOKUP(C253,'Compras '!$D$31:$D$146,'Compras '!$O$31:$O$146)</f>
        <v>✓ Concluído</v>
      </c>
      <c r="H253" t="str">
        <f>_xlfn.XLOOKUP(C253,'Compras '!$D$31:$D$146,'Compras '!$M$31:$M$146," ")</f>
        <v>OK</v>
      </c>
      <c r="I253" s="803">
        <f>_xlfn.XLOOKUP(C253,'Compras '!$D$31:$D$146,'Compras '!$J$31:$J$146)</f>
        <v>46101</v>
      </c>
      <c r="J253" s="235">
        <f ca="1">INDEX('Compras '!$AQ$31:$AQ$146, MATCH(C253, 'Compras '!$D$31:$D$146, 0))</f>
        <v>9845.75</v>
      </c>
      <c r="K253" s="235" t="str" cm="1">
        <f t="array" aca="1" ref="K253" ca="1">INDEX('Compras '!$AQ$31:$AQ$146, MATCH(C253, 'Compras '!$D$31:$D$146, 0)+1)</f>
        <v/>
      </c>
      <c r="L253" s="235">
        <f>INDEX('Compras '!$AJ$31:$AJ$146, MATCH(C253, 'Compras '!$D$31:$D$146, 0))</f>
        <v>32819.166666666672</v>
      </c>
      <c r="M253" s="235"/>
      <c r="N253" s="235"/>
      <c r="O253" s="235"/>
      <c r="P253" s="235"/>
    </row>
    <row r="254" spans="1:16" x14ac:dyDescent="0.3">
      <c r="A254">
        <v>39</v>
      </c>
      <c r="B254" s="235">
        <f>IFERROR(LARGE('Compras '!$I$31:$I$146,A254)," ")</f>
        <v>38087</v>
      </c>
      <c r="C254" t="str">
        <f>IFERROR(INDEX(
   'Compras '!$D$31:$D$146,
    MATCH(
        B254,
       'Compras '!$I$31:$I$146,
        0
    )
), " ")</f>
        <v>BID Fita Alta Temp 3M + Anti-Slip 3M</v>
      </c>
      <c r="D254" s="806">
        <f t="shared" si="75"/>
        <v>2.1466728013364816E-3</v>
      </c>
      <c r="E254" s="362">
        <f t="shared" si="76"/>
        <v>1.0277670917880477</v>
      </c>
      <c r="F254" t="str">
        <f t="shared" si="73"/>
        <v>Compras</v>
      </c>
      <c r="G254" t="str">
        <f>_xlfn.XLOOKUP(C254,'Compras '!$D$31:$D$146,'Compras '!$O$31:$O$146)</f>
        <v>✓ Concluído</v>
      </c>
      <c r="H254">
        <f>_xlfn.XLOOKUP(C254,'Compras '!$D$31:$D$146,'Compras '!$M$31:$M$146," ")</f>
        <v>0</v>
      </c>
      <c r="I254" s="803">
        <f>_xlfn.XLOOKUP(C254,'Compras '!$D$31:$D$146,'Compras '!$J$31:$J$146)</f>
        <v>46098</v>
      </c>
      <c r="J254" s="235">
        <f ca="1">INDEX('Compras '!$AQ$31:$AQ$146, MATCH(C254, 'Compras '!$D$31:$D$146, 0))</f>
        <v>9521.75</v>
      </c>
      <c r="K254" s="235" t="str" cm="1">
        <f t="array" aca="1" ref="K254" ca="1">INDEX('Compras '!$AQ$31:$AQ$146, MATCH(C254, 'Compras '!$D$31:$D$146, 0)+1)</f>
        <v/>
      </c>
      <c r="L254" s="235">
        <f>INDEX('Compras '!$AJ$31:$AJ$146, MATCH(C254, 'Compras '!$D$31:$D$146, 0))</f>
        <v>31739.166666666672</v>
      </c>
      <c r="M254" s="235"/>
      <c r="N254" s="235"/>
      <c r="O254" s="235"/>
      <c r="P254" s="235"/>
    </row>
    <row r="255" spans="1:16" x14ac:dyDescent="0.3">
      <c r="A255">
        <v>40</v>
      </c>
      <c r="B255" s="235">
        <f>IFERROR(LARGE('Compras '!$I$31:$I$146,A255)," ")</f>
        <v>37266.49</v>
      </c>
      <c r="C255" t="str">
        <f>IFERROR(INDEX(
   'Compras '!$D$31:$D$146,
    MATCH(
        B255,
       'Compras '!$I$31:$I$146,
        0
    )
), " ")</f>
        <v>BID consumíveis laser</v>
      </c>
      <c r="D255" s="806">
        <f t="shared" si="75"/>
        <v>2.1004269300359171E-3</v>
      </c>
      <c r="E255" s="362">
        <f t="shared" si="76"/>
        <v>1.0298675187180837</v>
      </c>
      <c r="F255" t="str">
        <f t="shared" si="73"/>
        <v>Compras</v>
      </c>
      <c r="G255" t="str">
        <f>_xlfn.XLOOKUP(C255,'Compras '!$D$31:$D$146,'Compras '!$O$31:$O$146)</f>
        <v>✓ Concluído</v>
      </c>
      <c r="H255">
        <f>_xlfn.XLOOKUP(C255,'Compras '!$D$31:$D$146,'Compras '!$M$31:$M$146," ")</f>
        <v>0</v>
      </c>
      <c r="I255" s="803">
        <f>_xlfn.XLOOKUP(C255,'Compras '!$D$31:$D$146,'Compras '!$J$31:$J$146)</f>
        <v>46235</v>
      </c>
      <c r="J255" s="235" t="str">
        <f ca="1">INDEX('Compras '!$AQ$31:$AQ$146, MATCH(C255, 'Compras '!$D$31:$D$146, 0))</f>
        <v/>
      </c>
      <c r="K255" s="235" t="str" cm="1">
        <f t="array" aca="1" ref="K255" ca="1">INDEX('Compras '!$AQ$31:$AQ$146, MATCH(C255, 'Compras '!$D$31:$D$146, 0)+1)</f>
        <v/>
      </c>
      <c r="L255" s="235">
        <f>INDEX('Compras '!$AJ$31:$AJ$146, MATCH(C255, 'Compras '!$D$31:$D$146, 0))</f>
        <v>15527.704166666665</v>
      </c>
      <c r="M255" s="235"/>
      <c r="N255" s="235"/>
      <c r="O255" s="235"/>
      <c r="P255" s="235"/>
    </row>
    <row r="256" spans="1:16" x14ac:dyDescent="0.3">
      <c r="A256">
        <v>41</v>
      </c>
      <c r="B256" s="235">
        <f>IFERROR(LARGE('Compras '!$I$31:$I$146,A256)," ")</f>
        <v>35000</v>
      </c>
      <c r="C256" t="str">
        <f>IFERROR(INDEX(
   'Compras '!$D$31:$D$146,
    MATCH(
        B256,
       'Compras '!$I$31:$I$146,
        0
    )
), " ")</f>
        <v>Unificação itens de Distribuição Fixadores.</v>
      </c>
      <c r="D256" s="806">
        <f t="shared" si="75"/>
        <v>1.9726822287598617E-3</v>
      </c>
      <c r="E256" s="362">
        <f t="shared" si="76"/>
        <v>1.0318402009468435</v>
      </c>
      <c r="F256" t="str">
        <f t="shared" si="73"/>
        <v>Compras</v>
      </c>
      <c r="G256" t="str">
        <f>_xlfn.XLOOKUP(C256,'Compras '!$D$31:$D$146,'Compras '!$O$31:$O$146)</f>
        <v>⏳ Em Execução</v>
      </c>
      <c r="H256">
        <f>_xlfn.XLOOKUP(C256,'Compras '!$D$31:$D$146,'Compras '!$M$31:$M$146," ")</f>
        <v>0</v>
      </c>
      <c r="I256" s="803">
        <f>_xlfn.XLOOKUP(C256,'Compras '!$D$31:$D$146,'Compras '!$J$31:$J$146)</f>
        <v>46366</v>
      </c>
      <c r="J256" s="235" t="str">
        <f ca="1">INDEX('Compras '!$AQ$31:$AQ$146, MATCH(C256, 'Compras '!$D$31:$D$146, 0))</f>
        <v/>
      </c>
      <c r="K256" s="235" t="str" cm="1">
        <f t="array" aca="1" ref="K256" ca="1">INDEX('Compras '!$AQ$31:$AQ$146, MATCH(C256, 'Compras '!$D$31:$D$146, 0)+1)</f>
        <v/>
      </c>
      <c r="L256" s="235">
        <f>INDEX('Compras '!$AJ$31:$AJ$146, MATCH(C256, 'Compras '!$D$31:$D$146, 0))</f>
        <v>2916.6666666666665</v>
      </c>
      <c r="M256" s="235"/>
      <c r="N256" s="235"/>
      <c r="O256" s="235"/>
      <c r="P256" s="235"/>
    </row>
    <row r="257" spans="1:16" x14ac:dyDescent="0.3">
      <c r="A257">
        <v>42</v>
      </c>
      <c r="B257" s="235">
        <f>IFERROR(LARGE('Compras '!$I$31:$I$146,A257)," ")</f>
        <v>22612.28</v>
      </c>
      <c r="C257" t="str">
        <f>IFERROR(INDEX(
   'Compras '!$D$31:$D$146,
    MATCH(
        B257,
       'Compras '!$I$31:$I$146,
        0
    )
), " ")</f>
        <v>BID tampões pintura Anchieta</v>
      </c>
      <c r="D257" s="806">
        <f t="shared" si="75"/>
        <v>1.274481225935487E-3</v>
      </c>
      <c r="E257" s="362">
        <f t="shared" si="76"/>
        <v>1.033114682172779</v>
      </c>
      <c r="F257" t="str">
        <f t="shared" si="73"/>
        <v>Compras</v>
      </c>
      <c r="G257" t="str">
        <f>_xlfn.XLOOKUP(C257,'Compras '!$D$31:$D$146,'Compras '!$O$31:$O$146)</f>
        <v>✓ Concluído</v>
      </c>
      <c r="H257" t="str">
        <f>_xlfn.XLOOKUP(C257,'Compras '!$D$31:$D$146,'Compras '!$M$31:$M$146," ")</f>
        <v>OK</v>
      </c>
      <c r="I257" s="803">
        <f>_xlfn.XLOOKUP(C257,'Compras '!$D$31:$D$146,'Compras '!$J$31:$J$146)</f>
        <v>46023</v>
      </c>
      <c r="J257" s="235">
        <f ca="1">INDEX('Compras '!$AQ$31:$AQ$146, MATCH(C257, 'Compras '!$D$31:$D$146, 0))</f>
        <v>8791.2124999999996</v>
      </c>
      <c r="K257" s="235" cm="1">
        <f t="array" aca="1" ref="K257" ca="1">INDEX('Compras '!$AQ$31:$AQ$146, MATCH(C257, 'Compras '!$D$31:$D$146, 0)+1)</f>
        <v>5472</v>
      </c>
      <c r="L257" s="235">
        <f>INDEX('Compras '!$AJ$31:$AJ$146, MATCH(C257, 'Compras '!$D$31:$D$146, 0))</f>
        <v>21098.91</v>
      </c>
      <c r="M257" s="235"/>
      <c r="N257" s="235"/>
      <c r="O257" s="235"/>
      <c r="P257" s="235"/>
    </row>
    <row r="258" spans="1:16" x14ac:dyDescent="0.3">
      <c r="A258">
        <v>43</v>
      </c>
      <c r="B258" s="235">
        <f>IFERROR(LARGE('Compras '!$I$31:$I$146,A258)," ")</f>
        <v>14893</v>
      </c>
      <c r="C258" t="str">
        <f>IFERROR(INDEX(
   'Compras '!$D$31:$D$146,
    MATCH(
        B258,
       'Compras '!$I$31:$I$146,
        0
    )
), " ")</f>
        <v>BID complementar punções Jarinu</v>
      </c>
      <c r="D258" s="806">
        <f t="shared" si="75"/>
        <v>8.3940446951201778E-4</v>
      </c>
      <c r="E258" s="362">
        <f t="shared" si="76"/>
        <v>1.0339540866422909</v>
      </c>
      <c r="F258" t="str">
        <f t="shared" si="73"/>
        <v>Compras</v>
      </c>
      <c r="G258" t="str">
        <f>_xlfn.XLOOKUP(C258,'Compras '!$D$31:$D$146,'Compras '!$O$31:$O$146)</f>
        <v>✓ Concluído</v>
      </c>
      <c r="H258" t="str">
        <f>_xlfn.XLOOKUP(C258,'Compras '!$D$31:$D$146,'Compras '!$M$31:$M$146," ")</f>
        <v>OK</v>
      </c>
      <c r="I258" s="803">
        <f>_xlfn.XLOOKUP(C258,'Compras '!$D$31:$D$146,'Compras '!$J$31:$J$146)</f>
        <v>46082</v>
      </c>
      <c r="J258" s="235">
        <f ca="1">INDEX('Compras '!$AQ$31:$AQ$146, MATCH(C258, 'Compras '!$D$31:$D$146, 0))</f>
        <v>6395.0825000000004</v>
      </c>
      <c r="K258" s="235" t="str" cm="1">
        <f t="array" aca="1" ref="K258" ca="1">INDEX('Compras '!$AQ$31:$AQ$146, MATCH(C258, 'Compras '!$D$31:$D$146, 0)+1)</f>
        <v/>
      </c>
      <c r="L258" s="235">
        <f>INDEX('Compras '!$AJ$31:$AJ$146, MATCH(C258, 'Compras '!$D$31:$D$146, 0))</f>
        <v>21316.941666666669</v>
      </c>
      <c r="M258" s="235"/>
      <c r="N258" s="235"/>
      <c r="O258" s="235"/>
      <c r="P258" s="235"/>
    </row>
    <row r="259" spans="1:16" x14ac:dyDescent="0.3">
      <c r="A259">
        <v>44</v>
      </c>
      <c r="B259" s="235">
        <f>IFERROR(LARGE('Compras '!$I$31:$I$146,A259)," ")</f>
        <v>8339</v>
      </c>
      <c r="C259" t="str">
        <f>IFERROR(INDEX(
   'Compras '!$D$31:$D$146,
    MATCH(
        B259,
       'Compras '!$I$31:$I$146,
        0
    )
), " ")</f>
        <v>ULTRASOM</v>
      </c>
      <c r="D259" s="806">
        <f t="shared" si="75"/>
        <v>4.7000563158938535E-4</v>
      </c>
      <c r="E259" s="362">
        <f t="shared" si="76"/>
        <v>1.0344240922738803</v>
      </c>
      <c r="F259" t="str">
        <f t="shared" si="73"/>
        <v>Compras</v>
      </c>
      <c r="G259" t="str">
        <f>_xlfn.XLOOKUP(C259,'Compras '!$D$31:$D$146,'Compras '!$O$31:$O$146)</f>
        <v>⏳ Em Execução</v>
      </c>
      <c r="H259">
        <f>_xlfn.XLOOKUP(C259,'Compras '!$D$31:$D$146,'Compras '!$M$31:$M$146," ")</f>
        <v>0</v>
      </c>
      <c r="I259" s="803">
        <f>_xlfn.XLOOKUP(C259,'Compras '!$D$31:$D$146,'Compras '!$J$31:$J$146)</f>
        <v>46237</v>
      </c>
      <c r="J259" s="235" t="str">
        <f ca="1">INDEX('Compras '!$AQ$31:$AQ$146, MATCH(C259, 'Compras '!$D$31:$D$146, 0))</f>
        <v/>
      </c>
      <c r="K259" s="235" t="str" cm="1">
        <f t="array" aca="1" ref="K259" ca="1">INDEX('Compras '!$AQ$31:$AQ$146, MATCH(C259, 'Compras '!$D$31:$D$146, 0)+1)</f>
        <v/>
      </c>
      <c r="L259" s="235">
        <f>INDEX('Compras '!$AJ$31:$AJ$146, MATCH(C259, 'Compras '!$D$31:$D$146, 0))</f>
        <v>3474.583333333333</v>
      </c>
      <c r="M259" s="235"/>
      <c r="N259" s="235"/>
      <c r="O259" s="235"/>
      <c r="P259" s="235"/>
    </row>
    <row r="260" spans="1:16" x14ac:dyDescent="0.3">
      <c r="A260">
        <v>45</v>
      </c>
      <c r="B260" s="235">
        <f>IFERROR(LARGE('Compras '!$I$31:$I$146,A260)," ")</f>
        <v>3852.73</v>
      </c>
      <c r="C260" t="str">
        <f>IFERROR(INDEX(
   'Compras '!$D$31:$D$146,
    MATCH(
        B260,
       'Compras '!$I$31:$I$146,
        0
    )
), " ")</f>
        <v>BID carimbos industriais</v>
      </c>
      <c r="D260" s="806">
        <f t="shared" si="75"/>
        <v>2.1714891437742806E-4</v>
      </c>
      <c r="E260" s="362">
        <f t="shared" si="76"/>
        <v>1.0346412411882577</v>
      </c>
      <c r="F260" t="str">
        <f t="shared" si="73"/>
        <v>Compras</v>
      </c>
      <c r="G260" t="str">
        <f>_xlfn.XLOOKUP(C260,'Compras '!$D$31:$D$146,'Compras '!$O$31:$O$146)</f>
        <v>✓ Concluído</v>
      </c>
      <c r="H260" t="str">
        <f>_xlfn.XLOOKUP(C260,'Compras '!$D$31:$D$146,'Compras '!$M$31:$M$146," ")</f>
        <v>OK</v>
      </c>
      <c r="I260" s="803">
        <f>_xlfn.XLOOKUP(C260,'Compras '!$D$31:$D$146,'Compras '!$J$31:$J$146)</f>
        <v>46082</v>
      </c>
      <c r="J260" s="235">
        <f ca="1">INDEX('Compras '!$AQ$31:$AQ$146, MATCH(C260, 'Compras '!$D$31:$D$146, 0))</f>
        <v>762.48249999999996</v>
      </c>
      <c r="K260" s="235" t="str" cm="1">
        <f t="array" aca="1" ref="K260" ca="1">INDEX('Compras '!$AQ$31:$AQ$146, MATCH(C260, 'Compras '!$D$31:$D$146, 0)+1)</f>
        <v/>
      </c>
      <c r="L260" s="235">
        <f>INDEX('Compras '!$AJ$31:$AJ$146, MATCH(C260, 'Compras '!$D$31:$D$146, 0))</f>
        <v>2541.6083333333331</v>
      </c>
      <c r="M260" s="235"/>
      <c r="N260" s="235"/>
      <c r="O260" s="235"/>
      <c r="P260" s="235"/>
    </row>
    <row r="261" spans="1:16" x14ac:dyDescent="0.3">
      <c r="A261">
        <v>46</v>
      </c>
      <c r="B261" s="235">
        <f>IFERROR(LARGE('Compras '!$I$31:$I$146,A261)," ")</f>
        <v>0</v>
      </c>
      <c r="C261" t="str">
        <f>IFERROR(INDEX(
   'Compras '!$D$31:$D$146,
    MATCH(
        B261,
       'Compras '!$I$31:$I$146,
        0
    )
), " ")</f>
        <v>Conseguir Ex tarifário Ferramentas Saga</v>
      </c>
      <c r="D261" s="806">
        <f t="shared" si="75"/>
        <v>0</v>
      </c>
      <c r="E261" s="362">
        <f t="shared" si="76"/>
        <v>1.0346412411882577</v>
      </c>
      <c r="F261" t="str">
        <f t="shared" si="73"/>
        <v>Compras</v>
      </c>
      <c r="G261" t="str">
        <f>_xlfn.XLOOKUP(C261,'Compras '!$D$31:$D$146,'Compras '!$O$31:$O$146)</f>
        <v>⏳ Em Execução</v>
      </c>
      <c r="H261">
        <f>_xlfn.XLOOKUP(C261,'Compras '!$D$31:$D$146,'Compras '!$M$31:$M$146," ")</f>
        <v>0</v>
      </c>
      <c r="I261" s="803">
        <f>_xlfn.XLOOKUP(C261,'Compras '!$D$31:$D$146,'Compras '!$J$31:$J$146)</f>
        <v>46296</v>
      </c>
      <c r="J261" s="235" t="str">
        <f ca="1">INDEX('Compras '!$AQ$31:$AQ$146, MATCH(C261, 'Compras '!$D$31:$D$146, 0))</f>
        <v/>
      </c>
      <c r="K261" s="235" t="str" cm="1">
        <f t="array" aca="1" ref="K261" ca="1">INDEX('Compras '!$AQ$31:$AQ$146, MATCH(C261, 'Compras '!$D$31:$D$146, 0)+1)</f>
        <v/>
      </c>
    </row>
    <row r="262" spans="1:16" x14ac:dyDescent="0.3">
      <c r="A262">
        <v>47</v>
      </c>
      <c r="B262" s="235">
        <f>IFERROR(LARGE('Compras '!$I$31:$I$146,A262)," ")</f>
        <v>0</v>
      </c>
      <c r="C262" t="str">
        <f>IFERROR(INDEX(
   'Compras '!$D$31:$D$146,
    MATCH(
        B262,
       'Compras '!$I$31:$I$146,
        0
    )
), " ")</f>
        <v>Conseguir Ex tarifário Ferramentas Saga</v>
      </c>
      <c r="D262" s="806">
        <f t="shared" si="75"/>
        <v>0</v>
      </c>
      <c r="E262" s="362">
        <f t="shared" si="76"/>
        <v>1.0346412411882577</v>
      </c>
      <c r="F262" t="str">
        <f t="shared" si="73"/>
        <v>Compras</v>
      </c>
      <c r="G262" t="str">
        <f>_xlfn.XLOOKUP(C262,'Compras '!$D$31:$D$146,'Compras '!$O$31:$O$146)</f>
        <v>⏳ Em Execução</v>
      </c>
      <c r="H262">
        <f>_xlfn.XLOOKUP(C262,'Compras '!$D$31:$D$146,'Compras '!$M$31:$M$146," ")</f>
        <v>0</v>
      </c>
      <c r="I262" s="803">
        <f>_xlfn.XLOOKUP(C262,'Compras '!$D$31:$D$146,'Compras '!$J$31:$J$146)</f>
        <v>46296</v>
      </c>
      <c r="J262" s="235" t="str">
        <f ca="1">INDEX('Compras '!$AQ$31:$AQ$146, MATCH(C262, 'Compras '!$D$31:$D$146, 0))</f>
        <v/>
      </c>
      <c r="K262" s="235" t="str" cm="1">
        <f t="array" aca="1" ref="K262" ca="1">INDEX('Compras '!$AQ$31:$AQ$146, MATCH(C262, 'Compras '!$D$31:$D$146, 0)+1)</f>
        <v/>
      </c>
    </row>
    <row r="263" spans="1:16" x14ac:dyDescent="0.3">
      <c r="A263">
        <v>48</v>
      </c>
      <c r="B263" s="235">
        <f>IFERROR(LARGE('Compras '!$I$31:$I$146,A263)," ")</f>
        <v>0</v>
      </c>
      <c r="C263" t="str">
        <f>IFERROR(INDEX(
   'Compras '!$D$31:$D$146,
    MATCH(
        B263,
       'Compras '!$I$31:$I$146,
        0
    )
), " ")</f>
        <v>Conseguir Ex tarifário Ferramentas Saga</v>
      </c>
      <c r="D263" s="806">
        <f t="shared" si="75"/>
        <v>0</v>
      </c>
      <c r="E263" s="362">
        <f t="shared" si="76"/>
        <v>1.0346412411882577</v>
      </c>
      <c r="F263" t="str">
        <f t="shared" si="73"/>
        <v>Compras</v>
      </c>
      <c r="G263" t="str">
        <f>_xlfn.XLOOKUP(C263,'Compras '!$D$31:$D$146,'Compras '!$O$31:$O$146)</f>
        <v>⏳ Em Execução</v>
      </c>
      <c r="H263">
        <f>_xlfn.XLOOKUP(C263,'Compras '!$D$31:$D$146,'Compras '!$M$31:$M$146," ")</f>
        <v>0</v>
      </c>
      <c r="I263" s="803">
        <f>_xlfn.XLOOKUP(C263,'Compras '!$D$31:$D$146,'Compras '!$J$31:$J$146)</f>
        <v>46296</v>
      </c>
      <c r="J263" s="235" t="str">
        <f ca="1">INDEX('Compras '!$AQ$31:$AQ$146, MATCH(C263, 'Compras '!$D$31:$D$146, 0))</f>
        <v/>
      </c>
      <c r="K263" s="235" t="str" cm="1">
        <f t="array" aca="1" ref="K263" ca="1">INDEX('Compras '!$AQ$31:$AQ$146, MATCH(C263, 'Compras '!$D$31:$D$146, 0)+1)</f>
        <v/>
      </c>
    </row>
    <row r="264" spans="1:16" x14ac:dyDescent="0.3">
      <c r="A264">
        <v>49</v>
      </c>
      <c r="B264" s="235" t="str">
        <f>IFERROR(LARGE('Compras '!$I$31:$I$146,A264)," ")</f>
        <v xml:space="preserve"> </v>
      </c>
      <c r="C264" t="str">
        <f>IFERROR(INDEX(
   'Compras '!$D$31:$D$146,
    MATCH(
        B264,
       'Compras '!$I$31:$I$146,
        0
    )
), " ")</f>
        <v xml:space="preserve"> </v>
      </c>
      <c r="D264" s="806" t="str">
        <f t="shared" si="75"/>
        <v xml:space="preserve"> </v>
      </c>
      <c r="E264" s="362" t="str">
        <f t="shared" si="76"/>
        <v xml:space="preserve"> </v>
      </c>
      <c r="F264" t="str">
        <f t="shared" si="73"/>
        <v>Compras</v>
      </c>
      <c r="G264" t="e">
        <f>_xlfn.XLOOKUP(C264,'Compras '!$D$31:$D$146,'Compras '!$O$31:$O$146)</f>
        <v>#N/A</v>
      </c>
      <c r="H264" t="str">
        <f>_xlfn.XLOOKUP(C264,'Compras '!$D$31:$D$146,'Compras '!$M$31:$M$146," ")</f>
        <v xml:space="preserve"> </v>
      </c>
      <c r="I264" s="803" t="e">
        <f>_xlfn.XLOOKUP(C264,'Compras '!$D$31:$D$146,'Compras '!$J$31:$J$146)</f>
        <v>#N/A</v>
      </c>
      <c r="J264" s="235" t="e">
        <f>INDEX('Compras '!$AQ$31:$AQ$146, MATCH(C264, 'Compras '!$D$31:$D$146, 0))</f>
        <v>#N/A</v>
      </c>
      <c r="K264" s="235" t="e" cm="1">
        <f t="array" ref="K264">INDEX('Compras '!$AQ$31:$AQ$146, MATCH(C264, 'Compras '!$D$31:$D$146, 0)+1)</f>
        <v>#N/A</v>
      </c>
    </row>
    <row r="265" spans="1:16" x14ac:dyDescent="0.3">
      <c r="A265">
        <v>50</v>
      </c>
      <c r="B265" s="235" t="str">
        <f>IFERROR(LARGE('Compras '!$I$31:$I$146,A265)," ")</f>
        <v xml:space="preserve"> </v>
      </c>
      <c r="C265" t="str">
        <f>IFERROR(INDEX(
   'Compras '!$D$31:$D$146,
    MATCH(
        B265,
       'Compras '!$I$31:$I$146,
        0
    )
), " ")</f>
        <v xml:space="preserve"> </v>
      </c>
      <c r="D265" s="806" t="str">
        <f t="shared" si="75"/>
        <v xml:space="preserve"> </v>
      </c>
      <c r="E265" s="362" t="str">
        <f t="shared" si="76"/>
        <v xml:space="preserve"> </v>
      </c>
      <c r="F265" t="str">
        <f t="shared" si="73"/>
        <v>Compras</v>
      </c>
      <c r="G265" t="e">
        <f>_xlfn.XLOOKUP(C265,'Compras '!$D$31:$D$146,'Compras '!$O$31:$O$146)</f>
        <v>#N/A</v>
      </c>
      <c r="H265" t="str">
        <f>_xlfn.XLOOKUP(C265,'Compras '!$D$31:$D$146,'Compras '!$M$31:$M$146," ")</f>
        <v xml:space="preserve"> </v>
      </c>
      <c r="I265" s="803" t="e">
        <f>_xlfn.XLOOKUP(C265,'Compras '!$D$31:$D$146,'Compras '!$J$31:$J$146)</f>
        <v>#N/A</v>
      </c>
      <c r="J265" s="235" t="e">
        <f>INDEX('Compras '!$AQ$31:$AQ$146, MATCH(C265, 'Compras '!$D$31:$D$146, 0))</f>
        <v>#N/A</v>
      </c>
      <c r="K265" s="235" t="e" cm="1">
        <f t="array" ref="K265">INDEX('Compras '!$AQ$31:$AQ$146, MATCH(C265, 'Compras '!$D$31:$D$146, 0)+1)</f>
        <v>#N/A</v>
      </c>
    </row>
  </sheetData>
  <autoFilter ref="A3:Z211" xr:uid="{463F0197-2D2C-4501-974E-27EA491570C7}"/>
  <mergeCells count="6">
    <mergeCell ref="J180:K180"/>
    <mergeCell ref="J214:K214"/>
    <mergeCell ref="J2:K2"/>
    <mergeCell ref="J68:K68"/>
    <mergeCell ref="J114:K114"/>
    <mergeCell ref="J147:K147"/>
  </mergeCells>
  <conditionalFormatting sqref="E4:E66">
    <cfRule type="cellIs" dxfId="9" priority="10" operator="lessThanOrEqual">
      <formula>0.8</formula>
    </cfRule>
  </conditionalFormatting>
  <conditionalFormatting sqref="E70:E111">
    <cfRule type="cellIs" dxfId="8" priority="5" operator="lessThanOrEqual">
      <formula>0.8</formula>
    </cfRule>
  </conditionalFormatting>
  <conditionalFormatting sqref="E116:E145">
    <cfRule type="cellIs" dxfId="7" priority="8" operator="lessThanOrEqual">
      <formula>0.81</formula>
    </cfRule>
  </conditionalFormatting>
  <conditionalFormatting sqref="E149:E178">
    <cfRule type="cellIs" dxfId="6" priority="6" operator="lessThanOrEqual">
      <formula>0.81</formula>
    </cfRule>
  </conditionalFormatting>
  <conditionalFormatting sqref="E182:E211">
    <cfRule type="cellIs" dxfId="5" priority="4" operator="lessThanOrEqual">
      <formula>0.8</formula>
    </cfRule>
  </conditionalFormatting>
  <conditionalFormatting sqref="E216:E265">
    <cfRule type="cellIs" dxfId="4" priority="2" operator="lessThanOrEqual">
      <formula>0.8</formula>
    </cfRule>
  </conditionalFormatting>
  <conditionalFormatting sqref="T1:U1 S2:S1048576">
    <cfRule type="expression" dxfId="3" priority="1">
      <formula>AND(S1&lt;&gt;"",COUNTIF($S:$S,S1)&gt;1)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22"/>
  <sheetViews>
    <sheetView topLeftCell="C15" zoomScale="85" zoomScaleNormal="85" workbookViewId="0">
      <selection activeCell="R48" sqref="R48"/>
    </sheetView>
  </sheetViews>
  <sheetFormatPr defaultRowHeight="14.4" x14ac:dyDescent="0.3"/>
  <cols>
    <col min="1" max="1" width="30.5546875" bestFit="1" customWidth="1"/>
    <col min="2" max="4" width="11.5546875" customWidth="1"/>
    <col min="5" max="5" width="18.5546875" customWidth="1"/>
    <col min="6" max="6" width="2.44140625" customWidth="1"/>
    <col min="11" max="11" width="13.33203125" bestFit="1" customWidth="1"/>
    <col min="12" max="14" width="15.5546875" bestFit="1" customWidth="1"/>
    <col min="15" max="17" width="16.5546875" bestFit="1" customWidth="1"/>
    <col min="18" max="23" width="16.44140625" bestFit="1" customWidth="1"/>
    <col min="24" max="27" width="16.5546875" bestFit="1" customWidth="1"/>
  </cols>
  <sheetData>
    <row r="1" spans="1:5" ht="21" x14ac:dyDescent="0.4">
      <c r="A1" s="8" t="s">
        <v>2225</v>
      </c>
    </row>
    <row r="3" spans="1:5" x14ac:dyDescent="0.3">
      <c r="A3" t="s">
        <v>2226</v>
      </c>
    </row>
    <row r="4" spans="1:5" x14ac:dyDescent="0.3">
      <c r="A4" s="9" t="s">
        <v>73</v>
      </c>
      <c r="B4" s="9" t="s">
        <v>90</v>
      </c>
      <c r="C4" s="9" t="s">
        <v>91</v>
      </c>
      <c r="D4" s="9" t="s">
        <v>2227</v>
      </c>
      <c r="E4" s="9" t="s">
        <v>29</v>
      </c>
    </row>
    <row r="5" spans="1:5" x14ac:dyDescent="0.3">
      <c r="A5" t="s">
        <v>21</v>
      </c>
      <c r="B5" s="6">
        <v>2758000</v>
      </c>
      <c r="C5" s="6">
        <v>3965000</v>
      </c>
      <c r="D5" s="6">
        <v>224000</v>
      </c>
      <c r="E5" s="6">
        <v>6947000</v>
      </c>
    </row>
    <row r="6" spans="1:5" x14ac:dyDescent="0.3">
      <c r="A6" t="s">
        <v>22</v>
      </c>
      <c r="B6" s="6">
        <v>6980000</v>
      </c>
      <c r="C6" s="6">
        <v>6040000</v>
      </c>
      <c r="D6" s="6">
        <v>347000</v>
      </c>
      <c r="E6" s="6">
        <v>13367000</v>
      </c>
    </row>
    <row r="7" spans="1:5" x14ac:dyDescent="0.3">
      <c r="A7" t="s">
        <v>23</v>
      </c>
      <c r="B7" s="6">
        <v>777000</v>
      </c>
      <c r="C7" s="6">
        <v>1141000</v>
      </c>
      <c r="D7" s="6">
        <v>182000</v>
      </c>
      <c r="E7" s="6">
        <v>2100000</v>
      </c>
    </row>
    <row r="8" spans="1:5" x14ac:dyDescent="0.3">
      <c r="A8" t="s">
        <v>24</v>
      </c>
      <c r="B8" s="6">
        <v>2687000</v>
      </c>
      <c r="C8" s="6">
        <v>2329000</v>
      </c>
      <c r="D8" s="6">
        <v>340000</v>
      </c>
      <c r="E8" s="6">
        <v>5356000</v>
      </c>
    </row>
    <row r="9" spans="1:5" x14ac:dyDescent="0.3">
      <c r="A9" t="s">
        <v>25</v>
      </c>
      <c r="B9" s="6">
        <v>1959000</v>
      </c>
      <c r="C9" s="6">
        <v>1684000</v>
      </c>
      <c r="D9" s="6">
        <v>198000</v>
      </c>
      <c r="E9" s="6">
        <v>3841000</v>
      </c>
    </row>
    <row r="10" spans="1:5" x14ac:dyDescent="0.3">
      <c r="A10" t="s">
        <v>28</v>
      </c>
      <c r="B10" s="6">
        <v>0</v>
      </c>
      <c r="C10" s="6">
        <v>0</v>
      </c>
      <c r="D10" s="6">
        <v>1709000</v>
      </c>
      <c r="E10" s="6">
        <v>1709000</v>
      </c>
    </row>
    <row r="11" spans="1:5" x14ac:dyDescent="0.3">
      <c r="A11" t="s">
        <v>2228</v>
      </c>
      <c r="E11" t="s">
        <v>2229</v>
      </c>
    </row>
    <row r="12" spans="1:5" x14ac:dyDescent="0.3">
      <c r="A12" t="s">
        <v>2230</v>
      </c>
      <c r="E12" s="6">
        <v>7000000</v>
      </c>
    </row>
    <row r="13" spans="1:5" x14ac:dyDescent="0.3">
      <c r="A13" t="s">
        <v>2231</v>
      </c>
      <c r="E13" s="6">
        <v>10000000</v>
      </c>
    </row>
    <row r="15" spans="1:5" ht="18" x14ac:dyDescent="0.35">
      <c r="A15" t="s">
        <v>2232</v>
      </c>
      <c r="E15" s="10">
        <f>SUM(E5:E13)</f>
        <v>50320000</v>
      </c>
    </row>
    <row r="18" spans="1:14" x14ac:dyDescent="0.3">
      <c r="K18" s="9" t="s">
        <v>73</v>
      </c>
      <c r="L18" s="9" t="s">
        <v>29</v>
      </c>
    </row>
    <row r="19" spans="1:14" x14ac:dyDescent="0.3">
      <c r="K19" t="s">
        <v>21</v>
      </c>
      <c r="L19" s="6">
        <v>6947000</v>
      </c>
    </row>
    <row r="20" spans="1:14" x14ac:dyDescent="0.3">
      <c r="K20" t="s">
        <v>22</v>
      </c>
      <c r="L20" s="6">
        <v>13367000</v>
      </c>
      <c r="N20" s="233"/>
    </row>
    <row r="21" spans="1:14" x14ac:dyDescent="0.3">
      <c r="A21" t="s">
        <v>2233</v>
      </c>
      <c r="B21" t="s">
        <v>2234</v>
      </c>
      <c r="K21" t="s">
        <v>23</v>
      </c>
      <c r="L21" s="6">
        <v>2100000</v>
      </c>
    </row>
    <row r="22" spans="1:14" x14ac:dyDescent="0.3">
      <c r="A22" t="s">
        <v>2235</v>
      </c>
      <c r="B22" t="s">
        <v>2236</v>
      </c>
      <c r="K22" t="s">
        <v>24</v>
      </c>
      <c r="L22" s="6">
        <v>5356000</v>
      </c>
    </row>
    <row r="23" spans="1:14" x14ac:dyDescent="0.3">
      <c r="A23" t="s">
        <v>2237</v>
      </c>
      <c r="B23" t="s">
        <v>2238</v>
      </c>
      <c r="K23" t="s">
        <v>25</v>
      </c>
      <c r="L23" s="6">
        <v>3841000</v>
      </c>
    </row>
    <row r="24" spans="1:14" x14ac:dyDescent="0.3">
      <c r="A24" t="s">
        <v>76</v>
      </c>
      <c r="K24" t="s">
        <v>28</v>
      </c>
      <c r="L24" s="6">
        <v>1709000</v>
      </c>
    </row>
    <row r="25" spans="1:14" x14ac:dyDescent="0.3">
      <c r="A25" t="s">
        <v>82</v>
      </c>
      <c r="K25" t="s">
        <v>2230</v>
      </c>
      <c r="L25" s="6">
        <v>7000000</v>
      </c>
    </row>
    <row r="26" spans="1:14" x14ac:dyDescent="0.3">
      <c r="A26" t="s">
        <v>310</v>
      </c>
      <c r="K26" t="s">
        <v>2231</v>
      </c>
      <c r="L26" s="6">
        <v>10000000</v>
      </c>
    </row>
    <row r="27" spans="1:14" x14ac:dyDescent="0.3">
      <c r="A27" t="s">
        <v>85</v>
      </c>
    </row>
    <row r="28" spans="1:14" x14ac:dyDescent="0.3">
      <c r="A28" t="s">
        <v>287</v>
      </c>
    </row>
    <row r="29" spans="1:14" x14ac:dyDescent="0.3">
      <c r="A29" t="s">
        <v>388</v>
      </c>
    </row>
    <row r="30" spans="1:14" x14ac:dyDescent="0.3">
      <c r="A30" t="s">
        <v>562</v>
      </c>
    </row>
    <row r="31" spans="1:14" x14ac:dyDescent="0.3">
      <c r="A31" s="16" t="s">
        <v>77</v>
      </c>
    </row>
    <row r="32" spans="1:14" x14ac:dyDescent="0.3">
      <c r="A32" s="16" t="s">
        <v>80</v>
      </c>
    </row>
    <row r="33" spans="1:24" x14ac:dyDescent="0.3">
      <c r="A33" s="16" t="s">
        <v>83</v>
      </c>
    </row>
    <row r="36" spans="1:24" x14ac:dyDescent="0.3">
      <c r="A36" t="s">
        <v>170</v>
      </c>
    </row>
    <row r="37" spans="1:24" x14ac:dyDescent="0.3">
      <c r="A37" t="s">
        <v>2239</v>
      </c>
    </row>
    <row r="38" spans="1:24" x14ac:dyDescent="0.3">
      <c r="A38" t="s">
        <v>2240</v>
      </c>
      <c r="K38" s="161"/>
      <c r="L38" s="153">
        <v>46023</v>
      </c>
      <c r="M38" s="153">
        <v>46054</v>
      </c>
      <c r="N38" s="153">
        <v>46082</v>
      </c>
      <c r="O38" s="153">
        <v>46113</v>
      </c>
      <c r="P38" s="153">
        <v>46143</v>
      </c>
      <c r="Q38" s="153">
        <v>46174</v>
      </c>
      <c r="R38" s="153">
        <v>46204</v>
      </c>
      <c r="S38" s="153">
        <v>46235</v>
      </c>
      <c r="T38" s="153">
        <v>46266</v>
      </c>
      <c r="U38" s="153">
        <v>46296</v>
      </c>
      <c r="V38" s="153">
        <v>46327</v>
      </c>
      <c r="W38" s="153">
        <v>46357</v>
      </c>
      <c r="X38" s="153" t="s">
        <v>550</v>
      </c>
    </row>
    <row r="39" spans="1:24" x14ac:dyDescent="0.3">
      <c r="K39" s="153" t="s">
        <v>106</v>
      </c>
      <c r="L39" s="154">
        <f>SUM(Diadema!T179,Ferraz!S117,'São Leopoldo'!S127,Jarinu!S131,Anchieta!S105,Corporativo!L71,'Compras '!P149,Vendas!L85,'Diretoria Financeira'!L71,'Head Qualidade&amp;Dir. Industrial'!L71)</f>
        <v>986433.4254999999</v>
      </c>
      <c r="M39" s="154">
        <f>SUM(Diadema!U179,Ferraz!T117,'São Leopoldo'!T127,Jarinu!T131,Anchieta!T105,Corporativo!M71,'Compras '!Q149,Vendas!M85,'Diretoria Financeira'!M71,'Head Qualidade&amp;Dir. Industrial'!M71)</f>
        <v>602337.30597634881</v>
      </c>
      <c r="N39" s="154">
        <f>SUM(Diadema!V179,Ferraz!U117,'São Leopoldo'!U127,Jarinu!U131,Anchieta!U105,Corporativo!N71,'Compras '!R149,Vendas!N85,'Diretoria Financeira'!N71,'Head Qualidade&amp;Dir. Industrial'!N71)</f>
        <v>1001890.2720663488</v>
      </c>
      <c r="O39" s="154">
        <f>SUM(Diadema!W179,Ferraz!V117,'São Leopoldo'!V127,Jarinu!V131,Anchieta!V105,Corporativo!O71,'Compras '!S149,Vendas!O85,'Diretoria Financeira'!O71,'Head Qualidade&amp;Dir. Industrial'!O71)</f>
        <v>1129627.807705238</v>
      </c>
      <c r="P39" s="154">
        <f>SUM(Diadema!X179,Ferraz!W117,'São Leopoldo'!W127,Jarinu!W131,Anchieta!W105,Corporativo!P71,'Compras '!T149,Vendas!P85,'Diretoria Financeira'!P71,'Head Qualidade&amp;Dir. Industrial'!P71)</f>
        <v>1247236.9274632344</v>
      </c>
      <c r="Q39" s="154">
        <f>SUM(Diadema!Y179,Ferraz!X117,'São Leopoldo'!X127,Jarinu!X131,Anchieta!X105,Corporativo!Q71,'Compras '!U149,Vendas!Q85,'Diretoria Financeira'!Q71,'Head Qualidade&amp;Dir. Industrial'!Q71)</f>
        <v>1908119.8644186817</v>
      </c>
      <c r="R39" s="154">
        <f>SUM(Diadema!Z179,Ferraz!Y117,'São Leopoldo'!Y127,Jarinu!Y131,Anchieta!Y105,Corporativo!R71,'Compras '!V149,Vendas!R85,'Diretoria Financeira'!R71,'Head Qualidade&amp;Dir. Industrial'!R71)</f>
        <v>2313268.2835853486</v>
      </c>
      <c r="S39" s="154">
        <f>SUM(Diadema!AA179,Ferraz!Z117,'São Leopoldo'!Z127,Jarinu!Z131,Anchieta!Z105,Corporativo!S71,'Compras '!W149,Vendas!S85,'Diretoria Financeira'!S71,'Head Qualidade&amp;Dir. Industrial'!S71)</f>
        <v>2497797.8004186819</v>
      </c>
      <c r="T39" s="154">
        <f>SUM(Diadema!AB179,Ferraz!AA117,'São Leopoldo'!AA127,Jarinu!AA131,Anchieta!AA105,Corporativo!T71,'Compras '!X149,Vendas!T85,'Diretoria Financeira'!T71,'Head Qualidade&amp;Dir. Industrial'!T71)</f>
        <v>2525621.1954936818</v>
      </c>
      <c r="U39" s="154">
        <f>SUM(Diadema!AC179,Ferraz!AB117,'São Leopoldo'!AB127,Jarinu!AB131,Anchieta!AB105,Corporativo!U71,'Compras '!Y149,Vendas!U85,'Diretoria Financeira'!U71,'Head Qualidade&amp;Dir. Industrial'!U71)</f>
        <v>2629809.5288270153</v>
      </c>
      <c r="V39" s="154">
        <f>SUM(Diadema!AD179,Ferraz!AC117,'São Leopoldo'!AC127,Jarinu!AC131,Anchieta!AC105,Corporativo!V71,'Compras '!Z149,Vendas!V85,'Diretoria Financeira'!V71,'Head Qualidade&amp;Dir. Industrial'!V71)</f>
        <v>2671476.1954936818</v>
      </c>
      <c r="W39" s="154">
        <f>SUM(Diadema!AE179,Ferraz!AD117,'São Leopoldo'!AD127,Jarinu!AD131,Anchieta!AD105,Corporativo!W71,'Compras '!AA149,Vendas!W85,'Diretoria Financeira'!W71,'Head Qualidade&amp;Dir. Industrial'!W71)</f>
        <v>2869026.1688270154</v>
      </c>
      <c r="X39" s="154">
        <f>SUM(L39:W39)</f>
        <v>22382644.77577528</v>
      </c>
    </row>
    <row r="40" spans="1:24" x14ac:dyDescent="0.3">
      <c r="K40" s="153" t="s">
        <v>107</v>
      </c>
      <c r="L40" s="154">
        <f>SUM(Diadema!T180,Ferraz!S118,'São Leopoldo'!S128,Jarinu!S132,Anchieta!S106,Corporativo!L72,'Compras '!P150,Vendas!L86,'Diretoria Financeira'!L72,'Head Qualidade&amp;Dir. Industrial'!L72)</f>
        <v>1132496.77</v>
      </c>
      <c r="M40" s="154">
        <f>SUM(Diadema!U180,Ferraz!T118,'São Leopoldo'!T128,Jarinu!T132,Anchieta!T106,Corporativo!M72,'Compras '!Q150,Vendas!M86,'Diretoria Financeira'!M72,'Head Qualidade&amp;Dir. Industrial'!M72)</f>
        <v>986931.71605286037</v>
      </c>
      <c r="N40" s="154">
        <f>SUM(Diadema!V180,Ferraz!U118,'São Leopoldo'!U128,Jarinu!U132,Anchieta!U106,Corporativo!N72,'Compras '!R150,Vendas!N86,'Diretoria Financeira'!N72,'Head Qualidade&amp;Dir. Industrial'!N72)</f>
        <v>1181167.2010839919</v>
      </c>
      <c r="O40" s="154">
        <f>SUM(Diadema!W180,Ferraz!V118,'São Leopoldo'!V128,Jarinu!V132,Anchieta!V106,Corporativo!O72,'Compras '!S150,Vendas!O86,'Diretoria Financeira'!O72,'Head Qualidade&amp;Dir. Industrial'!O72)</f>
        <v>791515.28799477732</v>
      </c>
      <c r="P40" s="154">
        <f>SUM(Diadema!X180,Ferraz!W118,'São Leopoldo'!W128,Jarinu!W132,Anchieta!W106,Corporativo!P72,'Compras '!T150,Vendas!P86,'Diretoria Financeira'!P72,'Head Qualidade&amp;Dir. Industrial'!P72)</f>
        <v>886118.59862587997</v>
      </c>
      <c r="Q40" s="154">
        <f>SUM(Diadema!Y180,Ferraz!X118,'São Leopoldo'!X128,Jarinu!X132,Anchieta!X106,Corporativo!Q72,'Compras '!U150,Vendas!Q86,'Diretoria Financeira'!Q72,'Head Qualidade&amp;Dir. Industrial'!Q72)</f>
        <v>0</v>
      </c>
      <c r="R40" s="154">
        <f>SUM(Diadema!Z180,Ferraz!Y118,'São Leopoldo'!Y128,Jarinu!Y132,Anchieta!Y106,Corporativo!R72,'Compras '!V150,Vendas!R86,'Diretoria Financeira'!R72,'Head Qualidade&amp;Dir. Industrial'!R72)</f>
        <v>0</v>
      </c>
      <c r="S40" s="154">
        <f>SUM(Diadema!AA180,Ferraz!Z118,'São Leopoldo'!Z128,Jarinu!Z132,Anchieta!Z106,Corporativo!S72,'Compras '!W150,Vendas!S86,'Diretoria Financeira'!S72,'Head Qualidade&amp;Dir. Industrial'!S72)</f>
        <v>0</v>
      </c>
      <c r="T40" s="154">
        <f>SUM(Diadema!AB180,Ferraz!AA118,'São Leopoldo'!AA128,Jarinu!AA132,Anchieta!AA106,Corporativo!T72,'Compras '!X150,Vendas!T86,'Diretoria Financeira'!T72,'Head Qualidade&amp;Dir. Industrial'!T72)</f>
        <v>0</v>
      </c>
      <c r="U40" s="154">
        <f>SUM(Diadema!AC180,Ferraz!AB118,'São Leopoldo'!AB128,Jarinu!AB132,Anchieta!AB106,Corporativo!U72,'Compras '!Y150,Vendas!U86,'Diretoria Financeira'!U72,'Head Qualidade&amp;Dir. Industrial'!U72)</f>
        <v>0</v>
      </c>
      <c r="V40" s="154">
        <f>SUM(Diadema!AD180,Ferraz!AC118,'São Leopoldo'!AC128,Jarinu!AC132,Anchieta!AC106,Corporativo!V72,'Compras '!Z150,Vendas!V86,'Diretoria Financeira'!V72,'Head Qualidade&amp;Dir. Industrial'!V72)</f>
        <v>0</v>
      </c>
      <c r="W40" s="154">
        <f>SUM(Diadema!AE180,Ferraz!AD118,'São Leopoldo'!AD128,Jarinu!AD132,Anchieta!AD106,Corporativo!W72,'Compras '!AA150,Vendas!W86,'Diretoria Financeira'!W72,'Head Qualidade&amp;Dir. Industrial'!W72)</f>
        <v>0</v>
      </c>
      <c r="X40" s="154">
        <f>SUM(L40:W40)</f>
        <v>4978229.5737575097</v>
      </c>
    </row>
    <row r="41" spans="1:24" x14ac:dyDescent="0.3">
      <c r="K41" s="162" t="s">
        <v>566</v>
      </c>
      <c r="L41" s="163">
        <f>Diadema!T181+Anchieta!S107+Ferraz!S119+Jarinu!S133+'São Leopoldo'!S129+Corporativo!L72+Vendas!L87+'Compras '!P151</f>
        <v>44</v>
      </c>
      <c r="M41" s="163">
        <f>SUM(Diadema!U181,Ferraz!T119,'São Leopoldo'!T129,Jarinu!T133,Anchieta!T107,Corporativo!M73,'Compras '!Q151,Vendas!M87,'Diretoria Financeira'!M73)</f>
        <v>96</v>
      </c>
      <c r="N41" s="163">
        <f>SUM(Diadema!V181,Ferraz!U119,'São Leopoldo'!U129,Jarinu!U133,Anchieta!U107,Corporativo!N73,'Compras '!R151,Vendas!N87,'Diretoria Financeira'!N73)</f>
        <v>115</v>
      </c>
      <c r="O41" s="163">
        <f>SUM(Diadema!W181,Ferraz!V119,'São Leopoldo'!V129,Jarinu!V133,Anchieta!V107,Corporativo!O73,'Compras '!S151,Vendas!O87,'Diretoria Financeira'!O73)</f>
        <v>127</v>
      </c>
      <c r="P41" s="163">
        <f>SUM(Diadema!X181,Ferraz!W119,'São Leopoldo'!W129,Jarinu!W133,Anchieta!W107,Corporativo!P73,'Compras '!T151,Vendas!P87,'Diretoria Financeira'!P73)</f>
        <v>123</v>
      </c>
      <c r="Q41" s="163">
        <f>SUM(Diadema!Y181,Ferraz!X119,'São Leopoldo'!X129,Jarinu!X133,Anchieta!X107,Corporativo!Q73,'Compras '!U151,Vendas!Q87,'Diretoria Financeira'!Q73)</f>
        <v>111</v>
      </c>
      <c r="R41" s="163">
        <f>SUM(Diadema!Z181,Ferraz!Y119,'São Leopoldo'!Y129,Jarinu!Y133,Anchieta!Y107,Corporativo!R73,'Compras '!V151,Vendas!R87,'Diretoria Financeira'!R73)</f>
        <v>91</v>
      </c>
      <c r="S41" s="163">
        <f>SUM(Diadema!AA181,Ferraz!Z119,'São Leopoldo'!Z129,Jarinu!Z133,Anchieta!Z107,Corporativo!S73,'Compras '!W151,Vendas!S87,'Diretoria Financeira'!S73)</f>
        <v>80</v>
      </c>
      <c r="T41" s="163">
        <f>SUM(Diadema!AB181,Ferraz!AA119,'São Leopoldo'!AA129,Jarinu!AA133,Anchieta!AA107,Corporativo!T73,'Compras '!X151,Vendas!T87,'Diretoria Financeira'!T73)</f>
        <v>71</v>
      </c>
      <c r="U41" s="163">
        <f>SUM(Diadema!AC181,Ferraz!AB119,'São Leopoldo'!AB129,Jarinu!AB133,Anchieta!AB107,Corporativo!U73,'Compras '!Y151,Vendas!U87,'Diretoria Financeira'!U73)</f>
        <v>69</v>
      </c>
      <c r="V41" s="163">
        <f>SUM(Diadema!AD181,Ferraz!AC119,'São Leopoldo'!AC129,Jarinu!AC133,Anchieta!AC107,Corporativo!V73,'Compras '!Z151,Vendas!V87,'Diretoria Financeira'!V73)</f>
        <v>67</v>
      </c>
      <c r="W41" s="163">
        <f>SUM(Diadema!AE181,Ferraz!AD119,'São Leopoldo'!AD129,Jarinu!AD133,Anchieta!AD107,Corporativo!W73,'Compras '!AA151,Vendas!W87,'Diretoria Financeira'!W73)</f>
        <v>67</v>
      </c>
      <c r="X41" s="162"/>
    </row>
    <row r="42" spans="1:24" ht="28.8" x14ac:dyDescent="0.3">
      <c r="K42" s="505" t="s">
        <v>570</v>
      </c>
      <c r="L42" s="154">
        <f>L39</f>
        <v>986433.4254999999</v>
      </c>
      <c r="M42" s="154">
        <f t="shared" ref="M42:W42" si="0">L42+M39</f>
        <v>1588770.7314763488</v>
      </c>
      <c r="N42" s="154">
        <f t="shared" si="0"/>
        <v>2590661.0035426975</v>
      </c>
      <c r="O42" s="154">
        <f t="shared" si="0"/>
        <v>3720288.8112479355</v>
      </c>
      <c r="P42" s="154">
        <f t="shared" si="0"/>
        <v>4967525.7387111699</v>
      </c>
      <c r="Q42" s="154">
        <f t="shared" si="0"/>
        <v>6875645.6031298516</v>
      </c>
      <c r="R42" s="154">
        <f t="shared" si="0"/>
        <v>9188913.8867151998</v>
      </c>
      <c r="S42" s="154">
        <f t="shared" si="0"/>
        <v>11686711.687133882</v>
      </c>
      <c r="T42" s="154">
        <f t="shared" si="0"/>
        <v>14212332.882627564</v>
      </c>
      <c r="U42" s="154">
        <f t="shared" si="0"/>
        <v>16842142.411454581</v>
      </c>
      <c r="V42" s="154">
        <f t="shared" si="0"/>
        <v>19513618.606948264</v>
      </c>
      <c r="W42" s="154">
        <f t="shared" si="0"/>
        <v>22382644.77577528</v>
      </c>
      <c r="X42" s="154"/>
    </row>
    <row r="43" spans="1:24" ht="28.8" x14ac:dyDescent="0.3">
      <c r="K43" s="506" t="s">
        <v>574</v>
      </c>
      <c r="L43" s="507">
        <f>L40</f>
        <v>1132496.77</v>
      </c>
      <c r="M43" s="507">
        <f t="shared" ref="M43:W43" si="1">L43+M40</f>
        <v>2119428.4860528605</v>
      </c>
      <c r="N43" s="507">
        <f t="shared" si="1"/>
        <v>3300595.6871368522</v>
      </c>
      <c r="O43" s="507">
        <f t="shared" si="1"/>
        <v>4092110.9751316295</v>
      </c>
      <c r="P43" s="507">
        <f t="shared" si="1"/>
        <v>4978229.5737575097</v>
      </c>
      <c r="Q43" s="507">
        <f t="shared" si="1"/>
        <v>4978229.5737575097</v>
      </c>
      <c r="R43" s="507">
        <f t="shared" si="1"/>
        <v>4978229.5737575097</v>
      </c>
      <c r="S43" s="507">
        <f t="shared" si="1"/>
        <v>4978229.5737575097</v>
      </c>
      <c r="T43" s="507">
        <f t="shared" si="1"/>
        <v>4978229.5737575097</v>
      </c>
      <c r="U43" s="507">
        <f t="shared" si="1"/>
        <v>4978229.5737575097</v>
      </c>
      <c r="V43" s="507">
        <f t="shared" si="1"/>
        <v>4978229.5737575097</v>
      </c>
      <c r="W43" s="507">
        <f t="shared" si="1"/>
        <v>4978229.5737575097</v>
      </c>
      <c r="X43" s="507"/>
    </row>
    <row r="44" spans="1:24" ht="28.8" x14ac:dyDescent="0.3">
      <c r="K44" s="505" t="s">
        <v>578</v>
      </c>
      <c r="L44" s="154">
        <f>L43</f>
        <v>1132496.77</v>
      </c>
      <c r="M44" s="154">
        <f>IF(AND(ISNUMBER(M40),M40&lt;&gt;0), M43, L44 + (($E$15 - MAX($L$43:$AC$43)) / COUNTIF($L$40:$AC$40,0)))</f>
        <v>2119428.4860528605</v>
      </c>
      <c r="N44" s="154">
        <f t="shared" ref="N44:R44" si="2">IF(AND(ISNUMBER(N40),N40&lt;&gt;0), N43, M44 + (($E$15 - MAX($L$43:$AC$43)) / COUNTIF($L$40:$AC$40,0)))</f>
        <v>3300595.6871368522</v>
      </c>
      <c r="O44" s="154">
        <f t="shared" si="2"/>
        <v>4092110.9751316295</v>
      </c>
      <c r="P44" s="154">
        <f t="shared" si="2"/>
        <v>4978229.5737575097</v>
      </c>
      <c r="Q44" s="154">
        <f>IF(AND(ISNUMBER(Q40),Q40&lt;&gt;0), Q43, P44 + (($E$15 - MAX($L$43:$AC$43)) / COUNTIF($L$40:$AC$40,0)))</f>
        <v>11455625.348935008</v>
      </c>
      <c r="R44" s="154">
        <f t="shared" si="2"/>
        <v>17933021.124112509</v>
      </c>
      <c r="S44" s="154">
        <f t="shared" ref="S44" si="3">IF(AND(ISNUMBER(S40),S40&lt;&gt;0), S43, R44 + (($E$15 - MAX($L$43:$AC$43)) / COUNTIF($L$40:$AC$40,0)))</f>
        <v>24410416.89929001</v>
      </c>
      <c r="T44" s="154">
        <f t="shared" ref="T44" si="4">IF(AND(ISNUMBER(T40),T40&lt;&gt;0), T43, S44 + (($E$15 - MAX($L$43:$AC$43)) / COUNTIF($L$40:$AC$40,0)))</f>
        <v>30887812.674467511</v>
      </c>
      <c r="U44" s="154">
        <f t="shared" ref="U44" si="5">IF(AND(ISNUMBER(U40),U40&lt;&gt;0), U43, T44 + (($E$15 - MAX($L$43:$AC$43)) / COUNTIF($L$40:$AC$40,0)))</f>
        <v>37365208.449645013</v>
      </c>
      <c r="V44" s="154">
        <f t="shared" ref="V44" si="6">IF(AND(ISNUMBER(V40),V40&lt;&gt;0), V43, U44 + (($E$15 - MAX($L$43:$AC$43)) / COUNTIF($L$40:$AC$40,0)))</f>
        <v>43842604.224822514</v>
      </c>
      <c r="W44" s="154">
        <f t="shared" ref="W44" si="7">IF(AND(ISNUMBER(W40),W40&lt;&gt;0), W43, V44 + (($E$15 - MAX($L$43:$AC$43)) / COUNTIF($L$40:$AC$40,0)))</f>
        <v>50320000.000000015</v>
      </c>
    </row>
    <row r="87" spans="1:1" x14ac:dyDescent="0.3">
      <c r="A87" t="s">
        <v>2241</v>
      </c>
    </row>
    <row r="100" spans="1:1" x14ac:dyDescent="0.3">
      <c r="A100" s="210" t="s">
        <v>2242</v>
      </c>
    </row>
    <row r="122" spans="1:28" x14ac:dyDescent="0.3">
      <c r="A122">
        <v>100</v>
      </c>
      <c r="R122" s="154">
        <f>IF(AND(ISNUMBER(N40),N40&lt;&gt;0), N43,#REF! + (( $E$15 - MAX($L$43:$AC$43)) / COUNTIF($L$40:$AC$40,0)))</f>
        <v>3300595.6871368522</v>
      </c>
      <c r="S122" s="154">
        <f t="shared" ref="S122:AB122" si="8">IF(AND(ISNUMBER(O40),O40&lt;&gt;0), O43, N44 + (($E$15 - MAX($L$43:$AC$43)) / COUNTIF($L$40:$AC$40,0)))</f>
        <v>4092110.9751316295</v>
      </c>
      <c r="T122" s="154">
        <f t="shared" si="8"/>
        <v>4978229.5737575097</v>
      </c>
      <c r="U122" s="154">
        <f t="shared" si="8"/>
        <v>11455625.348935008</v>
      </c>
      <c r="V122" s="154">
        <f t="shared" si="8"/>
        <v>17933021.124112509</v>
      </c>
      <c r="W122" s="154">
        <f t="shared" si="8"/>
        <v>24410416.89929001</v>
      </c>
      <c r="X122" s="154">
        <f t="shared" si="8"/>
        <v>30887812.674467511</v>
      </c>
      <c r="Y122" s="154">
        <f t="shared" si="8"/>
        <v>37365208.449645013</v>
      </c>
      <c r="Z122" s="154">
        <f t="shared" si="8"/>
        <v>43842604.224822514</v>
      </c>
      <c r="AA122" s="154">
        <f t="shared" si="8"/>
        <v>50320000.000000015</v>
      </c>
      <c r="AB122" s="154">
        <f t="shared" si="8"/>
        <v>0</v>
      </c>
    </row>
  </sheetData>
  <hyperlinks>
    <hyperlink ref="A100" r:id="rId1" xr:uid="{78B7FCF5-0A28-406B-BC84-A0FEEFAEC0DF}"/>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95FA-F0B5-4EED-88D3-552CBE653B08}">
  <dimension ref="A1:AI14"/>
  <sheetViews>
    <sheetView topLeftCell="A4" workbookViewId="0">
      <selection activeCell="D26" sqref="D26"/>
    </sheetView>
  </sheetViews>
  <sheetFormatPr defaultRowHeight="14.4" x14ac:dyDescent="0.3"/>
  <cols>
    <col min="5" max="5" width="17.21875" bestFit="1" customWidth="1"/>
    <col min="6" max="6" width="13.21875" bestFit="1" customWidth="1"/>
    <col min="7" max="8" width="12.77734375" customWidth="1"/>
    <col min="11" max="11" width="33.77734375" bestFit="1" customWidth="1"/>
    <col min="12" max="13" width="11.21875" customWidth="1"/>
    <col min="16" max="16" width="11.44140625" bestFit="1" customWidth="1"/>
    <col min="19" max="19" width="37" bestFit="1" customWidth="1"/>
  </cols>
  <sheetData>
    <row r="1" spans="1:35" s="20" customFormat="1" ht="15" thickBot="1" x14ac:dyDescent="0.35"/>
    <row r="2" spans="1:35" ht="15.6" thickTop="1" thickBot="1" x14ac:dyDescent="0.35">
      <c r="A2" s="20"/>
      <c r="B2" s="43"/>
      <c r="C2" s="44"/>
      <c r="D2" s="44"/>
      <c r="E2" s="44"/>
      <c r="F2" s="44"/>
      <c r="G2" s="44"/>
      <c r="H2" s="44"/>
      <c r="I2" s="44"/>
      <c r="J2" s="44"/>
      <c r="K2" s="44"/>
      <c r="L2" s="44"/>
      <c r="M2" s="44"/>
      <c r="N2" s="44"/>
      <c r="O2" s="44"/>
      <c r="P2" s="44"/>
      <c r="Q2" s="44"/>
      <c r="R2" s="44"/>
      <c r="S2" s="44"/>
      <c r="T2" s="45"/>
      <c r="V2" s="20"/>
      <c r="W2" s="20"/>
      <c r="X2" s="20"/>
      <c r="Y2" s="20"/>
      <c r="Z2" s="20"/>
      <c r="AA2" s="20"/>
      <c r="AB2" s="20"/>
      <c r="AC2" s="20"/>
      <c r="AD2" s="20"/>
      <c r="AE2" s="20"/>
      <c r="AF2" s="20"/>
      <c r="AG2" s="20"/>
      <c r="AH2" s="20"/>
      <c r="AI2" s="20"/>
    </row>
    <row r="3" spans="1:35" ht="61.8" thickTop="1" x14ac:dyDescent="1.1000000000000001">
      <c r="A3" s="20"/>
      <c r="B3" s="36"/>
      <c r="C3" s="1276" t="s">
        <v>45</v>
      </c>
      <c r="D3" s="1277"/>
      <c r="E3" s="1277"/>
      <c r="F3" s="1277"/>
      <c r="G3" s="1277"/>
      <c r="H3" s="1277"/>
      <c r="I3" s="1277"/>
      <c r="J3" s="1277"/>
      <c r="K3" s="1277"/>
      <c r="L3" s="1277"/>
      <c r="M3" s="1277"/>
      <c r="N3" s="1277"/>
      <c r="O3" s="1277"/>
      <c r="P3" s="1277"/>
      <c r="Q3" s="1277"/>
      <c r="R3" s="1277"/>
      <c r="S3" s="46"/>
      <c r="T3" s="27"/>
      <c r="U3" s="20"/>
      <c r="V3" s="20"/>
      <c r="W3" s="20"/>
      <c r="X3" s="20"/>
      <c r="Y3" s="20"/>
      <c r="Z3" s="20"/>
      <c r="AA3" s="20"/>
      <c r="AB3" s="20"/>
      <c r="AC3" s="20"/>
      <c r="AD3" s="20"/>
      <c r="AE3" s="20"/>
      <c r="AF3" s="20"/>
      <c r="AG3" s="20"/>
      <c r="AH3" s="20"/>
      <c r="AI3" s="20"/>
    </row>
    <row r="4" spans="1:35" ht="16.2" thickBot="1" x14ac:dyDescent="0.35">
      <c r="A4" s="20"/>
      <c r="B4" s="37"/>
      <c r="C4" s="1278" t="s">
        <v>46</v>
      </c>
      <c r="D4" s="1279"/>
      <c r="E4" s="1279"/>
      <c r="F4" s="1279"/>
      <c r="G4" s="1279"/>
      <c r="H4" s="1279"/>
      <c r="I4" s="1279"/>
      <c r="J4" s="1279"/>
      <c r="K4" s="1279"/>
      <c r="L4" s="1279"/>
      <c r="M4" s="1279"/>
      <c r="N4" s="1279"/>
      <c r="O4" s="1279"/>
      <c r="P4" s="1279"/>
      <c r="Q4" s="1279"/>
      <c r="R4" s="1279"/>
      <c r="S4" s="1280"/>
      <c r="T4" s="33"/>
      <c r="U4" s="20"/>
      <c r="V4" s="20"/>
      <c r="W4" s="20"/>
      <c r="X4" s="20"/>
      <c r="Y4" s="20"/>
      <c r="Z4" s="20"/>
      <c r="AA4" s="20"/>
      <c r="AB4" s="20"/>
      <c r="AC4" s="20"/>
      <c r="AD4" s="20"/>
      <c r="AE4" s="20"/>
      <c r="AF4" s="20"/>
      <c r="AG4" s="20"/>
      <c r="AH4" s="20"/>
      <c r="AI4" s="20"/>
    </row>
    <row r="5" spans="1:35" ht="15" thickTop="1" x14ac:dyDescent="0.3">
      <c r="A5" s="20"/>
      <c r="B5" s="36"/>
      <c r="C5" s="47"/>
      <c r="D5" s="47"/>
      <c r="E5" s="47"/>
      <c r="F5" s="47"/>
      <c r="G5" s="47"/>
      <c r="H5" s="47"/>
      <c r="I5" s="47"/>
      <c r="J5" s="47"/>
      <c r="K5" s="47"/>
      <c r="L5" s="47"/>
      <c r="M5" s="47"/>
      <c r="N5" s="47"/>
      <c r="O5" s="47"/>
      <c r="P5" s="47"/>
      <c r="Q5" s="47"/>
      <c r="R5" s="47"/>
      <c r="S5" s="47"/>
      <c r="T5" s="27"/>
      <c r="U5" s="20"/>
      <c r="V5" s="20"/>
      <c r="W5" s="20"/>
      <c r="X5" s="20"/>
      <c r="Y5" s="20"/>
      <c r="Z5" s="20"/>
      <c r="AA5" s="20"/>
      <c r="AB5" s="20"/>
      <c r="AC5" s="20"/>
      <c r="AD5" s="20"/>
      <c r="AE5" s="20"/>
      <c r="AF5" s="20"/>
      <c r="AG5" s="20"/>
      <c r="AH5" s="20"/>
      <c r="AI5" s="20"/>
    </row>
    <row r="6" spans="1:35" x14ac:dyDescent="0.3">
      <c r="A6" s="20"/>
      <c r="B6" s="36"/>
      <c r="C6" s="1281" t="s">
        <v>47</v>
      </c>
      <c r="D6" s="1281"/>
      <c r="E6" s="513" t="s">
        <v>48</v>
      </c>
      <c r="F6" s="511" t="s">
        <v>49</v>
      </c>
      <c r="G6" s="1282" t="s">
        <v>50</v>
      </c>
      <c r="H6" s="1282"/>
      <c r="I6" s="1283" t="s">
        <v>51</v>
      </c>
      <c r="J6" s="1284"/>
      <c r="K6" s="1033" t="s">
        <v>52</v>
      </c>
      <c r="L6" s="1285" t="s">
        <v>53</v>
      </c>
      <c r="M6" s="1285"/>
      <c r="N6" s="1285" t="s">
        <v>54</v>
      </c>
      <c r="O6" s="1286"/>
      <c r="P6" s="1287" t="s">
        <v>55</v>
      </c>
      <c r="Q6" s="1288"/>
      <c r="R6" s="1288"/>
      <c r="S6" s="1289"/>
      <c r="T6" s="27"/>
      <c r="U6" s="20"/>
      <c r="V6" s="20"/>
      <c r="W6" s="20"/>
      <c r="X6" s="20"/>
      <c r="Y6" s="20"/>
      <c r="Z6" s="20"/>
      <c r="AA6" s="20"/>
      <c r="AB6" s="20"/>
      <c r="AC6" s="20"/>
      <c r="AD6" s="20"/>
      <c r="AE6" s="20"/>
      <c r="AF6" s="20"/>
      <c r="AG6" s="20"/>
      <c r="AH6" s="20"/>
      <c r="AI6" s="20"/>
    </row>
    <row r="7" spans="1:35" ht="33.6" x14ac:dyDescent="0.3">
      <c r="A7" s="20"/>
      <c r="B7" s="36"/>
      <c r="C7" s="1229"/>
      <c r="D7" s="1230"/>
      <c r="E7" s="1253"/>
      <c r="F7" s="1256"/>
      <c r="G7" s="1235"/>
      <c r="H7" s="1236"/>
      <c r="I7" s="1241"/>
      <c r="J7" s="1242"/>
      <c r="K7" s="1034"/>
      <c r="L7" s="1247"/>
      <c r="M7" s="1248"/>
      <c r="N7" s="1261"/>
      <c r="O7" s="1262"/>
      <c r="P7" s="886"/>
      <c r="Q7" s="1267"/>
      <c r="R7" s="1268"/>
      <c r="S7" s="888"/>
      <c r="T7" s="27"/>
      <c r="U7" s="20"/>
      <c r="V7" s="20"/>
      <c r="W7" s="20"/>
      <c r="X7" s="20"/>
      <c r="Y7" s="20"/>
      <c r="Z7" s="20"/>
      <c r="AA7" s="20"/>
      <c r="AB7" s="20"/>
      <c r="AC7" s="20"/>
      <c r="AD7" s="20"/>
      <c r="AE7" s="20"/>
      <c r="AF7" s="20"/>
      <c r="AG7" s="20"/>
      <c r="AH7" s="20"/>
      <c r="AI7" s="20"/>
    </row>
    <row r="8" spans="1:35" ht="33.6" x14ac:dyDescent="0.3">
      <c r="A8" s="20"/>
      <c r="B8" s="36"/>
      <c r="C8" s="1231"/>
      <c r="D8" s="1232"/>
      <c r="E8" s="1254"/>
      <c r="F8" s="1257"/>
      <c r="G8" s="1237"/>
      <c r="H8" s="1238"/>
      <c r="I8" s="1243"/>
      <c r="J8" s="1244"/>
      <c r="K8" s="1034"/>
      <c r="L8" s="1249"/>
      <c r="M8" s="1250"/>
      <c r="N8" s="1263"/>
      <c r="O8" s="1264"/>
      <c r="P8" s="887"/>
      <c r="Q8" s="1269"/>
      <c r="R8" s="1270"/>
      <c r="S8" s="889"/>
      <c r="T8" s="27"/>
      <c r="U8" s="20"/>
      <c r="V8" s="20"/>
      <c r="W8" s="20"/>
      <c r="X8" s="20"/>
      <c r="Y8" s="20"/>
      <c r="Z8" s="20"/>
      <c r="AA8" s="20"/>
      <c r="AB8" s="20"/>
      <c r="AC8" s="20"/>
      <c r="AD8" s="20"/>
      <c r="AE8" s="20"/>
      <c r="AF8" s="20"/>
      <c r="AG8" s="20"/>
      <c r="AH8" s="20"/>
      <c r="AI8" s="20"/>
    </row>
    <row r="9" spans="1:35" ht="33.6" x14ac:dyDescent="0.3">
      <c r="A9" s="20"/>
      <c r="B9" s="36"/>
      <c r="C9" s="1233"/>
      <c r="D9" s="1234"/>
      <c r="E9" s="1255"/>
      <c r="F9" s="1258"/>
      <c r="G9" s="1239"/>
      <c r="H9" s="1240"/>
      <c r="I9" s="1245"/>
      <c r="J9" s="1246"/>
      <c r="K9" s="1034"/>
      <c r="L9" s="1251"/>
      <c r="M9" s="1252"/>
      <c r="N9" s="1265"/>
      <c r="O9" s="1266"/>
      <c r="P9" s="886"/>
      <c r="Q9" s="1271"/>
      <c r="R9" s="1272"/>
      <c r="S9" s="888"/>
      <c r="T9" s="27"/>
      <c r="U9" s="20"/>
      <c r="V9" s="20"/>
      <c r="W9" s="20"/>
      <c r="X9" s="20"/>
      <c r="Y9" s="20"/>
      <c r="Z9" s="20"/>
      <c r="AA9" s="20"/>
      <c r="AB9" s="20"/>
      <c r="AC9" s="20"/>
      <c r="AD9" s="20"/>
      <c r="AE9" s="20"/>
      <c r="AF9" s="20"/>
      <c r="AG9" s="20"/>
      <c r="AH9" s="20"/>
      <c r="AI9" s="20"/>
    </row>
    <row r="10" spans="1:35" x14ac:dyDescent="0.3">
      <c r="A10" s="20"/>
      <c r="B10" s="36"/>
      <c r="C10" s="47"/>
      <c r="D10" s="47"/>
      <c r="E10" s="47"/>
      <c r="F10" s="47"/>
      <c r="G10" s="47"/>
      <c r="H10" s="47"/>
      <c r="I10" s="47"/>
      <c r="J10" s="47"/>
      <c r="K10" s="47"/>
      <c r="L10" s="47"/>
      <c r="M10" s="47"/>
      <c r="N10" s="47"/>
      <c r="O10" s="47"/>
      <c r="P10" s="47"/>
      <c r="Q10" s="47"/>
      <c r="R10" s="47"/>
      <c r="S10" s="47"/>
      <c r="T10" s="27"/>
      <c r="U10" s="20"/>
      <c r="V10" s="20"/>
      <c r="W10" s="20"/>
      <c r="X10" s="20"/>
      <c r="Y10" s="20"/>
      <c r="Z10" s="20"/>
      <c r="AA10" s="20"/>
      <c r="AB10" s="20"/>
      <c r="AC10" s="20"/>
      <c r="AD10" s="20"/>
      <c r="AE10" s="20"/>
      <c r="AF10" s="20"/>
      <c r="AG10" s="20"/>
      <c r="AH10" s="20"/>
      <c r="AI10" s="20"/>
    </row>
    <row r="13" spans="1:35" x14ac:dyDescent="0.3">
      <c r="E13" t="s">
        <v>56</v>
      </c>
    </row>
    <row r="14" spans="1:35" x14ac:dyDescent="0.3">
      <c r="E14" t="s">
        <v>57</v>
      </c>
    </row>
  </sheetData>
  <mergeCells count="18">
    <mergeCell ref="C3:R3"/>
    <mergeCell ref="C4:S4"/>
    <mergeCell ref="C6:D6"/>
    <mergeCell ref="G6:H6"/>
    <mergeCell ref="I6:J6"/>
    <mergeCell ref="L6:M6"/>
    <mergeCell ref="N6:O6"/>
    <mergeCell ref="P6:S6"/>
    <mergeCell ref="N7:O9"/>
    <mergeCell ref="Q7:R7"/>
    <mergeCell ref="Q8:R8"/>
    <mergeCell ref="Q9:R9"/>
    <mergeCell ref="C7:D9"/>
    <mergeCell ref="E7:E9"/>
    <mergeCell ref="F7:F9"/>
    <mergeCell ref="G7:H9"/>
    <mergeCell ref="I7:J9"/>
    <mergeCell ref="L7:M9"/>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D4FD3E39-7332-474E-AE81-CEBCFE984A05}">
            <x14:iconSet iconSet="3Stars">
              <x14:cfvo type="percent">
                <xm:f>0</xm:f>
              </x14:cfvo>
              <x14:cfvo type="percent">
                <xm:f>33</xm:f>
              </x14:cfvo>
              <x14:cfvo type="percent">
                <xm:f>67</xm:f>
              </x14:cfvo>
            </x14:iconSet>
          </x14:cfRule>
          <xm:sqref>P7:P9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B71B-2F8E-4E2A-BA7B-7486774F5123}">
  <dimension ref="A1:D201"/>
  <sheetViews>
    <sheetView workbookViewId="0">
      <selection activeCell="A2" sqref="A2"/>
    </sheetView>
  </sheetViews>
  <sheetFormatPr defaultRowHeight="14.4" x14ac:dyDescent="0.3"/>
  <cols>
    <col min="1" max="1" width="3.5546875" bestFit="1" customWidth="1"/>
    <col min="2" max="2" width="27.44140625" style="235" bestFit="1" customWidth="1"/>
    <col min="3" max="3" width="58.44140625" bestFit="1" customWidth="1"/>
    <col min="4" max="4" width="12" bestFit="1" customWidth="1"/>
  </cols>
  <sheetData>
    <row r="1" spans="1:4" x14ac:dyDescent="0.3">
      <c r="A1" t="s">
        <v>2557</v>
      </c>
      <c r="B1" s="235" t="s">
        <v>2558</v>
      </c>
      <c r="C1" t="s">
        <v>2551</v>
      </c>
      <c r="D1" t="s">
        <v>73</v>
      </c>
    </row>
    <row r="2" spans="1:4" x14ac:dyDescent="0.3">
      <c r="A2" cm="1">
        <f t="array" ref="A2:A201">_xlfn.SEQUENCE(200)</f>
        <v>1</v>
      </c>
      <c r="B2" s="235">
        <f ca="1">MAX(Pareto!W:W)</f>
        <v>699813</v>
      </c>
      <c r="C2" t="str">
        <f ca="1">_xlfn.XLOOKUP(B2,Pareto!W:W,Pareto!S:S)</f>
        <v>08 - Reestruturação</v>
      </c>
      <c r="D2" t="str">
        <f ca="1">_xlfn.XLOOKUP(C2,Pareto!S:S,Pareto!T:T)</f>
        <v>São leopoldo</v>
      </c>
    </row>
    <row r="3" spans="1:4" x14ac:dyDescent="0.3">
      <c r="A3">
        <v>2</v>
      </c>
      <c r="B3" s="235">
        <f ca="1">IFERROR(LARGE(Pareto!W:W,A3)," ")</f>
        <v>570440.18000000005</v>
      </c>
      <c r="C3" t="str">
        <f ca="1">_xlfn.XLOOKUP(B3,Pareto!W:W,Pareto!S:S)</f>
        <v>Negociação de preços materiais carcaça Dana</v>
      </c>
      <c r="D3" t="str">
        <f ca="1">_xlfn.XLOOKUP(C3,Pareto!S:S,Pareto!T:T)</f>
        <v>Compras</v>
      </c>
    </row>
    <row r="4" spans="1:4" x14ac:dyDescent="0.3">
      <c r="A4">
        <v>3</v>
      </c>
      <c r="B4" s="235">
        <f ca="1">IFERROR(LARGE(Pareto!W:W,A4)," ")</f>
        <v>421900.92000000004</v>
      </c>
      <c r="C4" t="str">
        <f ca="1">_xlfn.XLOOKUP(B4,Pareto!W:W,Pareto!S:S)</f>
        <v xml:space="preserve">03 - Consumo de desmoldante </v>
      </c>
      <c r="D4" t="str">
        <f ca="1">_xlfn.XLOOKUP(C4,Pareto!S:S,Pareto!T:T)</f>
        <v>Ferraz</v>
      </c>
    </row>
    <row r="5" spans="1:4" x14ac:dyDescent="0.3">
      <c r="A5">
        <v>4</v>
      </c>
      <c r="B5" s="235">
        <f ca="1">IFERROR(LARGE(Pareto!W:W,A5)," ")</f>
        <v>413825.56999999995</v>
      </c>
      <c r="C5" t="str">
        <f ca="1">_xlfn.XLOOKUP(B5,Pareto!W:W,Pareto!S:S)</f>
        <v xml:space="preserve">07 - Consumo de gás </v>
      </c>
      <c r="D5" t="str">
        <f ca="1">_xlfn.XLOOKUP(C5,Pareto!S:S,Pareto!T:T)</f>
        <v>Ferraz</v>
      </c>
    </row>
    <row r="6" spans="1:4" x14ac:dyDescent="0.3">
      <c r="A6">
        <v>5</v>
      </c>
      <c r="B6" s="235">
        <f ca="1">IFERROR(LARGE(Pareto!W:W,A6)," ")</f>
        <v>390000</v>
      </c>
      <c r="C6" t="str">
        <f ca="1">_xlfn.XLOOKUP(B6,Pareto!W:W,Pareto!S:S)</f>
        <v>36 - Venda Robos</v>
      </c>
      <c r="D6" t="str">
        <f ca="1">_xlfn.XLOOKUP(C6,Pareto!S:S,Pareto!T:T)</f>
        <v>Jarinu</v>
      </c>
    </row>
    <row r="7" spans="1:4" x14ac:dyDescent="0.3">
      <c r="A7">
        <v>6</v>
      </c>
      <c r="B7" s="235">
        <f ca="1">IFERROR(LARGE(Pareto!W:W,A7)," ")</f>
        <v>276395.48</v>
      </c>
      <c r="C7" t="str">
        <f ca="1">_xlfn.XLOOKUP(B7,Pareto!W:W,Pareto!S:S)</f>
        <v xml:space="preserve">06 - Reaproveitamento de lixas </v>
      </c>
      <c r="D7" t="str">
        <f ca="1">_xlfn.XLOOKUP(C7,Pareto!S:S,Pareto!T:T)</f>
        <v>Ferraz</v>
      </c>
    </row>
    <row r="8" spans="1:4" x14ac:dyDescent="0.3">
      <c r="A8">
        <v>7</v>
      </c>
      <c r="B8" s="235">
        <f ca="1">IFERROR(LARGE(Pareto!W:W,A8)," ")</f>
        <v>182981.17848009121</v>
      </c>
      <c r="C8" t="str">
        <f ca="1">_xlfn.XLOOKUP(B8,Pareto!W:W,Pareto!S:S)</f>
        <v>29 - DA000489Z_DA000490Z - STC Scania M_</v>
      </c>
      <c r="D8" t="str">
        <f ca="1">_xlfn.XLOOKUP(C8,Pareto!S:S,Pareto!T:T)</f>
        <v>Diadema</v>
      </c>
    </row>
    <row r="9" spans="1:4" x14ac:dyDescent="0.3">
      <c r="A9">
        <v>8</v>
      </c>
      <c r="B9" s="235">
        <f ca="1">IFERROR(LARGE(Pareto!W:W,A9)," ")</f>
        <v>98159.34</v>
      </c>
      <c r="C9" t="str">
        <f ca="1">_xlfn.XLOOKUP(B9,Pareto!W:W,Pareto!S:S)</f>
        <v>01 - Redução de Refugo</v>
      </c>
      <c r="D9" t="str">
        <f ca="1">_xlfn.XLOOKUP(C9,Pareto!S:S,Pareto!T:T)</f>
        <v>São leopoldo</v>
      </c>
    </row>
    <row r="10" spans="1:4" x14ac:dyDescent="0.3">
      <c r="A10">
        <v>9</v>
      </c>
      <c r="B10" s="235">
        <f ca="1">IFERROR(LARGE(Pareto!W:W,A10)," ")</f>
        <v>93186.13900000001</v>
      </c>
      <c r="C10" t="str">
        <f ca="1">_xlfn.XLOOKUP(B10,Pareto!W:W,Pareto!S:S)</f>
        <v>03 - PRODUTOS QUÍMICOS KTL</v>
      </c>
      <c r="D10" t="str">
        <f ca="1">_xlfn.XLOOKUP(C10,Pareto!S:S,Pareto!T:T)</f>
        <v>Anchieta</v>
      </c>
    </row>
    <row r="11" spans="1:4" x14ac:dyDescent="0.3">
      <c r="A11">
        <v>10</v>
      </c>
      <c r="B11" s="235">
        <f ca="1">IFERROR(LARGE(Pareto!W:W,A11)," ")</f>
        <v>51688.192766560009</v>
      </c>
      <c r="C11" t="str">
        <f ca="1">_xlfn.XLOOKUP(B11,Pareto!W:W,Pareto!S:S)</f>
        <v>01 - Redução de peso bruto DA000489A</v>
      </c>
      <c r="D11" t="str">
        <f ca="1">_xlfn.XLOOKUP(C11,Pareto!S:S,Pareto!T:T)</f>
        <v>Diadema</v>
      </c>
    </row>
    <row r="12" spans="1:4" x14ac:dyDescent="0.3">
      <c r="A12">
        <v>11</v>
      </c>
      <c r="B12" s="235">
        <f ca="1">IFERROR(LARGE(Pareto!W:W,A12)," ")</f>
        <v>50000</v>
      </c>
      <c r="C12" t="str">
        <f ca="1">_xlfn.XLOOKUP(B12,Pareto!W:W,Pareto!S:S)</f>
        <v>01 - VENDA DE ATIVOS</v>
      </c>
      <c r="D12" t="str">
        <f ca="1">_xlfn.XLOOKUP(C12,Pareto!S:S,Pareto!T:T)</f>
        <v>Anchieta</v>
      </c>
    </row>
    <row r="13" spans="1:4" x14ac:dyDescent="0.3">
      <c r="A13">
        <v>12</v>
      </c>
      <c r="B13" s="235">
        <f ca="1">IFERROR(LARGE(Pareto!W:W,A13)," ")</f>
        <v>45098</v>
      </c>
      <c r="C13" t="str">
        <f ca="1">_xlfn.XLOOKUP(B13,Pareto!W:W,Pareto!S:S)</f>
        <v xml:space="preserve">Consumo de água </v>
      </c>
      <c r="D13" t="str">
        <f ca="1">_xlfn.XLOOKUP(C13,Pareto!S:S,Pareto!T:T)</f>
        <v>Ferraz</v>
      </c>
    </row>
    <row r="14" spans="1:4" x14ac:dyDescent="0.3">
      <c r="A14">
        <v>13</v>
      </c>
      <c r="B14" s="235">
        <f ca="1">IFERROR(LARGE(Pareto!W:W,A14)," ")</f>
        <v>37746.6</v>
      </c>
      <c r="C14" t="str">
        <f ca="1">_xlfn.XLOOKUP(B14,Pareto!W:W,Pareto!S:S)</f>
        <v>12 - Aproveitamento de peças Obsoletas - A9583176540</v>
      </c>
      <c r="D14" t="str">
        <f ca="1">_xlfn.XLOOKUP(C14,Pareto!S:S,Pareto!T:T)</f>
        <v>Diadema</v>
      </c>
    </row>
    <row r="15" spans="1:4" x14ac:dyDescent="0.3">
      <c r="A15">
        <v>14</v>
      </c>
      <c r="B15" s="235">
        <f ca="1">IFERROR(LARGE(Pareto!W:W,A15)," ")</f>
        <v>36880.140000000007</v>
      </c>
      <c r="C15" t="str">
        <f ca="1">_xlfn.XLOOKUP(B15,Pareto!W:W,Pareto!S:S)</f>
        <v>14 - Consumo de EPI's</v>
      </c>
      <c r="D15" t="str">
        <f ca="1">_xlfn.XLOOKUP(C15,Pareto!S:S,Pareto!T:T)</f>
        <v>Ferraz</v>
      </c>
    </row>
    <row r="16" spans="1:4" x14ac:dyDescent="0.3">
      <c r="A16">
        <v>15</v>
      </c>
      <c r="B16" s="235">
        <f ca="1">IFERROR(LARGE(Pareto!W:W,A16)," ")</f>
        <v>34660.771754999863</v>
      </c>
      <c r="C16" t="str">
        <f ca="1">_xlfn.XLOOKUP(B16,Pareto!W:W,Pareto!S:S)</f>
        <v>45 - Redução de MP GM000409Z</v>
      </c>
      <c r="D16" t="str">
        <f ca="1">_xlfn.XLOOKUP(C16,Pareto!S:S,Pareto!T:T)</f>
        <v>Diadema</v>
      </c>
    </row>
    <row r="17" spans="1:4" x14ac:dyDescent="0.3">
      <c r="A17">
        <v>16</v>
      </c>
      <c r="B17" s="235">
        <f ca="1">IFERROR(LARGE(Pareto!W:W,A17)," ")</f>
        <v>19997.378357600865</v>
      </c>
      <c r="C17" t="str">
        <f ca="1">_xlfn.XLOOKUP(B17,Pareto!W:W,Pareto!S:S)</f>
        <v>14 - REDUÇÃO DE MP DA000518Z (Anchieta) Código DD - VB000324Z</v>
      </c>
      <c r="D17" t="str">
        <f ca="1">_xlfn.XLOOKUP(C17,Pareto!S:S,Pareto!T:T)</f>
        <v>Diadema</v>
      </c>
    </row>
    <row r="18" spans="1:4" x14ac:dyDescent="0.3">
      <c r="A18">
        <v>17</v>
      </c>
      <c r="B18" s="235">
        <f ca="1">IFERROR(LARGE(Pareto!W:W,A18)," ")</f>
        <v>15968.797579189981</v>
      </c>
      <c r="C18" t="str">
        <f ca="1">_xlfn.XLOOKUP(B18,Pareto!W:W,Pareto!S:S)</f>
        <v>26 - Redução_de_MP - DJ000059Z_DJ000060Z</v>
      </c>
      <c r="D18" t="str">
        <f ca="1">_xlfn.XLOOKUP(C18,Pareto!S:S,Pareto!T:T)</f>
        <v>Diadema</v>
      </c>
    </row>
    <row r="19" spans="1:4" x14ac:dyDescent="0.3">
      <c r="A19">
        <v>18</v>
      </c>
      <c r="B19" s="235">
        <f ca="1">IFERROR(LARGE(Pareto!W:W,A19)," ")</f>
        <v>15439.297500000008</v>
      </c>
      <c r="C19" t="str">
        <f ca="1">_xlfn.XLOOKUP(B19,Pareto!W:W,Pareto!S:S)</f>
        <v>05 - Empilhadeira - Diadema</v>
      </c>
      <c r="D19" t="str">
        <f ca="1">_xlfn.XLOOKUP(C19,Pareto!S:S,Pareto!T:T)</f>
        <v>Diadema</v>
      </c>
    </row>
    <row r="20" spans="1:4" x14ac:dyDescent="0.3">
      <c r="A20">
        <v>19</v>
      </c>
      <c r="B20" s="235">
        <f ca="1">IFERROR(LARGE(Pareto!W:W,A20)," ")</f>
        <v>13560.8</v>
      </c>
      <c r="C20" t="str">
        <f ca="1">_xlfn.XLOOKUP(B20,Pareto!W:W,Pareto!S:S)</f>
        <v>06 - Acabamento capo CN13</v>
      </c>
      <c r="D20" t="str">
        <f ca="1">_xlfn.XLOOKUP(C20,Pareto!S:S,Pareto!T:T)</f>
        <v>São leopoldo</v>
      </c>
    </row>
    <row r="21" spans="1:4" x14ac:dyDescent="0.3">
      <c r="A21">
        <v>20</v>
      </c>
      <c r="B21" s="235">
        <f ca="1">IFERROR(LARGE(Pareto!W:W,A21)," ")</f>
        <v>12941.975333084476</v>
      </c>
      <c r="C21" t="str">
        <f ca="1">_xlfn.XLOOKUP(B21,Pareto!W:W,Pareto!S:S)</f>
        <v>31 - Comunização da chapa CHQ0475ED12502650</v>
      </c>
      <c r="D21" t="str">
        <f ca="1">_xlfn.XLOOKUP(C21,Pareto!S:S,Pareto!T:T)</f>
        <v>Diadema</v>
      </c>
    </row>
    <row r="22" spans="1:4" x14ac:dyDescent="0.3">
      <c r="A22">
        <v>21</v>
      </c>
      <c r="B22" s="235">
        <f ca="1">IFERROR(LARGE(Pareto!W:W,A22)," ")</f>
        <v>12885.189999999999</v>
      </c>
      <c r="C22" t="str">
        <f ca="1">_xlfn.XLOOKUP(B22,Pareto!W:W,Pareto!S:S)</f>
        <v>16 - Eficiência de MO na linha de Solda e Montagem</v>
      </c>
      <c r="D22" t="str">
        <f ca="1">_xlfn.XLOOKUP(C22,Pareto!S:S,Pareto!T:T)</f>
        <v>Diadema</v>
      </c>
    </row>
    <row r="23" spans="1:4" x14ac:dyDescent="0.3">
      <c r="A23">
        <v>22</v>
      </c>
      <c r="B23" s="235">
        <f ca="1">IFERROR(LARGE(Pareto!W:W,A23)," ")</f>
        <v>11709.248652000004</v>
      </c>
      <c r="C23" t="str">
        <f ca="1">_xlfn.XLOOKUP(B23,Pareto!W:W,Pareto!S:S)</f>
        <v>41 - Redução de Peso Bruto do item SV001141LA</v>
      </c>
      <c r="D23" t="str">
        <f ca="1">_xlfn.XLOOKUP(C23,Pareto!S:S,Pareto!T:T)</f>
        <v>Diadema</v>
      </c>
    </row>
    <row r="24" spans="1:4" x14ac:dyDescent="0.3">
      <c r="A24">
        <v>23</v>
      </c>
      <c r="B24" s="235">
        <f ca="1">IFERROR(LARGE(Pareto!W:W,A24)," ")</f>
        <v>11657.127242149531</v>
      </c>
      <c r="C24" t="str">
        <f ca="1">_xlfn.XLOOKUP(B24,Pareto!W:W,Pareto!S:S)</f>
        <v>21 - Kaizen_Redução de peso bruto MB003537LA_MB003538LA</v>
      </c>
      <c r="D24" t="str">
        <f ca="1">_xlfn.XLOOKUP(C24,Pareto!S:S,Pareto!T:T)</f>
        <v>Diadema</v>
      </c>
    </row>
    <row r="25" spans="1:4" x14ac:dyDescent="0.3">
      <c r="A25">
        <v>24</v>
      </c>
      <c r="B25" s="235">
        <f ca="1">IFERROR(LARGE(Pareto!W:W,A25)," ")</f>
        <v>10777.72075764</v>
      </c>
      <c r="C25" t="str">
        <f ca="1">_xlfn.XLOOKUP(B25,Pareto!W:W,Pareto!S:S)</f>
        <v>Redução MP Viga Banana</v>
      </c>
      <c r="D25" t="str">
        <f ca="1">_xlfn.XLOOKUP(C25,Pareto!S:S,Pareto!T:T)</f>
        <v>Compras</v>
      </c>
    </row>
    <row r="26" spans="1:4" x14ac:dyDescent="0.3">
      <c r="A26">
        <v>25</v>
      </c>
      <c r="B26" s="235">
        <f ca="1">IFERROR(LARGE(Pareto!W:W,A26)," ")</f>
        <v>10556.62921579276</v>
      </c>
      <c r="C26" t="str">
        <f ca="1">_xlfn.XLOOKUP(B26,Pareto!W:W,Pareto!S:S)</f>
        <v>17 - MB003537LB_MB003538LB</v>
      </c>
      <c r="D26" t="str">
        <f ca="1">_xlfn.XLOOKUP(C26,Pareto!S:S,Pareto!T:T)</f>
        <v>Diadema</v>
      </c>
    </row>
    <row r="27" spans="1:4" x14ac:dyDescent="0.3">
      <c r="A27">
        <v>26</v>
      </c>
      <c r="B27" s="235">
        <f ca="1">IFERROR(LARGE(Pareto!W:W,A27)," ")</f>
        <v>9965.119999999999</v>
      </c>
      <c r="C27" t="str">
        <f ca="1">_xlfn.XLOOKUP(B27,Pareto!W:W,Pareto!S:S)</f>
        <v>15- Redução do custo mensal de empilhadeira locada (LOCAPEX).</v>
      </c>
      <c r="D27" t="str">
        <f ca="1">_xlfn.XLOOKUP(C27,Pareto!S:S,Pareto!T:T)</f>
        <v>São leopoldo</v>
      </c>
    </row>
    <row r="28" spans="1:4" x14ac:dyDescent="0.3">
      <c r="A28">
        <v>27</v>
      </c>
      <c r="B28" s="235">
        <f ca="1">IFERROR(LARGE(Pareto!W:W,A28)," ")</f>
        <v>9869.07</v>
      </c>
      <c r="C28" t="str">
        <f ca="1">_xlfn.XLOOKUP(B28,Pareto!W:W,Pareto!S:S)</f>
        <v>Mudança de Modalidade Gerador Anchieta</v>
      </c>
      <c r="D28" t="str">
        <f ca="1">_xlfn.XLOOKUP(C28,Pareto!S:S,Pareto!T:T)</f>
        <v>Compras</v>
      </c>
    </row>
    <row r="29" spans="1:4" x14ac:dyDescent="0.3">
      <c r="A29">
        <v>28</v>
      </c>
      <c r="B29" s="235">
        <f ca="1">IFERROR(LARGE(Pareto!W:W,A29)," ")</f>
        <v>5472</v>
      </c>
      <c r="C29" t="str">
        <f ca="1">_xlfn.XLOOKUP(B29,Pareto!W:W,Pareto!S:S)</f>
        <v>BID tampões pintura Anchieta</v>
      </c>
      <c r="D29" t="str">
        <f ca="1">_xlfn.XLOOKUP(C29,Pareto!S:S,Pareto!T:T)</f>
        <v>Compras</v>
      </c>
    </row>
    <row r="30" spans="1:4" x14ac:dyDescent="0.3">
      <c r="A30">
        <v>29</v>
      </c>
      <c r="B30" s="235">
        <f ca="1">IFERROR(LARGE(Pareto!W:W,A30)," ")</f>
        <v>3901.66</v>
      </c>
      <c r="C30" t="str">
        <f ca="1">_xlfn.XLOOKUP(B30,Pareto!W:W,Pareto!S:S)</f>
        <v>08 - Redução de peso bruto MB002446LA / MB003670LA / MB003671LA</v>
      </c>
      <c r="D30" t="str">
        <f ca="1">_xlfn.XLOOKUP(C30,Pareto!S:S,Pareto!T:T)</f>
        <v>Diadema</v>
      </c>
    </row>
    <row r="31" spans="1:4" x14ac:dyDescent="0.3">
      <c r="A31">
        <v>30</v>
      </c>
      <c r="B31" s="235">
        <f ca="1">IFERROR(LARGE(Pareto!W:W,A31)," ")</f>
        <v>3800.3005510934777</v>
      </c>
      <c r="C31" t="str">
        <f ca="1">_xlfn.XLOOKUP(B31,Pareto!W:W,Pareto!S:S)</f>
        <v>51 - Redução de MP - GM000402Z_403Z_Passo</v>
      </c>
      <c r="D31" t="str">
        <f ca="1">_xlfn.XLOOKUP(C31,Pareto!S:S,Pareto!T:T)</f>
        <v>Diadema</v>
      </c>
    </row>
    <row r="32" spans="1:4" x14ac:dyDescent="0.3">
      <c r="A32">
        <v>31</v>
      </c>
      <c r="B32" s="235">
        <f ca="1">IFERROR(LARGE(Pareto!W:W,A32)," ")</f>
        <v>3607.4251743304703</v>
      </c>
      <c r="C32" t="str">
        <f ca="1">_xlfn.XLOOKUP(B32,Pareto!W:W,Pareto!S:S)</f>
        <v>07 - CONSUMO DE EPI e SERVIÇOS</v>
      </c>
      <c r="D32" t="str">
        <f ca="1">_xlfn.XLOOKUP(C32,Pareto!S:S,Pareto!T:T)</f>
        <v>Anchieta</v>
      </c>
    </row>
    <row r="33" spans="1:4" x14ac:dyDescent="0.3">
      <c r="A33">
        <v>32</v>
      </c>
      <c r="B33" s="235">
        <f ca="1">IFERROR(LARGE(Pareto!W:W,A33)," ")</f>
        <v>3320.9172029923193</v>
      </c>
      <c r="C33" t="str">
        <f ca="1">_xlfn.XLOOKUP(B33,Pareto!W:W,Pareto!S:S)</f>
        <v>35 - Redução de Peso Bruto do item MB003597LA</v>
      </c>
      <c r="D33" t="str">
        <f ca="1">_xlfn.XLOOKUP(C33,Pareto!S:S,Pareto!T:T)</f>
        <v>Diadema</v>
      </c>
    </row>
    <row r="34" spans="1:4" x14ac:dyDescent="0.3">
      <c r="A34">
        <v>33</v>
      </c>
      <c r="B34" s="235">
        <f ca="1">IFERROR(LARGE(Pareto!W:W,A34)," ")</f>
        <v>3320.2090956719312</v>
      </c>
      <c r="C34" t="str">
        <f ca="1">_xlfn.XLOOKUP(B34,Pareto!W:W,Pareto!S:S)</f>
        <v>24 - KAIZEN - Redução de peso bruto_MB002289LA_MB002290LA_Rev00_Bruno Manachini</v>
      </c>
      <c r="D34" t="str">
        <f ca="1">_xlfn.XLOOKUP(C34,Pareto!S:S,Pareto!T:T)</f>
        <v>Diadema</v>
      </c>
    </row>
    <row r="35" spans="1:4" x14ac:dyDescent="0.3">
      <c r="A35">
        <v>34</v>
      </c>
      <c r="B35" s="235">
        <f ca="1">IFERROR(LARGE(Pareto!W:W,A35)," ")</f>
        <v>3093.1713301104164</v>
      </c>
      <c r="C35" t="str">
        <f ca="1">_xlfn.XLOOKUP(B35,Pareto!W:W,Pareto!S:S)</f>
        <v>23 - Redução do consumo de MTP VW000938AB (- 3 mm no passo)</v>
      </c>
      <c r="D35" t="str">
        <f ca="1">_xlfn.XLOOKUP(C35,Pareto!S:S,Pareto!T:T)</f>
        <v>Jarinu</v>
      </c>
    </row>
    <row r="36" spans="1:4" x14ac:dyDescent="0.3">
      <c r="A36">
        <v>35</v>
      </c>
      <c r="B36" s="235">
        <f ca="1">IFERROR(LARGE(Pareto!W:W,A36)," ")</f>
        <v>2773.3036297872013</v>
      </c>
      <c r="C36" t="str">
        <f ca="1">_xlfn.XLOOKUP(B36,Pareto!W:W,Pareto!S:S)</f>
        <v>33 - Redução de Peso Bruto do item MB003610LA</v>
      </c>
      <c r="D36" t="str">
        <f ca="1">_xlfn.XLOOKUP(C36,Pareto!S:S,Pareto!T:T)</f>
        <v>Diadema</v>
      </c>
    </row>
    <row r="37" spans="1:4" x14ac:dyDescent="0.3">
      <c r="A37">
        <v>36</v>
      </c>
      <c r="B37" s="235">
        <f ca="1">IFERROR(LARGE(Pareto!W:W,A37)," ")</f>
        <v>1877.693999999994</v>
      </c>
      <c r="C37" t="str">
        <f ca="1">_xlfn.XLOOKUP(B37,Pareto!W:W,Pareto!S:S)</f>
        <v>25 - KAIZEN - Redução de peso bruto_MB003601LA_Rev00_Bruno Manachini</v>
      </c>
      <c r="D37" t="str">
        <f ca="1">_xlfn.XLOOKUP(C37,Pareto!S:S,Pareto!T:T)</f>
        <v>Diadema</v>
      </c>
    </row>
    <row r="38" spans="1:4" x14ac:dyDescent="0.3">
      <c r="A38">
        <v>37</v>
      </c>
      <c r="B38" s="235">
        <f ca="1">IFERROR(LARGE(Pareto!W:W,A38)," ")</f>
        <v>1630.73404622</v>
      </c>
      <c r="C38" t="str">
        <f ca="1">_xlfn.XLOOKUP(B38,Pareto!W:W,Pareto!S:S)</f>
        <v>38 - Redução de Peso Bruto do item SV000205LB</v>
      </c>
      <c r="D38" t="str">
        <f ca="1">_xlfn.XLOOKUP(C38,Pareto!S:S,Pareto!T:T)</f>
        <v>Diadema</v>
      </c>
    </row>
    <row r="39" spans="1:4" x14ac:dyDescent="0.3">
      <c r="A39">
        <v>38</v>
      </c>
      <c r="B39" s="235">
        <f ca="1">IFERROR(LARGE(Pareto!W:W,A39)," ")</f>
        <v>544.5</v>
      </c>
      <c r="C39" t="str">
        <f ca="1">_xlfn.XLOOKUP(B39,Pareto!W:W,Pareto!S:S)</f>
        <v>Troca fornecedor decapagem gancheiras Ferraz</v>
      </c>
      <c r="D39" t="str">
        <f ca="1">_xlfn.XLOOKUP(C39,Pareto!S:S,Pareto!T:T)</f>
        <v>Compras</v>
      </c>
    </row>
    <row r="40" spans="1:4" x14ac:dyDescent="0.3">
      <c r="A40">
        <v>39</v>
      </c>
      <c r="B40" s="235">
        <f ca="1">IFERROR(LARGE(Pareto!W:W,A40)," ")</f>
        <v>204</v>
      </c>
      <c r="C40" t="str">
        <f ca="1">_xlfn.XLOOKUP(B40,Pareto!W:W,Pareto!S:S)</f>
        <v>31 - Redução impressora Backup</v>
      </c>
      <c r="D40" t="str">
        <f ca="1">_xlfn.XLOOKUP(C40,Pareto!S:S,Pareto!T:T)</f>
        <v>Jarinu</v>
      </c>
    </row>
    <row r="41" spans="1:4" x14ac:dyDescent="0.3">
      <c r="A41">
        <v>40</v>
      </c>
      <c r="B41" s="235">
        <f ca="1">IFERROR(LARGE(Pareto!W:W,A41)," ")</f>
        <v>0</v>
      </c>
      <c r="C41" t="str">
        <f ca="1">_xlfn.XLOOKUP(B41,Pareto!W:W,Pareto!S:S)</f>
        <v>15 - Kaizem - Botões BI - MANUAL</v>
      </c>
      <c r="D41" t="str">
        <f ca="1">_xlfn.XLOOKUP(C41,Pareto!S:S,Pareto!T:T)</f>
        <v>Diadema</v>
      </c>
    </row>
    <row r="42" spans="1:4" x14ac:dyDescent="0.3">
      <c r="A42">
        <v>41</v>
      </c>
      <c r="B42" s="235">
        <f ca="1">IFERROR(LARGE(Pareto!W:W,A42)," ")</f>
        <v>0</v>
      </c>
      <c r="C42" t="str">
        <f ca="1">_xlfn.XLOOKUP(B42,Pareto!W:W,Pareto!S:S)</f>
        <v>15 - Kaizem - Botões BI - MANUAL</v>
      </c>
      <c r="D42" t="str">
        <f ca="1">_xlfn.XLOOKUP(C42,Pareto!S:S,Pareto!T:T)</f>
        <v>Diadema</v>
      </c>
    </row>
    <row r="43" spans="1:4" x14ac:dyDescent="0.3">
      <c r="A43">
        <v>42</v>
      </c>
      <c r="B43" s="235">
        <f ca="1">IFERROR(LARGE(Pareto!W:W,A43)," ")</f>
        <v>0</v>
      </c>
      <c r="C43" t="str">
        <f ca="1">_xlfn.XLOOKUP(B43,Pareto!W:W,Pareto!S:S)</f>
        <v>15 - Kaizem - Botões BI - MANUAL</v>
      </c>
      <c r="D43" t="str">
        <f ca="1">_xlfn.XLOOKUP(C43,Pareto!S:S,Pareto!T:T)</f>
        <v>Diadema</v>
      </c>
    </row>
    <row r="44" spans="1:4" x14ac:dyDescent="0.3">
      <c r="A44">
        <v>43</v>
      </c>
      <c r="B44" s="235">
        <f ca="1">IFERROR(LARGE(Pareto!W:W,A44)," ")</f>
        <v>0</v>
      </c>
      <c r="C44" t="str">
        <f ca="1">_xlfn.XLOOKUP(B44,Pareto!W:W,Pareto!S:S)</f>
        <v>15 - Kaizem - Botões BI - MANUAL</v>
      </c>
      <c r="D44" t="str">
        <f ca="1">_xlfn.XLOOKUP(C44,Pareto!S:S,Pareto!T:T)</f>
        <v>Diadema</v>
      </c>
    </row>
    <row r="45" spans="1:4" x14ac:dyDescent="0.3">
      <c r="A45">
        <v>44</v>
      </c>
      <c r="B45" s="235">
        <f ca="1">IFERROR(LARGE(Pareto!W:W,A45)," ")</f>
        <v>0</v>
      </c>
      <c r="C45" t="str">
        <f ca="1">_xlfn.XLOOKUP(B45,Pareto!W:W,Pareto!S:S)</f>
        <v>15 - Kaizem - Botões BI - MANUAL</v>
      </c>
      <c r="D45" t="str">
        <f ca="1">_xlfn.XLOOKUP(C45,Pareto!S:S,Pareto!T:T)</f>
        <v>Diadema</v>
      </c>
    </row>
    <row r="46" spans="1:4" x14ac:dyDescent="0.3">
      <c r="A46">
        <v>45</v>
      </c>
      <c r="B46" s="235">
        <f ca="1">IFERROR(LARGE(Pareto!W:W,A46)," ")</f>
        <v>0</v>
      </c>
      <c r="C46" t="str">
        <f ca="1">_xlfn.XLOOKUP(B46,Pareto!W:W,Pareto!S:S)</f>
        <v>15 - Kaizem - Botões BI - MANUAL</v>
      </c>
      <c r="D46" t="str">
        <f ca="1">_xlfn.XLOOKUP(C46,Pareto!S:S,Pareto!T:T)</f>
        <v>Diadema</v>
      </c>
    </row>
    <row r="47" spans="1:4" x14ac:dyDescent="0.3">
      <c r="A47">
        <v>46</v>
      </c>
      <c r="B47" s="235">
        <f ca="1">IFERROR(LARGE(Pareto!W:W,A47)," ")</f>
        <v>0</v>
      </c>
      <c r="C47" t="str">
        <f ca="1">_xlfn.XLOOKUP(B47,Pareto!W:W,Pareto!S:S)</f>
        <v>15 - Kaizem - Botões BI - MANUAL</v>
      </c>
      <c r="D47" t="str">
        <f ca="1">_xlfn.XLOOKUP(C47,Pareto!S:S,Pareto!T:T)</f>
        <v>Diadema</v>
      </c>
    </row>
    <row r="48" spans="1:4" x14ac:dyDescent="0.3">
      <c r="A48">
        <v>47</v>
      </c>
      <c r="B48" s="235">
        <f ca="1">IFERROR(LARGE(Pareto!W:W,A48)," ")</f>
        <v>0</v>
      </c>
      <c r="C48" t="str">
        <f ca="1">_xlfn.XLOOKUP(B48,Pareto!W:W,Pareto!S:S)</f>
        <v>15 - Kaizem - Botões BI - MANUAL</v>
      </c>
      <c r="D48" t="str">
        <f ca="1">_xlfn.XLOOKUP(C48,Pareto!S:S,Pareto!T:T)</f>
        <v>Diadema</v>
      </c>
    </row>
    <row r="49" spans="1:4" x14ac:dyDescent="0.3">
      <c r="A49">
        <v>48</v>
      </c>
      <c r="B49" s="235">
        <f ca="1">IFERROR(LARGE(Pareto!W:W,A49)," ")</f>
        <v>0</v>
      </c>
      <c r="C49" t="str">
        <f ca="1">_xlfn.XLOOKUP(B49,Pareto!W:W,Pareto!S:S)</f>
        <v>15 - Kaizem - Botões BI - MANUAL</v>
      </c>
      <c r="D49" t="str">
        <f ca="1">_xlfn.XLOOKUP(C49,Pareto!S:S,Pareto!T:T)</f>
        <v>Diadema</v>
      </c>
    </row>
    <row r="50" spans="1:4" x14ac:dyDescent="0.3">
      <c r="A50">
        <v>49</v>
      </c>
      <c r="B50" s="235">
        <f ca="1">IFERROR(LARGE(Pareto!W:W,A50)," ")</f>
        <v>0</v>
      </c>
      <c r="C50" t="str">
        <f ca="1">_xlfn.XLOOKUP(B50,Pareto!W:W,Pareto!S:S)</f>
        <v>15 - Kaizem - Botões BI - MANUAL</v>
      </c>
      <c r="D50" t="str">
        <f ca="1">_xlfn.XLOOKUP(C50,Pareto!S:S,Pareto!T:T)</f>
        <v>Diadema</v>
      </c>
    </row>
    <row r="51" spans="1:4" x14ac:dyDescent="0.3">
      <c r="A51">
        <v>50</v>
      </c>
      <c r="B51" s="235">
        <f ca="1">IFERROR(LARGE(Pareto!W:W,A51)," ")</f>
        <v>0</v>
      </c>
      <c r="C51" t="str">
        <f ca="1">_xlfn.XLOOKUP(B51,Pareto!W:W,Pareto!S:S)</f>
        <v>15 - Kaizem - Botões BI - MANUAL</v>
      </c>
      <c r="D51" t="str">
        <f ca="1">_xlfn.XLOOKUP(C51,Pareto!S:S,Pareto!T:T)</f>
        <v>Diadema</v>
      </c>
    </row>
    <row r="52" spans="1:4" x14ac:dyDescent="0.3">
      <c r="A52">
        <v>51</v>
      </c>
      <c r="B52" s="235">
        <f ca="1">IFERROR(LARGE(Pareto!W:W,A52)," ")</f>
        <v>0</v>
      </c>
      <c r="C52" t="str">
        <f ca="1">_xlfn.XLOOKUP(B52,Pareto!W:W,Pareto!S:S)</f>
        <v>15 - Kaizem - Botões BI - MANUAL</v>
      </c>
      <c r="D52" t="str">
        <f ca="1">_xlfn.XLOOKUP(C52,Pareto!S:S,Pareto!T:T)</f>
        <v>Diadema</v>
      </c>
    </row>
    <row r="53" spans="1:4" x14ac:dyDescent="0.3">
      <c r="A53">
        <v>52</v>
      </c>
      <c r="B53" s="235">
        <f ca="1">IFERROR(LARGE(Pareto!W:W,A53)," ")</f>
        <v>0</v>
      </c>
      <c r="C53" t="str">
        <f ca="1">_xlfn.XLOOKUP(B53,Pareto!W:W,Pareto!S:S)</f>
        <v>15 - Kaizem - Botões BI - MANUAL</v>
      </c>
      <c r="D53" t="str">
        <f ca="1">_xlfn.XLOOKUP(C53,Pareto!S:S,Pareto!T:T)</f>
        <v>Diadema</v>
      </c>
    </row>
    <row r="54" spans="1:4" x14ac:dyDescent="0.3">
      <c r="A54">
        <v>53</v>
      </c>
      <c r="B54" s="235">
        <f ca="1">IFERROR(LARGE(Pareto!W:W,A54)," ")</f>
        <v>0</v>
      </c>
      <c r="C54" t="str">
        <f ca="1">_xlfn.XLOOKUP(B54,Pareto!W:W,Pareto!S:S)</f>
        <v>15 - Kaizem - Botões BI - MANUAL</v>
      </c>
      <c r="D54" t="str">
        <f ca="1">_xlfn.XLOOKUP(C54,Pareto!S:S,Pareto!T:T)</f>
        <v>Diadema</v>
      </c>
    </row>
    <row r="55" spans="1:4" x14ac:dyDescent="0.3">
      <c r="A55">
        <v>54</v>
      </c>
      <c r="B55" s="235">
        <f ca="1">IFERROR(LARGE(Pareto!W:W,A55)," ")</f>
        <v>0</v>
      </c>
      <c r="C55" t="str">
        <f ca="1">_xlfn.XLOOKUP(B55,Pareto!W:W,Pareto!S:S)</f>
        <v>15 - Kaizem - Botões BI - MANUAL</v>
      </c>
      <c r="D55" t="str">
        <f ca="1">_xlfn.XLOOKUP(C55,Pareto!S:S,Pareto!T:T)</f>
        <v>Diadema</v>
      </c>
    </row>
    <row r="56" spans="1:4" x14ac:dyDescent="0.3">
      <c r="A56">
        <v>55</v>
      </c>
      <c r="B56" s="235">
        <f ca="1">IFERROR(LARGE(Pareto!W:W,A56)," ")</f>
        <v>0</v>
      </c>
      <c r="C56" t="str">
        <f ca="1">_xlfn.XLOOKUP(B56,Pareto!W:W,Pareto!S:S)</f>
        <v>15 - Kaizem - Botões BI - MANUAL</v>
      </c>
      <c r="D56" t="str">
        <f ca="1">_xlfn.XLOOKUP(C56,Pareto!S:S,Pareto!T:T)</f>
        <v>Diadema</v>
      </c>
    </row>
    <row r="57" spans="1:4" x14ac:dyDescent="0.3">
      <c r="A57">
        <v>56</v>
      </c>
      <c r="B57" s="235">
        <f ca="1">IFERROR(LARGE(Pareto!W:W,A57)," ")</f>
        <v>0</v>
      </c>
      <c r="C57" t="str">
        <f ca="1">_xlfn.XLOOKUP(B57,Pareto!W:W,Pareto!S:S)</f>
        <v>15 - Kaizem - Botões BI - MANUAL</v>
      </c>
      <c r="D57" t="str">
        <f ca="1">_xlfn.XLOOKUP(C57,Pareto!S:S,Pareto!T:T)</f>
        <v>Diadema</v>
      </c>
    </row>
    <row r="58" spans="1:4" x14ac:dyDescent="0.3">
      <c r="A58">
        <v>57</v>
      </c>
      <c r="B58" s="235">
        <f ca="1">IFERROR(LARGE(Pareto!W:W,A58)," ")</f>
        <v>0</v>
      </c>
      <c r="C58" t="str">
        <f ca="1">_xlfn.XLOOKUP(B58,Pareto!W:W,Pareto!S:S)</f>
        <v>15 - Kaizem - Botões BI - MANUAL</v>
      </c>
      <c r="D58" t="str">
        <f ca="1">_xlfn.XLOOKUP(C58,Pareto!S:S,Pareto!T:T)</f>
        <v>Diadema</v>
      </c>
    </row>
    <row r="59" spans="1:4" x14ac:dyDescent="0.3">
      <c r="A59">
        <v>58</v>
      </c>
      <c r="B59" s="235">
        <f ca="1">IFERROR(LARGE(Pareto!W:W,A59)," ")</f>
        <v>0</v>
      </c>
      <c r="C59" t="str">
        <f ca="1">_xlfn.XLOOKUP(B59,Pareto!W:W,Pareto!S:S)</f>
        <v>15 - Kaizem - Botões BI - MANUAL</v>
      </c>
      <c r="D59" t="str">
        <f ca="1">_xlfn.XLOOKUP(C59,Pareto!S:S,Pareto!T:T)</f>
        <v>Diadema</v>
      </c>
    </row>
    <row r="60" spans="1:4" x14ac:dyDescent="0.3">
      <c r="A60">
        <v>59</v>
      </c>
      <c r="B60" s="235">
        <f ca="1">IFERROR(LARGE(Pareto!W:W,A60)," ")</f>
        <v>0</v>
      </c>
      <c r="C60" t="str">
        <f ca="1">_xlfn.XLOOKUP(B60,Pareto!W:W,Pareto!S:S)</f>
        <v>15 - Kaizem - Botões BI - MANUAL</v>
      </c>
      <c r="D60" t="str">
        <f ca="1">_xlfn.XLOOKUP(C60,Pareto!S:S,Pareto!T:T)</f>
        <v>Diadema</v>
      </c>
    </row>
    <row r="61" spans="1:4" x14ac:dyDescent="0.3">
      <c r="A61">
        <v>60</v>
      </c>
      <c r="B61" s="235">
        <f ca="1">IFERROR(LARGE(Pareto!W:W,A61)," ")</f>
        <v>0</v>
      </c>
      <c r="C61" t="str">
        <f ca="1">_xlfn.XLOOKUP(B61,Pareto!W:W,Pareto!S:S)</f>
        <v>15 - Kaizem - Botões BI - MANUAL</v>
      </c>
      <c r="D61" t="str">
        <f ca="1">_xlfn.XLOOKUP(C61,Pareto!S:S,Pareto!T:T)</f>
        <v>Diadema</v>
      </c>
    </row>
    <row r="62" spans="1:4" x14ac:dyDescent="0.3">
      <c r="A62">
        <v>61</v>
      </c>
      <c r="B62" s="235">
        <f ca="1">IFERROR(LARGE(Pareto!W:W,A62)," ")</f>
        <v>0</v>
      </c>
      <c r="C62" t="str">
        <f ca="1">_xlfn.XLOOKUP(B62,Pareto!W:W,Pareto!S:S)</f>
        <v>15 - Kaizem - Botões BI - MANUAL</v>
      </c>
      <c r="D62" t="str">
        <f ca="1">_xlfn.XLOOKUP(C62,Pareto!S:S,Pareto!T:T)</f>
        <v>Diadema</v>
      </c>
    </row>
    <row r="63" spans="1:4" x14ac:dyDescent="0.3">
      <c r="A63">
        <v>62</v>
      </c>
      <c r="B63" s="235">
        <f ca="1">IFERROR(LARGE(Pareto!W:W,A63)," ")</f>
        <v>0</v>
      </c>
      <c r="C63" t="str">
        <f ca="1">_xlfn.XLOOKUP(B63,Pareto!W:W,Pareto!S:S)</f>
        <v>15 - Kaizem - Botões BI - MANUAL</v>
      </c>
      <c r="D63" t="str">
        <f ca="1">_xlfn.XLOOKUP(C63,Pareto!S:S,Pareto!T:T)</f>
        <v>Diadema</v>
      </c>
    </row>
    <row r="64" spans="1:4" x14ac:dyDescent="0.3">
      <c r="A64">
        <v>63</v>
      </c>
      <c r="B64" s="235">
        <f ca="1">IFERROR(LARGE(Pareto!W:W,A64)," ")</f>
        <v>0</v>
      </c>
      <c r="C64" t="str">
        <f ca="1">_xlfn.XLOOKUP(B64,Pareto!W:W,Pareto!S:S)</f>
        <v>15 - Kaizem - Botões BI - MANUAL</v>
      </c>
      <c r="D64" t="str">
        <f ca="1">_xlfn.XLOOKUP(C64,Pareto!S:S,Pareto!T:T)</f>
        <v>Diadema</v>
      </c>
    </row>
    <row r="65" spans="1:4" x14ac:dyDescent="0.3">
      <c r="A65">
        <v>64</v>
      </c>
      <c r="B65" s="235">
        <f ca="1">IFERROR(LARGE(Pareto!W:W,A65)," ")</f>
        <v>0</v>
      </c>
      <c r="C65" t="str">
        <f ca="1">_xlfn.XLOOKUP(B65,Pareto!W:W,Pareto!S:S)</f>
        <v>15 - Kaizem - Botões BI - MANUAL</v>
      </c>
      <c r="D65" t="str">
        <f ca="1">_xlfn.XLOOKUP(C65,Pareto!S:S,Pareto!T:T)</f>
        <v>Diadema</v>
      </c>
    </row>
    <row r="66" spans="1:4" x14ac:dyDescent="0.3">
      <c r="A66">
        <v>65</v>
      </c>
      <c r="B66" s="235">
        <f ca="1">IFERROR(LARGE(Pareto!W:W,A66)," ")</f>
        <v>0</v>
      </c>
      <c r="C66" t="str">
        <f ca="1">_xlfn.XLOOKUP(B66,Pareto!W:W,Pareto!S:S)</f>
        <v>15 - Kaizem - Botões BI - MANUAL</v>
      </c>
      <c r="D66" t="str">
        <f ca="1">_xlfn.XLOOKUP(C66,Pareto!S:S,Pareto!T:T)</f>
        <v>Diadema</v>
      </c>
    </row>
    <row r="67" spans="1:4" x14ac:dyDescent="0.3">
      <c r="A67">
        <v>66</v>
      </c>
      <c r="B67" s="235">
        <f ca="1">IFERROR(LARGE(Pareto!W:W,A67)," ")</f>
        <v>0</v>
      </c>
      <c r="C67" t="str">
        <f ca="1">_xlfn.XLOOKUP(B67,Pareto!W:W,Pareto!S:S)</f>
        <v>15 - Kaizem - Botões BI - MANUAL</v>
      </c>
      <c r="D67" t="str">
        <f ca="1">_xlfn.XLOOKUP(C67,Pareto!S:S,Pareto!T:T)</f>
        <v>Diadema</v>
      </c>
    </row>
    <row r="68" spans="1:4" x14ac:dyDescent="0.3">
      <c r="A68">
        <v>67</v>
      </c>
      <c r="B68" s="235">
        <f ca="1">IFERROR(LARGE(Pareto!W:W,A68)," ")</f>
        <v>0</v>
      </c>
      <c r="C68" t="str">
        <f ca="1">_xlfn.XLOOKUP(B68,Pareto!W:W,Pareto!S:S)</f>
        <v>15 - Kaizem - Botões BI - MANUAL</v>
      </c>
      <c r="D68" t="str">
        <f ca="1">_xlfn.XLOOKUP(C68,Pareto!S:S,Pareto!T:T)</f>
        <v>Diadema</v>
      </c>
    </row>
    <row r="69" spans="1:4" x14ac:dyDescent="0.3">
      <c r="A69">
        <v>68</v>
      </c>
      <c r="B69" s="235">
        <f ca="1">IFERROR(LARGE(Pareto!W:W,A69)," ")</f>
        <v>0</v>
      </c>
      <c r="C69" t="str">
        <f ca="1">_xlfn.XLOOKUP(B69,Pareto!W:W,Pareto!S:S)</f>
        <v>15 - Kaizem - Botões BI - MANUAL</v>
      </c>
      <c r="D69" t="str">
        <f ca="1">_xlfn.XLOOKUP(C69,Pareto!S:S,Pareto!T:T)</f>
        <v>Diadema</v>
      </c>
    </row>
    <row r="70" spans="1:4" x14ac:dyDescent="0.3">
      <c r="A70">
        <v>69</v>
      </c>
      <c r="B70" s="235">
        <f ca="1">IFERROR(LARGE(Pareto!W:W,A70)," ")</f>
        <v>0</v>
      </c>
      <c r="C70" t="str">
        <f ca="1">_xlfn.XLOOKUP(B70,Pareto!W:W,Pareto!S:S)</f>
        <v>15 - Kaizem - Botões BI - MANUAL</v>
      </c>
      <c r="D70" t="str">
        <f ca="1">_xlfn.XLOOKUP(C70,Pareto!S:S,Pareto!T:T)</f>
        <v>Diadema</v>
      </c>
    </row>
    <row r="71" spans="1:4" x14ac:dyDescent="0.3">
      <c r="A71">
        <v>70</v>
      </c>
      <c r="B71" s="235">
        <f ca="1">IFERROR(LARGE(Pareto!W:W,A71)," ")</f>
        <v>0</v>
      </c>
      <c r="C71" t="str">
        <f ca="1">_xlfn.XLOOKUP(B71,Pareto!W:W,Pareto!S:S)</f>
        <v>15 - Kaizem - Botões BI - MANUAL</v>
      </c>
      <c r="D71" t="str">
        <f ca="1">_xlfn.XLOOKUP(C71,Pareto!S:S,Pareto!T:T)</f>
        <v>Diadema</v>
      </c>
    </row>
    <row r="72" spans="1:4" x14ac:dyDescent="0.3">
      <c r="A72">
        <v>71</v>
      </c>
      <c r="B72" s="235">
        <f ca="1">IFERROR(LARGE(Pareto!W:W,A72)," ")</f>
        <v>0</v>
      </c>
      <c r="C72" t="str">
        <f ca="1">_xlfn.XLOOKUP(B72,Pareto!W:W,Pareto!S:S)</f>
        <v>15 - Kaizem - Botões BI - MANUAL</v>
      </c>
      <c r="D72" t="str">
        <f ca="1">_xlfn.XLOOKUP(C72,Pareto!S:S,Pareto!T:T)</f>
        <v>Diadema</v>
      </c>
    </row>
    <row r="73" spans="1:4" x14ac:dyDescent="0.3">
      <c r="A73">
        <v>72</v>
      </c>
      <c r="B73" s="235">
        <f ca="1">IFERROR(LARGE(Pareto!W:W,A73)," ")</f>
        <v>0</v>
      </c>
      <c r="C73" t="str">
        <f ca="1">_xlfn.XLOOKUP(B73,Pareto!W:W,Pareto!S:S)</f>
        <v>15 - Kaizem - Botões BI - MANUAL</v>
      </c>
      <c r="D73" t="str">
        <f ca="1">_xlfn.XLOOKUP(C73,Pareto!S:S,Pareto!T:T)</f>
        <v>Diadema</v>
      </c>
    </row>
    <row r="74" spans="1:4" x14ac:dyDescent="0.3">
      <c r="A74">
        <v>73</v>
      </c>
      <c r="B74" s="235">
        <f ca="1">IFERROR(LARGE(Pareto!W:W,A74)," ")</f>
        <v>0</v>
      </c>
      <c r="C74" t="str">
        <f ca="1">_xlfn.XLOOKUP(B74,Pareto!W:W,Pareto!S:S)</f>
        <v>15 - Kaizem - Botões BI - MANUAL</v>
      </c>
      <c r="D74" t="str">
        <f ca="1">_xlfn.XLOOKUP(C74,Pareto!S:S,Pareto!T:T)</f>
        <v>Diadema</v>
      </c>
    </row>
    <row r="75" spans="1:4" x14ac:dyDescent="0.3">
      <c r="A75">
        <v>74</v>
      </c>
      <c r="B75" s="235">
        <f ca="1">IFERROR(LARGE(Pareto!W:W,A75)," ")</f>
        <v>0</v>
      </c>
      <c r="C75" t="str">
        <f ca="1">_xlfn.XLOOKUP(B75,Pareto!W:W,Pareto!S:S)</f>
        <v>15 - Kaizem - Botões BI - MANUAL</v>
      </c>
      <c r="D75" t="str">
        <f ca="1">_xlfn.XLOOKUP(C75,Pareto!S:S,Pareto!T:T)</f>
        <v>Diadema</v>
      </c>
    </row>
    <row r="76" spans="1:4" x14ac:dyDescent="0.3">
      <c r="A76">
        <v>75</v>
      </c>
      <c r="B76" s="235">
        <f ca="1">IFERROR(LARGE(Pareto!W:W,A76)," ")</f>
        <v>0</v>
      </c>
      <c r="C76" t="str">
        <f ca="1">_xlfn.XLOOKUP(B76,Pareto!W:W,Pareto!S:S)</f>
        <v>15 - Kaizem - Botões BI - MANUAL</v>
      </c>
      <c r="D76" t="str">
        <f ca="1">_xlfn.XLOOKUP(C76,Pareto!S:S,Pareto!T:T)</f>
        <v>Diadema</v>
      </c>
    </row>
    <row r="77" spans="1:4" x14ac:dyDescent="0.3">
      <c r="A77">
        <v>76</v>
      </c>
      <c r="B77" s="235">
        <f ca="1">IFERROR(LARGE(Pareto!W:W,A77)," ")</f>
        <v>0</v>
      </c>
      <c r="C77" t="str">
        <f ca="1">_xlfn.XLOOKUP(B77,Pareto!W:W,Pareto!S:S)</f>
        <v>15 - Kaizem - Botões BI - MANUAL</v>
      </c>
      <c r="D77" t="str">
        <f ca="1">_xlfn.XLOOKUP(C77,Pareto!S:S,Pareto!T:T)</f>
        <v>Diadema</v>
      </c>
    </row>
    <row r="78" spans="1:4" x14ac:dyDescent="0.3">
      <c r="A78">
        <v>77</v>
      </c>
      <c r="B78" s="235">
        <f ca="1">IFERROR(LARGE(Pareto!W:W,A78)," ")</f>
        <v>-2790.25</v>
      </c>
      <c r="C78" t="str">
        <f ca="1">_xlfn.XLOOKUP(B78,Pareto!W:W,Pareto!S:S)</f>
        <v>04 - GÁS</v>
      </c>
      <c r="D78" t="str">
        <f ca="1">_xlfn.XLOOKUP(C78,Pareto!S:S,Pareto!T:T)</f>
        <v>Anchieta</v>
      </c>
    </row>
    <row r="79" spans="1:4" x14ac:dyDescent="0.3">
      <c r="A79">
        <v>78</v>
      </c>
      <c r="B79" s="235">
        <f ca="1">IFERROR(LARGE(Pareto!W:W,A79)," ")</f>
        <v>-2886.64</v>
      </c>
      <c r="C79" t="str">
        <f ca="1">_xlfn.XLOOKUP(B79,Pareto!W:W,Pareto!S:S)</f>
        <v>10 - CONSUMO PERNA DE MOÇA</v>
      </c>
      <c r="D79" t="str">
        <f ca="1">_xlfn.XLOOKUP(C79,Pareto!S:S,Pareto!T:T)</f>
        <v>Anchieta</v>
      </c>
    </row>
    <row r="80" spans="1:4" x14ac:dyDescent="0.3">
      <c r="A80">
        <v>79</v>
      </c>
      <c r="B80" s="235">
        <f ca="1">IFERROR(LARGE(Pareto!W:W,A80)," ")</f>
        <v>-31423.7</v>
      </c>
      <c r="C80" t="str">
        <f ca="1">_xlfn.XLOOKUP(B80,Pareto!W:W,Pareto!S:S)</f>
        <v>06 - Produtividade</v>
      </c>
      <c r="D80" t="str">
        <f ca="1">_xlfn.XLOOKUP(C80,Pareto!S:S,Pareto!T:T)</f>
        <v>Diadema</v>
      </c>
    </row>
    <row r="81" spans="1:4" x14ac:dyDescent="0.3">
      <c r="A81">
        <v>80</v>
      </c>
      <c r="B81" s="235" t="str">
        <f ca="1">IFERROR(LARGE(Pareto!W:W,A81)," ")</f>
        <v xml:space="preserve"> </v>
      </c>
      <c r="C81" t="e">
        <f ca="1">_xlfn.XLOOKUP(B81,Pareto!W:W,Pareto!S:S)</f>
        <v>#N/A</v>
      </c>
      <c r="D81" t="e">
        <f ca="1">_xlfn.XLOOKUP(C81,Pareto!S:S,Pareto!T:T)</f>
        <v>#N/A</v>
      </c>
    </row>
    <row r="82" spans="1:4" x14ac:dyDescent="0.3">
      <c r="A82">
        <v>81</v>
      </c>
      <c r="B82" s="235" t="str">
        <f ca="1">IFERROR(LARGE(Pareto!W:W,A82)," ")</f>
        <v xml:space="preserve"> </v>
      </c>
      <c r="C82" t="e">
        <f ca="1">_xlfn.XLOOKUP(B82,Pareto!W:W,Pareto!S:S)</f>
        <v>#N/A</v>
      </c>
      <c r="D82" t="e">
        <f ca="1">_xlfn.XLOOKUP(C82,Pareto!S:S,Pareto!T:T)</f>
        <v>#N/A</v>
      </c>
    </row>
    <row r="83" spans="1:4" x14ac:dyDescent="0.3">
      <c r="A83">
        <v>82</v>
      </c>
      <c r="B83" s="235" t="str">
        <f ca="1">IFERROR(LARGE(Pareto!W:W,A83)," ")</f>
        <v xml:space="preserve"> </v>
      </c>
      <c r="C83" t="e">
        <f ca="1">_xlfn.XLOOKUP(B83,Pareto!W:W,Pareto!S:S)</f>
        <v>#N/A</v>
      </c>
      <c r="D83" t="e">
        <f ca="1">_xlfn.XLOOKUP(C83,Pareto!S:S,Pareto!T:T)</f>
        <v>#N/A</v>
      </c>
    </row>
    <row r="84" spans="1:4" x14ac:dyDescent="0.3">
      <c r="A84">
        <v>83</v>
      </c>
      <c r="B84" s="235" t="str">
        <f ca="1">IFERROR(LARGE(Pareto!W:W,A84)," ")</f>
        <v xml:space="preserve"> </v>
      </c>
      <c r="C84" t="e">
        <f ca="1">_xlfn.XLOOKUP(B84,Pareto!W:W,Pareto!S:S)</f>
        <v>#N/A</v>
      </c>
      <c r="D84" t="e">
        <f ca="1">_xlfn.XLOOKUP(C84,Pareto!S:S,Pareto!T:T)</f>
        <v>#N/A</v>
      </c>
    </row>
    <row r="85" spans="1:4" x14ac:dyDescent="0.3">
      <c r="A85">
        <v>84</v>
      </c>
      <c r="B85" s="235" t="str">
        <f ca="1">IFERROR(LARGE(Pareto!W:W,A85)," ")</f>
        <v xml:space="preserve"> </v>
      </c>
      <c r="C85" t="e">
        <f ca="1">_xlfn.XLOOKUP(B85,Pareto!W:W,Pareto!S:S)</f>
        <v>#N/A</v>
      </c>
      <c r="D85" t="e">
        <f ca="1">_xlfn.XLOOKUP(C85,Pareto!S:S,Pareto!T:T)</f>
        <v>#N/A</v>
      </c>
    </row>
    <row r="86" spans="1:4" x14ac:dyDescent="0.3">
      <c r="A86">
        <v>85</v>
      </c>
      <c r="B86" s="235" t="str">
        <f ca="1">IFERROR(LARGE(Pareto!W:W,A86)," ")</f>
        <v xml:space="preserve"> </v>
      </c>
      <c r="C86" t="e">
        <f ca="1">_xlfn.XLOOKUP(B86,Pareto!W:W,Pareto!S:S)</f>
        <v>#N/A</v>
      </c>
      <c r="D86" t="e">
        <f ca="1">_xlfn.XLOOKUP(C86,Pareto!S:S,Pareto!T:T)</f>
        <v>#N/A</v>
      </c>
    </row>
    <row r="87" spans="1:4" x14ac:dyDescent="0.3">
      <c r="A87">
        <v>86</v>
      </c>
      <c r="B87" s="235" t="str">
        <f ca="1">IFERROR(LARGE(Pareto!W:W,A87)," ")</f>
        <v xml:space="preserve"> </v>
      </c>
      <c r="C87" t="e">
        <f ca="1">_xlfn.XLOOKUP(B87,Pareto!W:W,Pareto!S:S)</f>
        <v>#N/A</v>
      </c>
      <c r="D87" t="e">
        <f ca="1">_xlfn.XLOOKUP(C87,Pareto!S:S,Pareto!T:T)</f>
        <v>#N/A</v>
      </c>
    </row>
    <row r="88" spans="1:4" x14ac:dyDescent="0.3">
      <c r="A88">
        <v>87</v>
      </c>
      <c r="B88" s="235" t="str">
        <f ca="1">IFERROR(LARGE(Pareto!W:W,A88)," ")</f>
        <v xml:space="preserve"> </v>
      </c>
      <c r="C88" t="e">
        <f ca="1">_xlfn.XLOOKUP(B88,Pareto!W:W,Pareto!S:S)</f>
        <v>#N/A</v>
      </c>
      <c r="D88" t="e">
        <f ca="1">_xlfn.XLOOKUP(C88,Pareto!S:S,Pareto!T:T)</f>
        <v>#N/A</v>
      </c>
    </row>
    <row r="89" spans="1:4" x14ac:dyDescent="0.3">
      <c r="A89">
        <v>88</v>
      </c>
      <c r="B89" s="235" t="str">
        <f ca="1">IFERROR(LARGE(Pareto!W:W,A89)," ")</f>
        <v xml:space="preserve"> </v>
      </c>
      <c r="C89" t="e">
        <f ca="1">_xlfn.XLOOKUP(B89,Pareto!W:W,Pareto!S:S)</f>
        <v>#N/A</v>
      </c>
      <c r="D89" t="e">
        <f ca="1">_xlfn.XLOOKUP(C89,Pareto!S:S,Pareto!T:T)</f>
        <v>#N/A</v>
      </c>
    </row>
    <row r="90" spans="1:4" x14ac:dyDescent="0.3">
      <c r="A90">
        <v>89</v>
      </c>
      <c r="B90" s="235" t="str">
        <f ca="1">IFERROR(LARGE(Pareto!W:W,A90)," ")</f>
        <v xml:space="preserve"> </v>
      </c>
      <c r="C90" t="e">
        <f ca="1">_xlfn.XLOOKUP(B90,Pareto!W:W,Pareto!S:S)</f>
        <v>#N/A</v>
      </c>
      <c r="D90" t="e">
        <f ca="1">_xlfn.XLOOKUP(C90,Pareto!S:S,Pareto!T:T)</f>
        <v>#N/A</v>
      </c>
    </row>
    <row r="91" spans="1:4" x14ac:dyDescent="0.3">
      <c r="A91">
        <v>90</v>
      </c>
      <c r="B91" s="235" t="str">
        <f ca="1">IFERROR(LARGE(Pareto!W:W,A91)," ")</f>
        <v xml:space="preserve"> </v>
      </c>
      <c r="C91" t="e">
        <f ca="1">_xlfn.XLOOKUP(B91,Pareto!W:W,Pareto!S:S)</f>
        <v>#N/A</v>
      </c>
      <c r="D91" t="e">
        <f ca="1">_xlfn.XLOOKUP(C91,Pareto!S:S,Pareto!T:T)</f>
        <v>#N/A</v>
      </c>
    </row>
    <row r="92" spans="1:4" x14ac:dyDescent="0.3">
      <c r="A92">
        <v>91</v>
      </c>
      <c r="B92" s="235" t="str">
        <f ca="1">IFERROR(LARGE(Pareto!W:W,A92)," ")</f>
        <v xml:space="preserve"> </v>
      </c>
      <c r="C92" t="e">
        <f ca="1">_xlfn.XLOOKUP(B92,Pareto!W:W,Pareto!S:S)</f>
        <v>#N/A</v>
      </c>
      <c r="D92" t="e">
        <f ca="1">_xlfn.XLOOKUP(C92,Pareto!S:S,Pareto!T:T)</f>
        <v>#N/A</v>
      </c>
    </row>
    <row r="93" spans="1:4" x14ac:dyDescent="0.3">
      <c r="A93">
        <v>92</v>
      </c>
      <c r="B93" s="235" t="str">
        <f ca="1">IFERROR(LARGE(Pareto!W:W,A93)," ")</f>
        <v xml:space="preserve"> </v>
      </c>
      <c r="C93" t="e">
        <f ca="1">_xlfn.XLOOKUP(B93,Pareto!W:W,Pareto!S:S)</f>
        <v>#N/A</v>
      </c>
      <c r="D93" t="e">
        <f ca="1">_xlfn.XLOOKUP(C93,Pareto!S:S,Pareto!T:T)</f>
        <v>#N/A</v>
      </c>
    </row>
    <row r="94" spans="1:4" x14ac:dyDescent="0.3">
      <c r="A94">
        <v>93</v>
      </c>
      <c r="B94" s="235" t="str">
        <f ca="1">IFERROR(LARGE(Pareto!W:W,A94)," ")</f>
        <v xml:space="preserve"> </v>
      </c>
      <c r="C94" t="e">
        <f ca="1">_xlfn.XLOOKUP(B94,Pareto!W:W,Pareto!S:S)</f>
        <v>#N/A</v>
      </c>
      <c r="D94" t="e">
        <f ca="1">_xlfn.XLOOKUP(C94,Pareto!S:S,Pareto!T:T)</f>
        <v>#N/A</v>
      </c>
    </row>
    <row r="95" spans="1:4" x14ac:dyDescent="0.3">
      <c r="A95">
        <v>94</v>
      </c>
      <c r="B95" s="235" t="str">
        <f ca="1">IFERROR(LARGE(Pareto!W:W,A95)," ")</f>
        <v xml:space="preserve"> </v>
      </c>
      <c r="C95" t="e">
        <f ca="1">_xlfn.XLOOKUP(B95,Pareto!W:W,Pareto!S:S)</f>
        <v>#N/A</v>
      </c>
      <c r="D95" t="e">
        <f ca="1">_xlfn.XLOOKUP(C95,Pareto!S:S,Pareto!T:T)</f>
        <v>#N/A</v>
      </c>
    </row>
    <row r="96" spans="1:4" x14ac:dyDescent="0.3">
      <c r="A96">
        <v>95</v>
      </c>
      <c r="B96" s="235" t="str">
        <f ca="1">IFERROR(LARGE(Pareto!W:W,A96)," ")</f>
        <v xml:space="preserve"> </v>
      </c>
      <c r="C96" t="e">
        <f ca="1">_xlfn.XLOOKUP(B96,Pareto!W:W,Pareto!S:S)</f>
        <v>#N/A</v>
      </c>
      <c r="D96" t="e">
        <f ca="1">_xlfn.XLOOKUP(C96,Pareto!S:S,Pareto!T:T)</f>
        <v>#N/A</v>
      </c>
    </row>
    <row r="97" spans="1:4" x14ac:dyDescent="0.3">
      <c r="A97">
        <v>96</v>
      </c>
      <c r="B97" s="235" t="str">
        <f ca="1">IFERROR(LARGE(Pareto!W:W,A97)," ")</f>
        <v xml:space="preserve"> </v>
      </c>
      <c r="C97" t="e">
        <f ca="1">_xlfn.XLOOKUP(B97,Pareto!W:W,Pareto!S:S)</f>
        <v>#N/A</v>
      </c>
      <c r="D97" t="e">
        <f ca="1">_xlfn.XLOOKUP(C97,Pareto!S:S,Pareto!T:T)</f>
        <v>#N/A</v>
      </c>
    </row>
    <row r="98" spans="1:4" x14ac:dyDescent="0.3">
      <c r="A98">
        <v>97</v>
      </c>
      <c r="B98" s="235" t="str">
        <f ca="1">IFERROR(LARGE(Pareto!W:W,A98)," ")</f>
        <v xml:space="preserve"> </v>
      </c>
      <c r="C98" t="e">
        <f ca="1">_xlfn.XLOOKUP(B98,Pareto!W:W,Pareto!S:S)</f>
        <v>#N/A</v>
      </c>
      <c r="D98" t="e">
        <f ca="1">_xlfn.XLOOKUP(C98,Pareto!S:S,Pareto!T:T)</f>
        <v>#N/A</v>
      </c>
    </row>
    <row r="99" spans="1:4" x14ac:dyDescent="0.3">
      <c r="A99">
        <v>98</v>
      </c>
      <c r="B99" s="235" t="str">
        <f ca="1">IFERROR(LARGE(Pareto!W:W,A99)," ")</f>
        <v xml:space="preserve"> </v>
      </c>
      <c r="C99" t="e">
        <f ca="1">_xlfn.XLOOKUP(B99,Pareto!W:W,Pareto!S:S)</f>
        <v>#N/A</v>
      </c>
      <c r="D99" t="e">
        <f ca="1">_xlfn.XLOOKUP(C99,Pareto!S:S,Pareto!T:T)</f>
        <v>#N/A</v>
      </c>
    </row>
    <row r="100" spans="1:4" x14ac:dyDescent="0.3">
      <c r="A100">
        <v>99</v>
      </c>
      <c r="B100" s="235" t="str">
        <f ca="1">IFERROR(LARGE(Pareto!W:W,A100)," ")</f>
        <v xml:space="preserve"> </v>
      </c>
      <c r="C100" t="e">
        <f ca="1">_xlfn.XLOOKUP(B100,Pareto!W:W,Pareto!S:S)</f>
        <v>#N/A</v>
      </c>
      <c r="D100" t="e">
        <f ca="1">_xlfn.XLOOKUP(C100,Pareto!S:S,Pareto!T:T)</f>
        <v>#N/A</v>
      </c>
    </row>
    <row r="101" spans="1:4" x14ac:dyDescent="0.3">
      <c r="A101">
        <v>100</v>
      </c>
      <c r="B101" s="235" t="str">
        <f ca="1">IFERROR(LARGE(Pareto!W:W,A101)," ")</f>
        <v xml:space="preserve"> </v>
      </c>
      <c r="C101" t="e">
        <f ca="1">_xlfn.XLOOKUP(B101,Pareto!W:W,Pareto!S:S)</f>
        <v>#N/A</v>
      </c>
      <c r="D101" t="e">
        <f ca="1">_xlfn.XLOOKUP(C101,Pareto!S:S,Pareto!T:T)</f>
        <v>#N/A</v>
      </c>
    </row>
    <row r="102" spans="1:4" x14ac:dyDescent="0.3">
      <c r="A102">
        <v>101</v>
      </c>
      <c r="B102" s="235" t="str">
        <f ca="1">IFERROR(LARGE(Pareto!W:W,A102)," ")</f>
        <v xml:space="preserve"> </v>
      </c>
      <c r="C102" t="e">
        <f ca="1">_xlfn.XLOOKUP(B102,Pareto!W:W,Pareto!S:S)</f>
        <v>#N/A</v>
      </c>
      <c r="D102" t="e">
        <f ca="1">_xlfn.XLOOKUP(C102,Pareto!S:S,Pareto!T:T)</f>
        <v>#N/A</v>
      </c>
    </row>
    <row r="103" spans="1:4" x14ac:dyDescent="0.3">
      <c r="A103">
        <v>102</v>
      </c>
      <c r="B103" s="235" t="str">
        <f ca="1">IFERROR(LARGE(Pareto!W:W,A103)," ")</f>
        <v xml:space="preserve"> </v>
      </c>
      <c r="C103" t="e">
        <f ca="1">_xlfn.XLOOKUP(B103,Pareto!W:W,Pareto!S:S)</f>
        <v>#N/A</v>
      </c>
      <c r="D103" t="e">
        <f ca="1">_xlfn.XLOOKUP(C103,Pareto!S:S,Pareto!T:T)</f>
        <v>#N/A</v>
      </c>
    </row>
    <row r="104" spans="1:4" x14ac:dyDescent="0.3">
      <c r="A104">
        <v>103</v>
      </c>
      <c r="B104" s="235" t="str">
        <f ca="1">IFERROR(LARGE(Pareto!W:W,A104)," ")</f>
        <v xml:space="preserve"> </v>
      </c>
      <c r="C104" t="e">
        <f ca="1">_xlfn.XLOOKUP(B104,Pareto!W:W,Pareto!S:S)</f>
        <v>#N/A</v>
      </c>
      <c r="D104" t="e">
        <f ca="1">_xlfn.XLOOKUP(C104,Pareto!S:S,Pareto!T:T)</f>
        <v>#N/A</v>
      </c>
    </row>
    <row r="105" spans="1:4" x14ac:dyDescent="0.3">
      <c r="A105">
        <v>104</v>
      </c>
      <c r="B105" s="235" t="str">
        <f ca="1">IFERROR(LARGE(Pareto!W:W,A105)," ")</f>
        <v xml:space="preserve"> </v>
      </c>
      <c r="C105" t="e">
        <f ca="1">_xlfn.XLOOKUP(B105,Pareto!W:W,Pareto!S:S)</f>
        <v>#N/A</v>
      </c>
      <c r="D105" t="e">
        <f ca="1">_xlfn.XLOOKUP(C105,Pareto!S:S,Pareto!T:T)</f>
        <v>#N/A</v>
      </c>
    </row>
    <row r="106" spans="1:4" x14ac:dyDescent="0.3">
      <c r="A106">
        <v>105</v>
      </c>
      <c r="B106" s="235" t="str">
        <f ca="1">IFERROR(LARGE(Pareto!W:W,A106)," ")</f>
        <v xml:space="preserve"> </v>
      </c>
      <c r="C106" t="e">
        <f ca="1">_xlfn.XLOOKUP(B106,Pareto!W:W,Pareto!S:S)</f>
        <v>#N/A</v>
      </c>
      <c r="D106" t="e">
        <f ca="1">_xlfn.XLOOKUP(C106,Pareto!S:S,Pareto!T:T)</f>
        <v>#N/A</v>
      </c>
    </row>
    <row r="107" spans="1:4" x14ac:dyDescent="0.3">
      <c r="A107">
        <v>106</v>
      </c>
      <c r="B107" s="235" t="str">
        <f ca="1">IFERROR(LARGE(Pareto!W:W,A107)," ")</f>
        <v xml:space="preserve"> </v>
      </c>
      <c r="C107" t="e">
        <f ca="1">_xlfn.XLOOKUP(B107,Pareto!W:W,Pareto!S:S)</f>
        <v>#N/A</v>
      </c>
      <c r="D107" t="e">
        <f ca="1">_xlfn.XLOOKUP(C107,Pareto!S:S,Pareto!T:T)</f>
        <v>#N/A</v>
      </c>
    </row>
    <row r="108" spans="1:4" x14ac:dyDescent="0.3">
      <c r="A108">
        <v>107</v>
      </c>
      <c r="B108" s="235" t="str">
        <f ca="1">IFERROR(LARGE(Pareto!W:W,A108)," ")</f>
        <v xml:space="preserve"> </v>
      </c>
      <c r="C108" t="e">
        <f ca="1">_xlfn.XLOOKUP(B108,Pareto!W:W,Pareto!S:S)</f>
        <v>#N/A</v>
      </c>
      <c r="D108" t="e">
        <f ca="1">_xlfn.XLOOKUP(C108,Pareto!S:S,Pareto!T:T)</f>
        <v>#N/A</v>
      </c>
    </row>
    <row r="109" spans="1:4" x14ac:dyDescent="0.3">
      <c r="A109">
        <v>108</v>
      </c>
      <c r="B109" s="235" t="str">
        <f ca="1">IFERROR(LARGE(Pareto!W:W,A109)," ")</f>
        <v xml:space="preserve"> </v>
      </c>
      <c r="C109" t="e">
        <f ca="1">_xlfn.XLOOKUP(B109,Pareto!W:W,Pareto!S:S)</f>
        <v>#N/A</v>
      </c>
      <c r="D109" t="e">
        <f ca="1">_xlfn.XLOOKUP(C109,Pareto!S:S,Pareto!T:T)</f>
        <v>#N/A</v>
      </c>
    </row>
    <row r="110" spans="1:4" x14ac:dyDescent="0.3">
      <c r="A110">
        <v>109</v>
      </c>
      <c r="B110" s="235" t="str">
        <f ca="1">IFERROR(LARGE(Pareto!W:W,A110)," ")</f>
        <v xml:space="preserve"> </v>
      </c>
      <c r="C110" t="e">
        <f ca="1">_xlfn.XLOOKUP(B110,Pareto!W:W,Pareto!S:S)</f>
        <v>#N/A</v>
      </c>
      <c r="D110" t="e">
        <f ca="1">_xlfn.XLOOKUP(C110,Pareto!S:S,Pareto!T:T)</f>
        <v>#N/A</v>
      </c>
    </row>
    <row r="111" spans="1:4" x14ac:dyDescent="0.3">
      <c r="A111">
        <v>110</v>
      </c>
      <c r="B111" s="235" t="str">
        <f ca="1">IFERROR(LARGE(Pareto!W:W,A111)," ")</f>
        <v xml:space="preserve"> </v>
      </c>
      <c r="C111" t="e">
        <f ca="1">_xlfn.XLOOKUP(B111,Pareto!W:W,Pareto!S:S)</f>
        <v>#N/A</v>
      </c>
      <c r="D111" t="e">
        <f ca="1">_xlfn.XLOOKUP(C111,Pareto!S:S,Pareto!T:T)</f>
        <v>#N/A</v>
      </c>
    </row>
    <row r="112" spans="1:4" x14ac:dyDescent="0.3">
      <c r="A112">
        <v>111</v>
      </c>
      <c r="B112" s="235" t="str">
        <f ca="1">IFERROR(LARGE(Pareto!W:W,A112)," ")</f>
        <v xml:space="preserve"> </v>
      </c>
      <c r="C112" t="e">
        <f ca="1">_xlfn.XLOOKUP(B112,Pareto!W:W,Pareto!S:S)</f>
        <v>#N/A</v>
      </c>
      <c r="D112" t="e">
        <f ca="1">_xlfn.XLOOKUP(C112,Pareto!S:S,Pareto!T:T)</f>
        <v>#N/A</v>
      </c>
    </row>
    <row r="113" spans="1:4" x14ac:dyDescent="0.3">
      <c r="A113">
        <v>112</v>
      </c>
      <c r="B113" s="235" t="str">
        <f ca="1">IFERROR(LARGE(Pareto!W:W,A113)," ")</f>
        <v xml:space="preserve"> </v>
      </c>
      <c r="C113" t="e">
        <f ca="1">_xlfn.XLOOKUP(B113,Pareto!W:W,Pareto!S:S)</f>
        <v>#N/A</v>
      </c>
      <c r="D113" t="e">
        <f ca="1">_xlfn.XLOOKUP(C113,Pareto!S:S,Pareto!T:T)</f>
        <v>#N/A</v>
      </c>
    </row>
    <row r="114" spans="1:4" x14ac:dyDescent="0.3">
      <c r="A114">
        <v>113</v>
      </c>
      <c r="B114" s="235" t="str">
        <f ca="1">IFERROR(LARGE(Pareto!W:W,A114)," ")</f>
        <v xml:space="preserve"> </v>
      </c>
      <c r="C114" t="e">
        <f ca="1">_xlfn.XLOOKUP(B114,Pareto!W:W,Pareto!S:S)</f>
        <v>#N/A</v>
      </c>
      <c r="D114" t="e">
        <f ca="1">_xlfn.XLOOKUP(C114,Pareto!S:S,Pareto!T:T)</f>
        <v>#N/A</v>
      </c>
    </row>
    <row r="115" spans="1:4" x14ac:dyDescent="0.3">
      <c r="A115">
        <v>114</v>
      </c>
      <c r="B115" s="235" t="str">
        <f ca="1">IFERROR(LARGE(Pareto!W:W,A115)," ")</f>
        <v xml:space="preserve"> </v>
      </c>
      <c r="C115" t="e">
        <f ca="1">_xlfn.XLOOKUP(B115,Pareto!W:W,Pareto!S:S)</f>
        <v>#N/A</v>
      </c>
      <c r="D115" t="e">
        <f ca="1">_xlfn.XLOOKUP(C115,Pareto!S:S,Pareto!T:T)</f>
        <v>#N/A</v>
      </c>
    </row>
    <row r="116" spans="1:4" x14ac:dyDescent="0.3">
      <c r="A116">
        <v>115</v>
      </c>
      <c r="B116" s="235" t="str">
        <f ca="1">IFERROR(LARGE(Pareto!W:W,A116)," ")</f>
        <v xml:space="preserve"> </v>
      </c>
      <c r="C116" t="e">
        <f ca="1">_xlfn.XLOOKUP(B116,Pareto!W:W,Pareto!S:S)</f>
        <v>#N/A</v>
      </c>
      <c r="D116" t="e">
        <f ca="1">_xlfn.XLOOKUP(C116,Pareto!S:S,Pareto!T:T)</f>
        <v>#N/A</v>
      </c>
    </row>
    <row r="117" spans="1:4" x14ac:dyDescent="0.3">
      <c r="A117">
        <v>116</v>
      </c>
      <c r="B117" s="235" t="str">
        <f ca="1">IFERROR(LARGE(Pareto!W:W,A117)," ")</f>
        <v xml:space="preserve"> </v>
      </c>
      <c r="C117" t="e">
        <f ca="1">_xlfn.XLOOKUP(B117,Pareto!W:W,Pareto!S:S)</f>
        <v>#N/A</v>
      </c>
      <c r="D117" t="e">
        <f ca="1">_xlfn.XLOOKUP(C117,Pareto!S:S,Pareto!T:T)</f>
        <v>#N/A</v>
      </c>
    </row>
    <row r="118" spans="1:4" x14ac:dyDescent="0.3">
      <c r="A118">
        <v>117</v>
      </c>
      <c r="B118" s="235" t="str">
        <f ca="1">IFERROR(LARGE(Pareto!W:W,A118)," ")</f>
        <v xml:space="preserve"> </v>
      </c>
      <c r="C118" t="e">
        <f ca="1">_xlfn.XLOOKUP(B118,Pareto!W:W,Pareto!S:S)</f>
        <v>#N/A</v>
      </c>
      <c r="D118" t="e">
        <f ca="1">_xlfn.XLOOKUP(C118,Pareto!S:S,Pareto!T:T)</f>
        <v>#N/A</v>
      </c>
    </row>
    <row r="119" spans="1:4" x14ac:dyDescent="0.3">
      <c r="A119">
        <v>118</v>
      </c>
      <c r="B119" s="235" t="str">
        <f ca="1">IFERROR(LARGE(Pareto!W:W,A119)," ")</f>
        <v xml:space="preserve"> </v>
      </c>
      <c r="C119" t="e">
        <f ca="1">_xlfn.XLOOKUP(B119,Pareto!W:W,Pareto!S:S)</f>
        <v>#N/A</v>
      </c>
      <c r="D119" t="e">
        <f ca="1">_xlfn.XLOOKUP(C119,Pareto!S:S,Pareto!T:T)</f>
        <v>#N/A</v>
      </c>
    </row>
    <row r="120" spans="1:4" x14ac:dyDescent="0.3">
      <c r="A120">
        <v>119</v>
      </c>
      <c r="B120" s="235" t="str">
        <f ca="1">IFERROR(LARGE(Pareto!W:W,A120)," ")</f>
        <v xml:space="preserve"> </v>
      </c>
      <c r="C120" t="e">
        <f ca="1">_xlfn.XLOOKUP(B120,Pareto!W:W,Pareto!S:S)</f>
        <v>#N/A</v>
      </c>
      <c r="D120" t="e">
        <f ca="1">_xlfn.XLOOKUP(C120,Pareto!S:S,Pareto!T:T)</f>
        <v>#N/A</v>
      </c>
    </row>
    <row r="121" spans="1:4" x14ac:dyDescent="0.3">
      <c r="A121">
        <v>120</v>
      </c>
      <c r="B121" s="235" t="str">
        <f ca="1">IFERROR(LARGE(Pareto!W:W,A121)," ")</f>
        <v xml:space="preserve"> </v>
      </c>
      <c r="C121" t="e">
        <f ca="1">_xlfn.XLOOKUP(B121,Pareto!W:W,Pareto!S:S)</f>
        <v>#N/A</v>
      </c>
      <c r="D121" t="e">
        <f ca="1">_xlfn.XLOOKUP(C121,Pareto!S:S,Pareto!T:T)</f>
        <v>#N/A</v>
      </c>
    </row>
    <row r="122" spans="1:4" x14ac:dyDescent="0.3">
      <c r="A122">
        <v>121</v>
      </c>
      <c r="B122" s="235" t="str">
        <f ca="1">IFERROR(LARGE(Pareto!W:W,A122)," ")</f>
        <v xml:space="preserve"> </v>
      </c>
      <c r="C122" t="e">
        <f ca="1">_xlfn.XLOOKUP(B122,Pareto!W:W,Pareto!S:S)</f>
        <v>#N/A</v>
      </c>
      <c r="D122" t="e">
        <f ca="1">_xlfn.XLOOKUP(C122,Pareto!S:S,Pareto!T:T)</f>
        <v>#N/A</v>
      </c>
    </row>
    <row r="123" spans="1:4" x14ac:dyDescent="0.3">
      <c r="A123">
        <v>122</v>
      </c>
      <c r="B123" s="235" t="str">
        <f ca="1">IFERROR(LARGE(Pareto!W:W,A123)," ")</f>
        <v xml:space="preserve"> </v>
      </c>
      <c r="C123" t="e">
        <f ca="1">_xlfn.XLOOKUP(B123,Pareto!W:W,Pareto!S:S)</f>
        <v>#N/A</v>
      </c>
      <c r="D123" t="e">
        <f ca="1">_xlfn.XLOOKUP(C123,Pareto!S:S,Pareto!T:T)</f>
        <v>#N/A</v>
      </c>
    </row>
    <row r="124" spans="1:4" x14ac:dyDescent="0.3">
      <c r="A124">
        <v>123</v>
      </c>
      <c r="B124" s="235" t="str">
        <f ca="1">IFERROR(LARGE(Pareto!W:W,A124)," ")</f>
        <v xml:space="preserve"> </v>
      </c>
      <c r="C124" t="e">
        <f ca="1">_xlfn.XLOOKUP(B124,Pareto!W:W,Pareto!S:S)</f>
        <v>#N/A</v>
      </c>
      <c r="D124" t="e">
        <f ca="1">_xlfn.XLOOKUP(C124,Pareto!S:S,Pareto!T:T)</f>
        <v>#N/A</v>
      </c>
    </row>
    <row r="125" spans="1:4" x14ac:dyDescent="0.3">
      <c r="A125">
        <v>124</v>
      </c>
      <c r="B125" s="235" t="str">
        <f ca="1">IFERROR(LARGE(Pareto!W:W,A125)," ")</f>
        <v xml:space="preserve"> </v>
      </c>
      <c r="C125" t="e">
        <f ca="1">_xlfn.XLOOKUP(B125,Pareto!W:W,Pareto!S:S)</f>
        <v>#N/A</v>
      </c>
      <c r="D125" t="e">
        <f ca="1">_xlfn.XLOOKUP(C125,Pareto!S:S,Pareto!T:T)</f>
        <v>#N/A</v>
      </c>
    </row>
    <row r="126" spans="1:4" x14ac:dyDescent="0.3">
      <c r="A126">
        <v>125</v>
      </c>
      <c r="B126" s="235" t="str">
        <f ca="1">IFERROR(LARGE(Pareto!W:W,A126)," ")</f>
        <v xml:space="preserve"> </v>
      </c>
      <c r="C126" t="e">
        <f ca="1">_xlfn.XLOOKUP(B126,Pareto!W:W,Pareto!S:S)</f>
        <v>#N/A</v>
      </c>
      <c r="D126" t="e">
        <f ca="1">_xlfn.XLOOKUP(C126,Pareto!S:S,Pareto!T:T)</f>
        <v>#N/A</v>
      </c>
    </row>
    <row r="127" spans="1:4" x14ac:dyDescent="0.3">
      <c r="A127">
        <v>126</v>
      </c>
      <c r="B127" s="235" t="str">
        <f ca="1">IFERROR(LARGE(Pareto!W:W,A127)," ")</f>
        <v xml:space="preserve"> </v>
      </c>
      <c r="C127" t="e">
        <f ca="1">_xlfn.XLOOKUP(B127,Pareto!W:W,Pareto!S:S)</f>
        <v>#N/A</v>
      </c>
      <c r="D127" t="e">
        <f ca="1">_xlfn.XLOOKUP(C127,Pareto!S:S,Pareto!T:T)</f>
        <v>#N/A</v>
      </c>
    </row>
    <row r="128" spans="1:4" x14ac:dyDescent="0.3">
      <c r="A128">
        <v>127</v>
      </c>
      <c r="B128" s="235" t="str">
        <f ca="1">IFERROR(LARGE(Pareto!W:W,A128)," ")</f>
        <v xml:space="preserve"> </v>
      </c>
      <c r="C128" t="e">
        <f ca="1">_xlfn.XLOOKUP(B128,Pareto!W:W,Pareto!S:S)</f>
        <v>#N/A</v>
      </c>
      <c r="D128" t="e">
        <f ca="1">_xlfn.XLOOKUP(C128,Pareto!S:S,Pareto!T:T)</f>
        <v>#N/A</v>
      </c>
    </row>
    <row r="129" spans="1:4" x14ac:dyDescent="0.3">
      <c r="A129">
        <v>128</v>
      </c>
      <c r="B129" s="235" t="str">
        <f ca="1">IFERROR(LARGE(Pareto!W:W,A129)," ")</f>
        <v xml:space="preserve"> </v>
      </c>
      <c r="C129" t="e">
        <f ca="1">_xlfn.XLOOKUP(B129,Pareto!W:W,Pareto!S:S)</f>
        <v>#N/A</v>
      </c>
      <c r="D129" t="e">
        <f ca="1">_xlfn.XLOOKUP(C129,Pareto!S:S,Pareto!T:T)</f>
        <v>#N/A</v>
      </c>
    </row>
    <row r="130" spans="1:4" x14ac:dyDescent="0.3">
      <c r="A130">
        <v>129</v>
      </c>
      <c r="B130" s="235" t="str">
        <f ca="1">IFERROR(LARGE(Pareto!W:W,A130)," ")</f>
        <v xml:space="preserve"> </v>
      </c>
      <c r="C130" t="e">
        <f ca="1">_xlfn.XLOOKUP(B130,Pareto!W:W,Pareto!S:S)</f>
        <v>#N/A</v>
      </c>
      <c r="D130" t="e">
        <f ca="1">_xlfn.XLOOKUP(C130,Pareto!S:S,Pareto!T:T)</f>
        <v>#N/A</v>
      </c>
    </row>
    <row r="131" spans="1:4" x14ac:dyDescent="0.3">
      <c r="A131">
        <v>130</v>
      </c>
      <c r="B131" s="235" t="str">
        <f ca="1">IFERROR(LARGE(Pareto!W:W,A131)," ")</f>
        <v xml:space="preserve"> </v>
      </c>
      <c r="C131" t="e">
        <f ca="1">_xlfn.XLOOKUP(B131,Pareto!W:W,Pareto!S:S)</f>
        <v>#N/A</v>
      </c>
      <c r="D131" t="e">
        <f ca="1">_xlfn.XLOOKUP(C131,Pareto!S:S,Pareto!T:T)</f>
        <v>#N/A</v>
      </c>
    </row>
    <row r="132" spans="1:4" x14ac:dyDescent="0.3">
      <c r="A132">
        <v>131</v>
      </c>
      <c r="B132" s="235" t="str">
        <f ca="1">IFERROR(LARGE(Pareto!W:W,A132)," ")</f>
        <v xml:space="preserve"> </v>
      </c>
      <c r="C132" t="e">
        <f ca="1">_xlfn.XLOOKUP(B132,Pareto!W:W,Pareto!S:S)</f>
        <v>#N/A</v>
      </c>
      <c r="D132" t="e">
        <f ca="1">_xlfn.XLOOKUP(C132,Pareto!S:S,Pareto!T:T)</f>
        <v>#N/A</v>
      </c>
    </row>
    <row r="133" spans="1:4" x14ac:dyDescent="0.3">
      <c r="A133">
        <v>132</v>
      </c>
      <c r="B133" s="235" t="str">
        <f ca="1">IFERROR(LARGE(Pareto!W:W,A133)," ")</f>
        <v xml:space="preserve"> </v>
      </c>
      <c r="C133" t="e">
        <f ca="1">_xlfn.XLOOKUP(B133,Pareto!W:W,Pareto!S:S)</f>
        <v>#N/A</v>
      </c>
      <c r="D133" t="e">
        <f ca="1">_xlfn.XLOOKUP(C133,Pareto!S:S,Pareto!T:T)</f>
        <v>#N/A</v>
      </c>
    </row>
    <row r="134" spans="1:4" x14ac:dyDescent="0.3">
      <c r="A134">
        <v>133</v>
      </c>
      <c r="B134" s="235" t="str">
        <f ca="1">IFERROR(LARGE(Pareto!W:W,A134)," ")</f>
        <v xml:space="preserve"> </v>
      </c>
      <c r="C134" t="e">
        <f ca="1">_xlfn.XLOOKUP(B134,Pareto!W:W,Pareto!S:S)</f>
        <v>#N/A</v>
      </c>
      <c r="D134" t="e">
        <f ca="1">_xlfn.XLOOKUP(C134,Pareto!S:S,Pareto!T:T)</f>
        <v>#N/A</v>
      </c>
    </row>
    <row r="135" spans="1:4" x14ac:dyDescent="0.3">
      <c r="A135">
        <v>134</v>
      </c>
      <c r="B135" s="235" t="str">
        <f ca="1">IFERROR(LARGE(Pareto!W:W,A135)," ")</f>
        <v xml:space="preserve"> </v>
      </c>
      <c r="C135" t="e">
        <f ca="1">_xlfn.XLOOKUP(B135,Pareto!W:W,Pareto!S:S)</f>
        <v>#N/A</v>
      </c>
      <c r="D135" t="e">
        <f ca="1">_xlfn.XLOOKUP(C135,Pareto!S:S,Pareto!T:T)</f>
        <v>#N/A</v>
      </c>
    </row>
    <row r="136" spans="1:4" x14ac:dyDescent="0.3">
      <c r="A136">
        <v>135</v>
      </c>
      <c r="B136" s="235" t="str">
        <f ca="1">IFERROR(LARGE(Pareto!W:W,A136)," ")</f>
        <v xml:space="preserve"> </v>
      </c>
      <c r="C136" t="e">
        <f ca="1">_xlfn.XLOOKUP(B136,Pareto!W:W,Pareto!S:S)</f>
        <v>#N/A</v>
      </c>
      <c r="D136" t="e">
        <f ca="1">_xlfn.XLOOKUP(C136,Pareto!S:S,Pareto!T:T)</f>
        <v>#N/A</v>
      </c>
    </row>
    <row r="137" spans="1:4" x14ac:dyDescent="0.3">
      <c r="A137">
        <v>136</v>
      </c>
      <c r="B137" s="235" t="str">
        <f ca="1">IFERROR(LARGE(Pareto!W:W,A137)," ")</f>
        <v xml:space="preserve"> </v>
      </c>
      <c r="C137" t="e">
        <f ca="1">_xlfn.XLOOKUP(B137,Pareto!W:W,Pareto!S:S)</f>
        <v>#N/A</v>
      </c>
      <c r="D137" t="e">
        <f ca="1">_xlfn.XLOOKUP(C137,Pareto!S:S,Pareto!T:T)</f>
        <v>#N/A</v>
      </c>
    </row>
    <row r="138" spans="1:4" x14ac:dyDescent="0.3">
      <c r="A138">
        <v>137</v>
      </c>
      <c r="B138" s="235" t="str">
        <f ca="1">IFERROR(LARGE(Pareto!W:W,A138)," ")</f>
        <v xml:space="preserve"> </v>
      </c>
      <c r="C138" t="e">
        <f ca="1">_xlfn.XLOOKUP(B138,Pareto!W:W,Pareto!S:S)</f>
        <v>#N/A</v>
      </c>
      <c r="D138" t="e">
        <f ca="1">_xlfn.XLOOKUP(C138,Pareto!S:S,Pareto!T:T)</f>
        <v>#N/A</v>
      </c>
    </row>
    <row r="139" spans="1:4" x14ac:dyDescent="0.3">
      <c r="A139">
        <v>138</v>
      </c>
      <c r="B139" s="235" t="str">
        <f ca="1">IFERROR(LARGE(Pareto!W:W,A139)," ")</f>
        <v xml:space="preserve"> </v>
      </c>
      <c r="C139" t="e">
        <f ca="1">_xlfn.XLOOKUP(B139,Pareto!W:W,Pareto!S:S)</f>
        <v>#N/A</v>
      </c>
      <c r="D139" t="e">
        <f ca="1">_xlfn.XLOOKUP(C139,Pareto!S:S,Pareto!T:T)</f>
        <v>#N/A</v>
      </c>
    </row>
    <row r="140" spans="1:4" x14ac:dyDescent="0.3">
      <c r="A140">
        <v>139</v>
      </c>
      <c r="B140" s="235" t="str">
        <f ca="1">IFERROR(LARGE(Pareto!W:W,A140)," ")</f>
        <v xml:space="preserve"> </v>
      </c>
      <c r="C140" t="e">
        <f ca="1">_xlfn.XLOOKUP(B140,Pareto!W:W,Pareto!S:S)</f>
        <v>#N/A</v>
      </c>
      <c r="D140" t="e">
        <f ca="1">_xlfn.XLOOKUP(C140,Pareto!S:S,Pareto!T:T)</f>
        <v>#N/A</v>
      </c>
    </row>
    <row r="141" spans="1:4" x14ac:dyDescent="0.3">
      <c r="A141">
        <v>140</v>
      </c>
      <c r="B141" s="235" t="str">
        <f ca="1">IFERROR(LARGE(Pareto!W:W,A141)," ")</f>
        <v xml:space="preserve"> </v>
      </c>
      <c r="C141" t="e">
        <f ca="1">_xlfn.XLOOKUP(B141,Pareto!W:W,Pareto!S:S)</f>
        <v>#N/A</v>
      </c>
      <c r="D141" t="e">
        <f ca="1">_xlfn.XLOOKUP(C141,Pareto!S:S,Pareto!T:T)</f>
        <v>#N/A</v>
      </c>
    </row>
    <row r="142" spans="1:4" x14ac:dyDescent="0.3">
      <c r="A142">
        <v>141</v>
      </c>
      <c r="B142" s="235" t="str">
        <f ca="1">IFERROR(LARGE(Pareto!W:W,A142)," ")</f>
        <v xml:space="preserve"> </v>
      </c>
      <c r="C142" t="e">
        <f ca="1">_xlfn.XLOOKUP(B142,Pareto!W:W,Pareto!S:S)</f>
        <v>#N/A</v>
      </c>
      <c r="D142" t="e">
        <f ca="1">_xlfn.XLOOKUP(C142,Pareto!S:S,Pareto!T:T)</f>
        <v>#N/A</v>
      </c>
    </row>
    <row r="143" spans="1:4" x14ac:dyDescent="0.3">
      <c r="A143">
        <v>142</v>
      </c>
      <c r="B143" s="235" t="str">
        <f ca="1">IFERROR(LARGE(Pareto!W:W,A143)," ")</f>
        <v xml:space="preserve"> </v>
      </c>
      <c r="C143" t="e">
        <f ca="1">_xlfn.XLOOKUP(B143,Pareto!W:W,Pareto!S:S)</f>
        <v>#N/A</v>
      </c>
      <c r="D143" t="e">
        <f ca="1">_xlfn.XLOOKUP(C143,Pareto!S:S,Pareto!T:T)</f>
        <v>#N/A</v>
      </c>
    </row>
    <row r="144" spans="1:4" x14ac:dyDescent="0.3">
      <c r="A144">
        <v>143</v>
      </c>
      <c r="B144" s="235" t="str">
        <f ca="1">IFERROR(LARGE(Pareto!W:W,A144)," ")</f>
        <v xml:space="preserve"> </v>
      </c>
      <c r="C144" t="e">
        <f ca="1">_xlfn.XLOOKUP(B144,Pareto!W:W,Pareto!S:S)</f>
        <v>#N/A</v>
      </c>
      <c r="D144" t="e">
        <f ca="1">_xlfn.XLOOKUP(C144,Pareto!S:S,Pareto!T:T)</f>
        <v>#N/A</v>
      </c>
    </row>
    <row r="145" spans="1:4" x14ac:dyDescent="0.3">
      <c r="A145">
        <v>144</v>
      </c>
      <c r="B145" s="235" t="str">
        <f ca="1">IFERROR(LARGE(Pareto!W:W,A145)," ")</f>
        <v xml:space="preserve"> </v>
      </c>
      <c r="C145" t="e">
        <f ca="1">_xlfn.XLOOKUP(B145,Pareto!W:W,Pareto!S:S)</f>
        <v>#N/A</v>
      </c>
      <c r="D145" t="e">
        <f ca="1">_xlfn.XLOOKUP(C145,Pareto!S:S,Pareto!T:T)</f>
        <v>#N/A</v>
      </c>
    </row>
    <row r="146" spans="1:4" x14ac:dyDescent="0.3">
      <c r="A146">
        <v>145</v>
      </c>
      <c r="B146" s="235" t="str">
        <f ca="1">IFERROR(LARGE(Pareto!W:W,A146)," ")</f>
        <v xml:space="preserve"> </v>
      </c>
      <c r="C146" t="e">
        <f ca="1">_xlfn.XLOOKUP(B146,Pareto!W:W,Pareto!S:S)</f>
        <v>#N/A</v>
      </c>
      <c r="D146" t="e">
        <f ca="1">_xlfn.XLOOKUP(C146,Pareto!S:S,Pareto!T:T)</f>
        <v>#N/A</v>
      </c>
    </row>
    <row r="147" spans="1:4" x14ac:dyDescent="0.3">
      <c r="A147">
        <v>146</v>
      </c>
      <c r="B147" s="235" t="str">
        <f ca="1">IFERROR(LARGE(Pareto!W:W,A147)," ")</f>
        <v xml:space="preserve"> </v>
      </c>
      <c r="C147" t="e">
        <f ca="1">_xlfn.XLOOKUP(B147,Pareto!W:W,Pareto!S:S)</f>
        <v>#N/A</v>
      </c>
      <c r="D147" t="e">
        <f ca="1">_xlfn.XLOOKUP(C147,Pareto!S:S,Pareto!T:T)</f>
        <v>#N/A</v>
      </c>
    </row>
    <row r="148" spans="1:4" x14ac:dyDescent="0.3">
      <c r="A148">
        <v>147</v>
      </c>
      <c r="B148" s="235" t="str">
        <f ca="1">IFERROR(LARGE(Pareto!W:W,A148)," ")</f>
        <v xml:space="preserve"> </v>
      </c>
      <c r="C148" t="e">
        <f ca="1">_xlfn.XLOOKUP(B148,Pareto!W:W,Pareto!S:S)</f>
        <v>#N/A</v>
      </c>
      <c r="D148" t="e">
        <f ca="1">_xlfn.XLOOKUP(C148,Pareto!S:S,Pareto!T:T)</f>
        <v>#N/A</v>
      </c>
    </row>
    <row r="149" spans="1:4" x14ac:dyDescent="0.3">
      <c r="A149">
        <v>148</v>
      </c>
      <c r="B149" s="235" t="str">
        <f ca="1">IFERROR(LARGE(Pareto!W:W,A149)," ")</f>
        <v xml:space="preserve"> </v>
      </c>
      <c r="C149" t="e">
        <f ca="1">_xlfn.XLOOKUP(B149,Pareto!W:W,Pareto!S:S)</f>
        <v>#N/A</v>
      </c>
      <c r="D149" t="e">
        <f ca="1">_xlfn.XLOOKUP(C149,Pareto!S:S,Pareto!T:T)</f>
        <v>#N/A</v>
      </c>
    </row>
    <row r="150" spans="1:4" x14ac:dyDescent="0.3">
      <c r="A150">
        <v>149</v>
      </c>
      <c r="B150" s="235" t="str">
        <f ca="1">IFERROR(LARGE(Pareto!W:W,A150)," ")</f>
        <v xml:space="preserve"> </v>
      </c>
      <c r="C150" t="e">
        <f ca="1">_xlfn.XLOOKUP(B150,Pareto!W:W,Pareto!S:S)</f>
        <v>#N/A</v>
      </c>
      <c r="D150" t="e">
        <f ca="1">_xlfn.XLOOKUP(C150,Pareto!S:S,Pareto!T:T)</f>
        <v>#N/A</v>
      </c>
    </row>
    <row r="151" spans="1:4" x14ac:dyDescent="0.3">
      <c r="A151">
        <v>150</v>
      </c>
      <c r="B151" s="235" t="str">
        <f ca="1">IFERROR(LARGE(Pareto!W:W,A151)," ")</f>
        <v xml:space="preserve"> </v>
      </c>
      <c r="C151" t="e">
        <f ca="1">_xlfn.XLOOKUP(B151,Pareto!W:W,Pareto!S:S)</f>
        <v>#N/A</v>
      </c>
      <c r="D151" t="e">
        <f ca="1">_xlfn.XLOOKUP(C151,Pareto!S:S,Pareto!T:T)</f>
        <v>#N/A</v>
      </c>
    </row>
    <row r="152" spans="1:4" x14ac:dyDescent="0.3">
      <c r="A152">
        <v>151</v>
      </c>
      <c r="B152" s="235" t="str">
        <f ca="1">IFERROR(LARGE(Pareto!W:W,A152)," ")</f>
        <v xml:space="preserve"> </v>
      </c>
      <c r="C152" t="e">
        <f ca="1">_xlfn.XLOOKUP(B152,Pareto!W:W,Pareto!S:S)</f>
        <v>#N/A</v>
      </c>
      <c r="D152" t="e">
        <f ca="1">_xlfn.XLOOKUP(C152,Pareto!S:S,Pareto!T:T)</f>
        <v>#N/A</v>
      </c>
    </row>
    <row r="153" spans="1:4" x14ac:dyDescent="0.3">
      <c r="A153">
        <v>152</v>
      </c>
      <c r="B153" s="235" t="str">
        <f ca="1">IFERROR(LARGE(Pareto!W:W,A153)," ")</f>
        <v xml:space="preserve"> </v>
      </c>
      <c r="C153" t="e">
        <f ca="1">_xlfn.XLOOKUP(B153,Pareto!W:W,Pareto!S:S)</f>
        <v>#N/A</v>
      </c>
      <c r="D153" t="e">
        <f ca="1">_xlfn.XLOOKUP(C153,Pareto!S:S,Pareto!T:T)</f>
        <v>#N/A</v>
      </c>
    </row>
    <row r="154" spans="1:4" x14ac:dyDescent="0.3">
      <c r="A154">
        <v>153</v>
      </c>
      <c r="B154" s="235" t="str">
        <f ca="1">IFERROR(LARGE(Pareto!W:W,A154)," ")</f>
        <v xml:space="preserve"> </v>
      </c>
      <c r="C154" t="e">
        <f ca="1">_xlfn.XLOOKUP(B154,Pareto!W:W,Pareto!S:S)</f>
        <v>#N/A</v>
      </c>
      <c r="D154" t="e">
        <f ca="1">_xlfn.XLOOKUP(C154,Pareto!S:S,Pareto!T:T)</f>
        <v>#N/A</v>
      </c>
    </row>
    <row r="155" spans="1:4" x14ac:dyDescent="0.3">
      <c r="A155">
        <v>154</v>
      </c>
      <c r="B155" s="235" t="str">
        <f ca="1">IFERROR(LARGE(Pareto!W:W,A155)," ")</f>
        <v xml:space="preserve"> </v>
      </c>
      <c r="C155" t="e">
        <f ca="1">_xlfn.XLOOKUP(B155,Pareto!W:W,Pareto!S:S)</f>
        <v>#N/A</v>
      </c>
      <c r="D155" t="e">
        <f ca="1">_xlfn.XLOOKUP(C155,Pareto!S:S,Pareto!T:T)</f>
        <v>#N/A</v>
      </c>
    </row>
    <row r="156" spans="1:4" x14ac:dyDescent="0.3">
      <c r="A156">
        <v>155</v>
      </c>
      <c r="B156" s="235" t="str">
        <f ca="1">IFERROR(LARGE(Pareto!W:W,A156)," ")</f>
        <v xml:space="preserve"> </v>
      </c>
      <c r="C156" t="e">
        <f ca="1">_xlfn.XLOOKUP(B156,Pareto!W:W,Pareto!S:S)</f>
        <v>#N/A</v>
      </c>
      <c r="D156" t="e">
        <f ca="1">_xlfn.XLOOKUP(C156,Pareto!S:S,Pareto!T:T)</f>
        <v>#N/A</v>
      </c>
    </row>
    <row r="157" spans="1:4" x14ac:dyDescent="0.3">
      <c r="A157">
        <v>156</v>
      </c>
      <c r="B157" s="235" t="str">
        <f ca="1">IFERROR(LARGE(Pareto!W:W,A157)," ")</f>
        <v xml:space="preserve"> </v>
      </c>
      <c r="C157" t="e">
        <f ca="1">_xlfn.XLOOKUP(B157,Pareto!W:W,Pareto!S:S)</f>
        <v>#N/A</v>
      </c>
      <c r="D157" t="e">
        <f ca="1">_xlfn.XLOOKUP(C157,Pareto!S:S,Pareto!T:T)</f>
        <v>#N/A</v>
      </c>
    </row>
    <row r="158" spans="1:4" x14ac:dyDescent="0.3">
      <c r="A158">
        <v>157</v>
      </c>
      <c r="B158" s="235" t="str">
        <f ca="1">IFERROR(LARGE(Pareto!W:W,A158)," ")</f>
        <v xml:space="preserve"> </v>
      </c>
      <c r="C158" t="e">
        <f ca="1">_xlfn.XLOOKUP(B158,Pareto!W:W,Pareto!S:S)</f>
        <v>#N/A</v>
      </c>
      <c r="D158" t="e">
        <f ca="1">_xlfn.XLOOKUP(C158,Pareto!S:S,Pareto!T:T)</f>
        <v>#N/A</v>
      </c>
    </row>
    <row r="159" spans="1:4" x14ac:dyDescent="0.3">
      <c r="A159">
        <v>158</v>
      </c>
      <c r="B159" s="235" t="str">
        <f ca="1">IFERROR(LARGE(Pareto!W:W,A159)," ")</f>
        <v xml:space="preserve"> </v>
      </c>
      <c r="C159" t="e">
        <f ca="1">_xlfn.XLOOKUP(B159,Pareto!W:W,Pareto!S:S)</f>
        <v>#N/A</v>
      </c>
      <c r="D159" t="e">
        <f ca="1">_xlfn.XLOOKUP(C159,Pareto!S:S,Pareto!T:T)</f>
        <v>#N/A</v>
      </c>
    </row>
    <row r="160" spans="1:4" x14ac:dyDescent="0.3">
      <c r="A160">
        <v>159</v>
      </c>
      <c r="B160" s="235" t="str">
        <f ca="1">IFERROR(LARGE(Pareto!W:W,A160)," ")</f>
        <v xml:space="preserve"> </v>
      </c>
      <c r="C160" t="e">
        <f ca="1">_xlfn.XLOOKUP(B160,Pareto!W:W,Pareto!S:S)</f>
        <v>#N/A</v>
      </c>
      <c r="D160" t="e">
        <f ca="1">_xlfn.XLOOKUP(C160,Pareto!S:S,Pareto!T:T)</f>
        <v>#N/A</v>
      </c>
    </row>
    <row r="161" spans="1:4" x14ac:dyDescent="0.3">
      <c r="A161">
        <v>160</v>
      </c>
      <c r="B161" s="235" t="str">
        <f ca="1">IFERROR(LARGE(Pareto!W:W,A161)," ")</f>
        <v xml:space="preserve"> </v>
      </c>
      <c r="C161" t="e">
        <f ca="1">_xlfn.XLOOKUP(B161,Pareto!W:W,Pareto!S:S)</f>
        <v>#N/A</v>
      </c>
      <c r="D161" t="e">
        <f ca="1">_xlfn.XLOOKUP(C161,Pareto!S:S,Pareto!T:T)</f>
        <v>#N/A</v>
      </c>
    </row>
    <row r="162" spans="1:4" x14ac:dyDescent="0.3">
      <c r="A162">
        <v>161</v>
      </c>
      <c r="B162" s="235" t="str">
        <f ca="1">IFERROR(LARGE(Pareto!W:W,A162)," ")</f>
        <v xml:space="preserve"> </v>
      </c>
      <c r="C162" t="e">
        <f ca="1">_xlfn.XLOOKUP(B162,Pareto!W:W,Pareto!S:S)</f>
        <v>#N/A</v>
      </c>
      <c r="D162" t="e">
        <f ca="1">_xlfn.XLOOKUP(C162,Pareto!S:S,Pareto!T:T)</f>
        <v>#N/A</v>
      </c>
    </row>
    <row r="163" spans="1:4" x14ac:dyDescent="0.3">
      <c r="A163">
        <v>162</v>
      </c>
      <c r="B163" s="235" t="str">
        <f ca="1">IFERROR(LARGE(Pareto!W:W,A163)," ")</f>
        <v xml:space="preserve"> </v>
      </c>
      <c r="C163" t="e">
        <f ca="1">_xlfn.XLOOKUP(B163,Pareto!W:W,Pareto!S:S)</f>
        <v>#N/A</v>
      </c>
      <c r="D163" t="e">
        <f ca="1">_xlfn.XLOOKUP(C163,Pareto!S:S,Pareto!T:T)</f>
        <v>#N/A</v>
      </c>
    </row>
    <row r="164" spans="1:4" x14ac:dyDescent="0.3">
      <c r="A164">
        <v>163</v>
      </c>
      <c r="B164" s="235" t="str">
        <f ca="1">IFERROR(LARGE(Pareto!W:W,A164)," ")</f>
        <v xml:space="preserve"> </v>
      </c>
      <c r="C164" t="e">
        <f ca="1">_xlfn.XLOOKUP(B164,Pareto!W:W,Pareto!S:S)</f>
        <v>#N/A</v>
      </c>
      <c r="D164" t="e">
        <f ca="1">_xlfn.XLOOKUP(C164,Pareto!S:S,Pareto!T:T)</f>
        <v>#N/A</v>
      </c>
    </row>
    <row r="165" spans="1:4" x14ac:dyDescent="0.3">
      <c r="A165">
        <v>164</v>
      </c>
      <c r="B165" s="235" t="str">
        <f ca="1">IFERROR(LARGE(Pareto!W:W,A165)," ")</f>
        <v xml:space="preserve"> </v>
      </c>
      <c r="C165" t="e">
        <f ca="1">_xlfn.XLOOKUP(B165,Pareto!W:W,Pareto!S:S)</f>
        <v>#N/A</v>
      </c>
      <c r="D165" t="e">
        <f ca="1">_xlfn.XLOOKUP(C165,Pareto!S:S,Pareto!T:T)</f>
        <v>#N/A</v>
      </c>
    </row>
    <row r="166" spans="1:4" x14ac:dyDescent="0.3">
      <c r="A166">
        <v>165</v>
      </c>
      <c r="B166" s="235" t="str">
        <f ca="1">IFERROR(LARGE(Pareto!W:W,A166)," ")</f>
        <v xml:space="preserve"> </v>
      </c>
      <c r="C166" t="e">
        <f ca="1">_xlfn.XLOOKUP(B166,Pareto!W:W,Pareto!S:S)</f>
        <v>#N/A</v>
      </c>
      <c r="D166" t="e">
        <f ca="1">_xlfn.XLOOKUP(C166,Pareto!S:S,Pareto!T:T)</f>
        <v>#N/A</v>
      </c>
    </row>
    <row r="167" spans="1:4" x14ac:dyDescent="0.3">
      <c r="A167">
        <v>166</v>
      </c>
      <c r="B167" s="235" t="str">
        <f ca="1">IFERROR(LARGE(Pareto!W:W,A167)," ")</f>
        <v xml:space="preserve"> </v>
      </c>
      <c r="C167" t="e">
        <f ca="1">_xlfn.XLOOKUP(B167,Pareto!W:W,Pareto!S:S)</f>
        <v>#N/A</v>
      </c>
      <c r="D167" t="e">
        <f ca="1">_xlfn.XLOOKUP(C167,Pareto!S:S,Pareto!T:T)</f>
        <v>#N/A</v>
      </c>
    </row>
    <row r="168" spans="1:4" x14ac:dyDescent="0.3">
      <c r="A168">
        <v>167</v>
      </c>
      <c r="B168" s="235" t="str">
        <f ca="1">IFERROR(LARGE(Pareto!W:W,A168)," ")</f>
        <v xml:space="preserve"> </v>
      </c>
      <c r="C168" t="e">
        <f ca="1">_xlfn.XLOOKUP(B168,Pareto!W:W,Pareto!S:S)</f>
        <v>#N/A</v>
      </c>
      <c r="D168" t="e">
        <f ca="1">_xlfn.XLOOKUP(C168,Pareto!S:S,Pareto!T:T)</f>
        <v>#N/A</v>
      </c>
    </row>
    <row r="169" spans="1:4" x14ac:dyDescent="0.3">
      <c r="A169">
        <v>168</v>
      </c>
      <c r="B169" s="235" t="str">
        <f ca="1">IFERROR(LARGE(Pareto!W:W,A169)," ")</f>
        <v xml:space="preserve"> </v>
      </c>
      <c r="C169" t="e">
        <f ca="1">_xlfn.XLOOKUP(B169,Pareto!W:W,Pareto!S:S)</f>
        <v>#N/A</v>
      </c>
      <c r="D169" t="e">
        <f ca="1">_xlfn.XLOOKUP(C169,Pareto!S:S,Pareto!T:T)</f>
        <v>#N/A</v>
      </c>
    </row>
    <row r="170" spans="1:4" x14ac:dyDescent="0.3">
      <c r="A170">
        <v>169</v>
      </c>
      <c r="B170" s="235" t="str">
        <f ca="1">IFERROR(LARGE(Pareto!W:W,A170)," ")</f>
        <v xml:space="preserve"> </v>
      </c>
      <c r="C170" t="e">
        <f ca="1">_xlfn.XLOOKUP(B170,Pareto!W:W,Pareto!S:S)</f>
        <v>#N/A</v>
      </c>
      <c r="D170" t="e">
        <f ca="1">_xlfn.XLOOKUP(C170,Pareto!S:S,Pareto!T:T)</f>
        <v>#N/A</v>
      </c>
    </row>
    <row r="171" spans="1:4" x14ac:dyDescent="0.3">
      <c r="A171">
        <v>170</v>
      </c>
      <c r="B171" s="235" t="str">
        <f ca="1">IFERROR(LARGE(Pareto!W:W,A171)," ")</f>
        <v xml:space="preserve"> </v>
      </c>
      <c r="C171" t="e">
        <f ca="1">_xlfn.XLOOKUP(B171,Pareto!W:W,Pareto!S:S)</f>
        <v>#N/A</v>
      </c>
      <c r="D171" t="e">
        <f ca="1">_xlfn.XLOOKUP(C171,Pareto!S:S,Pareto!T:T)</f>
        <v>#N/A</v>
      </c>
    </row>
    <row r="172" spans="1:4" x14ac:dyDescent="0.3">
      <c r="A172">
        <v>171</v>
      </c>
      <c r="B172" s="235" t="str">
        <f ca="1">IFERROR(LARGE(Pareto!W:W,A172)," ")</f>
        <v xml:space="preserve"> </v>
      </c>
      <c r="C172" t="e">
        <f ca="1">_xlfn.XLOOKUP(B172,Pareto!W:W,Pareto!S:S)</f>
        <v>#N/A</v>
      </c>
      <c r="D172" t="e">
        <f ca="1">_xlfn.XLOOKUP(C172,Pareto!S:S,Pareto!T:T)</f>
        <v>#N/A</v>
      </c>
    </row>
    <row r="173" spans="1:4" x14ac:dyDescent="0.3">
      <c r="A173">
        <v>172</v>
      </c>
      <c r="B173" s="235" t="str">
        <f ca="1">IFERROR(LARGE(Pareto!W:W,A173)," ")</f>
        <v xml:space="preserve"> </v>
      </c>
      <c r="C173" t="e">
        <f ca="1">_xlfn.XLOOKUP(B173,Pareto!W:W,Pareto!S:S)</f>
        <v>#N/A</v>
      </c>
      <c r="D173" t="e">
        <f ca="1">_xlfn.XLOOKUP(C173,Pareto!S:S,Pareto!T:T)</f>
        <v>#N/A</v>
      </c>
    </row>
    <row r="174" spans="1:4" x14ac:dyDescent="0.3">
      <c r="A174">
        <v>173</v>
      </c>
      <c r="B174" s="235" t="str">
        <f ca="1">IFERROR(LARGE(Pareto!W:W,A174)," ")</f>
        <v xml:space="preserve"> </v>
      </c>
      <c r="C174" t="e">
        <f ca="1">_xlfn.XLOOKUP(B174,Pareto!W:W,Pareto!S:S)</f>
        <v>#N/A</v>
      </c>
      <c r="D174" t="e">
        <f ca="1">_xlfn.XLOOKUP(C174,Pareto!S:S,Pareto!T:T)</f>
        <v>#N/A</v>
      </c>
    </row>
    <row r="175" spans="1:4" x14ac:dyDescent="0.3">
      <c r="A175">
        <v>174</v>
      </c>
      <c r="B175" s="235" t="str">
        <f ca="1">IFERROR(LARGE(Pareto!W:W,A175)," ")</f>
        <v xml:space="preserve"> </v>
      </c>
      <c r="C175" t="e">
        <f ca="1">_xlfn.XLOOKUP(B175,Pareto!W:W,Pareto!S:S)</f>
        <v>#N/A</v>
      </c>
      <c r="D175" t="e">
        <f ca="1">_xlfn.XLOOKUP(C175,Pareto!S:S,Pareto!T:T)</f>
        <v>#N/A</v>
      </c>
    </row>
    <row r="176" spans="1:4" x14ac:dyDescent="0.3">
      <c r="A176">
        <v>175</v>
      </c>
      <c r="B176" s="235" t="str">
        <f ca="1">IFERROR(LARGE(Pareto!W:W,A176)," ")</f>
        <v xml:space="preserve"> </v>
      </c>
      <c r="C176" t="e">
        <f ca="1">_xlfn.XLOOKUP(B176,Pareto!W:W,Pareto!S:S)</f>
        <v>#N/A</v>
      </c>
      <c r="D176" t="e">
        <f ca="1">_xlfn.XLOOKUP(C176,Pareto!S:S,Pareto!T:T)</f>
        <v>#N/A</v>
      </c>
    </row>
    <row r="177" spans="1:4" x14ac:dyDescent="0.3">
      <c r="A177">
        <v>176</v>
      </c>
      <c r="B177" s="235" t="str">
        <f ca="1">IFERROR(LARGE(Pareto!W:W,A177)," ")</f>
        <v xml:space="preserve"> </v>
      </c>
      <c r="C177" t="e">
        <f ca="1">_xlfn.XLOOKUP(B177,Pareto!W:W,Pareto!S:S)</f>
        <v>#N/A</v>
      </c>
      <c r="D177" t="e">
        <f ca="1">_xlfn.XLOOKUP(C177,Pareto!S:S,Pareto!T:T)</f>
        <v>#N/A</v>
      </c>
    </row>
    <row r="178" spans="1:4" x14ac:dyDescent="0.3">
      <c r="A178">
        <v>177</v>
      </c>
      <c r="B178" s="235" t="str">
        <f ca="1">IFERROR(LARGE(Pareto!W:W,A178)," ")</f>
        <v xml:space="preserve"> </v>
      </c>
      <c r="C178" t="e">
        <f ca="1">_xlfn.XLOOKUP(B178,Pareto!W:W,Pareto!S:S)</f>
        <v>#N/A</v>
      </c>
      <c r="D178" t="e">
        <f ca="1">_xlfn.XLOOKUP(C178,Pareto!S:S,Pareto!T:T)</f>
        <v>#N/A</v>
      </c>
    </row>
    <row r="179" spans="1:4" x14ac:dyDescent="0.3">
      <c r="A179">
        <v>178</v>
      </c>
      <c r="B179" s="235" t="str">
        <f ca="1">IFERROR(LARGE(Pareto!W:W,A179)," ")</f>
        <v xml:space="preserve"> </v>
      </c>
      <c r="C179" t="e">
        <f ca="1">_xlfn.XLOOKUP(B179,Pareto!W:W,Pareto!S:S)</f>
        <v>#N/A</v>
      </c>
      <c r="D179" t="e">
        <f ca="1">_xlfn.XLOOKUP(C179,Pareto!S:S,Pareto!T:T)</f>
        <v>#N/A</v>
      </c>
    </row>
    <row r="180" spans="1:4" x14ac:dyDescent="0.3">
      <c r="A180">
        <v>179</v>
      </c>
      <c r="B180" s="235" t="str">
        <f ca="1">IFERROR(LARGE(Pareto!W:W,A180)," ")</f>
        <v xml:space="preserve"> </v>
      </c>
      <c r="C180" t="e">
        <f ca="1">_xlfn.XLOOKUP(B180,Pareto!W:W,Pareto!S:S)</f>
        <v>#N/A</v>
      </c>
      <c r="D180" t="e">
        <f ca="1">_xlfn.XLOOKUP(C180,Pareto!S:S,Pareto!T:T)</f>
        <v>#N/A</v>
      </c>
    </row>
    <row r="181" spans="1:4" x14ac:dyDescent="0.3">
      <c r="A181">
        <v>180</v>
      </c>
      <c r="B181" s="235" t="str">
        <f ca="1">IFERROR(LARGE(Pareto!W:W,A181)," ")</f>
        <v xml:space="preserve"> </v>
      </c>
      <c r="C181" t="e">
        <f ca="1">_xlfn.XLOOKUP(B181,Pareto!W:W,Pareto!S:S)</f>
        <v>#N/A</v>
      </c>
      <c r="D181" t="e">
        <f ca="1">_xlfn.XLOOKUP(C181,Pareto!S:S,Pareto!T:T)</f>
        <v>#N/A</v>
      </c>
    </row>
    <row r="182" spans="1:4" x14ac:dyDescent="0.3">
      <c r="A182">
        <v>181</v>
      </c>
      <c r="B182" s="235" t="str">
        <f ca="1">IFERROR(LARGE(Pareto!W:W,A182)," ")</f>
        <v xml:space="preserve"> </v>
      </c>
      <c r="C182" t="e">
        <f ca="1">_xlfn.XLOOKUP(B182,Pareto!W:W,Pareto!S:S)</f>
        <v>#N/A</v>
      </c>
      <c r="D182" t="e">
        <f ca="1">_xlfn.XLOOKUP(C182,Pareto!S:S,Pareto!T:T)</f>
        <v>#N/A</v>
      </c>
    </row>
    <row r="183" spans="1:4" x14ac:dyDescent="0.3">
      <c r="A183">
        <v>182</v>
      </c>
      <c r="B183" s="235" t="str">
        <f ca="1">IFERROR(LARGE(Pareto!W:W,A183)," ")</f>
        <v xml:space="preserve"> </v>
      </c>
      <c r="C183" t="e">
        <f ca="1">_xlfn.XLOOKUP(B183,Pareto!W:W,Pareto!S:S)</f>
        <v>#N/A</v>
      </c>
      <c r="D183" t="e">
        <f ca="1">_xlfn.XLOOKUP(C183,Pareto!S:S,Pareto!T:T)</f>
        <v>#N/A</v>
      </c>
    </row>
    <row r="184" spans="1:4" x14ac:dyDescent="0.3">
      <c r="A184">
        <v>183</v>
      </c>
      <c r="B184" s="235" t="str">
        <f ca="1">IFERROR(LARGE(Pareto!W:W,A184)," ")</f>
        <v xml:space="preserve"> </v>
      </c>
      <c r="C184" t="e">
        <f ca="1">_xlfn.XLOOKUP(B184,Pareto!W:W,Pareto!S:S)</f>
        <v>#N/A</v>
      </c>
      <c r="D184" t="e">
        <f ca="1">_xlfn.XLOOKUP(C184,Pareto!S:S,Pareto!T:T)</f>
        <v>#N/A</v>
      </c>
    </row>
    <row r="185" spans="1:4" x14ac:dyDescent="0.3">
      <c r="A185">
        <v>184</v>
      </c>
      <c r="B185" s="235" t="str">
        <f ca="1">IFERROR(LARGE(Pareto!W:W,A185)," ")</f>
        <v xml:space="preserve"> </v>
      </c>
      <c r="C185" t="e">
        <f ca="1">_xlfn.XLOOKUP(B185,Pareto!W:W,Pareto!S:S)</f>
        <v>#N/A</v>
      </c>
      <c r="D185" t="e">
        <f ca="1">_xlfn.XLOOKUP(C185,Pareto!S:S,Pareto!T:T)</f>
        <v>#N/A</v>
      </c>
    </row>
    <row r="186" spans="1:4" x14ac:dyDescent="0.3">
      <c r="A186">
        <v>185</v>
      </c>
      <c r="B186" s="235" t="str">
        <f ca="1">IFERROR(LARGE(Pareto!W:W,A186)," ")</f>
        <v xml:space="preserve"> </v>
      </c>
      <c r="C186" t="e">
        <f ca="1">_xlfn.XLOOKUP(B186,Pareto!W:W,Pareto!S:S)</f>
        <v>#N/A</v>
      </c>
      <c r="D186" t="e">
        <f ca="1">_xlfn.XLOOKUP(C186,Pareto!S:S,Pareto!T:T)</f>
        <v>#N/A</v>
      </c>
    </row>
    <row r="187" spans="1:4" x14ac:dyDescent="0.3">
      <c r="A187">
        <v>186</v>
      </c>
      <c r="B187" s="235" t="str">
        <f ca="1">IFERROR(LARGE(Pareto!W:W,A187)," ")</f>
        <v xml:space="preserve"> </v>
      </c>
      <c r="C187" t="e">
        <f ca="1">_xlfn.XLOOKUP(B187,Pareto!W:W,Pareto!S:S)</f>
        <v>#N/A</v>
      </c>
      <c r="D187" t="e">
        <f ca="1">_xlfn.XLOOKUP(C187,Pareto!S:S,Pareto!T:T)</f>
        <v>#N/A</v>
      </c>
    </row>
    <row r="188" spans="1:4" x14ac:dyDescent="0.3">
      <c r="A188">
        <v>187</v>
      </c>
      <c r="B188" s="235" t="str">
        <f ca="1">IFERROR(LARGE(Pareto!W:W,A188)," ")</f>
        <v xml:space="preserve"> </v>
      </c>
      <c r="C188" t="e">
        <f ca="1">_xlfn.XLOOKUP(B188,Pareto!W:W,Pareto!S:S)</f>
        <v>#N/A</v>
      </c>
      <c r="D188" t="e">
        <f ca="1">_xlfn.XLOOKUP(C188,Pareto!S:S,Pareto!T:T)</f>
        <v>#N/A</v>
      </c>
    </row>
    <row r="189" spans="1:4" x14ac:dyDescent="0.3">
      <c r="A189">
        <v>188</v>
      </c>
      <c r="B189" s="235" t="str">
        <f ca="1">IFERROR(LARGE(Pareto!W:W,A189)," ")</f>
        <v xml:space="preserve"> </v>
      </c>
      <c r="C189" t="e">
        <f ca="1">_xlfn.XLOOKUP(B189,Pareto!W:W,Pareto!S:S)</f>
        <v>#N/A</v>
      </c>
      <c r="D189" t="e">
        <f ca="1">_xlfn.XLOOKUP(C189,Pareto!S:S,Pareto!T:T)</f>
        <v>#N/A</v>
      </c>
    </row>
    <row r="190" spans="1:4" x14ac:dyDescent="0.3">
      <c r="A190">
        <v>189</v>
      </c>
      <c r="B190" s="235" t="str">
        <f ca="1">IFERROR(LARGE(Pareto!W:W,A190)," ")</f>
        <v xml:space="preserve"> </v>
      </c>
      <c r="C190" t="e">
        <f ca="1">_xlfn.XLOOKUP(B190,Pareto!W:W,Pareto!S:S)</f>
        <v>#N/A</v>
      </c>
      <c r="D190" t="e">
        <f ca="1">_xlfn.XLOOKUP(C190,Pareto!S:S,Pareto!T:T)</f>
        <v>#N/A</v>
      </c>
    </row>
    <row r="191" spans="1:4" x14ac:dyDescent="0.3">
      <c r="A191">
        <v>190</v>
      </c>
      <c r="B191" s="235" t="str">
        <f ca="1">IFERROR(LARGE(Pareto!W:W,A191)," ")</f>
        <v xml:space="preserve"> </v>
      </c>
      <c r="C191" t="e">
        <f ca="1">_xlfn.XLOOKUP(B191,Pareto!W:W,Pareto!S:S)</f>
        <v>#N/A</v>
      </c>
      <c r="D191" t="e">
        <f ca="1">_xlfn.XLOOKUP(C191,Pareto!S:S,Pareto!T:T)</f>
        <v>#N/A</v>
      </c>
    </row>
    <row r="192" spans="1:4" x14ac:dyDescent="0.3">
      <c r="A192">
        <v>191</v>
      </c>
      <c r="B192" s="235" t="str">
        <f ca="1">IFERROR(LARGE(Pareto!W:W,A192)," ")</f>
        <v xml:space="preserve"> </v>
      </c>
      <c r="C192" t="e">
        <f ca="1">_xlfn.XLOOKUP(B192,Pareto!W:W,Pareto!S:S)</f>
        <v>#N/A</v>
      </c>
      <c r="D192" t="e">
        <f ca="1">_xlfn.XLOOKUP(C192,Pareto!S:S,Pareto!T:T)</f>
        <v>#N/A</v>
      </c>
    </row>
    <row r="193" spans="1:4" x14ac:dyDescent="0.3">
      <c r="A193">
        <v>192</v>
      </c>
      <c r="B193" s="235" t="str">
        <f ca="1">IFERROR(LARGE(Pareto!W:W,A193)," ")</f>
        <v xml:space="preserve"> </v>
      </c>
      <c r="C193" t="e">
        <f ca="1">_xlfn.XLOOKUP(B193,Pareto!W:W,Pareto!S:S)</f>
        <v>#N/A</v>
      </c>
      <c r="D193" t="e">
        <f ca="1">_xlfn.XLOOKUP(C193,Pareto!S:S,Pareto!T:T)</f>
        <v>#N/A</v>
      </c>
    </row>
    <row r="194" spans="1:4" x14ac:dyDescent="0.3">
      <c r="A194">
        <v>193</v>
      </c>
      <c r="B194" s="235" t="str">
        <f ca="1">IFERROR(LARGE(Pareto!W:W,A194)," ")</f>
        <v xml:space="preserve"> </v>
      </c>
      <c r="C194" t="e">
        <f ca="1">_xlfn.XLOOKUP(B194,Pareto!W:W,Pareto!S:S)</f>
        <v>#N/A</v>
      </c>
      <c r="D194" t="e">
        <f ca="1">_xlfn.XLOOKUP(C194,Pareto!S:S,Pareto!T:T)</f>
        <v>#N/A</v>
      </c>
    </row>
    <row r="195" spans="1:4" x14ac:dyDescent="0.3">
      <c r="A195">
        <v>194</v>
      </c>
      <c r="B195" s="235" t="str">
        <f ca="1">IFERROR(LARGE(Pareto!W:W,A195)," ")</f>
        <v xml:space="preserve"> </v>
      </c>
      <c r="C195" t="e">
        <f ca="1">_xlfn.XLOOKUP(B195,Pareto!W:W,Pareto!S:S)</f>
        <v>#N/A</v>
      </c>
      <c r="D195" t="e">
        <f ca="1">_xlfn.XLOOKUP(C195,Pareto!S:S,Pareto!T:T)</f>
        <v>#N/A</v>
      </c>
    </row>
    <row r="196" spans="1:4" x14ac:dyDescent="0.3">
      <c r="A196">
        <v>195</v>
      </c>
      <c r="B196" s="235" t="str">
        <f ca="1">IFERROR(LARGE(Pareto!W:W,A196)," ")</f>
        <v xml:space="preserve"> </v>
      </c>
      <c r="C196" t="e">
        <f ca="1">_xlfn.XLOOKUP(B196,Pareto!W:W,Pareto!S:S)</f>
        <v>#N/A</v>
      </c>
      <c r="D196" t="e">
        <f ca="1">_xlfn.XLOOKUP(C196,Pareto!S:S,Pareto!T:T)</f>
        <v>#N/A</v>
      </c>
    </row>
    <row r="197" spans="1:4" x14ac:dyDescent="0.3">
      <c r="A197">
        <v>196</v>
      </c>
      <c r="B197" s="235" t="str">
        <f ca="1">IFERROR(LARGE(Pareto!W:W,A197)," ")</f>
        <v xml:space="preserve"> </v>
      </c>
      <c r="C197" t="e">
        <f ca="1">_xlfn.XLOOKUP(B197,Pareto!W:W,Pareto!S:S)</f>
        <v>#N/A</v>
      </c>
      <c r="D197" t="e">
        <f ca="1">_xlfn.XLOOKUP(C197,Pareto!S:S,Pareto!T:T)</f>
        <v>#N/A</v>
      </c>
    </row>
    <row r="198" spans="1:4" x14ac:dyDescent="0.3">
      <c r="A198">
        <v>197</v>
      </c>
      <c r="B198" s="235" t="str">
        <f ca="1">IFERROR(LARGE(Pareto!W:W,A198)," ")</f>
        <v xml:space="preserve"> </v>
      </c>
      <c r="C198" t="e">
        <f ca="1">_xlfn.XLOOKUP(B198,Pareto!W:W,Pareto!S:S)</f>
        <v>#N/A</v>
      </c>
      <c r="D198" t="e">
        <f ca="1">_xlfn.XLOOKUP(C198,Pareto!S:S,Pareto!T:T)</f>
        <v>#N/A</v>
      </c>
    </row>
    <row r="199" spans="1:4" x14ac:dyDescent="0.3">
      <c r="A199">
        <v>198</v>
      </c>
      <c r="B199" s="235" t="str">
        <f ca="1">IFERROR(LARGE(Pareto!W:W,A199)," ")</f>
        <v xml:space="preserve"> </v>
      </c>
      <c r="C199" t="e">
        <f ca="1">_xlfn.XLOOKUP(B199,Pareto!W:W,Pareto!S:S)</f>
        <v>#N/A</v>
      </c>
      <c r="D199" t="e">
        <f ca="1">_xlfn.XLOOKUP(C199,Pareto!S:S,Pareto!T:T)</f>
        <v>#N/A</v>
      </c>
    </row>
    <row r="200" spans="1:4" x14ac:dyDescent="0.3">
      <c r="A200">
        <v>199</v>
      </c>
      <c r="B200" s="235" t="str">
        <f ca="1">IFERROR(LARGE(Pareto!W:W,A200)," ")</f>
        <v xml:space="preserve"> </v>
      </c>
      <c r="C200" t="e">
        <f ca="1">_xlfn.XLOOKUP(B200,Pareto!W:W,Pareto!S:S)</f>
        <v>#N/A</v>
      </c>
      <c r="D200" t="e">
        <f ca="1">_xlfn.XLOOKUP(C200,Pareto!S:S,Pareto!T:T)</f>
        <v>#N/A</v>
      </c>
    </row>
    <row r="201" spans="1:4" x14ac:dyDescent="0.3">
      <c r="A201">
        <v>200</v>
      </c>
      <c r="B201" s="235" t="str">
        <f ca="1">IFERROR(LARGE(Pareto!W:W,A201)," ")</f>
        <v xml:space="preserve"> </v>
      </c>
      <c r="C201" t="e">
        <f ca="1">_xlfn.XLOOKUP(B201,Pareto!W:W,Pareto!S:S)</f>
        <v>#N/A</v>
      </c>
      <c r="D201" t="e">
        <f ca="1">_xlfn.XLOOKUP(C201,Pareto!S:S,Pareto!T:T)</f>
        <v>#N/A</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7255-D4EC-4A07-AFDC-53B2A8646398}">
  <sheetPr filterMode="1"/>
  <dimension ref="A1:N501"/>
  <sheetViews>
    <sheetView topLeftCell="A37" workbookViewId="0">
      <selection activeCell="G39" sqref="G39"/>
    </sheetView>
  </sheetViews>
  <sheetFormatPr defaultRowHeight="14.4" x14ac:dyDescent="0.3"/>
  <cols>
    <col min="2" max="2" width="96.44140625" bestFit="1" customWidth="1"/>
    <col min="3" max="3" width="15.44140625" bestFit="1" customWidth="1"/>
    <col min="4" max="4" width="15.5546875" bestFit="1" customWidth="1"/>
    <col min="5" max="5" width="14" bestFit="1" customWidth="1"/>
    <col min="7" max="7" width="15.44140625" bestFit="1" customWidth="1"/>
    <col min="10" max="10" width="15.44140625" bestFit="1" customWidth="1"/>
  </cols>
  <sheetData>
    <row r="1" spans="1:14" x14ac:dyDescent="0.3">
      <c r="G1" t="s">
        <v>77</v>
      </c>
      <c r="J1" t="s">
        <v>80</v>
      </c>
      <c r="M1" t="s">
        <v>83</v>
      </c>
    </row>
    <row r="2" spans="1:14" x14ac:dyDescent="0.3">
      <c r="G2" t="s">
        <v>21</v>
      </c>
      <c r="H2">
        <f t="shared" ref="H2:H7" si="0">COUNTIFS(A:A,G2,C:C,$G$1)</f>
        <v>36</v>
      </c>
      <c r="J2" t="s">
        <v>21</v>
      </c>
      <c r="K2">
        <f t="shared" ref="K2:K7" si="1">COUNTIFS(A:A,J2,C:C,$J$1)</f>
        <v>19</v>
      </c>
      <c r="M2" t="s">
        <v>21</v>
      </c>
      <c r="N2">
        <f t="shared" ref="N2:N7" si="2">COUNTIFS(A:A,M2,C:C,$M$1)</f>
        <v>1</v>
      </c>
    </row>
    <row r="3" spans="1:14" x14ac:dyDescent="0.3">
      <c r="G3" t="s">
        <v>22</v>
      </c>
      <c r="H3">
        <f t="shared" si="0"/>
        <v>3</v>
      </c>
      <c r="J3" t="s">
        <v>22</v>
      </c>
      <c r="K3">
        <f t="shared" si="1"/>
        <v>15</v>
      </c>
      <c r="M3" t="s">
        <v>22</v>
      </c>
      <c r="N3">
        <f t="shared" si="2"/>
        <v>2</v>
      </c>
    </row>
    <row r="4" spans="1:14" x14ac:dyDescent="0.3">
      <c r="G4" t="s">
        <v>2559</v>
      </c>
      <c r="H4">
        <f t="shared" si="0"/>
        <v>1</v>
      </c>
      <c r="J4" t="s">
        <v>2559</v>
      </c>
      <c r="K4">
        <f t="shared" si="1"/>
        <v>19</v>
      </c>
      <c r="M4" t="s">
        <v>2559</v>
      </c>
      <c r="N4">
        <f t="shared" si="2"/>
        <v>0</v>
      </c>
    </row>
    <row r="5" spans="1:14" x14ac:dyDescent="0.3">
      <c r="G5" t="s">
        <v>24</v>
      </c>
      <c r="H5">
        <f t="shared" ca="1" si="0"/>
        <v>7</v>
      </c>
      <c r="J5" t="s">
        <v>24</v>
      </c>
      <c r="K5">
        <f t="shared" ca="1" si="1"/>
        <v>23</v>
      </c>
      <c r="M5" t="s">
        <v>24</v>
      </c>
      <c r="N5">
        <f t="shared" ca="1" si="2"/>
        <v>4</v>
      </c>
    </row>
    <row r="6" spans="1:14" x14ac:dyDescent="0.3">
      <c r="G6" t="s">
        <v>25</v>
      </c>
      <c r="H6">
        <f t="shared" si="0"/>
        <v>0</v>
      </c>
      <c r="J6" t="s">
        <v>25</v>
      </c>
      <c r="K6">
        <f t="shared" si="1"/>
        <v>13</v>
      </c>
      <c r="M6" t="s">
        <v>25</v>
      </c>
      <c r="N6">
        <f t="shared" si="2"/>
        <v>0</v>
      </c>
    </row>
    <row r="7" spans="1:14" x14ac:dyDescent="0.3">
      <c r="G7" t="s">
        <v>26</v>
      </c>
      <c r="H7">
        <f t="shared" si="0"/>
        <v>18</v>
      </c>
      <c r="J7" t="s">
        <v>26</v>
      </c>
      <c r="K7">
        <f t="shared" si="1"/>
        <v>21</v>
      </c>
      <c r="M7" t="s">
        <v>26</v>
      </c>
      <c r="N7">
        <f t="shared" si="2"/>
        <v>2</v>
      </c>
    </row>
    <row r="8" spans="1:14" x14ac:dyDescent="0.3">
      <c r="A8" t="s">
        <v>73</v>
      </c>
      <c r="B8" t="s">
        <v>2560</v>
      </c>
      <c r="C8" t="s">
        <v>2552</v>
      </c>
      <c r="D8" t="s">
        <v>2561</v>
      </c>
      <c r="E8" s="594" t="s">
        <v>106</v>
      </c>
    </row>
    <row r="9" spans="1:14" x14ac:dyDescent="0.3">
      <c r="A9" t="s">
        <v>21</v>
      </c>
      <c r="B9" t="str">
        <f>Diadema!C55</f>
        <v>01 - Redução de peso bruto DA000489A</v>
      </c>
      <c r="C9" t="str">
        <f>_xlfn.XLOOKUP(B9,Diadema!$C$55:$C$176,Diadema!$O$55:$O$176)</f>
        <v>✓ Concluído</v>
      </c>
      <c r="D9" s="804">
        <f>_xlfn.XLOOKUP(B9,Diadema!$C$55:$C$176,Diadema!$J$55:$J$176)</f>
        <v>46082</v>
      </c>
      <c r="E9" s="235">
        <f ca="1">_xlfn.XLOOKUP(B9,Pareto!S:S,Pareto!V:V)</f>
        <v>48053.487000000008</v>
      </c>
    </row>
    <row r="10" spans="1:14" hidden="1" x14ac:dyDescent="0.3">
      <c r="A10" t="s">
        <v>21</v>
      </c>
      <c r="B10">
        <f>Diadema!C56</f>
        <v>0</v>
      </c>
      <c r="C10" t="e">
        <f>_xlfn.XLOOKUP(B10,Diadema!$C$55:$C$176,Diadema!$O$55:$O$176)</f>
        <v>#N/A</v>
      </c>
      <c r="D10" s="803" t="e">
        <f>_xlfn.XLOOKUP(B10,Diadema!$C$55:$C$176,Diadema!$J$55:$J$176)</f>
        <v>#N/A</v>
      </c>
    </row>
    <row r="11" spans="1:14" x14ac:dyDescent="0.3">
      <c r="A11" t="s">
        <v>21</v>
      </c>
      <c r="B11" t="str">
        <f>Diadema!C57</f>
        <v>02 - Redução na quantidade de lâmpadas acessa, na produção</v>
      </c>
      <c r="C11" t="str">
        <f>_xlfn.XLOOKUP(B11,Diadema!$C$55:$C$176,Diadema!$O$55:$O$176)</f>
        <v>✓ Concluído</v>
      </c>
      <c r="D11" s="804">
        <f>_xlfn.XLOOKUP(B11,Diadema!$C$55:$C$176,Diadema!$J$55:$J$176)</f>
        <v>0</v>
      </c>
      <c r="E11" s="235" t="str">
        <f ca="1">_xlfn.XLOOKUP(B11,Pareto!S:S,Pareto!V:V)</f>
        <v/>
      </c>
    </row>
    <row r="12" spans="1:14" hidden="1" x14ac:dyDescent="0.3">
      <c r="A12" t="s">
        <v>21</v>
      </c>
      <c r="B12">
        <f>Diadema!C58</f>
        <v>0</v>
      </c>
      <c r="C12" t="e">
        <f>_xlfn.XLOOKUP(B12,Diadema!$C$55:$C$176,Diadema!$O$55:$O$176)</f>
        <v>#N/A</v>
      </c>
      <c r="D12" s="803" t="e">
        <f>_xlfn.XLOOKUP(B12,Diadema!$C$55:$C$176,Diadema!$J$55:$J$176)</f>
        <v>#N/A</v>
      </c>
    </row>
    <row r="13" spans="1:14" x14ac:dyDescent="0.3">
      <c r="A13" t="s">
        <v>21</v>
      </c>
      <c r="B13" t="str">
        <f>Diadema!C59</f>
        <v>03 - Otimização de processo - Cavalo Marinho</v>
      </c>
      <c r="C13" t="str">
        <f>_xlfn.XLOOKUP(B13,Diadema!$C$55:$C$176,Diadema!$O$55:$O$176)</f>
        <v>✓ Concluído</v>
      </c>
      <c r="D13" s="804">
        <f>_xlfn.XLOOKUP(B13,Diadema!$C$55:$C$176,Diadema!$J$55:$J$176)</f>
        <v>46082</v>
      </c>
      <c r="E13" s="235">
        <f ca="1">_xlfn.XLOOKUP(B13,Pareto!S:S,Pareto!V:V)</f>
        <v>7200.0002700000005</v>
      </c>
    </row>
    <row r="14" spans="1:14" hidden="1" x14ac:dyDescent="0.3">
      <c r="A14" t="s">
        <v>21</v>
      </c>
      <c r="B14">
        <f>Diadema!C60</f>
        <v>0</v>
      </c>
      <c r="C14" t="e">
        <f>_xlfn.XLOOKUP(B14,Diadema!$C$55:$C$176,Diadema!$O$55:$O$176)</f>
        <v>#N/A</v>
      </c>
      <c r="D14" s="803" t="e">
        <f>_xlfn.XLOOKUP(B14,Diadema!$C$55:$C$176,Diadema!$J$55:$J$176)</f>
        <v>#N/A</v>
      </c>
    </row>
    <row r="15" spans="1:14" x14ac:dyDescent="0.3">
      <c r="A15" t="s">
        <v>21</v>
      </c>
      <c r="B15" t="str">
        <f>Diadema!C61</f>
        <v>04 - Otimização de processo - Pulmão</v>
      </c>
      <c r="C15" t="str">
        <f>_xlfn.XLOOKUP(B15,Diadema!$C$55:$C$176,Diadema!$O$55:$O$176)</f>
        <v>✓ Concluído</v>
      </c>
      <c r="D15" s="804">
        <f>_xlfn.XLOOKUP(B15,Diadema!$C$55:$C$176,Diadema!$J$55:$J$176)</f>
        <v>46082</v>
      </c>
      <c r="E15" s="235">
        <f ca="1">_xlfn.XLOOKUP(B15,Pareto!S:S,Pareto!V:V)</f>
        <v>12600</v>
      </c>
    </row>
    <row r="16" spans="1:14" hidden="1" x14ac:dyDescent="0.3">
      <c r="A16" t="s">
        <v>21</v>
      </c>
      <c r="B16">
        <f>Diadema!C62</f>
        <v>0</v>
      </c>
      <c r="C16" t="e">
        <f>_xlfn.XLOOKUP(B16,Diadema!$C$55:$C$176,Diadema!$O$55:$O$176)</f>
        <v>#N/A</v>
      </c>
      <c r="D16" s="803" t="e">
        <f>_xlfn.XLOOKUP(B16,Diadema!$C$55:$C$176,Diadema!$J$55:$J$176)</f>
        <v>#N/A</v>
      </c>
    </row>
    <row r="17" spans="1:5" x14ac:dyDescent="0.3">
      <c r="A17" t="s">
        <v>21</v>
      </c>
      <c r="B17" t="str">
        <f>Diadema!C63</f>
        <v>05 - Empilhadeira - Diadema</v>
      </c>
      <c r="C17" t="str">
        <f>_xlfn.XLOOKUP(B17,Diadema!$C$55:$C$176,Diadema!$O$55:$O$176)</f>
        <v>✓ Concluído</v>
      </c>
      <c r="D17" s="804">
        <f>_xlfn.XLOOKUP(B17,Diadema!$C$55:$C$176,Diadema!$J$55:$J$176)</f>
        <v>46082</v>
      </c>
      <c r="E17" s="235">
        <f ca="1">_xlfn.XLOOKUP(B17,Pareto!S:S,Pareto!V:V)</f>
        <v>16983.227999999999</v>
      </c>
    </row>
    <row r="18" spans="1:5" hidden="1" x14ac:dyDescent="0.3">
      <c r="A18" t="s">
        <v>21</v>
      </c>
      <c r="B18">
        <f>Diadema!C64</f>
        <v>0</v>
      </c>
      <c r="C18" t="e">
        <f>_xlfn.XLOOKUP(B18,Diadema!$C$55:$C$176,Diadema!$O$55:$O$176)</f>
        <v>#N/A</v>
      </c>
      <c r="D18" s="803" t="e">
        <f>_xlfn.XLOOKUP(B18,Diadema!$C$55:$C$176,Diadema!$J$55:$J$176)</f>
        <v>#N/A</v>
      </c>
    </row>
    <row r="19" spans="1:5" hidden="1" x14ac:dyDescent="0.3">
      <c r="A19" t="s">
        <v>21</v>
      </c>
      <c r="B19" t="str">
        <f>Diadema!C65</f>
        <v>06 - Produtividade</v>
      </c>
      <c r="C19" t="str">
        <f>_xlfn.XLOOKUP(B19,Diadema!$C$55:$C$176,Diadema!$O$55:$O$176)</f>
        <v>✓ Concluído</v>
      </c>
      <c r="D19" s="803">
        <f>_xlfn.XLOOKUP(B19,Diadema!$C$55:$C$176,Diadema!$J$55:$J$176)</f>
        <v>46143</v>
      </c>
    </row>
    <row r="20" spans="1:5" hidden="1" x14ac:dyDescent="0.3">
      <c r="A20" t="s">
        <v>21</v>
      </c>
      <c r="B20">
        <f>Diadema!C66</f>
        <v>0</v>
      </c>
      <c r="C20" t="e">
        <f>_xlfn.XLOOKUP(B20,Diadema!$C$55:$C$176,Diadema!$O$55:$O$176)</f>
        <v>#N/A</v>
      </c>
      <c r="D20" s="803" t="e">
        <f>_xlfn.XLOOKUP(B20,Diadema!$C$55:$C$176,Diadema!$J$55:$J$176)</f>
        <v>#N/A</v>
      </c>
    </row>
    <row r="21" spans="1:5" hidden="1" x14ac:dyDescent="0.3">
      <c r="A21" t="s">
        <v>21</v>
      </c>
      <c r="B21" t="str">
        <f>Diadema!C67</f>
        <v xml:space="preserve"> 07 - Consumo de água</v>
      </c>
      <c r="C21" t="str">
        <f>_xlfn.XLOOKUP(B21,Diadema!$C$55:$C$176,Diadema!$O$55:$O$176)</f>
        <v>⏳ Em Execução</v>
      </c>
      <c r="D21" s="803">
        <f>_xlfn.XLOOKUP(B21,Diadema!$C$55:$C$176,Diadema!$J$55:$J$176)</f>
        <v>0</v>
      </c>
    </row>
    <row r="22" spans="1:5" hidden="1" x14ac:dyDescent="0.3">
      <c r="A22" t="s">
        <v>21</v>
      </c>
      <c r="B22">
        <f>Diadema!C68</f>
        <v>0</v>
      </c>
      <c r="C22" t="e">
        <f>_xlfn.XLOOKUP(B22,Diadema!$C$55:$C$176,Diadema!$O$55:$O$176)</f>
        <v>#N/A</v>
      </c>
      <c r="D22" s="803" t="e">
        <f>_xlfn.XLOOKUP(B22,Diadema!$C$55:$C$176,Diadema!$J$55:$J$176)</f>
        <v>#N/A</v>
      </c>
    </row>
    <row r="23" spans="1:5" hidden="1" x14ac:dyDescent="0.3">
      <c r="A23" t="s">
        <v>21</v>
      </c>
      <c r="B23" t="str">
        <f>Diadema!C69</f>
        <v>08 - Redução de peso bruto MB002446LA / MB003670LA / MB003671LA</v>
      </c>
      <c r="C23" t="str">
        <f>_xlfn.XLOOKUP(B23,Diadema!$C$55:$C$176,Diadema!$O$55:$O$176)</f>
        <v>⏳ Em Execução</v>
      </c>
      <c r="D23" s="803">
        <f>_xlfn.XLOOKUP(B23,Diadema!$C$55:$C$176,Diadema!$J$55:$J$176)</f>
        <v>46143</v>
      </c>
    </row>
    <row r="24" spans="1:5" hidden="1" x14ac:dyDescent="0.3">
      <c r="A24" t="s">
        <v>21</v>
      </c>
      <c r="B24">
        <f>Diadema!C70</f>
        <v>0</v>
      </c>
      <c r="C24" t="e">
        <f>_xlfn.XLOOKUP(B24,Diadema!$C$55:$C$176,Diadema!$O$55:$O$176)</f>
        <v>#N/A</v>
      </c>
      <c r="D24" s="803" t="e">
        <f>_xlfn.XLOOKUP(B24,Diadema!$C$55:$C$176,Diadema!$J$55:$J$176)</f>
        <v>#N/A</v>
      </c>
    </row>
    <row r="25" spans="1:5" hidden="1" x14ac:dyDescent="0.3">
      <c r="A25" t="s">
        <v>21</v>
      </c>
      <c r="B25" t="str">
        <f>Diadema!C71</f>
        <v>09 - Taxa de Esgoto</v>
      </c>
      <c r="C25" t="str">
        <f>_xlfn.XLOOKUP(B25,Diadema!$C$55:$C$176,Diadema!$O$55:$O$176)</f>
        <v>⏳ Em Execução</v>
      </c>
      <c r="D25" s="803">
        <f>_xlfn.XLOOKUP(B25,Diadema!$C$55:$C$176,Diadema!$J$55:$J$176)</f>
        <v>0</v>
      </c>
    </row>
    <row r="26" spans="1:5" hidden="1" x14ac:dyDescent="0.3">
      <c r="A26" t="s">
        <v>21</v>
      </c>
      <c r="B26">
        <f>Diadema!C72</f>
        <v>0</v>
      </c>
      <c r="C26" t="e">
        <f>_xlfn.XLOOKUP(B26,Diadema!$C$55:$C$176,Diadema!$O$55:$O$176)</f>
        <v>#N/A</v>
      </c>
      <c r="D26" s="803" t="e">
        <f>_xlfn.XLOOKUP(B26,Diadema!$C$55:$C$176,Diadema!$J$55:$J$176)</f>
        <v>#N/A</v>
      </c>
    </row>
    <row r="27" spans="1:5" hidden="1" x14ac:dyDescent="0.3">
      <c r="A27" t="s">
        <v>21</v>
      </c>
      <c r="B27" t="str">
        <f>Diadema!C73</f>
        <v>10 - Padronização de arame de solda</v>
      </c>
      <c r="C27" t="str">
        <f>_xlfn.XLOOKUP(B27,Diadema!$C$55:$C$176,Diadema!$O$55:$O$176)</f>
        <v>⏳ Em Execução</v>
      </c>
      <c r="D27" s="803">
        <f>_xlfn.XLOOKUP(B27,Diadema!$C$55:$C$176,Diadema!$J$55:$J$176)</f>
        <v>46143</v>
      </c>
    </row>
    <row r="28" spans="1:5" hidden="1" x14ac:dyDescent="0.3">
      <c r="A28" t="s">
        <v>21</v>
      </c>
      <c r="B28">
        <f>Diadema!C74</f>
        <v>0</v>
      </c>
      <c r="C28" t="e">
        <f>_xlfn.XLOOKUP(B28,Diadema!$C$55:$C$176,Diadema!$O$55:$O$176)</f>
        <v>#N/A</v>
      </c>
      <c r="D28" s="803" t="e">
        <f>_xlfn.XLOOKUP(B28,Diadema!$C$55:$C$176,Diadema!$J$55:$J$176)</f>
        <v>#N/A</v>
      </c>
    </row>
    <row r="29" spans="1:5" hidden="1" x14ac:dyDescent="0.3">
      <c r="A29" t="s">
        <v>21</v>
      </c>
      <c r="B29" t="str">
        <f>Diadema!C75</f>
        <v>11 - Resourcing de DSL para DD</v>
      </c>
      <c r="C29" t="str">
        <f>_xlfn.XLOOKUP(B29,Diadema!$C$55:$C$176,Diadema!$O$55:$O$176)</f>
        <v>📝 Não iniciado</v>
      </c>
      <c r="D29" s="803" t="str">
        <f>_xlfn.XLOOKUP(B29,Diadema!$C$55:$C$176,Diadema!$J$55:$J$176)</f>
        <v/>
      </c>
    </row>
    <row r="30" spans="1:5" hidden="1" x14ac:dyDescent="0.3">
      <c r="A30" t="s">
        <v>21</v>
      </c>
      <c r="B30">
        <f>Diadema!C76</f>
        <v>0</v>
      </c>
      <c r="C30" t="e">
        <f>_xlfn.XLOOKUP(B30,Diadema!$C$55:$C$176,Diadema!$O$55:$O$176)</f>
        <v>#N/A</v>
      </c>
      <c r="D30" s="803" t="e">
        <f>_xlfn.XLOOKUP(B30,Diadema!$C$55:$C$176,Diadema!$J$55:$J$176)</f>
        <v>#N/A</v>
      </c>
    </row>
    <row r="31" spans="1:5" x14ac:dyDescent="0.3">
      <c r="A31" t="s">
        <v>21</v>
      </c>
      <c r="B31" t="str">
        <f>Diadema!C77</f>
        <v>12 - Aproveitamento de peças Obsoletas - A9583176540</v>
      </c>
      <c r="C31" t="str">
        <f>_xlfn.XLOOKUP(B31,Diadema!$C$55:$C$176,Diadema!$O$55:$O$176)</f>
        <v>✓ Concluído</v>
      </c>
      <c r="D31" s="804">
        <f>_xlfn.XLOOKUP(B31,Diadema!$C$55:$C$176,Diadema!$J$55:$J$176)</f>
        <v>46023</v>
      </c>
      <c r="E31" s="235">
        <f ca="1">_xlfn.XLOOKUP(B31,Pareto!S:S,Pareto!V:V)</f>
        <v>37746.6</v>
      </c>
    </row>
    <row r="32" spans="1:5" hidden="1" x14ac:dyDescent="0.3">
      <c r="A32" t="s">
        <v>21</v>
      </c>
      <c r="B32">
        <f>Diadema!C78</f>
        <v>0</v>
      </c>
      <c r="C32" t="e">
        <f>_xlfn.XLOOKUP(B32,Diadema!$C$55:$C$176,Diadema!$O$55:$O$176)</f>
        <v>#N/A</v>
      </c>
      <c r="D32" s="803" t="e">
        <f>_xlfn.XLOOKUP(B32,Diadema!$C$55:$C$176,Diadema!$J$55:$J$176)</f>
        <v>#N/A</v>
      </c>
    </row>
    <row r="33" spans="1:5" hidden="1" x14ac:dyDescent="0.3">
      <c r="A33" t="s">
        <v>21</v>
      </c>
      <c r="B33" t="str">
        <f>Diadema!C79</f>
        <v>13 - Redução de Componente - 4065 de 6 para 4</v>
      </c>
      <c r="C33" t="str">
        <f>_xlfn.XLOOKUP(B33,Diadema!$C$55:$C$176,Diadema!$O$55:$O$176)</f>
        <v>⏳ Em Execução</v>
      </c>
      <c r="D33" s="803">
        <f>_xlfn.XLOOKUP(B33,Diadema!$C$55:$C$176,Diadema!$J$55:$J$176)</f>
        <v>46113</v>
      </c>
    </row>
    <row r="34" spans="1:5" hidden="1" x14ac:dyDescent="0.3">
      <c r="A34" t="s">
        <v>21</v>
      </c>
      <c r="B34">
        <f>Diadema!C80</f>
        <v>0</v>
      </c>
      <c r="C34" t="e">
        <f>_xlfn.XLOOKUP(B34,Diadema!$C$55:$C$176,Diadema!$O$55:$O$176)</f>
        <v>#N/A</v>
      </c>
      <c r="D34" s="803" t="e">
        <f>_xlfn.XLOOKUP(B34,Diadema!$C$55:$C$176,Diadema!$J$55:$J$176)</f>
        <v>#N/A</v>
      </c>
    </row>
    <row r="35" spans="1:5" x14ac:dyDescent="0.3">
      <c r="A35" t="s">
        <v>21</v>
      </c>
      <c r="B35" t="str">
        <f>Diadema!C81</f>
        <v>14 - REDUÇÃO DE MP DA000518Z (Anchieta) Código DD - VB000324Z</v>
      </c>
      <c r="C35" t="str">
        <f>_xlfn.XLOOKUP(B35,Diadema!$C$55:$C$176,Diadema!$O$55:$O$176)</f>
        <v>✓ Concluído</v>
      </c>
      <c r="D35" s="804">
        <f>_xlfn.XLOOKUP(B35,Diadema!$C$55:$C$176,Diadema!$J$55:$J$176)</f>
        <v>46054</v>
      </c>
      <c r="E35" s="235">
        <f ca="1">_xlfn.XLOOKUP(B35,Pareto!S:S,Pareto!V:V)</f>
        <v>17089.7934811532</v>
      </c>
    </row>
    <row r="36" spans="1:5" hidden="1" x14ac:dyDescent="0.3">
      <c r="A36" t="s">
        <v>21</v>
      </c>
      <c r="B36">
        <f>Diadema!C82</f>
        <v>0</v>
      </c>
      <c r="C36" t="e">
        <f>_xlfn.XLOOKUP(B36,Diadema!$C$55:$C$176,Diadema!$O$55:$O$176)</f>
        <v>#N/A</v>
      </c>
      <c r="D36" s="803" t="e">
        <f>_xlfn.XLOOKUP(B36,Diadema!$C$55:$C$176,Diadema!$J$55:$J$176)</f>
        <v>#N/A</v>
      </c>
    </row>
    <row r="37" spans="1:5" x14ac:dyDescent="0.3">
      <c r="A37" t="s">
        <v>21</v>
      </c>
      <c r="B37" t="str">
        <f>Diadema!C83</f>
        <v>15 - Kaizem - Botões BI - MANUAL</v>
      </c>
      <c r="C37" t="str">
        <f>_xlfn.XLOOKUP(B37,Diadema!$C$55:$C$176,Diadema!$O$55:$O$176)</f>
        <v>✓ Concluído</v>
      </c>
      <c r="D37" s="804">
        <f>_xlfn.XLOOKUP(B37,Diadema!$C$55:$C$176,Diadema!$J$55:$J$176)</f>
        <v>46023</v>
      </c>
      <c r="E37" s="235">
        <f ca="1">_xlfn.XLOOKUP(B37,Pareto!S:S,Pareto!V:V)</f>
        <v>3656.94</v>
      </c>
    </row>
    <row r="38" spans="1:5" hidden="1" x14ac:dyDescent="0.3">
      <c r="A38" t="s">
        <v>21</v>
      </c>
      <c r="B38">
        <f>Diadema!C84</f>
        <v>0</v>
      </c>
      <c r="C38" t="e">
        <f>_xlfn.XLOOKUP(B38,Diadema!$C$55:$C$176,Diadema!$O$55:$O$176)</f>
        <v>#N/A</v>
      </c>
      <c r="D38" s="803" t="e">
        <f>_xlfn.XLOOKUP(B38,Diadema!$C$55:$C$176,Diadema!$J$55:$J$176)</f>
        <v>#N/A</v>
      </c>
    </row>
    <row r="39" spans="1:5" x14ac:dyDescent="0.3">
      <c r="A39" t="s">
        <v>21</v>
      </c>
      <c r="B39" t="str">
        <f>Diadema!C85</f>
        <v>16 - Eficiência de MO na linha de Solda e Montagem</v>
      </c>
      <c r="C39" t="str">
        <f>_xlfn.XLOOKUP(B39,Diadema!$C$55:$C$176,Diadema!$O$55:$O$176)</f>
        <v>✓ Concluído</v>
      </c>
      <c r="D39" s="804">
        <f>_xlfn.XLOOKUP(B39,Diadema!$C$55:$C$176,Diadema!$J$55:$J$176)</f>
        <v>46082</v>
      </c>
      <c r="E39" s="235">
        <f ca="1">_xlfn.XLOOKUP(B39,Pareto!S:S,Pareto!V:V)</f>
        <v>37413.057000000001</v>
      </c>
    </row>
    <row r="40" spans="1:5" hidden="1" x14ac:dyDescent="0.3">
      <c r="A40" t="s">
        <v>21</v>
      </c>
      <c r="B40">
        <f>Diadema!C86</f>
        <v>0</v>
      </c>
      <c r="C40" t="e">
        <f>_xlfn.XLOOKUP(B40,Diadema!$C$55:$C$176,Diadema!$O$55:$O$176)</f>
        <v>#N/A</v>
      </c>
      <c r="D40" s="803" t="e">
        <f>_xlfn.XLOOKUP(B40,Diadema!$C$55:$C$176,Diadema!$J$55:$J$176)</f>
        <v>#N/A</v>
      </c>
    </row>
    <row r="41" spans="1:5" x14ac:dyDescent="0.3">
      <c r="A41" t="s">
        <v>21</v>
      </c>
      <c r="B41" t="str">
        <f>Diadema!C87</f>
        <v>17 - MB003537LB_MB003538LB</v>
      </c>
      <c r="C41" t="str">
        <f>_xlfn.XLOOKUP(B41,Diadema!$C$55:$C$176,Diadema!$O$55:$O$176)</f>
        <v>✓ Concluído</v>
      </c>
      <c r="D41" s="804">
        <f>_xlfn.XLOOKUP(B41,Diadema!$C$55:$C$176,Diadema!$J$55:$J$176)</f>
        <v>46082</v>
      </c>
      <c r="E41" s="235">
        <f ca="1">_xlfn.XLOOKUP(B41,Pareto!S:S,Pareto!V:V)</f>
        <v>10151.417999999998</v>
      </c>
    </row>
    <row r="42" spans="1:5" hidden="1" x14ac:dyDescent="0.3">
      <c r="A42" t="s">
        <v>21</v>
      </c>
      <c r="B42">
        <f>Diadema!C88</f>
        <v>0</v>
      </c>
      <c r="C42" t="e">
        <f>_xlfn.XLOOKUP(B42,Diadema!$C$55:$C$176,Diadema!$O$55:$O$176)</f>
        <v>#N/A</v>
      </c>
      <c r="D42" s="803" t="e">
        <f>_xlfn.XLOOKUP(B42,Diadema!$C$55:$C$176,Diadema!$J$55:$J$176)</f>
        <v>#N/A</v>
      </c>
    </row>
    <row r="43" spans="1:5" hidden="1" x14ac:dyDescent="0.3">
      <c r="A43" t="s">
        <v>21</v>
      </c>
      <c r="B43" t="str">
        <f>Diadema!C89</f>
        <v>18 - Venda de Embalagens, ativos e sucatas</v>
      </c>
      <c r="C43" t="str">
        <f>_xlfn.XLOOKUP(B43,Diadema!$C$55:$C$176,Diadema!$O$55:$O$176)</f>
        <v>⏳ Em Execução</v>
      </c>
      <c r="D43" s="803">
        <f>_xlfn.XLOOKUP(B43,Diadema!$C$55:$C$176,Diadema!$J$55:$J$176)</f>
        <v>0</v>
      </c>
    </row>
    <row r="44" spans="1:5" hidden="1" x14ac:dyDescent="0.3">
      <c r="A44" t="s">
        <v>21</v>
      </c>
      <c r="B44">
        <f>Diadema!C90</f>
        <v>0</v>
      </c>
      <c r="C44" t="e">
        <f>_xlfn.XLOOKUP(B44,Diadema!$C$55:$C$176,Diadema!$O$55:$O$176)</f>
        <v>#N/A</v>
      </c>
      <c r="D44" s="803" t="e">
        <f>_xlfn.XLOOKUP(B44,Diadema!$C$55:$C$176,Diadema!$J$55:$J$176)</f>
        <v>#N/A</v>
      </c>
    </row>
    <row r="45" spans="1:5" x14ac:dyDescent="0.3">
      <c r="A45" t="s">
        <v>21</v>
      </c>
      <c r="B45" t="str">
        <f>Diadema!C91</f>
        <v>19 - Kaizen Facão. DA000481Z - PRODUTIVIDADE</v>
      </c>
      <c r="C45" t="str">
        <f>_xlfn.XLOOKUP(B45,Diadema!$C$55:$C$176,Diadema!$O$55:$O$176)</f>
        <v>✓ Concluído</v>
      </c>
      <c r="D45" s="804">
        <f>_xlfn.XLOOKUP(B45,Diadema!$C$55:$C$176,Diadema!$J$55:$J$176)</f>
        <v>46082</v>
      </c>
      <c r="E45" s="235">
        <f ca="1">_xlfn.XLOOKUP(B45,Pareto!S:S,Pareto!V:V)</f>
        <v>16200</v>
      </c>
    </row>
    <row r="46" spans="1:5" hidden="1" x14ac:dyDescent="0.3">
      <c r="A46" t="s">
        <v>21</v>
      </c>
      <c r="B46">
        <f>Diadema!C92</f>
        <v>0</v>
      </c>
      <c r="C46" t="e">
        <f>_xlfn.XLOOKUP(B46,Diadema!$C$55:$C$176,Diadema!$O$55:$O$176)</f>
        <v>#N/A</v>
      </c>
      <c r="D46" s="803" t="e">
        <f>_xlfn.XLOOKUP(B46,Diadema!$C$55:$C$176,Diadema!$J$55:$J$176)</f>
        <v>#N/A</v>
      </c>
    </row>
    <row r="47" spans="1:5" x14ac:dyDescent="0.3">
      <c r="A47" t="s">
        <v>21</v>
      </c>
      <c r="B47" t="str">
        <f>Diadema!C93</f>
        <v>20 - Redução refugo em relação ao budget</v>
      </c>
      <c r="C47">
        <f>_xlfn.XLOOKUP(B47,Diadema!$C$55:$C$176,Diadema!$O$55:$O$176)</f>
        <v>0</v>
      </c>
      <c r="D47" s="804">
        <f>_xlfn.XLOOKUP(B47,Diadema!$C$55:$C$176,Diadema!$J$55:$J$176)</f>
        <v>46023</v>
      </c>
      <c r="E47" s="235" t="e">
        <f>_xlfn.XLOOKUP(B47,Pareto!S:S,Pareto!V:V)</f>
        <v>#N/A</v>
      </c>
    </row>
    <row r="48" spans="1:5" hidden="1" x14ac:dyDescent="0.3">
      <c r="A48" t="s">
        <v>21</v>
      </c>
      <c r="B48">
        <f>Diadema!C94</f>
        <v>0</v>
      </c>
      <c r="C48" t="e">
        <f>_xlfn.XLOOKUP(B48,Diadema!$C$55:$C$176,Diadema!$O$55:$O$176)</f>
        <v>#N/A</v>
      </c>
      <c r="D48" s="803" t="e">
        <f>_xlfn.XLOOKUP(B48,Diadema!$C$55:$C$176,Diadema!$J$55:$J$176)</f>
        <v>#N/A</v>
      </c>
    </row>
    <row r="49" spans="1:5" x14ac:dyDescent="0.3">
      <c r="A49" t="s">
        <v>21</v>
      </c>
      <c r="B49" t="str">
        <f>Diadema!C95</f>
        <v>21 - Kaizen_Redução de peso bruto MB003537LA_MB003538LA</v>
      </c>
      <c r="C49" t="str">
        <f>_xlfn.XLOOKUP(B49,Diadema!$C$55:$C$176,Diadema!$O$55:$O$176)</f>
        <v>✓ Concluído</v>
      </c>
      <c r="D49" s="804">
        <f>_xlfn.XLOOKUP(B49,Diadema!$C$55:$C$176,Diadema!$J$55:$J$176)</f>
        <v>46082</v>
      </c>
      <c r="E49" s="235">
        <f ca="1">_xlfn.XLOOKUP(B49,Pareto!S:S,Pareto!V:V)</f>
        <v>11209.673999999999</v>
      </c>
    </row>
    <row r="50" spans="1:5" hidden="1" x14ac:dyDescent="0.3">
      <c r="A50" t="s">
        <v>21</v>
      </c>
      <c r="B50">
        <f>Diadema!C96</f>
        <v>0</v>
      </c>
      <c r="C50" t="e">
        <f>_xlfn.XLOOKUP(B50,Diadema!$C$55:$C$176,Diadema!$O$55:$O$176)</f>
        <v>#N/A</v>
      </c>
      <c r="D50" s="803" t="e">
        <f>_xlfn.XLOOKUP(B50,Diadema!$C$55:$C$176,Diadema!$J$55:$J$176)</f>
        <v>#N/A</v>
      </c>
    </row>
    <row r="51" spans="1:5" hidden="1" x14ac:dyDescent="0.3">
      <c r="A51" t="s">
        <v>21</v>
      </c>
      <c r="B51" t="str">
        <f>Diadema!C97</f>
        <v>22 - Aproveitamento de Retalho do corte laser - MB002316LA_MB003533LA_MB003673LC</v>
      </c>
      <c r="C51" t="str">
        <f>_xlfn.XLOOKUP(B51,Diadema!$C$55:$C$176,Diadema!$O$55:$O$176)</f>
        <v>✓ Concluído</v>
      </c>
      <c r="D51" s="804">
        <f>_xlfn.XLOOKUP(B51,Diadema!$C$55:$C$176,Diadema!$J$55:$J$176)</f>
        <v>46113</v>
      </c>
    </row>
    <row r="52" spans="1:5" hidden="1" x14ac:dyDescent="0.3">
      <c r="A52" t="s">
        <v>21</v>
      </c>
      <c r="B52">
        <f>Diadema!C98</f>
        <v>0</v>
      </c>
      <c r="C52" t="e">
        <f>_xlfn.XLOOKUP(B52,Diadema!$C$55:$C$176,Diadema!$O$55:$O$176)</f>
        <v>#N/A</v>
      </c>
      <c r="D52" s="803" t="e">
        <f>_xlfn.XLOOKUP(B52,Diadema!$C$55:$C$176,Diadema!$J$55:$J$176)</f>
        <v>#N/A</v>
      </c>
    </row>
    <row r="53" spans="1:5" hidden="1" x14ac:dyDescent="0.3">
      <c r="A53" t="s">
        <v>21</v>
      </c>
      <c r="B53" t="str">
        <f>Diadema!C99</f>
        <v>23 - Redução do peso bruto VW000581Z / VW000582Z</v>
      </c>
      <c r="C53" t="str">
        <f>_xlfn.XLOOKUP(B53,Diadema!$C$55:$C$176,Diadema!$O$55:$O$176)</f>
        <v>⏳ Em Execução</v>
      </c>
      <c r="D53" s="803">
        <f>_xlfn.XLOOKUP(B53,Diadema!$C$55:$C$176,Diadema!$J$55:$J$176)</f>
        <v>46174</v>
      </c>
    </row>
    <row r="54" spans="1:5" hidden="1" x14ac:dyDescent="0.3">
      <c r="A54" t="s">
        <v>21</v>
      </c>
      <c r="B54">
        <f>Diadema!C100</f>
        <v>0</v>
      </c>
      <c r="C54" t="e">
        <f>_xlfn.XLOOKUP(B54,Diadema!$C$55:$C$176,Diadema!$O$55:$O$176)</f>
        <v>#N/A</v>
      </c>
      <c r="D54" s="803" t="e">
        <f>_xlfn.XLOOKUP(B54,Diadema!$C$55:$C$176,Diadema!$J$55:$J$176)</f>
        <v>#N/A</v>
      </c>
    </row>
    <row r="55" spans="1:5" hidden="1" x14ac:dyDescent="0.3">
      <c r="A55" t="s">
        <v>21</v>
      </c>
      <c r="B55" t="str">
        <f>Diadema!C101</f>
        <v>24 - KAIZEN - Redução de peso bruto_MB002289LA_MB002290LA_Rev00_Bruno Manachini</v>
      </c>
      <c r="C55" t="str">
        <f>_xlfn.XLOOKUP(B55,Diadema!$C$55:$C$176,Diadema!$O$55:$O$176)</f>
        <v>✓ Concluído</v>
      </c>
      <c r="D55" s="804">
        <f>_xlfn.XLOOKUP(B55,Diadema!$C$55:$C$176,Diadema!$J$55:$J$176)</f>
        <v>46143</v>
      </c>
    </row>
    <row r="56" spans="1:5" hidden="1" x14ac:dyDescent="0.3">
      <c r="A56" t="s">
        <v>21</v>
      </c>
      <c r="B56">
        <f>Diadema!C102</f>
        <v>0</v>
      </c>
      <c r="C56" t="e">
        <f>_xlfn.XLOOKUP(B56,Diadema!$C$55:$C$176,Diadema!$O$55:$O$176)</f>
        <v>#N/A</v>
      </c>
      <c r="D56" s="803" t="e">
        <f>_xlfn.XLOOKUP(B56,Diadema!$C$55:$C$176,Diadema!$J$55:$J$176)</f>
        <v>#N/A</v>
      </c>
    </row>
    <row r="57" spans="1:5" hidden="1" x14ac:dyDescent="0.3">
      <c r="A57" t="s">
        <v>21</v>
      </c>
      <c r="B57" t="str">
        <f>Diadema!C103</f>
        <v>25 - KAIZEN - Redução de peso bruto_MB003601LA_Rev00_Bruno Manachini</v>
      </c>
      <c r="C57" t="str">
        <f>_xlfn.XLOOKUP(B57,Diadema!$C$55:$C$176,Diadema!$O$55:$O$176)</f>
        <v>✓ Concluído</v>
      </c>
      <c r="D57" s="803">
        <f>_xlfn.XLOOKUP(B57,Diadema!$C$55:$C$176,Diadema!$J$55:$J$176)</f>
        <v>46143</v>
      </c>
    </row>
    <row r="58" spans="1:5" hidden="1" x14ac:dyDescent="0.3">
      <c r="A58" t="s">
        <v>21</v>
      </c>
      <c r="B58">
        <f>Diadema!C104</f>
        <v>0</v>
      </c>
      <c r="C58" t="e">
        <f>_xlfn.XLOOKUP(B58,Diadema!$C$55:$C$176,Diadema!$O$55:$O$176)</f>
        <v>#N/A</v>
      </c>
      <c r="D58" s="803" t="e">
        <f>_xlfn.XLOOKUP(B58,Diadema!$C$55:$C$176,Diadema!$J$55:$J$176)</f>
        <v>#N/A</v>
      </c>
    </row>
    <row r="59" spans="1:5" hidden="1" x14ac:dyDescent="0.3">
      <c r="A59" t="s">
        <v>21</v>
      </c>
      <c r="B59" t="str">
        <f>Diadema!C105</f>
        <v>26 - Redução_de_MP - DJ000059Z_DJ000060Z</v>
      </c>
      <c r="C59" t="str">
        <f>_xlfn.XLOOKUP(B59,Diadema!$C$55:$C$176,Diadema!$O$55:$O$176)</f>
        <v>✓ Concluído</v>
      </c>
      <c r="D59" s="803">
        <f>_xlfn.XLOOKUP(B59,Diadema!$C$55:$C$176,Diadema!$J$55:$J$176)</f>
        <v>46143</v>
      </c>
    </row>
    <row r="60" spans="1:5" hidden="1" x14ac:dyDescent="0.3">
      <c r="A60" t="s">
        <v>21</v>
      </c>
      <c r="B60">
        <f>Diadema!C106</f>
        <v>0</v>
      </c>
      <c r="C60" t="e">
        <f>_xlfn.XLOOKUP(B60,Diadema!$C$55:$C$176,Diadema!$O$55:$O$176)</f>
        <v>#N/A</v>
      </c>
      <c r="D60" s="803" t="e">
        <f>_xlfn.XLOOKUP(B60,Diadema!$C$55:$C$176,Diadema!$J$55:$J$176)</f>
        <v>#N/A</v>
      </c>
    </row>
    <row r="61" spans="1:5" x14ac:dyDescent="0.3">
      <c r="A61" t="s">
        <v>21</v>
      </c>
      <c r="B61" t="str">
        <f>Diadema!C107</f>
        <v>27 - DA000459AA - STC Volvo_</v>
      </c>
      <c r="C61" t="str">
        <f>_xlfn.XLOOKUP(B61,Diadema!$C$55:$C$176,Diadema!$O$55:$O$176)</f>
        <v>✓ Concluído</v>
      </c>
      <c r="D61" s="804">
        <f>_xlfn.XLOOKUP(B61,Diadema!$C$55:$C$176,Diadema!$J$55:$J$176)</f>
        <v>46174</v>
      </c>
      <c r="E61" s="235" t="str">
        <f ca="1">_xlfn.XLOOKUP(B61,Pareto!S:S,Pareto!V:V)</f>
        <v/>
      </c>
    </row>
    <row r="62" spans="1:5" hidden="1" x14ac:dyDescent="0.3">
      <c r="A62" t="s">
        <v>21</v>
      </c>
      <c r="B62">
        <f>Diadema!C108</f>
        <v>0</v>
      </c>
      <c r="C62" t="e">
        <f>_xlfn.XLOOKUP(B62,Diadema!$C$55:$C$176,Diadema!$O$55:$O$176)</f>
        <v>#N/A</v>
      </c>
      <c r="D62" s="803" t="e">
        <f>_xlfn.XLOOKUP(B62,Diadema!$C$55:$C$176,Diadema!$J$55:$J$176)</f>
        <v>#N/A</v>
      </c>
    </row>
    <row r="63" spans="1:5" x14ac:dyDescent="0.3">
      <c r="A63" t="s">
        <v>21</v>
      </c>
      <c r="B63" t="str">
        <f>Diadema!C109</f>
        <v>28 - DA000487Z_DA000488Z - STC Scania P</v>
      </c>
      <c r="C63" t="str">
        <f>_xlfn.XLOOKUP(B63,Diadema!$C$55:$C$176,Diadema!$O$55:$O$176)</f>
        <v>⏳ Em Execução</v>
      </c>
      <c r="D63" s="804">
        <f>_xlfn.XLOOKUP(B63,Diadema!$C$55:$C$176,Diadema!$J$55:$J$176)</f>
        <v>46174</v>
      </c>
      <c r="E63" s="235" t="str">
        <f ca="1">_xlfn.XLOOKUP(B63,Pareto!S:S,Pareto!V:V)</f>
        <v/>
      </c>
    </row>
    <row r="64" spans="1:5" hidden="1" x14ac:dyDescent="0.3">
      <c r="A64" t="s">
        <v>21</v>
      </c>
      <c r="B64">
        <f>Diadema!C110</f>
        <v>0</v>
      </c>
      <c r="C64" t="e">
        <f>_xlfn.XLOOKUP(B64,Diadema!$C$55:$C$176,Diadema!$O$55:$O$176)</f>
        <v>#N/A</v>
      </c>
      <c r="D64" s="803" t="e">
        <f>_xlfn.XLOOKUP(B64,Diadema!$C$55:$C$176,Diadema!$J$55:$J$176)</f>
        <v>#N/A</v>
      </c>
    </row>
    <row r="65" spans="1:5" x14ac:dyDescent="0.3">
      <c r="A65" t="s">
        <v>21</v>
      </c>
      <c r="B65" t="str">
        <f>Diadema!C111</f>
        <v>29 - DA000489Z_DA000490Z - STC Scania M_</v>
      </c>
      <c r="C65" t="str">
        <f>_xlfn.XLOOKUP(B65,Diadema!$C$55:$C$176,Diadema!$O$55:$O$176)</f>
        <v>✓ Concluído</v>
      </c>
      <c r="D65" s="804">
        <f>_xlfn.XLOOKUP(B65,Diadema!$C$55:$C$176,Diadema!$J$55:$J$176)</f>
        <v>46082</v>
      </c>
      <c r="E65" s="235">
        <f ca="1">_xlfn.XLOOKUP(B65,Pareto!S:S,Pareto!V:V)</f>
        <v>133927.13699999999</v>
      </c>
    </row>
    <row r="66" spans="1:5" hidden="1" x14ac:dyDescent="0.3">
      <c r="A66" t="s">
        <v>21</v>
      </c>
      <c r="B66">
        <f>Diadema!C112</f>
        <v>0</v>
      </c>
      <c r="C66" t="e">
        <f>_xlfn.XLOOKUP(B66,Diadema!$C$55:$C$176,Diadema!$O$55:$O$176)</f>
        <v>#N/A</v>
      </c>
      <c r="D66" s="803" t="e">
        <f>_xlfn.XLOOKUP(B66,Diadema!$C$55:$C$176,Diadema!$J$55:$J$176)</f>
        <v>#N/A</v>
      </c>
    </row>
    <row r="67" spans="1:5" hidden="1" x14ac:dyDescent="0.3">
      <c r="A67" t="s">
        <v>21</v>
      </c>
      <c r="B67" t="str">
        <f>Diadema!C113</f>
        <v>30 - DA000491Z_DE000492Z - STC Scania G_</v>
      </c>
      <c r="C67" t="str">
        <f>_xlfn.XLOOKUP(B67,Diadema!$C$55:$C$176,Diadema!$O$55:$O$176)</f>
        <v>⏳ Em Execução</v>
      </c>
      <c r="D67" s="803">
        <f>_xlfn.XLOOKUP(B67,Diadema!$C$55:$C$176,Diadema!$J$55:$J$176)</f>
        <v>46174</v>
      </c>
    </row>
    <row r="68" spans="1:5" hidden="1" x14ac:dyDescent="0.3">
      <c r="A68" t="s">
        <v>21</v>
      </c>
      <c r="B68">
        <f>Diadema!C114</f>
        <v>0</v>
      </c>
      <c r="C68" t="e">
        <f>_xlfn.XLOOKUP(B68,Diadema!$C$55:$C$176,Diadema!$O$55:$O$176)</f>
        <v>#N/A</v>
      </c>
      <c r="D68" s="803" t="e">
        <f>_xlfn.XLOOKUP(B68,Diadema!$C$55:$C$176,Diadema!$J$55:$J$176)</f>
        <v>#N/A</v>
      </c>
    </row>
    <row r="69" spans="1:5" hidden="1" x14ac:dyDescent="0.3">
      <c r="A69" t="s">
        <v>21</v>
      </c>
      <c r="B69" t="str">
        <f>Diadema!C115</f>
        <v>31 - Comunização da chapa CHQ0475ED12502650</v>
      </c>
      <c r="C69" t="str">
        <f>_xlfn.XLOOKUP(B69,Diadema!$C$55:$C$176,Diadema!$O$55:$O$176)</f>
        <v>✓ Concluído</v>
      </c>
      <c r="D69" s="803">
        <f>_xlfn.XLOOKUP(B69,Diadema!$C$55:$C$176,Diadema!$J$55:$J$176)</f>
        <v>46143</v>
      </c>
    </row>
    <row r="70" spans="1:5" hidden="1" x14ac:dyDescent="0.3">
      <c r="A70" t="s">
        <v>21</v>
      </c>
      <c r="B70">
        <f>Diadema!C116</f>
        <v>0</v>
      </c>
      <c r="C70" t="e">
        <f>_xlfn.XLOOKUP(B70,Diadema!$C$55:$C$176,Diadema!$O$55:$O$176)</f>
        <v>#N/A</v>
      </c>
      <c r="D70" s="803" t="e">
        <f>_xlfn.XLOOKUP(B70,Diadema!$C$55:$C$176,Diadema!$J$55:$J$176)</f>
        <v>#N/A</v>
      </c>
    </row>
    <row r="71" spans="1:5" x14ac:dyDescent="0.3">
      <c r="A71" t="s">
        <v>21</v>
      </c>
      <c r="B71" t="str">
        <f>Diadema!C117</f>
        <v>32 - Redução de Peso Bruto do item MB003594LA</v>
      </c>
      <c r="C71" t="str">
        <f>_xlfn.XLOOKUP(B71,Diadema!$C$55:$C$176,Diadema!$O$55:$O$176)</f>
        <v>✓ Concluído</v>
      </c>
      <c r="D71" s="804">
        <f>_xlfn.XLOOKUP(B71,Diadema!$C$55:$C$176,Diadema!$J$55:$J$176)</f>
        <v>46082</v>
      </c>
      <c r="E71" s="235">
        <f ca="1">_xlfn.XLOOKUP(B71,Pareto!S:S,Pareto!V:V)</f>
        <v>157.57499999999999</v>
      </c>
    </row>
    <row r="72" spans="1:5" hidden="1" x14ac:dyDescent="0.3">
      <c r="A72" t="s">
        <v>21</v>
      </c>
      <c r="B72">
        <f>Diadema!C118</f>
        <v>0</v>
      </c>
      <c r="C72" t="e">
        <f>_xlfn.XLOOKUP(B72,Diadema!$C$55:$C$176,Diadema!$O$55:$O$176)</f>
        <v>#N/A</v>
      </c>
      <c r="D72" s="803" t="e">
        <f>_xlfn.XLOOKUP(B72,Diadema!$C$55:$C$176,Diadema!$J$55:$J$176)</f>
        <v>#N/A</v>
      </c>
    </row>
    <row r="73" spans="1:5" x14ac:dyDescent="0.3">
      <c r="A73" t="s">
        <v>21</v>
      </c>
      <c r="B73" t="str">
        <f>Diadema!C119</f>
        <v>33 - Redução de Peso Bruto do item MB003610LA</v>
      </c>
      <c r="C73" t="str">
        <f>_xlfn.XLOOKUP(B73,Diadema!$C$55:$C$176,Diadema!$O$55:$O$176)</f>
        <v>✓ Concluído</v>
      </c>
      <c r="D73" s="804">
        <f>_xlfn.XLOOKUP(B73,Diadema!$C$55:$C$176,Diadema!$J$55:$J$176)</f>
        <v>46082</v>
      </c>
      <c r="E73" s="235">
        <f ca="1">_xlfn.XLOOKUP(B73,Pareto!S:S,Pareto!V:V)</f>
        <v>3367.0320000000002</v>
      </c>
    </row>
    <row r="74" spans="1:5" hidden="1" x14ac:dyDescent="0.3">
      <c r="A74" t="s">
        <v>21</v>
      </c>
      <c r="B74">
        <f>Diadema!C120</f>
        <v>0</v>
      </c>
      <c r="C74" t="e">
        <f>_xlfn.XLOOKUP(B74,Diadema!$C$55:$C$176,Diadema!$O$55:$O$176)</f>
        <v>#N/A</v>
      </c>
      <c r="D74" s="803" t="e">
        <f>_xlfn.XLOOKUP(B74,Diadema!$C$55:$C$176,Diadema!$J$55:$J$176)</f>
        <v>#N/A</v>
      </c>
    </row>
    <row r="75" spans="1:5" x14ac:dyDescent="0.3">
      <c r="A75" t="s">
        <v>21</v>
      </c>
      <c r="B75" t="str">
        <f>Diadema!C121</f>
        <v>34 - Redução de Peso Bruto do item MB003554LA</v>
      </c>
      <c r="C75" t="str">
        <f>_xlfn.XLOOKUP(B75,Diadema!$C$55:$C$176,Diadema!$O$55:$O$176)</f>
        <v>✓ Concluído</v>
      </c>
      <c r="D75" s="804">
        <f>_xlfn.XLOOKUP(B75,Diadema!$C$55:$C$176,Diadema!$J$55:$J$176)</f>
        <v>46082</v>
      </c>
      <c r="E75" s="235">
        <f ca="1">_xlfn.XLOOKUP(B75,Pareto!S:S,Pareto!V:V)</f>
        <v>716.12100000000009</v>
      </c>
    </row>
    <row r="76" spans="1:5" hidden="1" x14ac:dyDescent="0.3">
      <c r="A76" t="s">
        <v>21</v>
      </c>
      <c r="B76">
        <f>Diadema!C122</f>
        <v>0</v>
      </c>
      <c r="C76" t="e">
        <f>_xlfn.XLOOKUP(B76,Diadema!$C$55:$C$176,Diadema!$O$55:$O$176)</f>
        <v>#N/A</v>
      </c>
      <c r="D76" s="803" t="e">
        <f>_xlfn.XLOOKUP(B76,Diadema!$C$55:$C$176,Diadema!$J$55:$J$176)</f>
        <v>#N/A</v>
      </c>
    </row>
    <row r="77" spans="1:5" x14ac:dyDescent="0.3">
      <c r="A77" t="s">
        <v>21</v>
      </c>
      <c r="B77" t="str">
        <f>Diadema!C123</f>
        <v>35 - Redução de Peso Bruto do item MB003597LA</v>
      </c>
      <c r="C77" t="str">
        <f>_xlfn.XLOOKUP(B77,Diadema!$C$55:$C$176,Diadema!$O$55:$O$176)</f>
        <v>✓ Concluído</v>
      </c>
      <c r="D77" s="804">
        <f>_xlfn.XLOOKUP(B77,Diadema!$C$55:$C$176,Diadema!$J$55:$J$176)</f>
        <v>46082</v>
      </c>
      <c r="E77" s="235">
        <f ca="1">_xlfn.XLOOKUP(B77,Pareto!S:S,Pareto!V:V)</f>
        <v>4302.3150000000005</v>
      </c>
    </row>
    <row r="78" spans="1:5" hidden="1" x14ac:dyDescent="0.3">
      <c r="A78" t="s">
        <v>21</v>
      </c>
      <c r="B78">
        <f>Diadema!C124</f>
        <v>0</v>
      </c>
      <c r="C78" t="e">
        <f>_xlfn.XLOOKUP(B78,Diadema!$C$55:$C$176,Diadema!$O$55:$O$176)</f>
        <v>#N/A</v>
      </c>
      <c r="D78" s="803" t="e">
        <f>_xlfn.XLOOKUP(B78,Diadema!$C$55:$C$176,Diadema!$J$55:$J$176)</f>
        <v>#N/A</v>
      </c>
    </row>
    <row r="79" spans="1:5" x14ac:dyDescent="0.3">
      <c r="A79" t="s">
        <v>21</v>
      </c>
      <c r="B79" t="str">
        <f>Diadema!C125</f>
        <v>36 - Redução de Peso Bruto do item MB003673LA</v>
      </c>
      <c r="C79" t="str">
        <f>_xlfn.XLOOKUP(B79,Diadema!$C$55:$C$176,Diadema!$O$55:$O$176)</f>
        <v>✓ Concluído</v>
      </c>
      <c r="D79" s="804">
        <f>_xlfn.XLOOKUP(B79,Diadema!$C$55:$C$176,Diadema!$J$55:$J$176)</f>
        <v>46082</v>
      </c>
      <c r="E79" s="235">
        <f ca="1">_xlfn.XLOOKUP(B79,Pareto!S:S,Pareto!V:V)</f>
        <v>190.71000000000004</v>
      </c>
    </row>
    <row r="80" spans="1:5" hidden="1" x14ac:dyDescent="0.3">
      <c r="A80" t="s">
        <v>21</v>
      </c>
      <c r="B80">
        <f>Diadema!C126</f>
        <v>0</v>
      </c>
      <c r="C80" t="e">
        <f>_xlfn.XLOOKUP(B80,Diadema!$C$55:$C$176,Diadema!$O$55:$O$176)</f>
        <v>#N/A</v>
      </c>
      <c r="D80" s="803" t="e">
        <f>_xlfn.XLOOKUP(B80,Diadema!$C$55:$C$176,Diadema!$J$55:$J$176)</f>
        <v>#N/A</v>
      </c>
    </row>
    <row r="81" spans="1:5" x14ac:dyDescent="0.3">
      <c r="A81" t="s">
        <v>21</v>
      </c>
      <c r="B81" t="str">
        <f>Diadema!C127</f>
        <v>37 - Redução de Peso Bruto do item MB003673LD</v>
      </c>
      <c r="C81" t="str">
        <f>_xlfn.XLOOKUP(B81,Diadema!$C$55:$C$176,Diadema!$O$55:$O$176)</f>
        <v>✓ Concluído</v>
      </c>
      <c r="D81" s="804">
        <f>_xlfn.XLOOKUP(B81,Diadema!$C$55:$C$176,Diadema!$J$55:$J$176)</f>
        <v>46082</v>
      </c>
      <c r="E81" s="235">
        <f ca="1">_xlfn.XLOOKUP(B81,Pareto!S:S,Pareto!V:V)</f>
        <v>672.57299999999987</v>
      </c>
    </row>
    <row r="82" spans="1:5" hidden="1" x14ac:dyDescent="0.3">
      <c r="A82" t="s">
        <v>21</v>
      </c>
      <c r="B82">
        <f>Diadema!C128</f>
        <v>0</v>
      </c>
      <c r="C82" t="e">
        <f>_xlfn.XLOOKUP(B82,Diadema!$C$55:$C$176,Diadema!$O$55:$O$176)</f>
        <v>#N/A</v>
      </c>
      <c r="D82" s="803" t="e">
        <f>_xlfn.XLOOKUP(B82,Diadema!$C$55:$C$176,Diadema!$J$55:$J$176)</f>
        <v>#N/A</v>
      </c>
    </row>
    <row r="83" spans="1:5" x14ac:dyDescent="0.3">
      <c r="A83" t="s">
        <v>21</v>
      </c>
      <c r="B83" t="str">
        <f>Diadema!C129</f>
        <v>38 - Redução de Peso Bruto do item SV000205LB</v>
      </c>
      <c r="C83" t="str">
        <f>_xlfn.XLOOKUP(B83,Diadema!$C$55:$C$176,Diadema!$O$55:$O$176)</f>
        <v>✓ Concluído</v>
      </c>
      <c r="D83" s="804">
        <f>_xlfn.XLOOKUP(B83,Diadema!$C$55:$C$176,Diadema!$J$55:$J$176)</f>
        <v>46082</v>
      </c>
      <c r="E83" s="235">
        <f ca="1">_xlfn.XLOOKUP(B83,Pareto!S:S,Pareto!V:V)</f>
        <v>1064.0520000000001</v>
      </c>
    </row>
    <row r="84" spans="1:5" hidden="1" x14ac:dyDescent="0.3">
      <c r="A84" t="s">
        <v>21</v>
      </c>
      <c r="B84">
        <f>Diadema!C130</f>
        <v>0</v>
      </c>
      <c r="C84" t="e">
        <f>_xlfn.XLOOKUP(B84,Diadema!$C$55:$C$176,Diadema!$O$55:$O$176)</f>
        <v>#N/A</v>
      </c>
      <c r="D84" s="803" t="e">
        <f>_xlfn.XLOOKUP(B84,Diadema!$C$55:$C$176,Diadema!$J$55:$J$176)</f>
        <v>#N/A</v>
      </c>
    </row>
    <row r="85" spans="1:5" x14ac:dyDescent="0.3">
      <c r="A85" t="s">
        <v>21</v>
      </c>
      <c r="B85" t="str">
        <f>Diadema!C131</f>
        <v>39 - Redução de Peso Bruto do item VB000323LA</v>
      </c>
      <c r="C85" t="str">
        <f>_xlfn.XLOOKUP(B85,Diadema!$C$55:$C$176,Diadema!$O$55:$O$176)</f>
        <v>✓ Concluído</v>
      </c>
      <c r="D85" s="804">
        <f>_xlfn.XLOOKUP(B85,Diadema!$C$55:$C$176,Diadema!$J$55:$J$176)</f>
        <v>46082</v>
      </c>
      <c r="E85" s="235">
        <f ca="1">_xlfn.XLOOKUP(B85,Pareto!S:S,Pareto!V:V)</f>
        <v>475.46100000000001</v>
      </c>
    </row>
    <row r="86" spans="1:5" hidden="1" x14ac:dyDescent="0.3">
      <c r="A86" t="s">
        <v>21</v>
      </c>
      <c r="B86">
        <f>Diadema!C132</f>
        <v>0</v>
      </c>
      <c r="C86" t="e">
        <f>_xlfn.XLOOKUP(B86,Diadema!$C$55:$C$176,Diadema!$O$55:$O$176)</f>
        <v>#N/A</v>
      </c>
      <c r="D86" s="803" t="e">
        <f>_xlfn.XLOOKUP(B86,Diadema!$C$55:$C$176,Diadema!$J$55:$J$176)</f>
        <v>#N/A</v>
      </c>
    </row>
    <row r="87" spans="1:5" x14ac:dyDescent="0.3">
      <c r="A87" t="s">
        <v>21</v>
      </c>
      <c r="B87" t="str">
        <f>Diadema!C133</f>
        <v>40 - Redução de Peso Bruto do item VW001138LA</v>
      </c>
      <c r="C87" t="str">
        <f>_xlfn.XLOOKUP(B87,Diadema!$C$55:$C$176,Diadema!$O$55:$O$176)</f>
        <v>✓ Concluído</v>
      </c>
      <c r="D87" s="804">
        <f>_xlfn.XLOOKUP(B87,Diadema!$C$55:$C$176,Diadema!$J$55:$J$176)</f>
        <v>46082</v>
      </c>
      <c r="E87" s="235">
        <f ca="1">_xlfn.XLOOKUP(B87,Pareto!S:S,Pareto!V:V)</f>
        <v>568.9559999999999</v>
      </c>
    </row>
    <row r="88" spans="1:5" hidden="1" x14ac:dyDescent="0.3">
      <c r="A88" t="s">
        <v>21</v>
      </c>
      <c r="B88">
        <f>Diadema!C134</f>
        <v>0</v>
      </c>
      <c r="C88" t="e">
        <f>_xlfn.XLOOKUP(B88,Diadema!$C$55:$C$176,Diadema!$O$55:$O$176)</f>
        <v>#N/A</v>
      </c>
      <c r="D88" s="803" t="e">
        <f>_xlfn.XLOOKUP(B88,Diadema!$C$55:$C$176,Diadema!$J$55:$J$176)</f>
        <v>#N/A</v>
      </c>
    </row>
    <row r="89" spans="1:5" x14ac:dyDescent="0.3">
      <c r="A89" t="s">
        <v>21</v>
      </c>
      <c r="B89" t="str">
        <f>Diadema!C135</f>
        <v>41 - Redução de Peso Bruto do item SV001141LA</v>
      </c>
      <c r="C89" t="str">
        <f>_xlfn.XLOOKUP(B89,Diadema!$C$55:$C$176,Diadema!$O$55:$O$176)</f>
        <v>✓ Concluído</v>
      </c>
      <c r="D89" s="804">
        <f>_xlfn.XLOOKUP(B89,Diadema!$C$55:$C$176,Diadema!$J$55:$J$176)</f>
        <v>46082</v>
      </c>
      <c r="E89" s="235">
        <f ca="1">_xlfn.XLOOKUP(B89,Pareto!S:S,Pareto!V:V)</f>
        <v>12331.371000000001</v>
      </c>
    </row>
    <row r="90" spans="1:5" hidden="1" x14ac:dyDescent="0.3">
      <c r="A90" t="s">
        <v>21</v>
      </c>
      <c r="B90">
        <f>Diadema!C136</f>
        <v>0</v>
      </c>
      <c r="C90" t="e">
        <f>_xlfn.XLOOKUP(B90,Diadema!$C$55:$C$176,Diadema!$O$55:$O$176)</f>
        <v>#N/A</v>
      </c>
      <c r="D90" s="803" t="e">
        <f>_xlfn.XLOOKUP(B90,Diadema!$C$55:$C$176,Diadema!$J$55:$J$176)</f>
        <v>#N/A</v>
      </c>
    </row>
    <row r="91" spans="1:5" hidden="1" x14ac:dyDescent="0.3">
      <c r="A91" t="s">
        <v>21</v>
      </c>
      <c r="B91" t="str">
        <f>Diadema!C137</f>
        <v>42 - Aluguel de Compressor</v>
      </c>
      <c r="C91" t="str">
        <f>_xlfn.XLOOKUP(B91,Diadema!$C$55:$C$176,Diadema!$O$55:$O$176)</f>
        <v>✓ Concluído</v>
      </c>
      <c r="D91" s="803">
        <f>_xlfn.XLOOKUP(B91,Diadema!$C$55:$C$176,Diadema!$J$55:$J$176)</f>
        <v>46174</v>
      </c>
    </row>
    <row r="92" spans="1:5" hidden="1" x14ac:dyDescent="0.3">
      <c r="A92" t="s">
        <v>21</v>
      </c>
      <c r="B92">
        <f>Diadema!C138</f>
        <v>0</v>
      </c>
      <c r="C92" t="e">
        <f>_xlfn.XLOOKUP(B92,Diadema!$C$55:$C$176,Diadema!$O$55:$O$176)</f>
        <v>#N/A</v>
      </c>
      <c r="D92" s="803" t="e">
        <f>_xlfn.XLOOKUP(B92,Diadema!$C$55:$C$176,Diadema!$J$55:$J$176)</f>
        <v>#N/A</v>
      </c>
    </row>
    <row r="93" spans="1:5" hidden="1" x14ac:dyDescent="0.3">
      <c r="A93" t="s">
        <v>21</v>
      </c>
      <c r="B93" t="str">
        <f>Diadema!C139</f>
        <v>43 - Automação Boomerang</v>
      </c>
      <c r="C93" t="str">
        <f>_xlfn.XLOOKUP(B93,Diadema!$C$55:$C$176,Diadema!$O$55:$O$176)</f>
        <v>⏳ Em Execução</v>
      </c>
      <c r="D93" s="803">
        <f>_xlfn.XLOOKUP(B93,Diadema!$C$55:$C$176,Diadema!$J$55:$J$176)</f>
        <v>46204</v>
      </c>
    </row>
    <row r="94" spans="1:5" hidden="1" x14ac:dyDescent="0.3">
      <c r="A94" t="s">
        <v>21</v>
      </c>
      <c r="B94">
        <f>Diadema!C140</f>
        <v>0</v>
      </c>
      <c r="C94" t="e">
        <f>_xlfn.XLOOKUP(B94,Diadema!$C$55:$C$176,Diadema!$O$55:$O$176)</f>
        <v>#N/A</v>
      </c>
      <c r="D94" s="803" t="e">
        <f>_xlfn.XLOOKUP(B94,Diadema!$C$55:$C$176,Diadema!$J$55:$J$176)</f>
        <v>#N/A</v>
      </c>
    </row>
    <row r="95" spans="1:5" hidden="1" x14ac:dyDescent="0.3">
      <c r="A95" t="s">
        <v>21</v>
      </c>
      <c r="B95" t="str">
        <f>Diadema!C141</f>
        <v>44 - Mudança de fonte Usiminas para Arcelor</v>
      </c>
      <c r="C95" t="str">
        <f>_xlfn.XLOOKUP(B95,Diadema!$C$55:$C$176,Diadema!$O$55:$O$176)</f>
        <v>⏳ Em Execução</v>
      </c>
      <c r="D95" s="803">
        <f>_xlfn.XLOOKUP(B95,Diadema!$C$55:$C$176,Diadema!$J$55:$J$176)</f>
        <v>46204</v>
      </c>
    </row>
    <row r="96" spans="1:5" hidden="1" x14ac:dyDescent="0.3">
      <c r="A96" t="s">
        <v>21</v>
      </c>
      <c r="B96">
        <f>Diadema!C142</f>
        <v>0</v>
      </c>
      <c r="C96" t="e">
        <f>_xlfn.XLOOKUP(B96,Diadema!$C$55:$C$176,Diadema!$O$55:$O$176)</f>
        <v>#N/A</v>
      </c>
      <c r="D96" s="803" t="e">
        <f>_xlfn.XLOOKUP(B96,Diadema!$C$55:$C$176,Diadema!$J$55:$J$176)</f>
        <v>#N/A</v>
      </c>
    </row>
    <row r="97" spans="1:4" hidden="1" x14ac:dyDescent="0.3">
      <c r="A97" t="s">
        <v>21</v>
      </c>
      <c r="B97" t="str">
        <f>Diadema!C143</f>
        <v>45 - Redução de MP GM000409Z</v>
      </c>
      <c r="C97" t="str">
        <f>_xlfn.XLOOKUP(B97,Diadema!$C$55:$C$176,Diadema!$O$55:$O$176)</f>
        <v>✓ Concluído</v>
      </c>
      <c r="D97" s="803">
        <f>_xlfn.XLOOKUP(B97,Diadema!$C$55:$C$176,Diadema!$J$55:$J$176)</f>
        <v>46136</v>
      </c>
    </row>
    <row r="98" spans="1:4" hidden="1" x14ac:dyDescent="0.3">
      <c r="A98" t="s">
        <v>21</v>
      </c>
      <c r="B98">
        <f>Diadema!C144</f>
        <v>0</v>
      </c>
      <c r="C98" t="e">
        <f>_xlfn.XLOOKUP(B98,Diadema!$C$55:$C$176,Diadema!$O$55:$O$176)</f>
        <v>#N/A</v>
      </c>
      <c r="D98" s="803" t="e">
        <f>_xlfn.XLOOKUP(B98,Diadema!$C$55:$C$176,Diadema!$J$55:$J$176)</f>
        <v>#N/A</v>
      </c>
    </row>
    <row r="99" spans="1:4" hidden="1" x14ac:dyDescent="0.3">
      <c r="A99" t="s">
        <v>21</v>
      </c>
      <c r="B99" t="str">
        <f>Diadema!C145</f>
        <v>46 - AGUA DESMINERALIZADA</v>
      </c>
      <c r="C99" t="str">
        <f>_xlfn.XLOOKUP(B99,Diadema!$C$55:$C$176,Diadema!$O$55:$O$176)</f>
        <v>✓ Concluído</v>
      </c>
      <c r="D99" s="804">
        <f>_xlfn.XLOOKUP(B99,Diadema!$C$55:$C$176,Diadema!$J$55:$J$176)</f>
        <v>46113</v>
      </c>
    </row>
    <row r="100" spans="1:4" hidden="1" x14ac:dyDescent="0.3">
      <c r="A100" t="s">
        <v>21</v>
      </c>
      <c r="B100">
        <f>Diadema!C146</f>
        <v>0</v>
      </c>
      <c r="C100" t="e">
        <f>_xlfn.XLOOKUP(B100,Diadema!$C$55:$C$176,Diadema!$O$55:$O$176)</f>
        <v>#N/A</v>
      </c>
      <c r="D100" s="803" t="e">
        <f>_xlfn.XLOOKUP(B100,Diadema!$C$55:$C$176,Diadema!$J$55:$J$176)</f>
        <v>#N/A</v>
      </c>
    </row>
    <row r="101" spans="1:4" hidden="1" x14ac:dyDescent="0.3">
      <c r="A101" t="s">
        <v>21</v>
      </c>
      <c r="B101" t="str">
        <f>Diadema!C147</f>
        <v>47 - REDUÇÃO DE MP DJ000079Z – 80Z</v>
      </c>
      <c r="C101" t="str">
        <f>_xlfn.XLOOKUP(B101,Diadema!$C$55:$C$176,Diadema!$O$55:$O$176)</f>
        <v>⏳ Em Execução</v>
      </c>
      <c r="D101" s="803">
        <f>_xlfn.XLOOKUP(B101,Diadema!$C$55:$C$176,Diadema!$J$55:$J$176)</f>
        <v>46235</v>
      </c>
    </row>
    <row r="102" spans="1:4" hidden="1" x14ac:dyDescent="0.3">
      <c r="A102" t="s">
        <v>21</v>
      </c>
      <c r="B102">
        <f>Diadema!C148</f>
        <v>0</v>
      </c>
      <c r="C102" t="e">
        <f>_xlfn.XLOOKUP(B102,Diadema!$C$55:$C$176,Diadema!$O$55:$O$176)</f>
        <v>#N/A</v>
      </c>
      <c r="D102" s="803" t="e">
        <f>_xlfn.XLOOKUP(B102,Diadema!$C$55:$C$176,Diadema!$J$55:$J$176)</f>
        <v>#N/A</v>
      </c>
    </row>
    <row r="103" spans="1:4" hidden="1" x14ac:dyDescent="0.3">
      <c r="A103" t="s">
        <v>21</v>
      </c>
      <c r="B103" t="str">
        <f>Diadema!C149</f>
        <v>48 - REDUÇÃO DE MP BOZ0150HX1000</v>
      </c>
      <c r="C103" t="str">
        <f>_xlfn.XLOOKUP(B103,Diadema!$C$55:$C$176,Diadema!$O$55:$O$176)</f>
        <v>⏳ Em Execução</v>
      </c>
      <c r="D103" s="803">
        <f>_xlfn.XLOOKUP(B103,Diadema!$C$55:$C$176,Diadema!$J$55:$J$176)</f>
        <v>46235</v>
      </c>
    </row>
    <row r="104" spans="1:4" hidden="1" x14ac:dyDescent="0.3">
      <c r="A104" t="s">
        <v>21</v>
      </c>
      <c r="B104">
        <f>Diadema!C150</f>
        <v>0</v>
      </c>
      <c r="C104" t="e">
        <f>_xlfn.XLOOKUP(B104,Diadema!$C$55:$C$176,Diadema!$O$55:$O$176)</f>
        <v>#N/A</v>
      </c>
      <c r="D104" s="803" t="e">
        <f>_xlfn.XLOOKUP(B104,Diadema!$C$55:$C$176,Diadema!$J$55:$J$176)</f>
        <v>#N/A</v>
      </c>
    </row>
    <row r="105" spans="1:4" hidden="1" x14ac:dyDescent="0.3">
      <c r="A105" t="s">
        <v>21</v>
      </c>
      <c r="B105" t="str">
        <f>Diadema!C151</f>
        <v>49 - REDUÇÃO DE MP GM000408Z / GM000409Z</v>
      </c>
      <c r="C105" t="str">
        <f>_xlfn.XLOOKUP(B105,Diadema!$C$55:$C$176,Diadema!$O$55:$O$176)</f>
        <v>⏳ Em Execução</v>
      </c>
      <c r="D105" s="803">
        <f>_xlfn.XLOOKUP(B105,Diadema!$C$55:$C$176,Diadema!$J$55:$J$176)</f>
        <v>46204</v>
      </c>
    </row>
    <row r="106" spans="1:4" hidden="1" x14ac:dyDescent="0.3">
      <c r="A106" t="s">
        <v>21</v>
      </c>
      <c r="B106">
        <f>Diadema!C152</f>
        <v>0</v>
      </c>
      <c r="C106" t="e">
        <f>_xlfn.XLOOKUP(B106,Diadema!$C$55:$C$176,Diadema!$O$55:$O$176)</f>
        <v>#N/A</v>
      </c>
      <c r="D106" s="803" t="e">
        <f>_xlfn.XLOOKUP(B106,Diadema!$C$55:$C$176,Diadema!$J$55:$J$176)</f>
        <v>#N/A</v>
      </c>
    </row>
    <row r="107" spans="1:4" hidden="1" x14ac:dyDescent="0.3">
      <c r="A107" t="s">
        <v>21</v>
      </c>
      <c r="B107" t="str">
        <f>Diadema!C153</f>
        <v>50 - Suporte da lanterna MB003681</v>
      </c>
      <c r="C107" t="str">
        <f>_xlfn.XLOOKUP(B107,Diadema!$C$55:$C$176,Diadema!$O$55:$O$176)</f>
        <v>⏳ Em Execução</v>
      </c>
      <c r="D107" s="803">
        <f>_xlfn.XLOOKUP(B107,Diadema!$C$55:$C$176,Diadema!$J$55:$J$176)</f>
        <v>46174</v>
      </c>
    </row>
    <row r="108" spans="1:4" hidden="1" x14ac:dyDescent="0.3">
      <c r="A108" t="s">
        <v>21</v>
      </c>
      <c r="B108">
        <f>Diadema!C154</f>
        <v>0</v>
      </c>
      <c r="C108" t="e">
        <f>_xlfn.XLOOKUP(B108,Diadema!$C$55:$C$176,Diadema!$O$55:$O$176)</f>
        <v>#N/A</v>
      </c>
      <c r="D108" s="803" t="e">
        <f>_xlfn.XLOOKUP(B108,Diadema!$C$55:$C$176,Diadema!$J$55:$J$176)</f>
        <v>#N/A</v>
      </c>
    </row>
    <row r="109" spans="1:4" hidden="1" x14ac:dyDescent="0.3">
      <c r="A109" t="s">
        <v>21</v>
      </c>
      <c r="B109" t="str">
        <f>Diadema!C155</f>
        <v>51 - Redução de MP - GM000402Z_403Z_Passo</v>
      </c>
      <c r="C109" t="str">
        <f>_xlfn.XLOOKUP(B109,Diadema!$C$55:$C$176,Diadema!$O$55:$O$176)</f>
        <v>⏳ Em Execução</v>
      </c>
      <c r="D109" s="803">
        <f>_xlfn.XLOOKUP(B109,Diadema!$C$55:$C$176,Diadema!$J$55:$J$176)</f>
        <v>46143</v>
      </c>
    </row>
    <row r="110" spans="1:4" hidden="1" x14ac:dyDescent="0.3">
      <c r="A110" t="s">
        <v>21</v>
      </c>
      <c r="B110">
        <f>Diadema!C156</f>
        <v>0</v>
      </c>
      <c r="C110" t="e">
        <f>_xlfn.XLOOKUP(B110,Diadema!$C$55:$C$176,Diadema!$O$55:$O$176)</f>
        <v>#N/A</v>
      </c>
      <c r="D110" s="803" t="e">
        <f>_xlfn.XLOOKUP(B110,Diadema!$C$55:$C$176,Diadema!$J$55:$J$176)</f>
        <v>#N/A</v>
      </c>
    </row>
    <row r="111" spans="1:4" hidden="1" x14ac:dyDescent="0.3">
      <c r="A111" t="s">
        <v>21</v>
      </c>
      <c r="B111" t="str">
        <f>Diadema!C157</f>
        <v>52 - Redução de MP - GM000458Z / GM000459Z</v>
      </c>
      <c r="C111" t="str">
        <f>_xlfn.XLOOKUP(B111,Diadema!$C$55:$C$176,Diadema!$O$55:$O$176)</f>
        <v>✓ Concluído</v>
      </c>
      <c r="D111" s="803">
        <f>_xlfn.XLOOKUP(B111,Diadema!$C$55:$C$176,Diadema!$J$55:$J$176)</f>
        <v>46174</v>
      </c>
    </row>
    <row r="112" spans="1:4" hidden="1" x14ac:dyDescent="0.3">
      <c r="A112" t="s">
        <v>21</v>
      </c>
      <c r="B112">
        <f>Diadema!C158</f>
        <v>0</v>
      </c>
      <c r="C112" t="e">
        <f>_xlfn.XLOOKUP(B112,Diadema!$C$55:$C$176,Diadema!$O$55:$O$176)</f>
        <v>#N/A</v>
      </c>
      <c r="D112" s="803" t="e">
        <f>_xlfn.XLOOKUP(B112,Diadema!$C$55:$C$176,Diadema!$J$55:$J$176)</f>
        <v>#N/A</v>
      </c>
    </row>
    <row r="113" spans="1:4" hidden="1" x14ac:dyDescent="0.3">
      <c r="A113" t="s">
        <v>21</v>
      </c>
      <c r="B113" t="str">
        <f>Diadema!C159</f>
        <v xml:space="preserve">53 - Redução no custo de aluguel de cilindros. </v>
      </c>
      <c r="C113" t="str">
        <f>_xlfn.XLOOKUP(B113,Diadema!$C$55:$C$176,Diadema!$O$55:$O$176)</f>
        <v>✓ Concluído</v>
      </c>
      <c r="D113" s="803">
        <f>_xlfn.XLOOKUP(B113,Diadema!$C$55:$C$176,Diadema!$J$55:$J$176)</f>
        <v>46174</v>
      </c>
    </row>
    <row r="114" spans="1:4" hidden="1" x14ac:dyDescent="0.3">
      <c r="A114" t="s">
        <v>21</v>
      </c>
      <c r="B114">
        <f>Diadema!C160</f>
        <v>0</v>
      </c>
      <c r="C114" t="e">
        <f>_xlfn.XLOOKUP(B114,Diadema!$C$55:$C$176,Diadema!$O$55:$O$176)</f>
        <v>#N/A</v>
      </c>
      <c r="D114" s="803" t="e">
        <f>_xlfn.XLOOKUP(B114,Diadema!$C$55:$C$176,Diadema!$J$55:$J$176)</f>
        <v>#N/A</v>
      </c>
    </row>
    <row r="115" spans="1:4" hidden="1" x14ac:dyDescent="0.3">
      <c r="A115" t="s">
        <v>21</v>
      </c>
      <c r="B115" t="str">
        <f>Diadema!C161</f>
        <v>54 - Redução de MP - VW000585Z_586Z (20mm no passo)</v>
      </c>
      <c r="C115" t="str">
        <f>_xlfn.XLOOKUP(B115,Diadema!$C$55:$C$176,Diadema!$O$55:$O$176)</f>
        <v>⏳ Em Execução</v>
      </c>
      <c r="D115" s="803">
        <f>_xlfn.XLOOKUP(B115,Diadema!$C$55:$C$176,Diadema!$J$55:$J$176)</f>
        <v>46174</v>
      </c>
    </row>
    <row r="116" spans="1:4" hidden="1" x14ac:dyDescent="0.3">
      <c r="A116" t="s">
        <v>21</v>
      </c>
      <c r="B116">
        <f>Diadema!C162</f>
        <v>0</v>
      </c>
      <c r="C116" t="e">
        <f>_xlfn.XLOOKUP(B116,Diadema!$C$55:$C$176,Diadema!$O$55:$O$176)</f>
        <v>#N/A</v>
      </c>
      <c r="D116" s="803" t="e">
        <f>_xlfn.XLOOKUP(B116,Diadema!$C$55:$C$176,Diadema!$J$55:$J$176)</f>
        <v>#N/A</v>
      </c>
    </row>
    <row r="117" spans="1:4" hidden="1" x14ac:dyDescent="0.3">
      <c r="A117" t="s">
        <v>21</v>
      </c>
      <c r="B117" t="str">
        <f>Diadema!C163</f>
        <v>55 -  Redução de MP - GM000378Z / GM000379Z</v>
      </c>
      <c r="C117" t="str">
        <f>_xlfn.XLOOKUP(B117,Diadema!$C$55:$C$176,Diadema!$O$55:$O$176)</f>
        <v>⏳ Em Execução</v>
      </c>
      <c r="D117" s="803">
        <f>_xlfn.XLOOKUP(B117,Diadema!$C$55:$C$176,Diadema!$J$55:$J$176)</f>
        <v>46204</v>
      </c>
    </row>
    <row r="118" spans="1:4" hidden="1" x14ac:dyDescent="0.3">
      <c r="A118" t="s">
        <v>21</v>
      </c>
      <c r="B118">
        <f>Diadema!C164</f>
        <v>0</v>
      </c>
      <c r="C118" t="e">
        <f>_xlfn.XLOOKUP(B118,Diadema!$C$55:$C$176,Diadema!$O$55:$O$176)</f>
        <v>#N/A</v>
      </c>
      <c r="D118" s="803" t="e">
        <f>_xlfn.XLOOKUP(B118,Diadema!$C$55:$C$176,Diadema!$J$55:$J$176)</f>
        <v>#N/A</v>
      </c>
    </row>
    <row r="119" spans="1:4" hidden="1" x14ac:dyDescent="0.3">
      <c r="A119" t="s">
        <v>21</v>
      </c>
      <c r="B119" t="str">
        <f>Diadema!C165</f>
        <v>56 -Redução de Peso Bruto do item SV001141LA / SV001142LA</v>
      </c>
      <c r="C119" t="str">
        <f>_xlfn.XLOOKUP(B119,Diadema!$C$55:$C$176,Diadema!$O$55:$O$176)</f>
        <v>⏳ Em Execução</v>
      </c>
      <c r="D119" s="803">
        <f>_xlfn.XLOOKUP(B119,Diadema!$C$55:$C$176,Diadema!$J$55:$J$176)</f>
        <v>46204</v>
      </c>
    </row>
    <row r="120" spans="1:4" hidden="1" x14ac:dyDescent="0.3">
      <c r="A120" t="s">
        <v>21</v>
      </c>
      <c r="B120">
        <f>Diadema!C166</f>
        <v>0</v>
      </c>
      <c r="C120" t="e">
        <f>_xlfn.XLOOKUP(B120,Diadema!$C$55:$C$176,Diadema!$O$55:$O$176)</f>
        <v>#N/A</v>
      </c>
      <c r="D120" s="803" t="e">
        <f>_xlfn.XLOOKUP(B120,Diadema!$C$55:$C$176,Diadema!$J$55:$J$176)</f>
        <v>#N/A</v>
      </c>
    </row>
    <row r="121" spans="1:4" hidden="1" x14ac:dyDescent="0.3">
      <c r="A121" t="s">
        <v>21</v>
      </c>
      <c r="B121" t="str">
        <f>Diadema!C167</f>
        <v>57 - AlmaCAM_Redução de Peso</v>
      </c>
      <c r="C121" t="str">
        <f>_xlfn.XLOOKUP(B121,Diadema!$C$55:$C$176,Diadema!$O$55:$O$176)</f>
        <v>✓ Concluído</v>
      </c>
      <c r="D121" s="803">
        <f>_xlfn.XLOOKUP(B121,Diadema!$C$55:$C$176,Diadema!$J$55:$J$176)</f>
        <v>46174</v>
      </c>
    </row>
    <row r="122" spans="1:4" hidden="1" x14ac:dyDescent="0.3">
      <c r="A122" t="s">
        <v>21</v>
      </c>
      <c r="B122">
        <f>Diadema!C168</f>
        <v>0</v>
      </c>
      <c r="C122" t="e">
        <f>_xlfn.XLOOKUP(B122,Diadema!$C$55:$C$176,Diadema!$O$55:$O$176)</f>
        <v>#N/A</v>
      </c>
      <c r="D122" s="803" t="e">
        <f>_xlfn.XLOOKUP(B122,Diadema!$C$55:$C$176,Diadema!$J$55:$J$176)</f>
        <v>#N/A</v>
      </c>
    </row>
    <row r="123" spans="1:4" hidden="1" x14ac:dyDescent="0.3">
      <c r="A123" t="s">
        <v>21</v>
      </c>
      <c r="B123">
        <f>Diadema!C169</f>
        <v>0</v>
      </c>
      <c r="C123" t="e">
        <f>_xlfn.XLOOKUP(B123,Diadema!$C$55:$C$176,Diadema!$O$55:$O$176)</f>
        <v>#N/A</v>
      </c>
      <c r="D123" s="803" t="e">
        <f>_xlfn.XLOOKUP(B123,Diadema!$C$55:$C$176,Diadema!$J$55:$J$176)</f>
        <v>#N/A</v>
      </c>
    </row>
    <row r="124" spans="1:4" hidden="1" x14ac:dyDescent="0.3">
      <c r="A124" t="s">
        <v>21</v>
      </c>
      <c r="B124">
        <f>Diadema!C170</f>
        <v>0</v>
      </c>
      <c r="C124" t="e">
        <f>_xlfn.XLOOKUP(B124,Diadema!$C$55:$C$176,Diadema!$O$55:$O$176)</f>
        <v>#N/A</v>
      </c>
      <c r="D124" s="803" t="e">
        <f>_xlfn.XLOOKUP(B124,Diadema!$C$55:$C$176,Diadema!$J$55:$J$176)</f>
        <v>#N/A</v>
      </c>
    </row>
    <row r="125" spans="1:4" hidden="1" x14ac:dyDescent="0.3">
      <c r="A125" t="s">
        <v>21</v>
      </c>
      <c r="B125">
        <f>Diadema!C171</f>
        <v>0</v>
      </c>
      <c r="C125" t="e">
        <f>_xlfn.XLOOKUP(B125,Diadema!$C$55:$C$176,Diadema!$O$55:$O$176)</f>
        <v>#N/A</v>
      </c>
      <c r="D125" s="803" t="e">
        <f>_xlfn.XLOOKUP(B125,Diadema!$C$55:$C$176,Diadema!$J$55:$J$176)</f>
        <v>#N/A</v>
      </c>
    </row>
    <row r="126" spans="1:4" hidden="1" x14ac:dyDescent="0.3">
      <c r="A126" t="s">
        <v>21</v>
      </c>
      <c r="B126">
        <f>Diadema!C172</f>
        <v>0</v>
      </c>
      <c r="C126" t="e">
        <f>_xlfn.XLOOKUP(B126,Diadema!$C$55:$C$176,Diadema!$O$55:$O$176)</f>
        <v>#N/A</v>
      </c>
      <c r="D126" s="803" t="e">
        <f>_xlfn.XLOOKUP(B126,Diadema!$C$55:$C$176,Diadema!$J$55:$J$176)</f>
        <v>#N/A</v>
      </c>
    </row>
    <row r="127" spans="1:4" hidden="1" x14ac:dyDescent="0.3">
      <c r="A127" t="s">
        <v>21</v>
      </c>
      <c r="B127">
        <f>Diadema!C173</f>
        <v>0</v>
      </c>
      <c r="C127" t="e">
        <f>_xlfn.XLOOKUP(B127,Diadema!$C$55:$C$176,Diadema!$O$55:$O$176)</f>
        <v>#N/A</v>
      </c>
      <c r="D127" s="803" t="e">
        <f>_xlfn.XLOOKUP(B127,Diadema!$C$55:$C$176,Diadema!$J$55:$J$176)</f>
        <v>#N/A</v>
      </c>
    </row>
    <row r="128" spans="1:4" hidden="1" x14ac:dyDescent="0.3">
      <c r="A128" t="s">
        <v>21</v>
      </c>
      <c r="B128">
        <f>Diadema!C174</f>
        <v>0</v>
      </c>
      <c r="C128" t="e">
        <f>_xlfn.XLOOKUP(B128,Diadema!$C$55:$C$176,Diadema!$O$55:$O$176)</f>
        <v>#N/A</v>
      </c>
      <c r="D128" s="803" t="e">
        <f>_xlfn.XLOOKUP(B128,Diadema!$C$55:$C$176,Diadema!$J$55:$J$176)</f>
        <v>#N/A</v>
      </c>
    </row>
    <row r="129" spans="1:4" hidden="1" x14ac:dyDescent="0.3">
      <c r="A129" t="s">
        <v>21</v>
      </c>
      <c r="B129">
        <f>Diadema!C175</f>
        <v>0</v>
      </c>
      <c r="C129" t="e">
        <f>_xlfn.XLOOKUP(B129,Diadema!$C$55:$C$176,Diadema!$O$55:$O$176)</f>
        <v>#N/A</v>
      </c>
      <c r="D129" s="803" t="e">
        <f>_xlfn.XLOOKUP(B129,Diadema!$C$55:$C$176,Diadema!$J$55:$J$176)</f>
        <v>#N/A</v>
      </c>
    </row>
    <row r="130" spans="1:4" hidden="1" x14ac:dyDescent="0.3">
      <c r="A130" t="s">
        <v>25</v>
      </c>
      <c r="B130" t="str">
        <f>Anchieta!C55</f>
        <v>01 - VENDA DE ATIVOS</v>
      </c>
      <c r="C130" t="str">
        <f>_xlfn.XLOOKUP(B130,Anchieta!$C$55:$C$102,Anchieta!$O$55:$O$102)</f>
        <v>⏳ Em Execução</v>
      </c>
      <c r="D130" s="803">
        <f>_xlfn.XLOOKUP(B130,Anchieta!$C$55:$C$102,Anchieta!$J$55:$J$102)</f>
        <v>0</v>
      </c>
    </row>
    <row r="131" spans="1:4" hidden="1" x14ac:dyDescent="0.3">
      <c r="A131" t="s">
        <v>25</v>
      </c>
      <c r="B131">
        <f>Anchieta!C56</f>
        <v>0</v>
      </c>
      <c r="C131" t="e">
        <f>_xlfn.XLOOKUP(B131,Anchieta!$C$55:$C$102,Anchieta!$O$55:$O$102)</f>
        <v>#N/A</v>
      </c>
      <c r="D131" s="803" t="e">
        <f>_xlfn.XLOOKUP(B131,Anchieta!$C$55:$C$102,Anchieta!$J$55:$J$102)</f>
        <v>#N/A</v>
      </c>
    </row>
    <row r="132" spans="1:4" hidden="1" x14ac:dyDescent="0.3">
      <c r="A132" t="s">
        <v>25</v>
      </c>
      <c r="B132" t="str">
        <f>Anchieta!C57</f>
        <v>02 - TANQUE DE DECAPAGEM</v>
      </c>
      <c r="C132" t="str">
        <f>_xlfn.XLOOKUP(B132,Anchieta!$C$55:$C$102,Anchieta!$O$55:$O$102)</f>
        <v>⏳ Em Execução</v>
      </c>
      <c r="D132" s="803">
        <f>_xlfn.XLOOKUP(B132,Anchieta!$C$55:$C$102,Anchieta!$J$55:$J$102)</f>
        <v>46218</v>
      </c>
    </row>
    <row r="133" spans="1:4" hidden="1" x14ac:dyDescent="0.3">
      <c r="A133" t="s">
        <v>25</v>
      </c>
      <c r="B133">
        <f>Anchieta!C58</f>
        <v>0</v>
      </c>
      <c r="C133" t="e">
        <f>_xlfn.XLOOKUP(B133,Anchieta!$C$55:$C$102,Anchieta!$O$55:$O$102)</f>
        <v>#N/A</v>
      </c>
      <c r="D133" s="803" t="e">
        <f>_xlfn.XLOOKUP(B133,Anchieta!$C$55:$C$102,Anchieta!$J$55:$J$102)</f>
        <v>#N/A</v>
      </c>
    </row>
    <row r="134" spans="1:4" hidden="1" x14ac:dyDescent="0.3">
      <c r="A134" t="s">
        <v>25</v>
      </c>
      <c r="B134" t="str">
        <f>Anchieta!C59</f>
        <v>03 - PRODUTOS QUÍMICOS KTL</v>
      </c>
      <c r="C134" t="str">
        <f>_xlfn.XLOOKUP(B134,Anchieta!$C$55:$C$102,Anchieta!$O$55:$O$102)</f>
        <v>⏳ Em Execução</v>
      </c>
      <c r="D134" s="803">
        <f>_xlfn.XLOOKUP(B134,Anchieta!$C$55:$C$102,Anchieta!$J$55:$J$102)</f>
        <v>46054</v>
      </c>
    </row>
    <row r="135" spans="1:4" hidden="1" x14ac:dyDescent="0.3">
      <c r="A135" t="s">
        <v>25</v>
      </c>
      <c r="B135">
        <f>Anchieta!C60</f>
        <v>0</v>
      </c>
      <c r="C135" t="e">
        <f>_xlfn.XLOOKUP(B135,Anchieta!$C$55:$C$102,Anchieta!$O$55:$O$102)</f>
        <v>#N/A</v>
      </c>
      <c r="D135" s="803" t="e">
        <f>_xlfn.XLOOKUP(B135,Anchieta!$C$55:$C$102,Anchieta!$J$55:$J$102)</f>
        <v>#N/A</v>
      </c>
    </row>
    <row r="136" spans="1:4" hidden="1" x14ac:dyDescent="0.3">
      <c r="A136" t="s">
        <v>25</v>
      </c>
      <c r="B136" t="str">
        <f>Anchieta!C61</f>
        <v>04 - GÁS</v>
      </c>
      <c r="C136" t="str">
        <f>_xlfn.XLOOKUP(B136,Anchieta!$C$55:$C$102,Anchieta!$O$55:$O$102)</f>
        <v>⏳ Em Execução</v>
      </c>
      <c r="D136" s="803">
        <f>_xlfn.XLOOKUP(B136,Anchieta!$C$55:$C$102,Anchieta!$J$55:$J$102)</f>
        <v>46113</v>
      </c>
    </row>
    <row r="137" spans="1:4" hidden="1" x14ac:dyDescent="0.3">
      <c r="A137" t="s">
        <v>25</v>
      </c>
      <c r="B137">
        <f>Anchieta!C62</f>
        <v>0</v>
      </c>
      <c r="C137" t="e">
        <f>_xlfn.XLOOKUP(B137,Anchieta!$C$55:$C$102,Anchieta!$O$55:$O$102)</f>
        <v>#N/A</v>
      </c>
      <c r="D137" s="803" t="e">
        <f>_xlfn.XLOOKUP(B137,Anchieta!$C$55:$C$102,Anchieta!$J$55:$J$102)</f>
        <v>#N/A</v>
      </c>
    </row>
    <row r="138" spans="1:4" hidden="1" x14ac:dyDescent="0.3">
      <c r="A138" t="s">
        <v>25</v>
      </c>
      <c r="B138" t="str">
        <f>Anchieta!C63</f>
        <v>05 - REDUÇÃO DE FRETE</v>
      </c>
      <c r="C138" t="str">
        <f>_xlfn.XLOOKUP(B138,Anchieta!$C$55:$C$102,Anchieta!$O$55:$O$102)</f>
        <v>⏳ Em Execução</v>
      </c>
      <c r="D138" s="803">
        <f>_xlfn.XLOOKUP(B138,Anchieta!$C$55:$C$102,Anchieta!$J$55:$J$102)</f>
        <v>0</v>
      </c>
    </row>
    <row r="139" spans="1:4" hidden="1" x14ac:dyDescent="0.3">
      <c r="A139" t="s">
        <v>25</v>
      </c>
      <c r="B139">
        <f>Anchieta!C64</f>
        <v>0</v>
      </c>
      <c r="C139" t="e">
        <f>_xlfn.XLOOKUP(B139,Anchieta!$C$55:$C$102,Anchieta!$O$55:$O$102)</f>
        <v>#N/A</v>
      </c>
      <c r="D139" s="803" t="e">
        <f>_xlfn.XLOOKUP(B139,Anchieta!$C$55:$C$102,Anchieta!$J$55:$J$102)</f>
        <v>#N/A</v>
      </c>
    </row>
    <row r="140" spans="1:4" hidden="1" x14ac:dyDescent="0.3">
      <c r="A140" t="s">
        <v>25</v>
      </c>
      <c r="B140" t="str">
        <f>Anchieta!C65</f>
        <v>06 - CONSUMO DE TINTA PÓ</v>
      </c>
      <c r="C140" t="str">
        <f>_xlfn.XLOOKUP(B140,Anchieta!$C$55:$C$102,Anchieta!$O$55:$O$102)</f>
        <v>⏳ Em Execução</v>
      </c>
      <c r="D140" s="803">
        <f>_xlfn.XLOOKUP(B140,Anchieta!$C$55:$C$102,Anchieta!$J$55:$J$102)</f>
        <v>0</v>
      </c>
    </row>
    <row r="141" spans="1:4" hidden="1" x14ac:dyDescent="0.3">
      <c r="A141" t="s">
        <v>25</v>
      </c>
      <c r="B141">
        <f>Anchieta!C66</f>
        <v>0</v>
      </c>
      <c r="C141" t="e">
        <f>_xlfn.XLOOKUP(B141,Anchieta!$C$55:$C$102,Anchieta!$O$55:$O$102)</f>
        <v>#N/A</v>
      </c>
      <c r="D141" s="803" t="e">
        <f>_xlfn.XLOOKUP(B141,Anchieta!$C$55:$C$102,Anchieta!$J$55:$J$102)</f>
        <v>#N/A</v>
      </c>
    </row>
    <row r="142" spans="1:4" hidden="1" x14ac:dyDescent="0.3">
      <c r="A142" t="s">
        <v>25</v>
      </c>
      <c r="B142" t="str">
        <f>Anchieta!C67</f>
        <v>07 - CONSUMO DE EPI e SERVIÇOS</v>
      </c>
      <c r="C142" t="str">
        <f>_xlfn.XLOOKUP(B142,Anchieta!$C$55:$C$102,Anchieta!$O$55:$O$102)</f>
        <v>⏳ Em Execução</v>
      </c>
      <c r="D142" s="803">
        <f>_xlfn.XLOOKUP(B142,Anchieta!$C$55:$C$102,Anchieta!$J$55:$J$102)</f>
        <v>46082</v>
      </c>
    </row>
    <row r="143" spans="1:4" hidden="1" x14ac:dyDescent="0.3">
      <c r="A143" t="s">
        <v>25</v>
      </c>
      <c r="B143">
        <f>Anchieta!C68</f>
        <v>0</v>
      </c>
      <c r="C143" t="e">
        <f>_xlfn.XLOOKUP(B143,Anchieta!$C$55:$C$102,Anchieta!$O$55:$O$102)</f>
        <v>#N/A</v>
      </c>
      <c r="D143" s="803" t="e">
        <f>_xlfn.XLOOKUP(B143,Anchieta!$C$55:$C$102,Anchieta!$J$55:$J$102)</f>
        <v>#N/A</v>
      </c>
    </row>
    <row r="144" spans="1:4" hidden="1" x14ac:dyDescent="0.3">
      <c r="A144" t="s">
        <v>25</v>
      </c>
      <c r="B144" t="str">
        <f>Anchieta!C69</f>
        <v>08- ÁGUA</v>
      </c>
      <c r="C144" t="str">
        <f>_xlfn.XLOOKUP(B144,Anchieta!$C$55:$C$102,Anchieta!$O$55:$O$102)</f>
        <v>⏳ Em Execução</v>
      </c>
      <c r="D144" s="803" t="str">
        <f>_xlfn.XLOOKUP(B144,Anchieta!$C$55:$C$102,Anchieta!$J$55:$J$102)</f>
        <v>N/A</v>
      </c>
    </row>
    <row r="145" spans="1:4" hidden="1" x14ac:dyDescent="0.3">
      <c r="A145" t="s">
        <v>25</v>
      </c>
      <c r="B145">
        <f>Anchieta!C70</f>
        <v>0</v>
      </c>
      <c r="C145" t="e">
        <f>_xlfn.XLOOKUP(B145,Anchieta!$C$55:$C$102,Anchieta!$O$55:$O$102)</f>
        <v>#N/A</v>
      </c>
      <c r="D145" s="803" t="e">
        <f>_xlfn.XLOOKUP(B145,Anchieta!$C$55:$C$102,Anchieta!$J$55:$J$102)</f>
        <v>#N/A</v>
      </c>
    </row>
    <row r="146" spans="1:4" hidden="1" x14ac:dyDescent="0.3">
      <c r="A146" t="s">
        <v>25</v>
      </c>
      <c r="B146" t="str">
        <f>Anchieta!C71</f>
        <v>09 - ENERGIA ELÉTRICA</v>
      </c>
      <c r="C146" t="str">
        <f>_xlfn.XLOOKUP(B146,Anchieta!$C$55:$C$102,Anchieta!$O$55:$O$102)</f>
        <v>⏳ Em Execução</v>
      </c>
      <c r="D146" s="803" t="str">
        <f>_xlfn.XLOOKUP(B146,Anchieta!$C$55:$C$102,Anchieta!$J$55:$J$102)</f>
        <v>N/A</v>
      </c>
    </row>
    <row r="147" spans="1:4" hidden="1" x14ac:dyDescent="0.3">
      <c r="A147" t="s">
        <v>25</v>
      </c>
      <c r="B147">
        <f>Anchieta!C72</f>
        <v>0</v>
      </c>
      <c r="C147" t="e">
        <f>_xlfn.XLOOKUP(B147,Anchieta!$C$55:$C$102,Anchieta!$O$55:$O$102)</f>
        <v>#N/A</v>
      </c>
      <c r="D147" s="803" t="e">
        <f>_xlfn.XLOOKUP(B147,Anchieta!$C$55:$C$102,Anchieta!$J$55:$J$102)</f>
        <v>#N/A</v>
      </c>
    </row>
    <row r="148" spans="1:4" hidden="1" x14ac:dyDescent="0.3">
      <c r="A148" t="s">
        <v>25</v>
      </c>
      <c r="B148" t="str">
        <f>Anchieta!C73</f>
        <v>10 - CONSUMO PERNA DE MOÇA</v>
      </c>
      <c r="C148" t="str">
        <f>_xlfn.XLOOKUP(B148,Anchieta!$C$55:$C$102,Anchieta!$O$55:$O$102)</f>
        <v>⏳ Em Execução</v>
      </c>
      <c r="D148" s="803">
        <f>_xlfn.XLOOKUP(B148,Anchieta!$C$55:$C$102,Anchieta!$J$55:$J$102)</f>
        <v>46113</v>
      </c>
    </row>
    <row r="149" spans="1:4" hidden="1" x14ac:dyDescent="0.3">
      <c r="A149" t="s">
        <v>25</v>
      </c>
      <c r="B149">
        <f>Anchieta!C74</f>
        <v>0</v>
      </c>
      <c r="C149" t="e">
        <f>_xlfn.XLOOKUP(B149,Anchieta!$C$55:$C$102,Anchieta!$O$55:$O$102)</f>
        <v>#N/A</v>
      </c>
      <c r="D149" s="803" t="e">
        <f>_xlfn.XLOOKUP(B149,Anchieta!$C$55:$C$102,Anchieta!$J$55:$J$102)</f>
        <v>#N/A</v>
      </c>
    </row>
    <row r="150" spans="1:4" hidden="1" x14ac:dyDescent="0.3">
      <c r="A150" t="s">
        <v>25</v>
      </c>
      <c r="B150" t="str">
        <f>Anchieta!C75</f>
        <v>11 - WORKSHOP LIXAMENTO DD / DF</v>
      </c>
      <c r="C150" t="str">
        <f>_xlfn.XLOOKUP(B150,Anchieta!$C$55:$C$102,Anchieta!$O$55:$O$102)</f>
        <v>⏳ Em Execução</v>
      </c>
      <c r="D150" s="804" t="str">
        <f>_xlfn.XLOOKUP(B150,Anchieta!$C$55:$C$102,Anchieta!$J$55:$J$102)</f>
        <v>N/A</v>
      </c>
    </row>
    <row r="151" spans="1:4" hidden="1" x14ac:dyDescent="0.3">
      <c r="A151" t="s">
        <v>25</v>
      </c>
      <c r="B151">
        <f>Anchieta!C76</f>
        <v>0</v>
      </c>
      <c r="C151" t="e">
        <f>_xlfn.XLOOKUP(B151,Anchieta!$C$55:$C$102,Anchieta!$O$55:$O$102)</f>
        <v>#N/A</v>
      </c>
      <c r="D151" s="803" t="e">
        <f>_xlfn.XLOOKUP(B151,Anchieta!$C$55:$C$102,Anchieta!$J$55:$J$102)</f>
        <v>#N/A</v>
      </c>
    </row>
    <row r="152" spans="1:4" hidden="1" x14ac:dyDescent="0.3">
      <c r="A152" t="s">
        <v>25</v>
      </c>
      <c r="B152" t="str">
        <f>Anchieta!C77</f>
        <v>12 - Vendas de descartáveis</v>
      </c>
      <c r="C152" t="str">
        <f>_xlfn.XLOOKUP(B152,Anchieta!$C$55:$C$102,Anchieta!$O$55:$O$102)</f>
        <v>⏳ Em Execução</v>
      </c>
      <c r="D152" s="803">
        <f>_xlfn.XLOOKUP(B152,Anchieta!$C$55:$C$102,Anchieta!$J$55:$J$102)</f>
        <v>46235</v>
      </c>
    </row>
    <row r="153" spans="1:4" hidden="1" x14ac:dyDescent="0.3">
      <c r="A153" t="s">
        <v>25</v>
      </c>
      <c r="B153">
        <f>Anchieta!C78</f>
        <v>0</v>
      </c>
      <c r="C153" t="e">
        <f>_xlfn.XLOOKUP(B153,Anchieta!$C$55:$C$102,Anchieta!$O$55:$O$102)</f>
        <v>#N/A</v>
      </c>
      <c r="D153" s="803" t="e">
        <f>_xlfn.XLOOKUP(B153,Anchieta!$C$55:$C$102,Anchieta!$J$55:$J$102)</f>
        <v>#N/A</v>
      </c>
    </row>
    <row r="154" spans="1:4" hidden="1" x14ac:dyDescent="0.3">
      <c r="A154" t="s">
        <v>25</v>
      </c>
      <c r="B154" t="str">
        <f>Anchieta!C79</f>
        <v>13 - Consumo de materiais da ETE</v>
      </c>
      <c r="C154" t="str">
        <f>_xlfn.XLOOKUP(B154,Anchieta!$C$55:$C$102,Anchieta!$O$55:$O$102)</f>
        <v>⏳ Em Execução</v>
      </c>
      <c r="D154" s="803">
        <f>_xlfn.XLOOKUP(B154,Anchieta!$C$55:$C$102,Anchieta!$J$55:$J$102)</f>
        <v>46143</v>
      </c>
    </row>
    <row r="155" spans="1:4" hidden="1" x14ac:dyDescent="0.3">
      <c r="A155" t="s">
        <v>25</v>
      </c>
      <c r="B155">
        <f>Anchieta!C80</f>
        <v>0</v>
      </c>
      <c r="C155" t="e">
        <f>_xlfn.XLOOKUP(B155,Anchieta!$C$55:$C$102,Anchieta!$O$55:$O$102)</f>
        <v>#N/A</v>
      </c>
      <c r="D155" s="803" t="e">
        <f>_xlfn.XLOOKUP(B155,Anchieta!$C$55:$C$102,Anchieta!$J$55:$J$102)</f>
        <v>#N/A</v>
      </c>
    </row>
    <row r="156" spans="1:4" hidden="1" x14ac:dyDescent="0.3">
      <c r="A156" t="s">
        <v>25</v>
      </c>
      <c r="B156">
        <f>Anchieta!C81</f>
        <v>0</v>
      </c>
      <c r="C156" t="e">
        <f>_xlfn.XLOOKUP(B156,Anchieta!$C$55:$C$102,Anchieta!$O$55:$O$102)</f>
        <v>#N/A</v>
      </c>
      <c r="D156" s="803" t="e">
        <f>_xlfn.XLOOKUP(B156,Anchieta!$C$55:$C$102,Anchieta!$J$55:$J$102)</f>
        <v>#N/A</v>
      </c>
    </row>
    <row r="157" spans="1:4" hidden="1" x14ac:dyDescent="0.3">
      <c r="A157" t="s">
        <v>25</v>
      </c>
      <c r="B157">
        <f>Anchieta!C82</f>
        <v>0</v>
      </c>
      <c r="C157" t="e">
        <f>_xlfn.XLOOKUP(B157,Anchieta!$C$55:$C$102,Anchieta!$O$55:$O$102)</f>
        <v>#N/A</v>
      </c>
      <c r="D157" s="803" t="e">
        <f>_xlfn.XLOOKUP(B157,Anchieta!$C$55:$C$102,Anchieta!$J$55:$J$102)</f>
        <v>#N/A</v>
      </c>
    </row>
    <row r="158" spans="1:4" hidden="1" x14ac:dyDescent="0.3">
      <c r="A158" t="s">
        <v>25</v>
      </c>
      <c r="B158">
        <f>Anchieta!C83</f>
        <v>0</v>
      </c>
      <c r="C158" t="e">
        <f>_xlfn.XLOOKUP(B158,Anchieta!$C$55:$C$102,Anchieta!$O$55:$O$102)</f>
        <v>#N/A</v>
      </c>
      <c r="D158" s="803" t="e">
        <f>_xlfn.XLOOKUP(B158,Anchieta!$C$55:$C$102,Anchieta!$J$55:$J$102)</f>
        <v>#N/A</v>
      </c>
    </row>
    <row r="159" spans="1:4" hidden="1" x14ac:dyDescent="0.3">
      <c r="A159" t="s">
        <v>25</v>
      </c>
      <c r="B159">
        <f>Anchieta!C84</f>
        <v>0</v>
      </c>
      <c r="C159" t="e">
        <f>_xlfn.XLOOKUP(B159,Anchieta!$C$55:$C$102,Anchieta!$O$55:$O$102)</f>
        <v>#N/A</v>
      </c>
      <c r="D159" s="803" t="e">
        <f>_xlfn.XLOOKUP(B159,Anchieta!$C$55:$C$102,Anchieta!$J$55:$J$102)</f>
        <v>#N/A</v>
      </c>
    </row>
    <row r="160" spans="1:4" hidden="1" x14ac:dyDescent="0.3">
      <c r="A160" t="s">
        <v>25</v>
      </c>
      <c r="B160">
        <f>Anchieta!C85</f>
        <v>0</v>
      </c>
      <c r="C160" t="e">
        <f>_xlfn.XLOOKUP(B160,Anchieta!$C$55:$C$102,Anchieta!$O$55:$O$102)</f>
        <v>#N/A</v>
      </c>
      <c r="D160" s="803" t="e">
        <f>_xlfn.XLOOKUP(B160,Anchieta!$C$55:$C$102,Anchieta!$J$55:$J$102)</f>
        <v>#N/A</v>
      </c>
    </row>
    <row r="161" spans="1:4" hidden="1" x14ac:dyDescent="0.3">
      <c r="A161" t="s">
        <v>25</v>
      </c>
      <c r="B161">
        <f>Anchieta!C86</f>
        <v>0</v>
      </c>
      <c r="C161" t="e">
        <f>_xlfn.XLOOKUP(B161,Anchieta!$C$55:$C$102,Anchieta!$O$55:$O$102)</f>
        <v>#N/A</v>
      </c>
      <c r="D161" s="803" t="e">
        <f>_xlfn.XLOOKUP(B161,Anchieta!$C$55:$C$102,Anchieta!$J$55:$J$102)</f>
        <v>#N/A</v>
      </c>
    </row>
    <row r="162" spans="1:4" hidden="1" x14ac:dyDescent="0.3">
      <c r="A162" t="s">
        <v>25</v>
      </c>
      <c r="B162">
        <f>Anchieta!C87</f>
        <v>0</v>
      </c>
      <c r="C162" t="e">
        <f>_xlfn.XLOOKUP(B162,Anchieta!$C$55:$C$102,Anchieta!$O$55:$O$102)</f>
        <v>#N/A</v>
      </c>
      <c r="D162" s="803" t="e">
        <f>_xlfn.XLOOKUP(B162,Anchieta!$C$55:$C$102,Anchieta!$J$55:$J$102)</f>
        <v>#N/A</v>
      </c>
    </row>
    <row r="163" spans="1:4" hidden="1" x14ac:dyDescent="0.3">
      <c r="A163" t="s">
        <v>25</v>
      </c>
      <c r="B163">
        <f>Anchieta!C88</f>
        <v>0</v>
      </c>
      <c r="C163" t="e">
        <f>_xlfn.XLOOKUP(B163,Anchieta!$C$55:$C$102,Anchieta!$O$55:$O$102)</f>
        <v>#N/A</v>
      </c>
      <c r="D163" s="803" t="e">
        <f>_xlfn.XLOOKUP(B163,Anchieta!$C$55:$C$102,Anchieta!$J$55:$J$102)</f>
        <v>#N/A</v>
      </c>
    </row>
    <row r="164" spans="1:4" hidden="1" x14ac:dyDescent="0.3">
      <c r="A164" t="s">
        <v>25</v>
      </c>
      <c r="B164">
        <f>Anchieta!C89</f>
        <v>0</v>
      </c>
      <c r="C164" t="e">
        <f>_xlfn.XLOOKUP(B164,Anchieta!$C$55:$C$102,Anchieta!$O$55:$O$102)</f>
        <v>#N/A</v>
      </c>
      <c r="D164" s="803" t="e">
        <f>_xlfn.XLOOKUP(B164,Anchieta!$C$55:$C$102,Anchieta!$J$55:$J$102)</f>
        <v>#N/A</v>
      </c>
    </row>
    <row r="165" spans="1:4" hidden="1" x14ac:dyDescent="0.3">
      <c r="A165" t="s">
        <v>25</v>
      </c>
      <c r="B165">
        <f>Anchieta!C90</f>
        <v>0</v>
      </c>
      <c r="C165" t="e">
        <f>_xlfn.XLOOKUP(B165,Anchieta!$C$55:$C$102,Anchieta!$O$55:$O$102)</f>
        <v>#N/A</v>
      </c>
      <c r="D165" s="803" t="e">
        <f>_xlfn.XLOOKUP(B165,Anchieta!$C$55:$C$102,Anchieta!$J$55:$J$102)</f>
        <v>#N/A</v>
      </c>
    </row>
    <row r="166" spans="1:4" hidden="1" x14ac:dyDescent="0.3">
      <c r="A166" t="s">
        <v>25</v>
      </c>
      <c r="B166">
        <f>Anchieta!C91</f>
        <v>0</v>
      </c>
      <c r="C166" t="e">
        <f>_xlfn.XLOOKUP(B166,Anchieta!$C$55:$C$102,Anchieta!$O$55:$O$102)</f>
        <v>#N/A</v>
      </c>
      <c r="D166" s="803" t="e">
        <f>_xlfn.XLOOKUP(B166,Anchieta!$C$55:$C$102,Anchieta!$J$55:$J$102)</f>
        <v>#N/A</v>
      </c>
    </row>
    <row r="167" spans="1:4" hidden="1" x14ac:dyDescent="0.3">
      <c r="A167" t="s">
        <v>25</v>
      </c>
      <c r="B167">
        <f>Anchieta!C92</f>
        <v>0</v>
      </c>
      <c r="C167" t="e">
        <f>_xlfn.XLOOKUP(B167,Anchieta!$C$55:$C$102,Anchieta!$O$55:$O$102)</f>
        <v>#N/A</v>
      </c>
      <c r="D167" s="803" t="e">
        <f>_xlfn.XLOOKUP(B167,Anchieta!$C$55:$C$102,Anchieta!$J$55:$J$102)</f>
        <v>#N/A</v>
      </c>
    </row>
    <row r="168" spans="1:4" hidden="1" x14ac:dyDescent="0.3">
      <c r="A168" t="s">
        <v>25</v>
      </c>
      <c r="B168">
        <f>Anchieta!C93</f>
        <v>0</v>
      </c>
      <c r="C168" t="e">
        <f>_xlfn.XLOOKUP(B168,Anchieta!$C$55:$C$102,Anchieta!$O$55:$O$102)</f>
        <v>#N/A</v>
      </c>
      <c r="D168" s="803" t="e">
        <f>_xlfn.XLOOKUP(B168,Anchieta!$C$55:$C$102,Anchieta!$J$55:$J$102)</f>
        <v>#N/A</v>
      </c>
    </row>
    <row r="169" spans="1:4" hidden="1" x14ac:dyDescent="0.3">
      <c r="A169" t="s">
        <v>25</v>
      </c>
      <c r="B169">
        <f>Anchieta!C94</f>
        <v>0</v>
      </c>
      <c r="C169" t="e">
        <f>_xlfn.XLOOKUP(B169,Anchieta!$C$55:$C$102,Anchieta!$O$55:$O$102)</f>
        <v>#N/A</v>
      </c>
      <c r="D169" s="803" t="e">
        <f>_xlfn.XLOOKUP(B169,Anchieta!$C$55:$C$102,Anchieta!$J$55:$J$102)</f>
        <v>#N/A</v>
      </c>
    </row>
    <row r="170" spans="1:4" hidden="1" x14ac:dyDescent="0.3">
      <c r="A170" t="s">
        <v>25</v>
      </c>
      <c r="B170">
        <f>Anchieta!C95</f>
        <v>0</v>
      </c>
      <c r="C170" t="e">
        <f>_xlfn.XLOOKUP(B170,Anchieta!$C$55:$C$102,Anchieta!$O$55:$O$102)</f>
        <v>#N/A</v>
      </c>
      <c r="D170" s="803" t="e">
        <f>_xlfn.XLOOKUP(B170,Anchieta!$C$55:$C$102,Anchieta!$J$55:$J$102)</f>
        <v>#N/A</v>
      </c>
    </row>
    <row r="171" spans="1:4" hidden="1" x14ac:dyDescent="0.3">
      <c r="A171" t="s">
        <v>25</v>
      </c>
      <c r="B171">
        <f>Anchieta!C96</f>
        <v>0</v>
      </c>
      <c r="C171" t="e">
        <f>_xlfn.XLOOKUP(B171,Anchieta!$C$55:$C$102,Anchieta!$O$55:$O$102)</f>
        <v>#N/A</v>
      </c>
      <c r="D171" s="803" t="e">
        <f>_xlfn.XLOOKUP(B171,Anchieta!$C$55:$C$102,Anchieta!$J$55:$J$102)</f>
        <v>#N/A</v>
      </c>
    </row>
    <row r="172" spans="1:4" hidden="1" x14ac:dyDescent="0.3">
      <c r="A172" t="s">
        <v>25</v>
      </c>
      <c r="B172">
        <f>Anchieta!C97</f>
        <v>0</v>
      </c>
      <c r="C172" t="e">
        <f>_xlfn.XLOOKUP(B172,Anchieta!$C$55:$C$102,Anchieta!$O$55:$O$102)</f>
        <v>#N/A</v>
      </c>
      <c r="D172" s="803" t="e">
        <f>_xlfn.XLOOKUP(B172,Anchieta!$C$55:$C$102,Anchieta!$J$55:$J$102)</f>
        <v>#N/A</v>
      </c>
    </row>
    <row r="173" spans="1:4" hidden="1" x14ac:dyDescent="0.3">
      <c r="A173" t="s">
        <v>25</v>
      </c>
      <c r="B173">
        <f>Anchieta!C98</f>
        <v>0</v>
      </c>
      <c r="C173" t="e">
        <f>_xlfn.XLOOKUP(B173,Anchieta!$C$55:$C$102,Anchieta!$O$55:$O$102)</f>
        <v>#N/A</v>
      </c>
      <c r="D173" s="803" t="e">
        <f>_xlfn.XLOOKUP(B173,Anchieta!$C$55:$C$102,Anchieta!$J$55:$J$102)</f>
        <v>#N/A</v>
      </c>
    </row>
    <row r="174" spans="1:4" hidden="1" x14ac:dyDescent="0.3">
      <c r="A174" t="s">
        <v>25</v>
      </c>
      <c r="B174">
        <f>Anchieta!C99</f>
        <v>0</v>
      </c>
      <c r="C174" t="e">
        <f>_xlfn.XLOOKUP(B174,Anchieta!$C$55:$C$102,Anchieta!$O$55:$O$102)</f>
        <v>#N/A</v>
      </c>
      <c r="D174" s="803" t="e">
        <f>_xlfn.XLOOKUP(B174,Anchieta!$C$55:$C$102,Anchieta!$J$55:$J$102)</f>
        <v>#N/A</v>
      </c>
    </row>
    <row r="175" spans="1:4" hidden="1" x14ac:dyDescent="0.3">
      <c r="A175" t="s">
        <v>25</v>
      </c>
      <c r="B175">
        <f>Anchieta!C100</f>
        <v>0</v>
      </c>
      <c r="C175" t="e">
        <f>_xlfn.XLOOKUP(B175,Anchieta!$C$55:$C$102,Anchieta!$O$55:$O$102)</f>
        <v>#N/A</v>
      </c>
      <c r="D175" s="803" t="e">
        <f>_xlfn.XLOOKUP(B175,Anchieta!$C$55:$C$102,Anchieta!$J$55:$J$102)</f>
        <v>#N/A</v>
      </c>
    </row>
    <row r="176" spans="1:4" hidden="1" x14ac:dyDescent="0.3">
      <c r="A176" t="s">
        <v>25</v>
      </c>
      <c r="B176">
        <f>Anchieta!C101</f>
        <v>0</v>
      </c>
      <c r="C176" t="e">
        <f>_xlfn.XLOOKUP(B176,Anchieta!$C$55:$C$102,Anchieta!$O$55:$O$102)</f>
        <v>#N/A</v>
      </c>
      <c r="D176" s="803" t="e">
        <f>_xlfn.XLOOKUP(B176,Anchieta!$C$55:$C$102,Anchieta!$J$55:$J$102)</f>
        <v>#N/A</v>
      </c>
    </row>
    <row r="177" spans="1:5" hidden="1" x14ac:dyDescent="0.3">
      <c r="A177" t="s">
        <v>2559</v>
      </c>
      <c r="B177" t="str">
        <f>'São Leopoldo'!C55</f>
        <v>01 - Redução de Refugo</v>
      </c>
      <c r="C177" t="str">
        <f>_xlfn.XLOOKUP(B177,'São Leopoldo'!$C$55:$C$124,'São Leopoldo'!$O$55:$O$124)</f>
        <v>⏳ Em Execução</v>
      </c>
      <c r="D177" s="803">
        <f>_xlfn.XLOOKUP(B177,'São Leopoldo'!$C$55:$C$124,'São Leopoldo'!$J$55:$J$124)</f>
        <v>46054</v>
      </c>
    </row>
    <row r="178" spans="1:5" hidden="1" x14ac:dyDescent="0.3">
      <c r="A178" t="s">
        <v>2559</v>
      </c>
      <c r="B178">
        <f>'São Leopoldo'!C56</f>
        <v>0</v>
      </c>
      <c r="C178" t="e">
        <f>_xlfn.XLOOKUP(B178,'São Leopoldo'!$C$55:$C$124,'São Leopoldo'!$O$55:$O$124)</f>
        <v>#N/A</v>
      </c>
      <c r="D178" s="803" t="e">
        <f>_xlfn.XLOOKUP(B178,'São Leopoldo'!$C$55:$C$124,'São Leopoldo'!$J$55:$J$124)</f>
        <v>#N/A</v>
      </c>
    </row>
    <row r="179" spans="1:5" hidden="1" x14ac:dyDescent="0.3">
      <c r="A179" t="s">
        <v>2559</v>
      </c>
      <c r="B179" t="str">
        <f>'São Leopoldo'!C57</f>
        <v xml:space="preserve">02 -  REDUÇÃO DE PESO BRUTO DD000506Z
</v>
      </c>
      <c r="C179" t="str">
        <f>_xlfn.XLOOKUP(B179,'São Leopoldo'!$C$55:$C$124,'São Leopoldo'!$O$55:$O$124)</f>
        <v>⏳ Em Execução</v>
      </c>
      <c r="D179" s="803">
        <f>_xlfn.XLOOKUP(B179,'São Leopoldo'!$C$55:$C$124,'São Leopoldo'!$J$55:$J$124)</f>
        <v>46143</v>
      </c>
    </row>
    <row r="180" spans="1:5" hidden="1" x14ac:dyDescent="0.3">
      <c r="A180" t="s">
        <v>2559</v>
      </c>
      <c r="B180">
        <f>'São Leopoldo'!C58</f>
        <v>0</v>
      </c>
      <c r="C180" t="e">
        <f>_xlfn.XLOOKUP(B180,'São Leopoldo'!$C$55:$C$124,'São Leopoldo'!$O$55:$O$124)</f>
        <v>#N/A</v>
      </c>
      <c r="D180" s="803" t="e">
        <f>_xlfn.XLOOKUP(B180,'São Leopoldo'!$C$55:$C$124,'São Leopoldo'!$J$55:$J$124)</f>
        <v>#N/A</v>
      </c>
    </row>
    <row r="181" spans="1:5" hidden="1" x14ac:dyDescent="0.3">
      <c r="A181" t="s">
        <v>2559</v>
      </c>
      <c r="B181" t="str">
        <f>'São Leopoldo'!C59</f>
        <v>03- Comunização de Materiais</v>
      </c>
      <c r="C181" t="str">
        <f>_xlfn.XLOOKUP(B181,'São Leopoldo'!$C$55:$C$124,'São Leopoldo'!$O$55:$O$124)</f>
        <v>⏳ Em Execução</v>
      </c>
      <c r="D181" s="803">
        <f>_xlfn.XLOOKUP(B181,'São Leopoldo'!$C$55:$C$124,'São Leopoldo'!$J$55:$J$124)</f>
        <v>46143</v>
      </c>
    </row>
    <row r="182" spans="1:5" hidden="1" x14ac:dyDescent="0.3">
      <c r="A182" t="s">
        <v>2559</v>
      </c>
      <c r="B182">
        <f>'São Leopoldo'!C60</f>
        <v>0</v>
      </c>
      <c r="C182" t="e">
        <f>_xlfn.XLOOKUP(B182,'São Leopoldo'!$C$55:$C$124,'São Leopoldo'!$O$55:$O$124)</f>
        <v>#N/A</v>
      </c>
      <c r="D182" s="803" t="e">
        <f>_xlfn.XLOOKUP(B182,'São Leopoldo'!$C$55:$C$124,'São Leopoldo'!$J$55:$J$124)</f>
        <v>#N/A</v>
      </c>
    </row>
    <row r="183" spans="1:5" hidden="1" x14ac:dyDescent="0.3">
      <c r="A183" t="s">
        <v>2559</v>
      </c>
      <c r="B183" t="str">
        <f>'São Leopoldo'!C61</f>
        <v>04 - Aluguel de corte plasma</v>
      </c>
      <c r="C183" t="str">
        <f>_xlfn.XLOOKUP(B183,'São Leopoldo'!$C$55:$C$124,'São Leopoldo'!$O$55:$O$124)</f>
        <v>⏳ Em Execução</v>
      </c>
      <c r="D183" s="803">
        <f>_xlfn.XLOOKUP(B183,'São Leopoldo'!$C$55:$C$124,'São Leopoldo'!$J$55:$J$124)</f>
        <v>46143</v>
      </c>
    </row>
    <row r="184" spans="1:5" hidden="1" x14ac:dyDescent="0.3">
      <c r="A184" t="s">
        <v>2559</v>
      </c>
      <c r="B184">
        <f>'São Leopoldo'!C62</f>
        <v>0</v>
      </c>
      <c r="C184" t="e">
        <f>_xlfn.XLOOKUP(B184,'São Leopoldo'!$C$55:$C$124,'São Leopoldo'!$O$55:$O$124)</f>
        <v>#N/A</v>
      </c>
      <c r="D184" s="803" t="e">
        <f>_xlfn.XLOOKUP(B184,'São Leopoldo'!$C$55:$C$124,'São Leopoldo'!$J$55:$J$124)</f>
        <v>#N/A</v>
      </c>
    </row>
    <row r="185" spans="1:5" hidden="1" x14ac:dyDescent="0.3">
      <c r="A185" t="s">
        <v>2559</v>
      </c>
      <c r="B185" t="str">
        <f>'São Leopoldo'!C63</f>
        <v>05 -  REDUÇÃO DE PESO BRUTO DD000502/503Z</v>
      </c>
      <c r="C185" t="str">
        <f>_xlfn.XLOOKUP(B185,'São Leopoldo'!$C$55:$C$124,'São Leopoldo'!$O$55:$O$124)</f>
        <v>⏳ Em Execução</v>
      </c>
      <c r="D185" s="803">
        <f>_xlfn.XLOOKUP(B185,'São Leopoldo'!$C$55:$C$124,'São Leopoldo'!$J$55:$J$124)</f>
        <v>46143</v>
      </c>
    </row>
    <row r="186" spans="1:5" hidden="1" x14ac:dyDescent="0.3">
      <c r="A186" t="s">
        <v>2559</v>
      </c>
      <c r="B186">
        <f>'São Leopoldo'!C64</f>
        <v>0</v>
      </c>
      <c r="C186" t="e">
        <f>_xlfn.XLOOKUP(B186,'São Leopoldo'!$C$55:$C$124,'São Leopoldo'!$O$55:$O$124)</f>
        <v>#N/A</v>
      </c>
      <c r="D186" s="803" t="e">
        <f>_xlfn.XLOOKUP(B186,'São Leopoldo'!$C$55:$C$124,'São Leopoldo'!$J$55:$J$124)</f>
        <v>#N/A</v>
      </c>
    </row>
    <row r="187" spans="1:5" hidden="1" x14ac:dyDescent="0.3">
      <c r="A187" t="s">
        <v>2559</v>
      </c>
      <c r="B187" t="str">
        <f>'São Leopoldo'!C65</f>
        <v>06 - Acabamento capo CN13</v>
      </c>
      <c r="C187" t="str">
        <f>_xlfn.XLOOKUP(B187,'São Leopoldo'!$C$55:$C$124,'São Leopoldo'!$O$55:$O$124)</f>
        <v>⏳ Em Execução</v>
      </c>
      <c r="D187" s="803">
        <f>_xlfn.XLOOKUP(B187,'São Leopoldo'!$C$55:$C$124,'São Leopoldo'!$J$55:$J$124)</f>
        <v>46113</v>
      </c>
    </row>
    <row r="188" spans="1:5" hidden="1" x14ac:dyDescent="0.3">
      <c r="A188" t="s">
        <v>2559</v>
      </c>
      <c r="B188">
        <f>'São Leopoldo'!C66</f>
        <v>0</v>
      </c>
      <c r="C188" t="e">
        <f>_xlfn.XLOOKUP(B188,'São Leopoldo'!$C$55:$C$124,'São Leopoldo'!$O$55:$O$124)</f>
        <v>#N/A</v>
      </c>
      <c r="D188" s="803" t="e">
        <f>_xlfn.XLOOKUP(B188,'São Leopoldo'!$C$55:$C$124,'São Leopoldo'!$J$55:$J$124)</f>
        <v>#N/A</v>
      </c>
    </row>
    <row r="189" spans="1:5" hidden="1" x14ac:dyDescent="0.3">
      <c r="A189" t="s">
        <v>2559</v>
      </c>
      <c r="B189" t="str">
        <f>'São Leopoldo'!C67</f>
        <v>07 - Troca dos fornecedores de tubo do Capo CNH CN-13</v>
      </c>
      <c r="C189" t="str">
        <f>_xlfn.XLOOKUP(B189,'São Leopoldo'!$C$55:$C$124,'São Leopoldo'!$O$55:$O$124)</f>
        <v>⏳ Em Execução</v>
      </c>
      <c r="D189" s="803">
        <f>_xlfn.XLOOKUP(B189,'São Leopoldo'!$C$55:$C$124,'São Leopoldo'!$J$55:$J$124)</f>
        <v>0</v>
      </c>
    </row>
    <row r="190" spans="1:5" hidden="1" x14ac:dyDescent="0.3">
      <c r="A190" t="s">
        <v>2559</v>
      </c>
      <c r="B190">
        <f>'São Leopoldo'!C68</f>
        <v>0</v>
      </c>
      <c r="C190" t="e">
        <f>_xlfn.XLOOKUP(B190,'São Leopoldo'!$C$55:$C$124,'São Leopoldo'!$O$55:$O$124)</f>
        <v>#N/A</v>
      </c>
      <c r="D190" s="803" t="e">
        <f>_xlfn.XLOOKUP(B190,'São Leopoldo'!$C$55:$C$124,'São Leopoldo'!$J$55:$J$124)</f>
        <v>#N/A</v>
      </c>
    </row>
    <row r="191" spans="1:5" x14ac:dyDescent="0.3">
      <c r="A191" t="s">
        <v>2559</v>
      </c>
      <c r="B191" t="str">
        <f>'São Leopoldo'!C69</f>
        <v>08 - Reestruturação</v>
      </c>
      <c r="C191" t="str">
        <f>_xlfn.XLOOKUP(B191,'São Leopoldo'!$C$55:$C$124,'São Leopoldo'!$O$55:$O$124)</f>
        <v>✓ Concluído</v>
      </c>
      <c r="D191" s="804">
        <f>_xlfn.XLOOKUP(B191,'São Leopoldo'!$C$55:$C$124,'São Leopoldo'!$J$55:$J$124)</f>
        <v>46082</v>
      </c>
      <c r="E191" s="235">
        <f ca="1">_xlfn.XLOOKUP(B191,Pareto!S:S,Pareto!V:V)</f>
        <v>520985.22899999993</v>
      </c>
    </row>
    <row r="192" spans="1:5" hidden="1" x14ac:dyDescent="0.3">
      <c r="A192" t="s">
        <v>2559</v>
      </c>
      <c r="B192">
        <f>'São Leopoldo'!C70</f>
        <v>0</v>
      </c>
      <c r="C192" t="e">
        <f>_xlfn.XLOOKUP(B192,'São Leopoldo'!$C$55:$C$124,'São Leopoldo'!$O$55:$O$124)</f>
        <v>#N/A</v>
      </c>
      <c r="D192" s="803" t="e">
        <f>_xlfn.XLOOKUP(B192,'São Leopoldo'!$C$55:$C$124,'São Leopoldo'!$J$55:$J$124)</f>
        <v>#N/A</v>
      </c>
    </row>
    <row r="193" spans="1:4" hidden="1" x14ac:dyDescent="0.3">
      <c r="A193" t="s">
        <v>2559</v>
      </c>
      <c r="B193" t="str">
        <f>'São Leopoldo'!C71</f>
        <v>09 - REDUÇÃO DE CUSTO LOCAÇÃO DE PTA (12METROS)</v>
      </c>
      <c r="C193" t="str">
        <f>_xlfn.XLOOKUP(B193,'São Leopoldo'!$C$55:$C$124,'São Leopoldo'!$O$55:$O$124)</f>
        <v>⏳ Em Execução</v>
      </c>
      <c r="D193" s="803">
        <f>_xlfn.XLOOKUP(B193,'São Leopoldo'!$C$55:$C$124,'São Leopoldo'!$J$55:$J$124)</f>
        <v>46113</v>
      </c>
    </row>
    <row r="194" spans="1:4" hidden="1" x14ac:dyDescent="0.3">
      <c r="A194" t="s">
        <v>2559</v>
      </c>
      <c r="B194">
        <f>'São Leopoldo'!C72</f>
        <v>0</v>
      </c>
      <c r="C194" t="e">
        <f>_xlfn.XLOOKUP(B194,'São Leopoldo'!$C$55:$C$124,'São Leopoldo'!$O$55:$O$124)</f>
        <v>#N/A</v>
      </c>
      <c r="D194" s="803" t="e">
        <f>_xlfn.XLOOKUP(B194,'São Leopoldo'!$C$55:$C$124,'São Leopoldo'!$J$55:$J$124)</f>
        <v>#N/A</v>
      </c>
    </row>
    <row r="195" spans="1:4" hidden="1" x14ac:dyDescent="0.3">
      <c r="A195" t="s">
        <v>2559</v>
      </c>
      <c r="B195" t="str">
        <f>'São Leopoldo'!C73</f>
        <v>10 - Vazamentos de Ar Comprimido</v>
      </c>
      <c r="C195" t="str">
        <f>_xlfn.XLOOKUP(B195,'São Leopoldo'!$C$55:$C$124,'São Leopoldo'!$O$55:$O$124)</f>
        <v>⏳ Em Execução</v>
      </c>
      <c r="D195" s="803">
        <f>_xlfn.XLOOKUP(B195,'São Leopoldo'!$C$55:$C$124,'São Leopoldo'!$J$55:$J$124)</f>
        <v>46204</v>
      </c>
    </row>
    <row r="196" spans="1:4" hidden="1" x14ac:dyDescent="0.3">
      <c r="A196" t="s">
        <v>2559</v>
      </c>
      <c r="B196">
        <f>'São Leopoldo'!C74</f>
        <v>0</v>
      </c>
      <c r="C196" t="e">
        <f>_xlfn.XLOOKUP(B196,'São Leopoldo'!$C$55:$C$124,'São Leopoldo'!$O$55:$O$124)</f>
        <v>#N/A</v>
      </c>
      <c r="D196" s="803" t="e">
        <f>_xlfn.XLOOKUP(B196,'São Leopoldo'!$C$55:$C$124,'São Leopoldo'!$J$55:$J$124)</f>
        <v>#N/A</v>
      </c>
    </row>
    <row r="197" spans="1:4" hidden="1" x14ac:dyDescent="0.3">
      <c r="A197" t="s">
        <v>2559</v>
      </c>
      <c r="B197" t="str">
        <f>'São Leopoldo'!C75</f>
        <v>11- Substituíção de Empilhadeiras GPL.</v>
      </c>
      <c r="C197" t="str">
        <f>_xlfn.XLOOKUP(B197,'São Leopoldo'!$C$55:$C$124,'São Leopoldo'!$O$55:$O$124)</f>
        <v>⏳ Em Execução</v>
      </c>
      <c r="D197" s="803">
        <f>_xlfn.XLOOKUP(B197,'São Leopoldo'!$C$55:$C$124,'São Leopoldo'!$J$55:$J$124)</f>
        <v>0</v>
      </c>
    </row>
    <row r="198" spans="1:4" hidden="1" x14ac:dyDescent="0.3">
      <c r="A198" t="s">
        <v>2559</v>
      </c>
      <c r="B198">
        <f>'São Leopoldo'!C76</f>
        <v>0</v>
      </c>
      <c r="C198" t="e">
        <f>_xlfn.XLOOKUP(B198,'São Leopoldo'!$C$55:$C$124,'São Leopoldo'!$O$55:$O$124)</f>
        <v>#N/A</v>
      </c>
      <c r="D198" s="803" t="e">
        <f>_xlfn.XLOOKUP(B198,'São Leopoldo'!$C$55:$C$124,'São Leopoldo'!$J$55:$J$124)</f>
        <v>#N/A</v>
      </c>
    </row>
    <row r="199" spans="1:4" hidden="1" x14ac:dyDescent="0.3">
      <c r="A199" t="s">
        <v>2559</v>
      </c>
      <c r="B199" t="str">
        <f>'São Leopoldo'!C77</f>
        <v xml:space="preserve">12 -  REDUÇÃO DE PESO BRUTO DD000504/505Z
</v>
      </c>
      <c r="C199" t="str">
        <f>_xlfn.XLOOKUP(B199,'São Leopoldo'!$C$55:$C$124,'São Leopoldo'!$O$55:$O$124)</f>
        <v>⏳ Em Execução</v>
      </c>
      <c r="D199" s="803">
        <f>_xlfn.XLOOKUP(B199,'São Leopoldo'!$C$55:$C$124,'São Leopoldo'!$J$55:$J$124)</f>
        <v>46143</v>
      </c>
    </row>
    <row r="200" spans="1:4" hidden="1" x14ac:dyDescent="0.3">
      <c r="A200" t="s">
        <v>2559</v>
      </c>
      <c r="B200">
        <f>'São Leopoldo'!C78</f>
        <v>0</v>
      </c>
      <c r="C200" t="e">
        <f>_xlfn.XLOOKUP(B200,'São Leopoldo'!$C$55:$C$124,'São Leopoldo'!$O$55:$O$124)</f>
        <v>#N/A</v>
      </c>
      <c r="D200" s="803" t="e">
        <f>_xlfn.XLOOKUP(B200,'São Leopoldo'!$C$55:$C$124,'São Leopoldo'!$J$55:$J$124)</f>
        <v>#N/A</v>
      </c>
    </row>
    <row r="201" spans="1:4" hidden="1" x14ac:dyDescent="0.3">
      <c r="A201" t="s">
        <v>2559</v>
      </c>
      <c r="B201" t="str">
        <f>'São Leopoldo'!C79</f>
        <v>13- REDUZIR A QUANTIDADE DE MÁQUINAS DE SOLDA MIG/MAG LOCADAS</v>
      </c>
      <c r="C201" t="str">
        <f>_xlfn.XLOOKUP(B201,'São Leopoldo'!$C$55:$C$124,'São Leopoldo'!$O$55:$O$124)</f>
        <v>⏳ Em Execução</v>
      </c>
      <c r="D201" s="803">
        <f>_xlfn.XLOOKUP(B201,'São Leopoldo'!$C$55:$C$124,'São Leopoldo'!$J$55:$J$124)</f>
        <v>46144</v>
      </c>
    </row>
    <row r="202" spans="1:4" hidden="1" x14ac:dyDescent="0.3">
      <c r="A202" t="s">
        <v>2559</v>
      </c>
      <c r="B202">
        <f>'São Leopoldo'!C80</f>
        <v>0</v>
      </c>
      <c r="C202" t="e">
        <f>_xlfn.XLOOKUP(B202,'São Leopoldo'!$C$55:$C$124,'São Leopoldo'!$O$55:$O$124)</f>
        <v>#N/A</v>
      </c>
      <c r="D202" s="803" t="e">
        <f>_xlfn.XLOOKUP(B202,'São Leopoldo'!$C$55:$C$124,'São Leopoldo'!$J$55:$J$124)</f>
        <v>#N/A</v>
      </c>
    </row>
    <row r="203" spans="1:4" hidden="1" x14ac:dyDescent="0.3">
      <c r="A203" t="s">
        <v>2559</v>
      </c>
      <c r="B203" t="str">
        <f>'São Leopoldo'!C81</f>
        <v>14-Adicionar serviços de portaria e limpeza em um único prestador terceirizado com serviços gerais.</v>
      </c>
      <c r="C203" t="str">
        <f>_xlfn.XLOOKUP(B203,'São Leopoldo'!$C$55:$C$124,'São Leopoldo'!$O$55:$O$124)</f>
        <v>⏳ Em Execução</v>
      </c>
      <c r="D203" s="803">
        <f>_xlfn.XLOOKUP(B203,'São Leopoldo'!$C$55:$C$124,'São Leopoldo'!$J$55:$J$124)</f>
        <v>46143</v>
      </c>
    </row>
    <row r="204" spans="1:4" hidden="1" x14ac:dyDescent="0.3">
      <c r="A204" t="s">
        <v>2559</v>
      </c>
      <c r="B204">
        <f>'São Leopoldo'!C82</f>
        <v>0</v>
      </c>
      <c r="C204" t="e">
        <f>_xlfn.XLOOKUP(B204,'São Leopoldo'!$C$55:$C$124,'São Leopoldo'!$O$55:$O$124)</f>
        <v>#N/A</v>
      </c>
      <c r="D204" s="803" t="e">
        <f>_xlfn.XLOOKUP(B204,'São Leopoldo'!$C$55:$C$124,'São Leopoldo'!$J$55:$J$124)</f>
        <v>#N/A</v>
      </c>
    </row>
    <row r="205" spans="1:4" hidden="1" x14ac:dyDescent="0.3">
      <c r="A205" t="s">
        <v>2559</v>
      </c>
      <c r="B205" t="str">
        <f>'São Leopoldo'!C83</f>
        <v>15- Redução do custo mensal de empilhadeira locada (LOCAPEX).</v>
      </c>
      <c r="C205" t="str">
        <f>_xlfn.XLOOKUP(B205,'São Leopoldo'!$C$55:$C$124,'São Leopoldo'!$O$55:$O$124)</f>
        <v>⏳ Em Execução</v>
      </c>
      <c r="D205" s="803">
        <f>_xlfn.XLOOKUP(B205,'São Leopoldo'!$C$55:$C$124,'São Leopoldo'!$J$55:$J$124)</f>
        <v>46113</v>
      </c>
    </row>
    <row r="206" spans="1:4" hidden="1" x14ac:dyDescent="0.3">
      <c r="A206" t="s">
        <v>2559</v>
      </c>
      <c r="B206">
        <f>'São Leopoldo'!C84</f>
        <v>0</v>
      </c>
      <c r="C206" t="e">
        <f>_xlfn.XLOOKUP(B206,'São Leopoldo'!$C$55:$C$124,'São Leopoldo'!$O$55:$O$124)</f>
        <v>#N/A</v>
      </c>
      <c r="D206" s="803" t="e">
        <f>_xlfn.XLOOKUP(B206,'São Leopoldo'!$C$55:$C$124,'São Leopoldo'!$J$55:$J$124)</f>
        <v>#N/A</v>
      </c>
    </row>
    <row r="207" spans="1:4" hidden="1" x14ac:dyDescent="0.3">
      <c r="A207" t="s">
        <v>2559</v>
      </c>
      <c r="B207" t="str">
        <f>'São Leopoldo'!C85</f>
        <v>16- Redução de gastos com energia elétrica.</v>
      </c>
      <c r="C207" t="str">
        <f>_xlfn.XLOOKUP(B207,'São Leopoldo'!$C$55:$C$124,'São Leopoldo'!$O$55:$O$124)</f>
        <v>⏳ Em Execução</v>
      </c>
      <c r="D207" s="803">
        <f>_xlfn.XLOOKUP(B207,'São Leopoldo'!$C$55:$C$124,'São Leopoldo'!$J$55:$J$124)</f>
        <v>0</v>
      </c>
    </row>
    <row r="208" spans="1:4" hidden="1" x14ac:dyDescent="0.3">
      <c r="A208" t="s">
        <v>2559</v>
      </c>
      <c r="B208">
        <f>'São Leopoldo'!C86</f>
        <v>0</v>
      </c>
      <c r="C208" t="e">
        <f>_xlfn.XLOOKUP(B208,'São Leopoldo'!$C$55:$C$124,'São Leopoldo'!$O$55:$O$124)</f>
        <v>#N/A</v>
      </c>
      <c r="D208" s="803" t="e">
        <f>_xlfn.XLOOKUP(B208,'São Leopoldo'!$C$55:$C$124,'São Leopoldo'!$J$55:$J$124)</f>
        <v>#N/A</v>
      </c>
    </row>
    <row r="209" spans="1:4" hidden="1" x14ac:dyDescent="0.3">
      <c r="A209" t="s">
        <v>2559</v>
      </c>
      <c r="B209" t="str">
        <f>'São Leopoldo'!C87</f>
        <v>17- Redução de gasto com copo plásticos descartáveis.</v>
      </c>
      <c r="C209" t="str">
        <f>_xlfn.XLOOKUP(B209,'São Leopoldo'!$C$55:$C$124,'São Leopoldo'!$O$55:$O$124)</f>
        <v>⏳ Em Execução</v>
      </c>
      <c r="D209" s="803">
        <f>_xlfn.XLOOKUP(B209,'São Leopoldo'!$C$55:$C$124,'São Leopoldo'!$J$55:$J$124)</f>
        <v>0</v>
      </c>
    </row>
    <row r="210" spans="1:4" hidden="1" x14ac:dyDescent="0.3">
      <c r="A210" t="s">
        <v>2559</v>
      </c>
      <c r="B210">
        <f>'São Leopoldo'!C88</f>
        <v>0</v>
      </c>
      <c r="C210" t="e">
        <f>_xlfn.XLOOKUP(B210,'São Leopoldo'!$C$55:$C$124,'São Leopoldo'!$O$55:$O$124)</f>
        <v>#N/A</v>
      </c>
      <c r="D210" s="803" t="e">
        <f>_xlfn.XLOOKUP(B210,'São Leopoldo'!$C$55:$C$124,'São Leopoldo'!$J$55:$J$124)</f>
        <v>#N/A</v>
      </c>
    </row>
    <row r="211" spans="1:4" hidden="1" x14ac:dyDescent="0.3">
      <c r="A211" t="s">
        <v>2559</v>
      </c>
      <c r="B211" t="str">
        <f>'São Leopoldo'!C89</f>
        <v xml:space="preserve">18 -  REDUÇÃO DE PESO BRUTO DD000507z
</v>
      </c>
      <c r="C211" t="str">
        <f>_xlfn.XLOOKUP(B211,'São Leopoldo'!$C$55:$C$124,'São Leopoldo'!$O$55:$O$124)</f>
        <v>⏳ Em Execução</v>
      </c>
      <c r="D211" s="803">
        <f>_xlfn.XLOOKUP(B211,'São Leopoldo'!$C$55:$C$124,'São Leopoldo'!$J$55:$J$124)</f>
        <v>0</v>
      </c>
    </row>
    <row r="212" spans="1:4" hidden="1" x14ac:dyDescent="0.3">
      <c r="A212" t="s">
        <v>2559</v>
      </c>
      <c r="B212">
        <f>'São Leopoldo'!C90</f>
        <v>0</v>
      </c>
      <c r="C212" t="e">
        <f>_xlfn.XLOOKUP(B212,'São Leopoldo'!$C$55:$C$124,'São Leopoldo'!$O$55:$O$124)</f>
        <v>#N/A</v>
      </c>
      <c r="D212" s="803" t="e">
        <f>_xlfn.XLOOKUP(B212,'São Leopoldo'!$C$55:$C$124,'São Leopoldo'!$J$55:$J$124)</f>
        <v>#N/A</v>
      </c>
    </row>
    <row r="213" spans="1:4" hidden="1" x14ac:dyDescent="0.3">
      <c r="A213" t="s">
        <v>2559</v>
      </c>
      <c r="B213" t="str">
        <f>'São Leopoldo'!C91</f>
        <v xml:space="preserve">19 - Troca de Plano Médico, custo beneficio </v>
      </c>
      <c r="C213" t="str">
        <f>_xlfn.XLOOKUP(B213,'São Leopoldo'!$C$55:$C$124,'São Leopoldo'!$O$55:$O$124)</f>
        <v>⏳ Em Execução</v>
      </c>
      <c r="D213" s="803">
        <f>_xlfn.XLOOKUP(B213,'São Leopoldo'!$C$55:$C$124,'São Leopoldo'!$J$55:$J$124)</f>
        <v>0</v>
      </c>
    </row>
    <row r="214" spans="1:4" hidden="1" x14ac:dyDescent="0.3">
      <c r="A214" t="s">
        <v>2559</v>
      </c>
      <c r="B214">
        <f>'São Leopoldo'!C92</f>
        <v>0</v>
      </c>
      <c r="C214" t="e">
        <f>_xlfn.XLOOKUP(B214,'São Leopoldo'!$C$55:$C$124,'São Leopoldo'!$O$55:$O$124)</f>
        <v>#N/A</v>
      </c>
      <c r="D214" s="803" t="e">
        <f>_xlfn.XLOOKUP(B214,'São Leopoldo'!$C$55:$C$124,'São Leopoldo'!$J$55:$J$124)</f>
        <v>#N/A</v>
      </c>
    </row>
    <row r="215" spans="1:4" hidden="1" x14ac:dyDescent="0.3">
      <c r="A215" t="s">
        <v>2559</v>
      </c>
      <c r="B215" t="str">
        <f>'São Leopoldo'!C93</f>
        <v>20 - Redução com gasto com transporte de peças  DELGA X  FORNECEDOR.</v>
      </c>
      <c r="C215" t="str">
        <f>_xlfn.XLOOKUP(B215,'São Leopoldo'!$C$55:$C$124,'São Leopoldo'!$O$55:$O$124)</f>
        <v>⏳ Em Execução</v>
      </c>
      <c r="D215" s="803">
        <f>_xlfn.XLOOKUP(B215,'São Leopoldo'!$C$55:$C$124,'São Leopoldo'!$J$55:$J$124)</f>
        <v>0</v>
      </c>
    </row>
    <row r="216" spans="1:4" hidden="1" x14ac:dyDescent="0.3">
      <c r="A216" t="s">
        <v>2559</v>
      </c>
      <c r="B216">
        <f>'São Leopoldo'!C94</f>
        <v>0</v>
      </c>
      <c r="C216" t="e">
        <f>_xlfn.XLOOKUP(B216,'São Leopoldo'!$C$55:$C$124,'São Leopoldo'!$O$55:$O$124)</f>
        <v>#N/A</v>
      </c>
      <c r="D216" s="803" t="e">
        <f>_xlfn.XLOOKUP(B216,'São Leopoldo'!$C$55:$C$124,'São Leopoldo'!$J$55:$J$124)</f>
        <v>#N/A</v>
      </c>
    </row>
    <row r="217" spans="1:4" hidden="1" x14ac:dyDescent="0.3">
      <c r="A217" t="s">
        <v>2559</v>
      </c>
      <c r="B217">
        <f>'São Leopoldo'!C115</f>
        <v>0</v>
      </c>
      <c r="C217" t="e">
        <f>_xlfn.XLOOKUP(B217,'São Leopoldo'!$C$55:$C$124,'São Leopoldo'!$O$55:$O$124)</f>
        <v>#N/A</v>
      </c>
      <c r="D217" s="803" t="e">
        <f>_xlfn.XLOOKUP(B217,'São Leopoldo'!$C$55:$C$124,'São Leopoldo'!$J$55:$J$124)</f>
        <v>#N/A</v>
      </c>
    </row>
    <row r="218" spans="1:4" hidden="1" x14ac:dyDescent="0.3">
      <c r="A218" t="s">
        <v>2559</v>
      </c>
      <c r="B218">
        <f>'São Leopoldo'!C116</f>
        <v>0</v>
      </c>
      <c r="C218" t="e">
        <f>_xlfn.XLOOKUP(B218,'São Leopoldo'!$C$55:$C$124,'São Leopoldo'!$O$55:$O$124)</f>
        <v>#N/A</v>
      </c>
      <c r="D218" s="803" t="e">
        <f>_xlfn.XLOOKUP(B218,'São Leopoldo'!$C$55:$C$124,'São Leopoldo'!$J$55:$J$124)</f>
        <v>#N/A</v>
      </c>
    </row>
    <row r="219" spans="1:4" hidden="1" x14ac:dyDescent="0.3">
      <c r="A219" t="s">
        <v>2559</v>
      </c>
      <c r="B219">
        <f>'São Leopoldo'!C117</f>
        <v>0</v>
      </c>
      <c r="C219" t="e">
        <f>_xlfn.XLOOKUP(B219,'São Leopoldo'!$C$55:$C$124,'São Leopoldo'!$O$55:$O$124)</f>
        <v>#N/A</v>
      </c>
      <c r="D219" s="803" t="e">
        <f>_xlfn.XLOOKUP(B219,'São Leopoldo'!$C$55:$C$124,'São Leopoldo'!$J$55:$J$124)</f>
        <v>#N/A</v>
      </c>
    </row>
    <row r="220" spans="1:4" hidden="1" x14ac:dyDescent="0.3">
      <c r="A220" t="s">
        <v>2559</v>
      </c>
      <c r="B220">
        <f>'São Leopoldo'!C118</f>
        <v>0</v>
      </c>
      <c r="C220" t="e">
        <f>_xlfn.XLOOKUP(B220,'São Leopoldo'!$C$55:$C$124,'São Leopoldo'!$O$55:$O$124)</f>
        <v>#N/A</v>
      </c>
      <c r="D220" s="803" t="e">
        <f>_xlfn.XLOOKUP(B220,'São Leopoldo'!$C$55:$C$124,'São Leopoldo'!$J$55:$J$124)</f>
        <v>#N/A</v>
      </c>
    </row>
    <row r="221" spans="1:4" hidden="1" x14ac:dyDescent="0.3">
      <c r="A221" t="s">
        <v>2559</v>
      </c>
      <c r="B221">
        <f>'São Leopoldo'!C119</f>
        <v>0</v>
      </c>
      <c r="C221" t="e">
        <f>_xlfn.XLOOKUP(B221,'São Leopoldo'!$C$55:$C$124,'São Leopoldo'!$O$55:$O$124)</f>
        <v>#N/A</v>
      </c>
      <c r="D221" s="803" t="e">
        <f>_xlfn.XLOOKUP(B221,'São Leopoldo'!$C$55:$C$124,'São Leopoldo'!$J$55:$J$124)</f>
        <v>#N/A</v>
      </c>
    </row>
    <row r="222" spans="1:4" hidden="1" x14ac:dyDescent="0.3">
      <c r="A222" t="s">
        <v>2559</v>
      </c>
      <c r="B222">
        <f>'São Leopoldo'!C120</f>
        <v>0</v>
      </c>
      <c r="C222" t="e">
        <f>_xlfn.XLOOKUP(B222,'São Leopoldo'!$C$55:$C$124,'São Leopoldo'!$O$55:$O$124)</f>
        <v>#N/A</v>
      </c>
      <c r="D222" s="803" t="e">
        <f>_xlfn.XLOOKUP(B222,'São Leopoldo'!$C$55:$C$124,'São Leopoldo'!$J$55:$J$124)</f>
        <v>#N/A</v>
      </c>
    </row>
    <row r="223" spans="1:4" hidden="1" x14ac:dyDescent="0.3">
      <c r="A223" t="s">
        <v>2559</v>
      </c>
      <c r="B223">
        <f>'São Leopoldo'!C121</f>
        <v>0</v>
      </c>
      <c r="C223" t="e">
        <f>_xlfn.XLOOKUP(B223,'São Leopoldo'!$C$55:$C$124,'São Leopoldo'!$O$55:$O$124)</f>
        <v>#N/A</v>
      </c>
      <c r="D223" s="803" t="e">
        <f>_xlfn.XLOOKUP(B223,'São Leopoldo'!$C$55:$C$124,'São Leopoldo'!$J$55:$J$124)</f>
        <v>#N/A</v>
      </c>
    </row>
    <row r="224" spans="1:4" hidden="1" x14ac:dyDescent="0.3">
      <c r="A224" t="s">
        <v>2559</v>
      </c>
      <c r="B224">
        <f>'São Leopoldo'!C122</f>
        <v>0</v>
      </c>
      <c r="C224" t="e">
        <f>_xlfn.XLOOKUP(B224,'São Leopoldo'!$C$55:$C$124,'São Leopoldo'!$O$55:$O$124)</f>
        <v>#N/A</v>
      </c>
      <c r="D224" s="803" t="e">
        <f>_xlfn.XLOOKUP(B224,'São Leopoldo'!$C$55:$C$124,'São Leopoldo'!$J$55:$J$124)</f>
        <v>#N/A</v>
      </c>
    </row>
    <row r="225" spans="1:4" hidden="1" x14ac:dyDescent="0.3">
      <c r="A225" t="s">
        <v>2559</v>
      </c>
      <c r="B225">
        <f>'São Leopoldo'!C123</f>
        <v>0</v>
      </c>
      <c r="C225" t="e">
        <f>_xlfn.XLOOKUP(B225,'São Leopoldo'!$C$55:$C$124,'São Leopoldo'!$O$55:$O$124)</f>
        <v>#N/A</v>
      </c>
      <c r="D225" s="803" t="e">
        <f>_xlfn.XLOOKUP(B225,'São Leopoldo'!$C$55:$C$124,'São Leopoldo'!$J$55:$J$124)</f>
        <v>#N/A</v>
      </c>
    </row>
    <row r="226" spans="1:4" hidden="1" x14ac:dyDescent="0.3">
      <c r="A226" t="s">
        <v>2559</v>
      </c>
      <c r="B226">
        <f>'São Leopoldo'!C124</f>
        <v>0</v>
      </c>
      <c r="C226" t="e">
        <f>_xlfn.XLOOKUP(B226,'São Leopoldo'!$C$55:$C$124,'São Leopoldo'!$O$55:$O$124)</f>
        <v>#N/A</v>
      </c>
      <c r="D226" s="803" t="e">
        <f>_xlfn.XLOOKUP(B226,'São Leopoldo'!$C$55:$C$124,'São Leopoldo'!$J$55:$J$124)</f>
        <v>#N/A</v>
      </c>
    </row>
    <row r="227" spans="1:4" hidden="1" x14ac:dyDescent="0.3">
      <c r="A227" t="s">
        <v>2559</v>
      </c>
      <c r="B227" t="e">
        <f>'São Leopoldo'!#REF!</f>
        <v>#REF!</v>
      </c>
      <c r="C227" t="e">
        <f>_xlfn.XLOOKUP(B227,'São Leopoldo'!$C$55:$C$124,'São Leopoldo'!$O$55:$O$124)</f>
        <v>#REF!</v>
      </c>
      <c r="D227" s="803" t="e">
        <f>_xlfn.XLOOKUP(B227,'São Leopoldo'!$C$55:$C$124,'São Leopoldo'!$J$55:$J$124)</f>
        <v>#REF!</v>
      </c>
    </row>
    <row r="228" spans="1:4" hidden="1" x14ac:dyDescent="0.3">
      <c r="A228" t="s">
        <v>2559</v>
      </c>
      <c r="B228" t="e">
        <f>'São Leopoldo'!#REF!</f>
        <v>#REF!</v>
      </c>
      <c r="C228" t="e">
        <f>_xlfn.XLOOKUP(B228,'São Leopoldo'!$C$55:$C$124,'São Leopoldo'!$O$55:$O$124)</f>
        <v>#REF!</v>
      </c>
      <c r="D228" s="803" t="e">
        <f>_xlfn.XLOOKUP(B228,'São Leopoldo'!$C$55:$C$124,'São Leopoldo'!$J$55:$J$124)</f>
        <v>#REF!</v>
      </c>
    </row>
    <row r="229" spans="1:4" hidden="1" x14ac:dyDescent="0.3">
      <c r="A229" t="s">
        <v>2559</v>
      </c>
      <c r="B229" t="e">
        <f>'São Leopoldo'!#REF!</f>
        <v>#REF!</v>
      </c>
      <c r="C229" t="e">
        <f>_xlfn.XLOOKUP(B229,'São Leopoldo'!$C$55:$C$124,'São Leopoldo'!$O$55:$O$124)</f>
        <v>#REF!</v>
      </c>
      <c r="D229" s="803" t="e">
        <f>_xlfn.XLOOKUP(B229,'São Leopoldo'!$C$55:$C$124,'São Leopoldo'!$J$55:$J$124)</f>
        <v>#REF!</v>
      </c>
    </row>
    <row r="230" spans="1:4" hidden="1" x14ac:dyDescent="0.3">
      <c r="A230" t="s">
        <v>2559</v>
      </c>
      <c r="B230" t="e">
        <f>'São Leopoldo'!#REF!</f>
        <v>#REF!</v>
      </c>
      <c r="C230" t="e">
        <f>_xlfn.XLOOKUP(B230,'São Leopoldo'!$C$55:$C$124,'São Leopoldo'!$O$55:$O$124)</f>
        <v>#REF!</v>
      </c>
      <c r="D230" s="803" t="e">
        <f>_xlfn.XLOOKUP(B230,'São Leopoldo'!$C$55:$C$124,'São Leopoldo'!$J$55:$J$124)</f>
        <v>#REF!</v>
      </c>
    </row>
    <row r="231" spans="1:4" hidden="1" x14ac:dyDescent="0.3">
      <c r="A231" t="s">
        <v>2559</v>
      </c>
      <c r="B231" t="e">
        <f>'São Leopoldo'!#REF!</f>
        <v>#REF!</v>
      </c>
      <c r="C231" t="e">
        <f>_xlfn.XLOOKUP(B231,'São Leopoldo'!$C$55:$C$124,'São Leopoldo'!$O$55:$O$124)</f>
        <v>#REF!</v>
      </c>
      <c r="D231" s="803" t="e">
        <f>_xlfn.XLOOKUP(B231,'São Leopoldo'!$C$55:$C$124,'São Leopoldo'!$J$55:$J$124)</f>
        <v>#REF!</v>
      </c>
    </row>
    <row r="232" spans="1:4" hidden="1" x14ac:dyDescent="0.3">
      <c r="A232" t="s">
        <v>2559</v>
      </c>
      <c r="B232" t="e">
        <f>'São Leopoldo'!#REF!</f>
        <v>#REF!</v>
      </c>
      <c r="C232" t="e">
        <f>_xlfn.XLOOKUP(B232,'São Leopoldo'!$C$55:$C$124,'São Leopoldo'!$O$55:$O$124)</f>
        <v>#REF!</v>
      </c>
      <c r="D232" s="803" t="e">
        <f>_xlfn.XLOOKUP(B232,'São Leopoldo'!$C$55:$C$124,'São Leopoldo'!$J$55:$J$124)</f>
        <v>#REF!</v>
      </c>
    </row>
    <row r="233" spans="1:4" hidden="1" x14ac:dyDescent="0.3">
      <c r="A233" t="s">
        <v>2559</v>
      </c>
      <c r="B233" t="e">
        <f>'São Leopoldo'!#REF!</f>
        <v>#REF!</v>
      </c>
      <c r="C233" t="e">
        <f>_xlfn.XLOOKUP(B233,'São Leopoldo'!$C$55:$C$124,'São Leopoldo'!$O$55:$O$124)</f>
        <v>#REF!</v>
      </c>
      <c r="D233" s="803" t="e">
        <f>_xlfn.XLOOKUP(B233,'São Leopoldo'!$C$55:$C$124,'São Leopoldo'!$J$55:$J$124)</f>
        <v>#REF!</v>
      </c>
    </row>
    <row r="234" spans="1:4" hidden="1" x14ac:dyDescent="0.3">
      <c r="A234" t="s">
        <v>2559</v>
      </c>
      <c r="B234" t="e">
        <f>'São Leopoldo'!#REF!</f>
        <v>#REF!</v>
      </c>
      <c r="C234" t="e">
        <f>_xlfn.XLOOKUP(B234,'São Leopoldo'!$C$55:$C$124,'São Leopoldo'!$O$55:$O$124)</f>
        <v>#REF!</v>
      </c>
      <c r="D234" s="803" t="e">
        <f>_xlfn.XLOOKUP(B234,'São Leopoldo'!$C$55:$C$124,'São Leopoldo'!$J$55:$J$124)</f>
        <v>#REF!</v>
      </c>
    </row>
    <row r="235" spans="1:4" hidden="1" x14ac:dyDescent="0.3">
      <c r="A235" t="s">
        <v>2559</v>
      </c>
      <c r="B235" t="e">
        <f>'São Leopoldo'!#REF!</f>
        <v>#REF!</v>
      </c>
      <c r="C235" t="e">
        <f>_xlfn.XLOOKUP(B235,'São Leopoldo'!$C$55:$C$124,'São Leopoldo'!$O$55:$O$124)</f>
        <v>#REF!</v>
      </c>
      <c r="D235" s="803" t="e">
        <f>_xlfn.XLOOKUP(B235,'São Leopoldo'!$C$55:$C$124,'São Leopoldo'!$J$55:$J$124)</f>
        <v>#REF!</v>
      </c>
    </row>
    <row r="236" spans="1:4" hidden="1" x14ac:dyDescent="0.3">
      <c r="A236" t="s">
        <v>2559</v>
      </c>
      <c r="B236" t="e">
        <f>'São Leopoldo'!#REF!</f>
        <v>#REF!</v>
      </c>
      <c r="C236" t="e">
        <f>_xlfn.XLOOKUP(B236,'São Leopoldo'!$C$55:$C$124,'São Leopoldo'!$O$55:$O$124)</f>
        <v>#REF!</v>
      </c>
      <c r="D236" s="803" t="e">
        <f>_xlfn.XLOOKUP(B236,'São Leopoldo'!$C$55:$C$124,'São Leopoldo'!$J$55:$J$124)</f>
        <v>#REF!</v>
      </c>
    </row>
    <row r="237" spans="1:4" hidden="1" x14ac:dyDescent="0.3">
      <c r="A237" t="s">
        <v>2559</v>
      </c>
      <c r="B237" t="e">
        <f>'São Leopoldo'!#REF!</f>
        <v>#REF!</v>
      </c>
      <c r="C237" t="e">
        <f>_xlfn.XLOOKUP(B237,'São Leopoldo'!$C$55:$C$124,'São Leopoldo'!$O$55:$O$124)</f>
        <v>#REF!</v>
      </c>
      <c r="D237" s="803" t="e">
        <f>_xlfn.XLOOKUP(B237,'São Leopoldo'!$C$55:$C$124,'São Leopoldo'!$J$55:$J$124)</f>
        <v>#REF!</v>
      </c>
    </row>
    <row r="238" spans="1:4" hidden="1" x14ac:dyDescent="0.3">
      <c r="A238" t="s">
        <v>2559</v>
      </c>
      <c r="B238" t="e">
        <f>'São Leopoldo'!#REF!</f>
        <v>#REF!</v>
      </c>
      <c r="C238" t="e">
        <f>_xlfn.XLOOKUP(B238,'São Leopoldo'!$C$55:$C$124,'São Leopoldo'!$O$55:$O$124)</f>
        <v>#REF!</v>
      </c>
      <c r="D238" s="803" t="e">
        <f>_xlfn.XLOOKUP(B238,'São Leopoldo'!$C$55:$C$124,'São Leopoldo'!$J$55:$J$124)</f>
        <v>#REF!</v>
      </c>
    </row>
    <row r="239" spans="1:4" hidden="1" x14ac:dyDescent="0.3">
      <c r="A239" t="s">
        <v>2559</v>
      </c>
      <c r="B239" t="e">
        <f>'São Leopoldo'!#REF!</f>
        <v>#REF!</v>
      </c>
      <c r="C239" t="e">
        <f>_xlfn.XLOOKUP(B239,'São Leopoldo'!$C$55:$C$124,'São Leopoldo'!$O$55:$O$124)</f>
        <v>#REF!</v>
      </c>
      <c r="D239" s="803" t="e">
        <f>_xlfn.XLOOKUP(B239,'São Leopoldo'!$C$55:$C$124,'São Leopoldo'!$J$55:$J$124)</f>
        <v>#REF!</v>
      </c>
    </row>
    <row r="240" spans="1:4" hidden="1" x14ac:dyDescent="0.3">
      <c r="A240" t="s">
        <v>2559</v>
      </c>
      <c r="B240" t="e">
        <f>'São Leopoldo'!#REF!</f>
        <v>#REF!</v>
      </c>
      <c r="C240" t="e">
        <f>_xlfn.XLOOKUP(B240,'São Leopoldo'!$C$55:$C$124,'São Leopoldo'!$O$55:$O$124)</f>
        <v>#REF!</v>
      </c>
      <c r="D240" s="803" t="e">
        <f>_xlfn.XLOOKUP(B240,'São Leopoldo'!$C$55:$C$124,'São Leopoldo'!$J$55:$J$124)</f>
        <v>#REF!</v>
      </c>
    </row>
    <row r="241" spans="1:4" hidden="1" x14ac:dyDescent="0.3">
      <c r="A241" t="s">
        <v>2559</v>
      </c>
      <c r="B241" t="e">
        <f>'São Leopoldo'!#REF!</f>
        <v>#REF!</v>
      </c>
      <c r="C241" t="e">
        <f>_xlfn.XLOOKUP(B241,'São Leopoldo'!$C$55:$C$124,'São Leopoldo'!$O$55:$O$124)</f>
        <v>#REF!</v>
      </c>
      <c r="D241" s="803" t="e">
        <f>_xlfn.XLOOKUP(B241,'São Leopoldo'!$C$55:$C$124,'São Leopoldo'!$J$55:$J$124)</f>
        <v>#REF!</v>
      </c>
    </row>
    <row r="242" spans="1:4" hidden="1" x14ac:dyDescent="0.3">
      <c r="A242" t="s">
        <v>2559</v>
      </c>
      <c r="B242" t="e">
        <f>'São Leopoldo'!#REF!</f>
        <v>#REF!</v>
      </c>
      <c r="C242" t="e">
        <f>_xlfn.XLOOKUP(B242,'São Leopoldo'!$C$55:$C$124,'São Leopoldo'!$O$55:$O$124)</f>
        <v>#REF!</v>
      </c>
      <c r="D242" s="803" t="e">
        <f>_xlfn.XLOOKUP(B242,'São Leopoldo'!$C$55:$C$124,'São Leopoldo'!$J$55:$J$124)</f>
        <v>#REF!</v>
      </c>
    </row>
    <row r="243" spans="1:4" hidden="1" x14ac:dyDescent="0.3">
      <c r="A243" t="s">
        <v>2559</v>
      </c>
      <c r="B243" t="e">
        <f>'São Leopoldo'!#REF!</f>
        <v>#REF!</v>
      </c>
      <c r="C243" t="e">
        <f>_xlfn.XLOOKUP(B243,'São Leopoldo'!$C$55:$C$124,'São Leopoldo'!$O$55:$O$124)</f>
        <v>#REF!</v>
      </c>
      <c r="D243" s="803" t="e">
        <f>_xlfn.XLOOKUP(B243,'São Leopoldo'!$C$55:$C$124,'São Leopoldo'!$J$55:$J$124)</f>
        <v>#REF!</v>
      </c>
    </row>
    <row r="244" spans="1:4" hidden="1" x14ac:dyDescent="0.3">
      <c r="A244" t="s">
        <v>2559</v>
      </c>
      <c r="B244" t="e">
        <f>'São Leopoldo'!#REF!</f>
        <v>#REF!</v>
      </c>
      <c r="C244" t="e">
        <f>_xlfn.XLOOKUP(B244,'São Leopoldo'!$C$55:$C$124,'São Leopoldo'!$O$55:$O$124)</f>
        <v>#REF!</v>
      </c>
      <c r="D244" s="803" t="e">
        <f>_xlfn.XLOOKUP(B244,'São Leopoldo'!$C$55:$C$124,'São Leopoldo'!$J$55:$J$124)</f>
        <v>#REF!</v>
      </c>
    </row>
    <row r="245" spans="1:4" hidden="1" x14ac:dyDescent="0.3">
      <c r="A245" t="s">
        <v>2559</v>
      </c>
      <c r="B245" t="e">
        <f>'São Leopoldo'!#REF!</f>
        <v>#REF!</v>
      </c>
      <c r="C245" t="e">
        <f>_xlfn.XLOOKUP(B245,'São Leopoldo'!$C$55:$C$124,'São Leopoldo'!$O$55:$O$124)</f>
        <v>#REF!</v>
      </c>
      <c r="D245" s="803" t="e">
        <f>_xlfn.XLOOKUP(B245,'São Leopoldo'!$C$55:$C$124,'São Leopoldo'!$J$55:$J$124)</f>
        <v>#REF!</v>
      </c>
    </row>
    <row r="246" spans="1:4" hidden="1" x14ac:dyDescent="0.3">
      <c r="A246" t="s">
        <v>2559</v>
      </c>
      <c r="B246" t="e">
        <f>'São Leopoldo'!#REF!</f>
        <v>#REF!</v>
      </c>
      <c r="C246" t="e">
        <f>_xlfn.XLOOKUP(B246,'São Leopoldo'!$C$55:$C$124,'São Leopoldo'!$O$55:$O$124)</f>
        <v>#REF!</v>
      </c>
      <c r="D246" s="803" t="e">
        <f>_xlfn.XLOOKUP(B246,'São Leopoldo'!$C$55:$C$124,'São Leopoldo'!$J$55:$J$124)</f>
        <v>#REF!</v>
      </c>
    </row>
    <row r="247" spans="1:4" hidden="1" x14ac:dyDescent="0.3">
      <c r="A247" t="s">
        <v>24</v>
      </c>
      <c r="B247" t="str">
        <f>Jarinu!C55</f>
        <v>01 - Desenvolver célula de solda para soldar porcas</v>
      </c>
      <c r="C247" t="str">
        <f>_xlfn.XLOOKUP(B247,Jarinu!$C$55:$C$128,Jarinu!$O$55:$O$128)</f>
        <v>⏳ Em Execução</v>
      </c>
      <c r="D247" s="803">
        <f>_xlfn.XLOOKUP(B247,Jarinu!$C$55:$C$128,Jarinu!$J$55:$J$128)</f>
        <v>0</v>
      </c>
    </row>
    <row r="248" spans="1:4" hidden="1" x14ac:dyDescent="0.3">
      <c r="A248" t="s">
        <v>24</v>
      </c>
      <c r="B248">
        <f>Jarinu!C56</f>
        <v>0</v>
      </c>
      <c r="C248" t="e">
        <f>_xlfn.XLOOKUP(B248,Jarinu!$C$55:$C$128,Jarinu!$O$55:$O$128)</f>
        <v>#N/A</v>
      </c>
      <c r="D248" s="803" t="e">
        <f>_xlfn.XLOOKUP(B248,Jarinu!$C$55:$C$128,Jarinu!$J$55:$J$128)</f>
        <v>#N/A</v>
      </c>
    </row>
    <row r="249" spans="1:4" hidden="1" x14ac:dyDescent="0.3">
      <c r="A249" t="s">
        <v>24</v>
      </c>
      <c r="B249" t="str">
        <f>Jarinu!C57</f>
        <v>02 - Aumentar a produtividade da estamparia atraves da implementação lote econômico e multiplos de MTP</v>
      </c>
      <c r="C249" t="str">
        <f>_xlfn.XLOOKUP(B249,Jarinu!$C$55:$C$128,Jarinu!$O$55:$O$128)</f>
        <v>⏳ Em Execução</v>
      </c>
      <c r="D249" s="803">
        <f>_xlfn.XLOOKUP(B249,Jarinu!$C$55:$C$128,Jarinu!$J$55:$J$128)</f>
        <v>46266</v>
      </c>
    </row>
    <row r="250" spans="1:4" hidden="1" x14ac:dyDescent="0.3">
      <c r="A250" t="s">
        <v>24</v>
      </c>
      <c r="B250">
        <f>Jarinu!C58</f>
        <v>0</v>
      </c>
      <c r="C250" t="e">
        <f>_xlfn.XLOOKUP(B250,Jarinu!$C$55:$C$128,Jarinu!$O$55:$O$128)</f>
        <v>#N/A</v>
      </c>
      <c r="D250" s="803" t="e">
        <f>_xlfn.XLOOKUP(B250,Jarinu!$C$55:$C$128,Jarinu!$J$55:$J$128)</f>
        <v>#N/A</v>
      </c>
    </row>
    <row r="251" spans="1:4" hidden="1" x14ac:dyDescent="0.3">
      <c r="A251" t="s">
        <v>24</v>
      </c>
      <c r="B251" t="str">
        <f>Jarinu!C59</f>
        <v>03 - Redução de consumo de MP dos blanks com a técnica de corte Wave</v>
      </c>
      <c r="C251" t="str">
        <f>_xlfn.XLOOKUP(B251,Jarinu!$C$55:$C$128,Jarinu!$O$55:$O$128)</f>
        <v>⏳ Em Execução</v>
      </c>
      <c r="D251" s="803">
        <f>_xlfn.XLOOKUP(B251,Jarinu!$C$55:$C$128,Jarinu!$J$55:$J$128)</f>
        <v>46174</v>
      </c>
    </row>
    <row r="252" spans="1:4" hidden="1" x14ac:dyDescent="0.3">
      <c r="A252" t="s">
        <v>24</v>
      </c>
      <c r="B252">
        <f>Jarinu!C60</f>
        <v>0</v>
      </c>
      <c r="C252" t="e">
        <f>_xlfn.XLOOKUP(B252,Jarinu!$C$55:$C$128,Jarinu!$O$55:$O$128)</f>
        <v>#N/A</v>
      </c>
      <c r="D252" s="803" t="e">
        <f>_xlfn.XLOOKUP(B252,Jarinu!$C$55:$C$128,Jarinu!$J$55:$J$128)</f>
        <v>#N/A</v>
      </c>
    </row>
    <row r="253" spans="1:4" hidden="1" x14ac:dyDescent="0.3">
      <c r="A253" t="s">
        <v>24</v>
      </c>
      <c r="B253" t="str">
        <f>Jarinu!C61</f>
        <v>04 - Redução da largura dos slitters</v>
      </c>
      <c r="C253" t="str">
        <f>_xlfn.XLOOKUP(B253,Jarinu!$C$55:$C$128,Jarinu!$O$55:$O$128)</f>
        <v>⏳ Em Execução</v>
      </c>
      <c r="D253" s="803">
        <f>_xlfn.XLOOKUP(B253,Jarinu!$C$55:$C$128,Jarinu!$J$55:$J$128)</f>
        <v>46174</v>
      </c>
    </row>
    <row r="254" spans="1:4" hidden="1" x14ac:dyDescent="0.3">
      <c r="A254" t="s">
        <v>24</v>
      </c>
      <c r="B254">
        <f>Jarinu!C62</f>
        <v>0</v>
      </c>
      <c r="C254" t="e">
        <f>_xlfn.XLOOKUP(B254,Jarinu!$C$55:$C$128,Jarinu!$O$55:$O$128)</f>
        <v>#N/A</v>
      </c>
      <c r="D254" s="803" t="e">
        <f>_xlfn.XLOOKUP(B254,Jarinu!$C$55:$C$128,Jarinu!$J$55:$J$128)</f>
        <v>#N/A</v>
      </c>
    </row>
    <row r="255" spans="1:4" hidden="1" x14ac:dyDescent="0.3">
      <c r="A255" t="s">
        <v>24</v>
      </c>
      <c r="B255" t="str">
        <f>Jarinu!C63</f>
        <v xml:space="preserve">05 - Aplicar borda aparadas nas bobinas </v>
      </c>
      <c r="C255" t="str">
        <f>_xlfn.XLOOKUP(B255,Jarinu!$C$55:$C$128,Jarinu!$O$55:$O$128)</f>
        <v>⏳ Em Execução</v>
      </c>
      <c r="D255" s="803">
        <f>_xlfn.XLOOKUP(B255,Jarinu!$C$55:$C$128,Jarinu!$J$55:$J$128)</f>
        <v>46235</v>
      </c>
    </row>
    <row r="256" spans="1:4" hidden="1" x14ac:dyDescent="0.3">
      <c r="A256" t="s">
        <v>24</v>
      </c>
      <c r="B256">
        <f>Jarinu!C64</f>
        <v>0</v>
      </c>
      <c r="C256" t="e">
        <f>_xlfn.XLOOKUP(B256,Jarinu!$C$55:$C$128,Jarinu!$O$55:$O$128)</f>
        <v>#N/A</v>
      </c>
      <c r="D256" s="803" t="e">
        <f>_xlfn.XLOOKUP(B256,Jarinu!$C$55:$C$128,Jarinu!$J$55:$J$128)</f>
        <v>#N/A</v>
      </c>
    </row>
    <row r="257" spans="1:4" hidden="1" x14ac:dyDescent="0.3">
      <c r="A257" t="s">
        <v>24</v>
      </c>
      <c r="B257" t="str">
        <f>Jarinu!C65</f>
        <v>06 - Redução consumo MTP aplicando tolerância mínima</v>
      </c>
      <c r="C257" t="str">
        <f>_xlfn.XLOOKUP(B257,Jarinu!$C$55:$C$128,Jarinu!$O$55:$O$128)</f>
        <v>⏳ Em Execução</v>
      </c>
      <c r="D257" s="803">
        <f>_xlfn.XLOOKUP(B257,Jarinu!$C$55:$C$128,Jarinu!$J$55:$J$128)</f>
        <v>46174</v>
      </c>
    </row>
    <row r="258" spans="1:4" hidden="1" x14ac:dyDescent="0.3">
      <c r="A258" t="s">
        <v>24</v>
      </c>
      <c r="B258">
        <f>Jarinu!C66</f>
        <v>0</v>
      </c>
      <c r="C258" t="e">
        <f>_xlfn.XLOOKUP(B258,Jarinu!$C$55:$C$128,Jarinu!$O$55:$O$128)</f>
        <v>#N/A</v>
      </c>
      <c r="D258" s="803" t="e">
        <f>_xlfn.XLOOKUP(B258,Jarinu!$C$55:$C$128,Jarinu!$J$55:$J$128)</f>
        <v>#N/A</v>
      </c>
    </row>
    <row r="259" spans="1:4" hidden="1" x14ac:dyDescent="0.3">
      <c r="A259" t="s">
        <v>24</v>
      </c>
      <c r="B259" t="str">
        <f>Jarinu!C67</f>
        <v>07 - Balanceamento de carga máquina entre a prensa Gutmnan / Minster</v>
      </c>
      <c r="C259" t="str">
        <f>_xlfn.XLOOKUP(B259,Jarinu!$C$55:$C$128,Jarinu!$O$55:$O$128)</f>
        <v>✓ Concluído</v>
      </c>
      <c r="D259" s="803">
        <f>_xlfn.XLOOKUP(B259,Jarinu!$C$55:$C$128,Jarinu!$J$55:$J$128)</f>
        <v>46113</v>
      </c>
    </row>
    <row r="260" spans="1:4" hidden="1" x14ac:dyDescent="0.3">
      <c r="A260" t="s">
        <v>24</v>
      </c>
      <c r="B260">
        <f>Jarinu!C68</f>
        <v>0</v>
      </c>
      <c r="C260" t="e">
        <f>_xlfn.XLOOKUP(B260,Jarinu!$C$55:$C$128,Jarinu!$O$55:$O$128)</f>
        <v>#N/A</v>
      </c>
      <c r="D260" s="803" t="e">
        <f>_xlfn.XLOOKUP(B260,Jarinu!$C$55:$C$128,Jarinu!$J$55:$J$128)</f>
        <v>#N/A</v>
      </c>
    </row>
    <row r="261" spans="1:4" hidden="1" x14ac:dyDescent="0.3">
      <c r="A261" t="s">
        <v>24</v>
      </c>
      <c r="B261" t="str">
        <f>Jarinu!C69</f>
        <v>08 - Individualização de zonas de segurança da máquina Baltec</v>
      </c>
      <c r="C261" t="str">
        <f>_xlfn.XLOOKUP(B261,Jarinu!$C$55:$C$128,Jarinu!$O$55:$O$128)</f>
        <v>✓ Concluído</v>
      </c>
      <c r="D261" s="804">
        <f>_xlfn.XLOOKUP(B261,Jarinu!$C$55:$C$128,Jarinu!$J$55:$J$128)</f>
        <v>0</v>
      </c>
    </row>
    <row r="262" spans="1:4" hidden="1" x14ac:dyDescent="0.3">
      <c r="A262" t="s">
        <v>24</v>
      </c>
      <c r="B262">
        <f>Jarinu!C70</f>
        <v>0</v>
      </c>
      <c r="C262" t="e">
        <f>_xlfn.XLOOKUP(B262,Jarinu!$C$55:$C$128,Jarinu!$O$55:$O$128)</f>
        <v>#N/A</v>
      </c>
      <c r="D262" s="803" t="e">
        <f>_xlfn.XLOOKUP(B262,Jarinu!$C$55:$C$128,Jarinu!$J$55:$J$128)</f>
        <v>#N/A</v>
      </c>
    </row>
    <row r="263" spans="1:4" hidden="1" x14ac:dyDescent="0.3">
      <c r="A263" t="s">
        <v>24</v>
      </c>
      <c r="B263" t="str">
        <f>Jarinu!C71</f>
        <v>09 - Aumento de performance dos itens estampados na prensa Minster</v>
      </c>
      <c r="C263" t="str">
        <f>_xlfn.XLOOKUP(B263,Jarinu!$C$55:$C$128,Jarinu!$O$55:$O$128)</f>
        <v>📝 Não iniciado</v>
      </c>
      <c r="D263" s="803">
        <f>_xlfn.XLOOKUP(B263,Jarinu!$C$55:$C$128,Jarinu!$J$55:$J$128)</f>
        <v>0</v>
      </c>
    </row>
    <row r="264" spans="1:4" hidden="1" x14ac:dyDescent="0.3">
      <c r="A264" t="s">
        <v>24</v>
      </c>
      <c r="B264">
        <f>Jarinu!C72</f>
        <v>0</v>
      </c>
      <c r="C264" t="e">
        <f>_xlfn.XLOOKUP(B264,Jarinu!$C$55:$C$128,Jarinu!$O$55:$O$128)</f>
        <v>#N/A</v>
      </c>
      <c r="D264" s="803" t="e">
        <f>_xlfn.XLOOKUP(B264,Jarinu!$C$55:$C$128,Jarinu!$J$55:$J$128)</f>
        <v>#N/A</v>
      </c>
    </row>
    <row r="265" spans="1:4" hidden="1" x14ac:dyDescent="0.3">
      <c r="A265" t="s">
        <v>24</v>
      </c>
      <c r="B265" t="str">
        <f>Jarinu!C73</f>
        <v>10 - Aumento de performance dos itens estampados na prensa Isgec</v>
      </c>
      <c r="C265" t="str">
        <f>_xlfn.XLOOKUP(B265,Jarinu!$C$55:$C$128,Jarinu!$O$55:$O$128)</f>
        <v>📝 Não iniciado</v>
      </c>
      <c r="D265" s="803">
        <f>_xlfn.XLOOKUP(B265,Jarinu!$C$55:$C$128,Jarinu!$J$55:$J$128)</f>
        <v>0</v>
      </c>
    </row>
    <row r="266" spans="1:4" hidden="1" x14ac:dyDescent="0.3">
      <c r="A266" t="s">
        <v>24</v>
      </c>
      <c r="B266">
        <f>Jarinu!C74</f>
        <v>0</v>
      </c>
      <c r="C266" t="e">
        <f>_xlfn.XLOOKUP(B266,Jarinu!$C$55:$C$128,Jarinu!$O$55:$O$128)</f>
        <v>#N/A</v>
      </c>
      <c r="D266" s="803" t="e">
        <f>_xlfn.XLOOKUP(B266,Jarinu!$C$55:$C$128,Jarinu!$J$55:$J$128)</f>
        <v>#N/A</v>
      </c>
    </row>
    <row r="267" spans="1:4" hidden="1" x14ac:dyDescent="0.3">
      <c r="A267" t="s">
        <v>24</v>
      </c>
      <c r="B267" t="str">
        <f>Jarinu!C75</f>
        <v>11 - Aumento de performance dos itens estampados nas prensas Gutmmans</v>
      </c>
      <c r="C267" t="str">
        <f>_xlfn.XLOOKUP(B267,Jarinu!$C$55:$C$128,Jarinu!$O$55:$O$128)</f>
        <v>📝 Não iniciado</v>
      </c>
      <c r="D267" s="803">
        <f>_xlfn.XLOOKUP(B267,Jarinu!$C$55:$C$128,Jarinu!$J$55:$J$128)</f>
        <v>0</v>
      </c>
    </row>
    <row r="268" spans="1:4" hidden="1" x14ac:dyDescent="0.3">
      <c r="A268" t="s">
        <v>24</v>
      </c>
      <c r="B268">
        <f>Jarinu!C76</f>
        <v>0</v>
      </c>
      <c r="C268" t="e">
        <f>_xlfn.XLOOKUP(B268,Jarinu!$C$55:$C$128,Jarinu!$O$55:$O$128)</f>
        <v>#N/A</v>
      </c>
      <c r="D268" s="803" t="e">
        <f>_xlfn.XLOOKUP(B268,Jarinu!$C$55:$C$128,Jarinu!$J$55:$J$128)</f>
        <v>#N/A</v>
      </c>
    </row>
    <row r="269" spans="1:4" hidden="1" x14ac:dyDescent="0.3">
      <c r="A269" t="s">
        <v>24</v>
      </c>
      <c r="B269" t="str">
        <f>Jarinu!C77</f>
        <v>12 - Aumento do OEE do equipamento ISGEC</v>
      </c>
      <c r="C269" t="str">
        <f>_xlfn.XLOOKUP(B269,Jarinu!$C$55:$C$128,Jarinu!$O$55:$O$128)</f>
        <v>⏳ Em Execução</v>
      </c>
      <c r="D269" s="803">
        <f>_xlfn.XLOOKUP(B269,Jarinu!$C$55:$C$128,Jarinu!$J$55:$J$128)</f>
        <v>0</v>
      </c>
    </row>
    <row r="270" spans="1:4" hidden="1" x14ac:dyDescent="0.3">
      <c r="A270" t="s">
        <v>24</v>
      </c>
      <c r="B270">
        <f>Jarinu!C78</f>
        <v>0</v>
      </c>
      <c r="C270" t="e">
        <f>_xlfn.XLOOKUP(B270,Jarinu!$C$55:$C$128,Jarinu!$O$55:$O$128)</f>
        <v>#N/A</v>
      </c>
      <c r="D270" s="803" t="e">
        <f>_xlfn.XLOOKUP(B270,Jarinu!$C$55:$C$128,Jarinu!$J$55:$J$128)</f>
        <v>#N/A</v>
      </c>
    </row>
    <row r="271" spans="1:4" hidden="1" x14ac:dyDescent="0.3">
      <c r="A271" t="s">
        <v>24</v>
      </c>
      <c r="B271" t="str">
        <f>Jarinu!C79</f>
        <v>13 - Redução de consumo no passo do blank dos itens VW000954Z/955Z</v>
      </c>
      <c r="C271" t="str">
        <f>_xlfn.XLOOKUP(B271,Jarinu!$C$55:$C$128,Jarinu!$O$55:$O$128)</f>
        <v>⏳ Em Execução</v>
      </c>
      <c r="D271" s="803">
        <f>_xlfn.XLOOKUP(B271,Jarinu!$C$55:$C$128,Jarinu!$J$55:$J$128)</f>
        <v>0</v>
      </c>
    </row>
    <row r="272" spans="1:4" hidden="1" x14ac:dyDescent="0.3">
      <c r="A272" t="s">
        <v>24</v>
      </c>
      <c r="B272">
        <f>Jarinu!C80</f>
        <v>0</v>
      </c>
      <c r="C272" t="e">
        <f>_xlfn.XLOOKUP(B272,Jarinu!$C$55:$C$128,Jarinu!$O$55:$O$128)</f>
        <v>#N/A</v>
      </c>
      <c r="D272" s="803" t="e">
        <f>_xlfn.XLOOKUP(B272,Jarinu!$C$55:$C$128,Jarinu!$J$55:$J$128)</f>
        <v>#N/A</v>
      </c>
    </row>
    <row r="273" spans="1:5" hidden="1" x14ac:dyDescent="0.3">
      <c r="A273" t="s">
        <v>24</v>
      </c>
      <c r="B273" t="str">
        <f>Jarinu!C81</f>
        <v>14 - Redução de consumo no passo do blank dos itens VW000950AA/951AA</v>
      </c>
      <c r="C273" t="str">
        <f>_xlfn.XLOOKUP(B273,Jarinu!$C$55:$C$128,Jarinu!$O$55:$O$128)</f>
        <v>✓ Concluído</v>
      </c>
      <c r="D273" s="803">
        <f>_xlfn.XLOOKUP(B273,Jarinu!$C$55:$C$128,Jarinu!$J$55:$J$128)</f>
        <v>46143</v>
      </c>
    </row>
    <row r="274" spans="1:5" hidden="1" x14ac:dyDescent="0.3">
      <c r="A274" t="s">
        <v>24</v>
      </c>
      <c r="B274">
        <f>Jarinu!C82</f>
        <v>0</v>
      </c>
      <c r="C274" t="e">
        <f>_xlfn.XLOOKUP(B274,Jarinu!$C$55:$C$128,Jarinu!$O$55:$O$128)</f>
        <v>#N/A</v>
      </c>
      <c r="D274" s="803" t="e">
        <f>_xlfn.XLOOKUP(B274,Jarinu!$C$55:$C$128,Jarinu!$J$55:$J$128)</f>
        <v>#N/A</v>
      </c>
    </row>
    <row r="275" spans="1:5" hidden="1" x14ac:dyDescent="0.3">
      <c r="A275" t="s">
        <v>24</v>
      </c>
      <c r="B275" t="str">
        <f>Jarinu!C83</f>
        <v>15 - Redução de consumo no slitter dos itens VW000950AA/951AA</v>
      </c>
      <c r="C275" t="str">
        <f>_xlfn.XLOOKUP(B275,Jarinu!$C$55:$C$128,Jarinu!$O$55:$O$128)</f>
        <v>⏳ Em Execução</v>
      </c>
      <c r="D275" s="803">
        <f>_xlfn.XLOOKUP(B275,Jarinu!$C$55:$C$128,Jarinu!$J$55:$J$128)</f>
        <v>46174</v>
      </c>
    </row>
    <row r="276" spans="1:5" hidden="1" x14ac:dyDescent="0.3">
      <c r="A276" t="s">
        <v>24</v>
      </c>
      <c r="B276">
        <f>Jarinu!C84</f>
        <v>0</v>
      </c>
      <c r="C276" t="e">
        <f>_xlfn.XLOOKUP(B276,Jarinu!$C$55:$C$128,Jarinu!$O$55:$O$128)</f>
        <v>#N/A</v>
      </c>
      <c r="D276" s="803" t="e">
        <f>_xlfn.XLOOKUP(B276,Jarinu!$C$55:$C$128,Jarinu!$J$55:$J$128)</f>
        <v>#N/A</v>
      </c>
    </row>
    <row r="277" spans="1:5" x14ac:dyDescent="0.3">
      <c r="A277" t="s">
        <v>24</v>
      </c>
      <c r="B277" t="e">
        <f>Jarinu!#REF!</f>
        <v>#REF!</v>
      </c>
      <c r="C277" t="e">
        <f>_xlfn.XLOOKUP(B277,Jarinu!$C$55:$C$128,Jarinu!$O$55:$O$128)</f>
        <v>#REF!</v>
      </c>
      <c r="D277" s="804" t="e">
        <f>_xlfn.XLOOKUP(B277,Jarinu!$C$55:$C$128,Jarinu!$J$55:$J$128)</f>
        <v>#REF!</v>
      </c>
      <c r="E277" s="235" t="e">
        <f>_xlfn.XLOOKUP(B277,Pareto!S:S,Pareto!V:V)</f>
        <v>#REF!</v>
      </c>
    </row>
    <row r="278" spans="1:5" hidden="1" x14ac:dyDescent="0.3">
      <c r="A278" t="s">
        <v>24</v>
      </c>
      <c r="B278" t="e">
        <f>Jarinu!#REF!</f>
        <v>#REF!</v>
      </c>
      <c r="C278" t="e">
        <f>_xlfn.XLOOKUP(B278,Jarinu!$C$55:$C$128,Jarinu!$O$55:$O$128)</f>
        <v>#REF!</v>
      </c>
      <c r="D278" s="803" t="e">
        <f>_xlfn.XLOOKUP(B278,Jarinu!$C$55:$C$128,Jarinu!$J$55:$J$128)</f>
        <v>#REF!</v>
      </c>
    </row>
    <row r="279" spans="1:5" x14ac:dyDescent="0.3">
      <c r="A279" t="s">
        <v>24</v>
      </c>
      <c r="B279" t="e">
        <f>Jarinu!#REF!</f>
        <v>#REF!</v>
      </c>
      <c r="C279" t="e">
        <f>_xlfn.XLOOKUP(B279,Jarinu!$C$55:$C$128,Jarinu!$O$55:$O$128)</f>
        <v>#REF!</v>
      </c>
      <c r="D279" s="804" t="e">
        <f>_xlfn.XLOOKUP(B279,Jarinu!$C$55:$C$128,Jarinu!$J$55:$J$128)</f>
        <v>#REF!</v>
      </c>
      <c r="E279" s="235" t="e">
        <f>_xlfn.XLOOKUP(B279,Pareto!S:S,Pareto!V:V)</f>
        <v>#REF!</v>
      </c>
    </row>
    <row r="280" spans="1:5" hidden="1" x14ac:dyDescent="0.3">
      <c r="A280" t="s">
        <v>24</v>
      </c>
      <c r="B280" t="e">
        <f>Jarinu!#REF!</f>
        <v>#REF!</v>
      </c>
      <c r="C280" t="e">
        <f>_xlfn.XLOOKUP(B280,Jarinu!$C$55:$C$128,Jarinu!$O$55:$O$128)</f>
        <v>#REF!</v>
      </c>
      <c r="D280" s="803" t="e">
        <f>_xlfn.XLOOKUP(B280,Jarinu!$C$55:$C$128,Jarinu!$J$55:$J$128)</f>
        <v>#REF!</v>
      </c>
    </row>
    <row r="281" spans="1:5" x14ac:dyDescent="0.3">
      <c r="A281" t="s">
        <v>24</v>
      </c>
      <c r="B281" t="e">
        <f>Jarinu!#REF!</f>
        <v>#REF!</v>
      </c>
      <c r="C281" t="e">
        <f>_xlfn.XLOOKUP(B281,Jarinu!$C$55:$C$128,Jarinu!$O$55:$O$128)</f>
        <v>#REF!</v>
      </c>
      <c r="D281" s="804" t="e">
        <f>_xlfn.XLOOKUP(B281,Jarinu!$C$55:$C$128,Jarinu!$J$55:$J$128)</f>
        <v>#REF!</v>
      </c>
      <c r="E281" s="235" t="e">
        <f>_xlfn.XLOOKUP(B281,Pareto!S:S,Pareto!V:V)</f>
        <v>#REF!</v>
      </c>
    </row>
    <row r="282" spans="1:5" hidden="1" x14ac:dyDescent="0.3">
      <c r="A282" t="s">
        <v>24</v>
      </c>
      <c r="B282" t="e">
        <f>Jarinu!#REF!</f>
        <v>#REF!</v>
      </c>
      <c r="C282" t="e">
        <f>_xlfn.XLOOKUP(B282,Jarinu!$C$55:$C$128,Jarinu!$O$55:$O$128)</f>
        <v>#REF!</v>
      </c>
      <c r="D282" s="803" t="e">
        <f>_xlfn.XLOOKUP(B282,Jarinu!$C$55:$C$128,Jarinu!$J$55:$J$128)</f>
        <v>#REF!</v>
      </c>
    </row>
    <row r="283" spans="1:5" hidden="1" x14ac:dyDescent="0.3">
      <c r="A283" t="s">
        <v>24</v>
      </c>
      <c r="B283" t="str">
        <f>Jarinu!C85</f>
        <v>19 - Redução da largura da bobina mãe do Curvão</v>
      </c>
      <c r="C283" t="str">
        <f>_xlfn.XLOOKUP(B283,Jarinu!$C$55:$C$128,Jarinu!$O$55:$O$128)</f>
        <v>⏳ Em Execução</v>
      </c>
      <c r="D283" s="803">
        <f>_xlfn.XLOOKUP(B283,Jarinu!$C$55:$C$128,Jarinu!$J$55:$J$128)</f>
        <v>0</v>
      </c>
    </row>
    <row r="284" spans="1:5" hidden="1" x14ac:dyDescent="0.3">
      <c r="A284" t="s">
        <v>24</v>
      </c>
      <c r="B284">
        <f>Jarinu!C86</f>
        <v>0</v>
      </c>
      <c r="C284" t="e">
        <f>_xlfn.XLOOKUP(B284,Jarinu!$C$55:$C$128,Jarinu!$O$55:$O$128)</f>
        <v>#N/A</v>
      </c>
      <c r="D284" s="803" t="e">
        <f>_xlfn.XLOOKUP(B284,Jarinu!$C$55:$C$128,Jarinu!$J$55:$J$128)</f>
        <v>#N/A</v>
      </c>
    </row>
    <row r="285" spans="1:5" hidden="1" x14ac:dyDescent="0.3">
      <c r="A285" t="s">
        <v>24</v>
      </c>
      <c r="B285" t="str">
        <f>Jarinu!C87</f>
        <v>20 - Troca do modelo disco Flap</v>
      </c>
      <c r="C285" t="str">
        <f>_xlfn.XLOOKUP(B285,Jarinu!$C$55:$C$128,Jarinu!$O$55:$O$128)</f>
        <v>⏳ Em Execução</v>
      </c>
      <c r="D285" s="803">
        <f>_xlfn.XLOOKUP(B285,Jarinu!$C$55:$C$128,Jarinu!$J$55:$J$128)</f>
        <v>0</v>
      </c>
    </row>
    <row r="286" spans="1:5" hidden="1" x14ac:dyDescent="0.3">
      <c r="A286" t="s">
        <v>24</v>
      </c>
      <c r="B286">
        <f>Jarinu!C88</f>
        <v>0</v>
      </c>
      <c r="C286" t="e">
        <f>_xlfn.XLOOKUP(B286,Jarinu!$C$55:$C$128,Jarinu!$O$55:$O$128)</f>
        <v>#N/A</v>
      </c>
      <c r="D286" s="803" t="e">
        <f>_xlfn.XLOOKUP(B286,Jarinu!$C$55:$C$128,Jarinu!$J$55:$J$128)</f>
        <v>#N/A</v>
      </c>
    </row>
    <row r="287" spans="1:5" x14ac:dyDescent="0.3">
      <c r="A287" t="s">
        <v>24</v>
      </c>
      <c r="B287" t="str">
        <f>Jarinu!C89</f>
        <v>21 - Redução de MOD CSR61014</v>
      </c>
      <c r="C287" t="str">
        <f>_xlfn.XLOOKUP(B287,Jarinu!$C$55:$C$128,Jarinu!$O$55:$O$128)</f>
        <v>✓ Concluído</v>
      </c>
      <c r="D287" s="804">
        <f>_xlfn.XLOOKUP(B287,Jarinu!$C$55:$C$128,Jarinu!$J$55:$J$128)</f>
        <v>0</v>
      </c>
      <c r="E287" s="235" t="e">
        <f>_xlfn.XLOOKUP(B287,Pareto!S:S,Pareto!V:V)</f>
        <v>#N/A</v>
      </c>
    </row>
    <row r="288" spans="1:5" hidden="1" x14ac:dyDescent="0.3">
      <c r="A288" t="s">
        <v>24</v>
      </c>
      <c r="B288">
        <f>Jarinu!C90</f>
        <v>0</v>
      </c>
      <c r="C288" t="e">
        <f>_xlfn.XLOOKUP(B288,Jarinu!$C$55:$C$128,Jarinu!$O$55:$O$128)</f>
        <v>#N/A</v>
      </c>
      <c r="D288" s="803" t="e">
        <f>_xlfn.XLOOKUP(B288,Jarinu!$C$55:$C$128,Jarinu!$J$55:$J$128)</f>
        <v>#N/A</v>
      </c>
    </row>
    <row r="289" spans="1:5" x14ac:dyDescent="0.3">
      <c r="A289" t="s">
        <v>24</v>
      </c>
      <c r="B289" t="str">
        <f>Jarinu!C91</f>
        <v>22 - Redução de MOD CSR61015</v>
      </c>
      <c r="C289" t="str">
        <f>_xlfn.XLOOKUP(B289,Jarinu!$C$55:$C$128,Jarinu!$O$55:$O$128)</f>
        <v>✓ Concluído</v>
      </c>
      <c r="D289" s="804">
        <f>_xlfn.XLOOKUP(B289,Jarinu!$C$55:$C$128,Jarinu!$J$55:$J$128)</f>
        <v>0</v>
      </c>
      <c r="E289" s="235" t="e">
        <f>_xlfn.XLOOKUP(B289,Pareto!S:S,Pareto!V:V)</f>
        <v>#N/A</v>
      </c>
    </row>
    <row r="290" spans="1:5" hidden="1" x14ac:dyDescent="0.3">
      <c r="A290" t="s">
        <v>24</v>
      </c>
      <c r="B290">
        <f>Jarinu!C92</f>
        <v>0</v>
      </c>
      <c r="C290" t="e">
        <f>_xlfn.XLOOKUP(B290,Jarinu!$C$55:$C$128,Jarinu!$O$55:$O$128)</f>
        <v>#N/A</v>
      </c>
      <c r="D290" s="803" t="e">
        <f>_xlfn.XLOOKUP(B290,Jarinu!$C$55:$C$128,Jarinu!$J$55:$J$128)</f>
        <v>#N/A</v>
      </c>
    </row>
    <row r="291" spans="1:5" hidden="1" x14ac:dyDescent="0.3">
      <c r="A291" t="s">
        <v>24</v>
      </c>
      <c r="B291" t="str">
        <f>Jarinu!C93</f>
        <v>23 - Redução do consumo de MTP VW000938AB (- 3 mm no passo)</v>
      </c>
      <c r="C291" t="str">
        <f>_xlfn.XLOOKUP(B291,Jarinu!$C$55:$C$128,Jarinu!$O$55:$O$128)</f>
        <v>⏳ Em Execução</v>
      </c>
      <c r="D291" s="803">
        <f>_xlfn.XLOOKUP(B291,Jarinu!$C$55:$C$128,Jarinu!$J$55:$J$128)</f>
        <v>46113</v>
      </c>
    </row>
    <row r="292" spans="1:5" hidden="1" x14ac:dyDescent="0.3">
      <c r="A292" t="s">
        <v>24</v>
      </c>
      <c r="B292">
        <f>Jarinu!C94</f>
        <v>0</v>
      </c>
      <c r="C292" t="e">
        <f>_xlfn.XLOOKUP(B292,Jarinu!$C$55:$C$128,Jarinu!$O$55:$O$128)</f>
        <v>#N/A</v>
      </c>
      <c r="D292" s="803" t="e">
        <f>_xlfn.XLOOKUP(B292,Jarinu!$C$55:$C$128,Jarinu!$J$55:$J$128)</f>
        <v>#N/A</v>
      </c>
    </row>
    <row r="293" spans="1:5" hidden="1" x14ac:dyDescent="0.3">
      <c r="A293" t="s">
        <v>24</v>
      </c>
      <c r="B293" t="str">
        <f>Jarinu!C95</f>
        <v>24 - Redução de consumo de MTP China 1 porca (-10 mm)</v>
      </c>
      <c r="C293" t="str">
        <f>_xlfn.XLOOKUP(B293,Jarinu!$C$55:$C$128,Jarinu!$O$55:$O$128)</f>
        <v>⏳ Em Execução</v>
      </c>
      <c r="D293" s="803">
        <f>_xlfn.XLOOKUP(B293,Jarinu!$C$55:$C$128,Jarinu!$J$55:$J$128)</f>
        <v>46174</v>
      </c>
    </row>
    <row r="294" spans="1:5" hidden="1" x14ac:dyDescent="0.3">
      <c r="A294" t="s">
        <v>24</v>
      </c>
      <c r="B294">
        <f>Jarinu!C96</f>
        <v>0</v>
      </c>
      <c r="C294" t="e">
        <f>_xlfn.XLOOKUP(B294,Jarinu!$C$55:$C$128,Jarinu!$O$55:$O$128)</f>
        <v>#N/A</v>
      </c>
      <c r="D294" s="803" t="e">
        <f>_xlfn.XLOOKUP(B294,Jarinu!$C$55:$C$128,Jarinu!$J$55:$J$128)</f>
        <v>#N/A</v>
      </c>
    </row>
    <row r="295" spans="1:5" hidden="1" x14ac:dyDescent="0.3">
      <c r="A295" t="s">
        <v>24</v>
      </c>
      <c r="B295" t="str">
        <f>Jarinu!C97</f>
        <v>25 - Redução de consumo de MTP China 2 porca (-10 mm)</v>
      </c>
      <c r="C295" t="str">
        <f>_xlfn.XLOOKUP(B295,Jarinu!$C$55:$C$128,Jarinu!$O$55:$O$128)</f>
        <v>⏳ Em Execução</v>
      </c>
      <c r="D295" s="803">
        <f>_xlfn.XLOOKUP(B295,Jarinu!$C$55:$C$128,Jarinu!$J$55:$J$128)</f>
        <v>46203</v>
      </c>
    </row>
    <row r="296" spans="1:5" hidden="1" x14ac:dyDescent="0.3">
      <c r="A296" t="s">
        <v>24</v>
      </c>
      <c r="B296">
        <f>Jarinu!C98</f>
        <v>0</v>
      </c>
      <c r="C296" t="e">
        <f>_xlfn.XLOOKUP(B296,Jarinu!$C$55:$C$128,Jarinu!$O$55:$O$128)</f>
        <v>#N/A</v>
      </c>
      <c r="D296" s="803" t="e">
        <f>_xlfn.XLOOKUP(B296,Jarinu!$C$55:$C$128,Jarinu!$J$55:$J$128)</f>
        <v>#N/A</v>
      </c>
    </row>
    <row r="297" spans="1:5" x14ac:dyDescent="0.3">
      <c r="A297" t="s">
        <v>24</v>
      </c>
      <c r="B297" t="str">
        <f>Jarinu!C99</f>
        <v>26 - Redução de gastos com HE</v>
      </c>
      <c r="C297" t="str">
        <f>_xlfn.XLOOKUP(B297,Jarinu!$C$55:$C$128,Jarinu!$O$55:$O$128)</f>
        <v>✓ Concluído</v>
      </c>
      <c r="D297" s="804">
        <f>_xlfn.XLOOKUP(B297,Jarinu!$C$55:$C$128,Jarinu!$J$55:$J$128)</f>
        <v>46082</v>
      </c>
      <c r="E297" s="235" t="e">
        <f>_xlfn.XLOOKUP(B297,Pareto!S:S,Pareto!V:V)</f>
        <v>#N/A</v>
      </c>
    </row>
    <row r="298" spans="1:5" hidden="1" x14ac:dyDescent="0.3">
      <c r="A298" t="s">
        <v>24</v>
      </c>
      <c r="B298">
        <f>Jarinu!C100</f>
        <v>0</v>
      </c>
      <c r="C298" t="e">
        <f>_xlfn.XLOOKUP(B298,Jarinu!$C$55:$C$128,Jarinu!$O$55:$O$128)</f>
        <v>#N/A</v>
      </c>
      <c r="D298" s="803" t="e">
        <f>_xlfn.XLOOKUP(B298,Jarinu!$C$55:$C$128,Jarinu!$J$55:$J$128)</f>
        <v>#N/A</v>
      </c>
    </row>
    <row r="299" spans="1:5" hidden="1" x14ac:dyDescent="0.3">
      <c r="A299" t="s">
        <v>24</v>
      </c>
      <c r="B299" t="str">
        <f>Jarinu!C101</f>
        <v>27 - Redução consumo MTP aplicando tolerância mínima curva B</v>
      </c>
      <c r="C299" t="str">
        <f>_xlfn.XLOOKUP(B299,Jarinu!$C$55:$C$128,Jarinu!$O$55:$O$128)</f>
        <v>⏳ Em Execução</v>
      </c>
      <c r="D299" s="803">
        <f>_xlfn.XLOOKUP(B299,Jarinu!$C$55:$C$128,Jarinu!$J$55:$J$128)</f>
        <v>46233</v>
      </c>
    </row>
    <row r="300" spans="1:5" hidden="1" x14ac:dyDescent="0.3">
      <c r="A300" t="s">
        <v>24</v>
      </c>
      <c r="B300">
        <f>Jarinu!C102</f>
        <v>0</v>
      </c>
      <c r="C300" t="e">
        <f>_xlfn.XLOOKUP(B300,Jarinu!$C$55:$C$128,Jarinu!$O$55:$O$128)</f>
        <v>#N/A</v>
      </c>
      <c r="D300" s="803" t="e">
        <f>_xlfn.XLOOKUP(B300,Jarinu!$C$55:$C$128,Jarinu!$J$55:$J$128)</f>
        <v>#N/A</v>
      </c>
    </row>
    <row r="301" spans="1:5" hidden="1" x14ac:dyDescent="0.3">
      <c r="A301" t="s">
        <v>24</v>
      </c>
      <c r="B301" t="str">
        <f>Jarinu!C103</f>
        <v>28 -  Redução consumo MTP aplicando tolerância mínima curva C</v>
      </c>
      <c r="C301" t="str">
        <f>_xlfn.XLOOKUP(B301,Jarinu!$C$55:$C$128,Jarinu!$O$55:$O$128)</f>
        <v>⏳ Em Execução</v>
      </c>
      <c r="D301" s="803">
        <f>_xlfn.XLOOKUP(B301,Jarinu!$C$55:$C$128,Jarinu!$J$55:$J$128)</f>
        <v>46233</v>
      </c>
    </row>
    <row r="302" spans="1:5" hidden="1" x14ac:dyDescent="0.3">
      <c r="A302" t="s">
        <v>24</v>
      </c>
      <c r="B302">
        <f>Jarinu!C104</f>
        <v>0</v>
      </c>
      <c r="C302" t="e">
        <f>_xlfn.XLOOKUP(B302,Jarinu!$C$55:$C$128,Jarinu!$O$55:$O$128)</f>
        <v>#N/A</v>
      </c>
      <c r="D302" s="803" t="e">
        <f>_xlfn.XLOOKUP(B302,Jarinu!$C$55:$C$128,Jarinu!$J$55:$J$128)</f>
        <v>#N/A</v>
      </c>
    </row>
    <row r="303" spans="1:5" hidden="1" x14ac:dyDescent="0.3">
      <c r="A303" t="s">
        <v>24</v>
      </c>
      <c r="B303" t="str">
        <f>Jarinu!C105</f>
        <v>29 - Redução do consumo MTP no passo do Blank VW000942AB / 943AB -5MM</v>
      </c>
      <c r="C303" t="str">
        <f>_xlfn.XLOOKUP(B303,Jarinu!$C$55:$C$128,Jarinu!$O$55:$O$128)</f>
        <v>⏳ Em Execução</v>
      </c>
      <c r="D303" s="803">
        <f>_xlfn.XLOOKUP(B303,Jarinu!$C$55:$C$128,Jarinu!$J$55:$J$128)</f>
        <v>46142</v>
      </c>
    </row>
    <row r="304" spans="1:5" hidden="1" x14ac:dyDescent="0.3">
      <c r="A304" t="s">
        <v>24</v>
      </c>
      <c r="B304">
        <f>Jarinu!C106</f>
        <v>0</v>
      </c>
      <c r="C304" t="e">
        <f>_xlfn.XLOOKUP(B304,Jarinu!$C$55:$C$128,Jarinu!$O$55:$O$128)</f>
        <v>#N/A</v>
      </c>
      <c r="D304" s="803" t="e">
        <f>_xlfn.XLOOKUP(B304,Jarinu!$C$55:$C$128,Jarinu!$J$55:$J$128)</f>
        <v>#N/A</v>
      </c>
    </row>
    <row r="305" spans="1:4" hidden="1" x14ac:dyDescent="0.3">
      <c r="A305" t="s">
        <v>24</v>
      </c>
      <c r="B305" t="str">
        <f>Jarinu!C107</f>
        <v>30 - Redução de Refugo</v>
      </c>
      <c r="C305" t="str">
        <f>_xlfn.XLOOKUP(B305,Jarinu!$C$55:$C$128,Jarinu!$O$55:$O$128)</f>
        <v>⏳ Em Execução</v>
      </c>
      <c r="D305" s="803">
        <f>_xlfn.XLOOKUP(B305,Jarinu!$C$55:$C$128,Jarinu!$J$55:$J$128)</f>
        <v>46113</v>
      </c>
    </row>
    <row r="306" spans="1:4" hidden="1" x14ac:dyDescent="0.3">
      <c r="A306" t="s">
        <v>24</v>
      </c>
      <c r="B306">
        <f>Jarinu!C108</f>
        <v>0</v>
      </c>
      <c r="C306" t="e">
        <f>_xlfn.XLOOKUP(B306,Jarinu!$C$55:$C$128,Jarinu!$O$55:$O$128)</f>
        <v>#N/A</v>
      </c>
      <c r="D306" s="803" t="e">
        <f>_xlfn.XLOOKUP(B306,Jarinu!$C$55:$C$128,Jarinu!$J$55:$J$128)</f>
        <v>#N/A</v>
      </c>
    </row>
    <row r="307" spans="1:4" hidden="1" x14ac:dyDescent="0.3">
      <c r="A307" t="s">
        <v>24</v>
      </c>
      <c r="B307" t="str">
        <f>Jarinu!C109</f>
        <v>31 - Redução impressora Backup</v>
      </c>
      <c r="C307" t="str">
        <f>_xlfn.XLOOKUP(B307,Jarinu!$C$55:$C$128,Jarinu!$O$55:$O$128)</f>
        <v>⏳ Em Execução</v>
      </c>
      <c r="D307" s="803">
        <f>_xlfn.XLOOKUP(B307,Jarinu!$C$55:$C$128,Jarinu!$J$55:$J$128)</f>
        <v>46113</v>
      </c>
    </row>
    <row r="308" spans="1:4" hidden="1" x14ac:dyDescent="0.3">
      <c r="A308" t="s">
        <v>24</v>
      </c>
      <c r="B308">
        <f>Jarinu!C110</f>
        <v>0</v>
      </c>
      <c r="C308" t="e">
        <f>_xlfn.XLOOKUP(B308,Jarinu!$C$55:$C$128,Jarinu!$O$55:$O$128)</f>
        <v>#N/A</v>
      </c>
      <c r="D308" s="803" t="e">
        <f>_xlfn.XLOOKUP(B308,Jarinu!$C$55:$C$128,Jarinu!$J$55:$J$128)</f>
        <v>#N/A</v>
      </c>
    </row>
    <row r="309" spans="1:4" hidden="1" x14ac:dyDescent="0.3">
      <c r="A309" t="s">
        <v>24</v>
      </c>
      <c r="B309" t="str">
        <f>Jarinu!C111</f>
        <v>32 - Empilhadeiras Elétricas</v>
      </c>
      <c r="C309" t="str">
        <f>_xlfn.XLOOKUP(B309,Jarinu!$C$55:$C$128,Jarinu!$O$55:$O$128)</f>
        <v>⏳ Em Execução</v>
      </c>
      <c r="D309" s="803">
        <f>_xlfn.XLOOKUP(B309,Jarinu!$C$55:$C$128,Jarinu!$J$55:$J$128)</f>
        <v>46203</v>
      </c>
    </row>
    <row r="310" spans="1:4" hidden="1" x14ac:dyDescent="0.3">
      <c r="A310" t="s">
        <v>24</v>
      </c>
      <c r="B310">
        <f>Jarinu!C112</f>
        <v>0</v>
      </c>
      <c r="C310" t="e">
        <f>_xlfn.XLOOKUP(B310,Jarinu!$C$55:$C$128,Jarinu!$O$55:$O$128)</f>
        <v>#N/A</v>
      </c>
      <c r="D310" s="803" t="e">
        <f>_xlfn.XLOOKUP(B310,Jarinu!$C$55:$C$128,Jarinu!$J$55:$J$128)</f>
        <v>#N/A</v>
      </c>
    </row>
    <row r="311" spans="1:4" hidden="1" x14ac:dyDescent="0.3">
      <c r="A311" t="s">
        <v>24</v>
      </c>
      <c r="B311" t="str">
        <f>Jarinu!C113</f>
        <v>33- Rollout impressora Administrativo</v>
      </c>
      <c r="C311" t="str">
        <f>_xlfn.XLOOKUP(B311,Jarinu!$C$55:$C$128,Jarinu!$O$55:$O$128)</f>
        <v>⏳ Em Execução</v>
      </c>
      <c r="D311" s="803">
        <f>_xlfn.XLOOKUP(B311,Jarinu!$C$55:$C$128,Jarinu!$J$55:$J$128)</f>
        <v>0</v>
      </c>
    </row>
    <row r="312" spans="1:4" hidden="1" x14ac:dyDescent="0.3">
      <c r="A312" t="s">
        <v>24</v>
      </c>
      <c r="B312">
        <f>Jarinu!C114</f>
        <v>0</v>
      </c>
      <c r="C312" t="e">
        <f>_xlfn.XLOOKUP(B312,Jarinu!$C$55:$C$128,Jarinu!$O$55:$O$128)</f>
        <v>#N/A</v>
      </c>
      <c r="D312" s="803" t="e">
        <f>_xlfn.XLOOKUP(B312,Jarinu!$C$55:$C$128,Jarinu!$J$55:$J$128)</f>
        <v>#N/A</v>
      </c>
    </row>
    <row r="313" spans="1:4" hidden="1" x14ac:dyDescent="0.3">
      <c r="A313" t="s">
        <v>24</v>
      </c>
      <c r="B313" t="str">
        <f>Jarinu!C115</f>
        <v>34 - Iluminação em LED</v>
      </c>
      <c r="C313" t="str">
        <f>_xlfn.XLOOKUP(B313,Jarinu!$C$55:$C$128,Jarinu!$O$55:$O$128)</f>
        <v>⏳ Em Execução</v>
      </c>
      <c r="D313" s="803">
        <f>_xlfn.XLOOKUP(B313,Jarinu!$C$55:$C$128,Jarinu!$J$55:$J$128)</f>
        <v>46023</v>
      </c>
    </row>
    <row r="314" spans="1:4" hidden="1" x14ac:dyDescent="0.3">
      <c r="A314" t="s">
        <v>24</v>
      </c>
      <c r="B314">
        <f>Jarinu!C116</f>
        <v>0</v>
      </c>
      <c r="C314" t="e">
        <f>_xlfn.XLOOKUP(B314,Jarinu!$C$55:$C$128,Jarinu!$O$55:$O$128)</f>
        <v>#N/A</v>
      </c>
      <c r="D314" s="803" t="e">
        <f>_xlfn.XLOOKUP(B314,Jarinu!$C$55:$C$128,Jarinu!$J$55:$J$128)</f>
        <v>#N/A</v>
      </c>
    </row>
    <row r="315" spans="1:4" hidden="1" x14ac:dyDescent="0.3">
      <c r="A315" t="s">
        <v>24</v>
      </c>
      <c r="B315" t="str">
        <f>Jarinu!C117</f>
        <v>35 - Redução do consumo MTP no passo do Blank VW000942AA -15MM</v>
      </c>
      <c r="C315" t="str">
        <f>_xlfn.XLOOKUP(B315,Jarinu!$C$55:$C$128,Jarinu!$O$55:$O$128)</f>
        <v>⏳ Em Execução</v>
      </c>
      <c r="D315" s="803">
        <f>_xlfn.XLOOKUP(B315,Jarinu!$C$55:$C$128,Jarinu!$J$55:$J$128)</f>
        <v>0</v>
      </c>
    </row>
    <row r="316" spans="1:4" hidden="1" x14ac:dyDescent="0.3">
      <c r="A316" t="s">
        <v>24</v>
      </c>
      <c r="B316">
        <f>Jarinu!C118</f>
        <v>0</v>
      </c>
      <c r="C316" t="e">
        <f>_xlfn.XLOOKUP(B316,Jarinu!$C$55:$C$128,Jarinu!$O$55:$O$128)</f>
        <v>#N/A</v>
      </c>
      <c r="D316" s="803" t="e">
        <f>_xlfn.XLOOKUP(B316,Jarinu!$C$55:$C$128,Jarinu!$J$55:$J$128)</f>
        <v>#N/A</v>
      </c>
    </row>
    <row r="317" spans="1:4" hidden="1" x14ac:dyDescent="0.3">
      <c r="A317" t="s">
        <v>24</v>
      </c>
      <c r="B317" t="str">
        <f>Jarinu!C119</f>
        <v>36 - Venda Robos</v>
      </c>
      <c r="C317" t="str">
        <f>_xlfn.XLOOKUP(B317,Jarinu!$C$55:$C$128,Jarinu!$O$55:$O$128)</f>
        <v>✓ Concluído</v>
      </c>
      <c r="D317" s="803">
        <f>_xlfn.XLOOKUP(B317,Jarinu!$C$55:$C$128,Jarinu!$J$55:$J$128)</f>
        <v>46023</v>
      </c>
    </row>
    <row r="318" spans="1:4" hidden="1" x14ac:dyDescent="0.3">
      <c r="A318" t="s">
        <v>24</v>
      </c>
      <c r="B318">
        <f>Jarinu!C120</f>
        <v>0</v>
      </c>
      <c r="C318" t="e">
        <f>_xlfn.XLOOKUP(B318,Jarinu!$C$55:$C$128,Jarinu!$O$55:$O$128)</f>
        <v>#N/A</v>
      </c>
      <c r="D318" s="803" t="e">
        <f>_xlfn.XLOOKUP(B318,Jarinu!$C$55:$C$128,Jarinu!$J$55:$J$128)</f>
        <v>#N/A</v>
      </c>
    </row>
    <row r="319" spans="1:4" hidden="1" x14ac:dyDescent="0.3">
      <c r="A319" t="s">
        <v>24</v>
      </c>
      <c r="B319" t="e">
        <f>Jarinu!#REF!</f>
        <v>#REF!</v>
      </c>
      <c r="C319" t="e">
        <f>_xlfn.XLOOKUP(B319,Jarinu!$C$55:$C$128,Jarinu!$O$55:$O$128)</f>
        <v>#REF!</v>
      </c>
      <c r="D319" s="803" t="e">
        <f>_xlfn.XLOOKUP(B319,Jarinu!$C$55:$C$128,Jarinu!$J$55:$J$128)</f>
        <v>#REF!</v>
      </c>
    </row>
    <row r="320" spans="1:4" hidden="1" x14ac:dyDescent="0.3">
      <c r="A320" t="s">
        <v>24</v>
      </c>
      <c r="B320" t="e">
        <f>Jarinu!#REF!</f>
        <v>#REF!</v>
      </c>
      <c r="C320" t="e">
        <f>_xlfn.XLOOKUP(B320,Jarinu!$C$55:$C$128,Jarinu!$O$55:$O$128)</f>
        <v>#REF!</v>
      </c>
      <c r="D320" s="803" t="e">
        <f>_xlfn.XLOOKUP(B320,Jarinu!$C$55:$C$128,Jarinu!$J$55:$J$128)</f>
        <v>#REF!</v>
      </c>
    </row>
    <row r="321" spans="1:4" hidden="1" x14ac:dyDescent="0.3">
      <c r="A321" t="s">
        <v>24</v>
      </c>
      <c r="B321" t="str">
        <f>Jarinu!C121</f>
        <v>38 - Venda de ATIVOS</v>
      </c>
      <c r="C321" t="str">
        <f>_xlfn.XLOOKUP(B321,Jarinu!$C$55:$C$128,Jarinu!$O$55:$O$128)</f>
        <v>📝 Não iniciado</v>
      </c>
      <c r="D321" s="803">
        <f>_xlfn.XLOOKUP(B321,Jarinu!$C$55:$C$128,Jarinu!$J$55:$J$128)</f>
        <v>0</v>
      </c>
    </row>
    <row r="322" spans="1:4" hidden="1" x14ac:dyDescent="0.3">
      <c r="A322" t="s">
        <v>24</v>
      </c>
      <c r="B322">
        <f>Jarinu!C122</f>
        <v>0</v>
      </c>
      <c r="C322" t="e">
        <f>_xlfn.XLOOKUP(B322,Jarinu!$C$55:$C$128,Jarinu!$O$55:$O$128)</f>
        <v>#N/A</v>
      </c>
      <c r="D322" s="803" t="e">
        <f>_xlfn.XLOOKUP(B322,Jarinu!$C$55:$C$128,Jarinu!$J$55:$J$128)</f>
        <v>#N/A</v>
      </c>
    </row>
    <row r="323" spans="1:4" hidden="1" x14ac:dyDescent="0.3">
      <c r="A323" t="s">
        <v>24</v>
      </c>
      <c r="B323" t="str">
        <f>Jarinu!C123</f>
        <v>39 - Venda de sucata de cobre</v>
      </c>
      <c r="C323">
        <f ca="1">_xlfn.XLOOKUP(B323,Jarinu!$C$55:$C$128,Jarinu!$O$55:$O$128)</f>
        <v>1</v>
      </c>
      <c r="D323" s="803">
        <f>_xlfn.XLOOKUP(B323,Jarinu!$C$55:$C$128,Jarinu!$J$55:$J$128)</f>
        <v>46174</v>
      </c>
    </row>
    <row r="324" spans="1:4" hidden="1" x14ac:dyDescent="0.3">
      <c r="A324" t="s">
        <v>24</v>
      </c>
      <c r="B324">
        <f>Jarinu!C124</f>
        <v>0</v>
      </c>
      <c r="C324" t="e">
        <f>_xlfn.XLOOKUP(B324,Jarinu!$C$55:$C$128,Jarinu!$O$55:$O$128)</f>
        <v>#N/A</v>
      </c>
      <c r="D324" s="803" t="e">
        <f>_xlfn.XLOOKUP(B324,Jarinu!$C$55:$C$128,Jarinu!$J$55:$J$128)</f>
        <v>#N/A</v>
      </c>
    </row>
    <row r="325" spans="1:4" hidden="1" x14ac:dyDescent="0.3">
      <c r="A325" t="s">
        <v>24</v>
      </c>
      <c r="B325" t="str">
        <f>Jarinu!C125</f>
        <v>40 - Redução de disperdicio bobina.</v>
      </c>
      <c r="C325">
        <f>_xlfn.XLOOKUP(B325,Jarinu!$C$55:$C$128,Jarinu!$O$55:$O$128)</f>
        <v>0</v>
      </c>
      <c r="D325" s="803">
        <f>_xlfn.XLOOKUP(B325,Jarinu!$C$55:$C$128,Jarinu!$J$55:$J$128)</f>
        <v>0</v>
      </c>
    </row>
    <row r="326" spans="1:4" hidden="1" x14ac:dyDescent="0.3">
      <c r="A326" t="s">
        <v>24</v>
      </c>
      <c r="B326">
        <f>Jarinu!C126</f>
        <v>0</v>
      </c>
      <c r="C326" t="e">
        <f>_xlfn.XLOOKUP(B326,Jarinu!$C$55:$C$128,Jarinu!$O$55:$O$128)</f>
        <v>#N/A</v>
      </c>
      <c r="D326" s="803" t="e">
        <f>_xlfn.XLOOKUP(B326,Jarinu!$C$55:$C$128,Jarinu!$J$55:$J$128)</f>
        <v>#N/A</v>
      </c>
    </row>
    <row r="327" spans="1:4" hidden="1" x14ac:dyDescent="0.3">
      <c r="A327" t="s">
        <v>24</v>
      </c>
      <c r="B327" t="str">
        <f>Jarinu!C127</f>
        <v>41 - Redução de largura bobinas.</v>
      </c>
      <c r="C327">
        <f>_xlfn.XLOOKUP(B327,Jarinu!$C$55:$C$128,Jarinu!$O$55:$O$128)</f>
        <v>0</v>
      </c>
      <c r="D327" s="803">
        <f>_xlfn.XLOOKUP(B327,Jarinu!$C$55:$C$128,Jarinu!$J$55:$J$128)</f>
        <v>0</v>
      </c>
    </row>
    <row r="328" spans="1:4" hidden="1" x14ac:dyDescent="0.3">
      <c r="A328" t="s">
        <v>24</v>
      </c>
      <c r="B328">
        <f>Jarinu!C128</f>
        <v>0</v>
      </c>
      <c r="C328" t="e">
        <f>_xlfn.XLOOKUP(B328,Jarinu!$C$55:$C$128,Jarinu!$O$55:$O$128)</f>
        <v>#N/A</v>
      </c>
      <c r="D328" s="803" t="e">
        <f>_xlfn.XLOOKUP(B328,Jarinu!$C$55:$C$128,Jarinu!$J$55:$J$128)</f>
        <v>#N/A</v>
      </c>
    </row>
    <row r="329" spans="1:4" hidden="1" x14ac:dyDescent="0.3">
      <c r="A329" t="s">
        <v>22</v>
      </c>
      <c r="B329" t="str">
        <f>Ferraz!C55</f>
        <v>01 - Clientes com baixa margem de contribuição.</v>
      </c>
      <c r="C329" t="str">
        <f>_xlfn.XLOOKUP(B329,Ferraz!$C$55:$C$114,Ferraz!$O$55:$O$114)</f>
        <v>⏳ Em Execução</v>
      </c>
      <c r="D329" s="803">
        <f>_xlfn.XLOOKUP(B329,Ferraz!$C$55:$C$114,Ferraz!$J$55:$J$114)</f>
        <v>0</v>
      </c>
    </row>
    <row r="330" spans="1:4" hidden="1" x14ac:dyDescent="0.3">
      <c r="A330" t="s">
        <v>22</v>
      </c>
      <c r="B330">
        <f>Ferraz!C56</f>
        <v>0</v>
      </c>
      <c r="C330" t="e">
        <f>_xlfn.XLOOKUP(B330,Ferraz!$C$55:$C$114,Ferraz!$O$55:$O$114)</f>
        <v>#N/A</v>
      </c>
      <c r="D330" s="803" t="e">
        <f>_xlfn.XLOOKUP(B330,Ferraz!$C$55:$C$114,Ferraz!$J$55:$J$114)</f>
        <v>#N/A</v>
      </c>
    </row>
    <row r="331" spans="1:4" hidden="1" x14ac:dyDescent="0.3">
      <c r="A331" t="s">
        <v>22</v>
      </c>
      <c r="B331" t="str">
        <f>Ferraz!C57</f>
        <v xml:space="preserve">02 - Eficiência dos planos de corte </v>
      </c>
      <c r="C331" t="str">
        <f>_xlfn.XLOOKUP(B331,Ferraz!$C$55:$C$114,Ferraz!$O$55:$O$114)</f>
        <v>⏳ Em Execução</v>
      </c>
      <c r="D331" s="803">
        <f>_xlfn.XLOOKUP(B331,Ferraz!$C$55:$C$114,Ferraz!$J$55:$J$114)</f>
        <v>46113</v>
      </c>
    </row>
    <row r="332" spans="1:4" hidden="1" x14ac:dyDescent="0.3">
      <c r="A332" t="s">
        <v>22</v>
      </c>
      <c r="B332">
        <f>Ferraz!C58</f>
        <v>0</v>
      </c>
      <c r="C332" t="e">
        <f>_xlfn.XLOOKUP(B332,Ferraz!$C$55:$C$114,Ferraz!$O$55:$O$114)</f>
        <v>#N/A</v>
      </c>
      <c r="D332" s="803" t="e">
        <f>_xlfn.XLOOKUP(B332,Ferraz!$C$55:$C$114,Ferraz!$J$55:$J$114)</f>
        <v>#N/A</v>
      </c>
    </row>
    <row r="333" spans="1:4" hidden="1" x14ac:dyDescent="0.3">
      <c r="A333" t="s">
        <v>22</v>
      </c>
      <c r="B333" t="str">
        <f>Ferraz!C59</f>
        <v xml:space="preserve">03 - Consumo de desmoldante </v>
      </c>
      <c r="C333" t="str">
        <f>_xlfn.XLOOKUP(B333,Ferraz!$C$55:$C$114,Ferraz!$O$55:$O$114)</f>
        <v>⏳ Em Execução</v>
      </c>
      <c r="D333" s="803">
        <f>_xlfn.XLOOKUP(B333,Ferraz!$C$55:$C$114,Ferraz!$J$55:$J$114)</f>
        <v>46023</v>
      </c>
    </row>
    <row r="334" spans="1:4" hidden="1" x14ac:dyDescent="0.3">
      <c r="A334" t="s">
        <v>22</v>
      </c>
      <c r="B334">
        <f>Ferraz!C60</f>
        <v>0</v>
      </c>
      <c r="C334" t="e">
        <f>_xlfn.XLOOKUP(B334,Ferraz!$C$55:$C$114,Ferraz!$O$55:$O$114)</f>
        <v>#N/A</v>
      </c>
      <c r="D334" s="803" t="e">
        <f>_xlfn.XLOOKUP(B334,Ferraz!$C$55:$C$114,Ferraz!$J$55:$J$114)</f>
        <v>#N/A</v>
      </c>
    </row>
    <row r="335" spans="1:4" hidden="1" x14ac:dyDescent="0.3">
      <c r="A335" t="s">
        <v>22</v>
      </c>
      <c r="B335" t="str">
        <f>Ferraz!C61</f>
        <v xml:space="preserve">04 - Redução dos retrabalhos </v>
      </c>
      <c r="C335" t="str">
        <f>_xlfn.XLOOKUP(B335,Ferraz!$C$55:$C$114,Ferraz!$O$55:$O$114)</f>
        <v>⏳ Em Execução</v>
      </c>
      <c r="D335" s="803">
        <f>_xlfn.XLOOKUP(B335,Ferraz!$C$55:$C$114,Ferraz!$J$55:$J$114)</f>
        <v>0</v>
      </c>
    </row>
    <row r="336" spans="1:4" hidden="1" x14ac:dyDescent="0.3">
      <c r="A336" t="s">
        <v>22</v>
      </c>
      <c r="B336">
        <f>Ferraz!C62</f>
        <v>0</v>
      </c>
      <c r="C336" t="e">
        <f>_xlfn.XLOOKUP(B336,Ferraz!$C$55:$C$114,Ferraz!$O$55:$O$114)</f>
        <v>#N/A</v>
      </c>
      <c r="D336" s="803" t="e">
        <f>_xlfn.XLOOKUP(B336,Ferraz!$C$55:$C$114,Ferraz!$J$55:$J$114)</f>
        <v>#N/A</v>
      </c>
    </row>
    <row r="337" spans="1:5" hidden="1" x14ac:dyDescent="0.3">
      <c r="A337" t="s">
        <v>22</v>
      </c>
      <c r="B337" t="str">
        <f>Ferraz!C63</f>
        <v xml:space="preserve">05 - Nitrogênio da máquina laser </v>
      </c>
      <c r="C337" t="str">
        <f>_xlfn.XLOOKUP(B337,Ferraz!$C$55:$C$114,Ferraz!$O$55:$O$114)</f>
        <v>⏳ Em Execução</v>
      </c>
      <c r="D337" s="803">
        <f>_xlfn.XLOOKUP(B337,Ferraz!$C$55:$C$114,Ferraz!$J$55:$J$114)</f>
        <v>46235</v>
      </c>
    </row>
    <row r="338" spans="1:5" hidden="1" x14ac:dyDescent="0.3">
      <c r="A338" t="s">
        <v>22</v>
      </c>
      <c r="B338">
        <f>Ferraz!C64</f>
        <v>0</v>
      </c>
      <c r="C338" t="e">
        <f>_xlfn.XLOOKUP(B338,Ferraz!$C$55:$C$114,Ferraz!$O$55:$O$114)</f>
        <v>#N/A</v>
      </c>
      <c r="D338" s="803" t="e">
        <f>_xlfn.XLOOKUP(B338,Ferraz!$C$55:$C$114,Ferraz!$J$55:$J$114)</f>
        <v>#N/A</v>
      </c>
    </row>
    <row r="339" spans="1:5" x14ac:dyDescent="0.3">
      <c r="A339" t="s">
        <v>22</v>
      </c>
      <c r="B339" t="str">
        <f>Ferraz!C65</f>
        <v xml:space="preserve">06 - Reaproveitamento de lixas </v>
      </c>
      <c r="C339" t="str">
        <f>_xlfn.XLOOKUP(B339,Ferraz!$C$55:$C$114,Ferraz!$O$55:$O$114)</f>
        <v>✓ Concluído</v>
      </c>
      <c r="D339" s="804">
        <f>_xlfn.XLOOKUP(B339,Ferraz!$C$55:$C$114,Ferraz!$J$55:$J$114)</f>
        <v>46023</v>
      </c>
      <c r="E339" s="235">
        <f ca="1">_xlfn.XLOOKUP(B339,Pareto!S:S,Pareto!V:V)</f>
        <v>253025.21666666667</v>
      </c>
    </row>
    <row r="340" spans="1:5" hidden="1" x14ac:dyDescent="0.3">
      <c r="A340" t="s">
        <v>22</v>
      </c>
      <c r="B340">
        <f>Ferraz!C66</f>
        <v>0</v>
      </c>
      <c r="C340" t="e">
        <f>_xlfn.XLOOKUP(B340,Ferraz!$C$55:$C$114,Ferraz!$O$55:$O$114)</f>
        <v>#N/A</v>
      </c>
      <c r="D340" s="803" t="e">
        <f>_xlfn.XLOOKUP(B340,Ferraz!$C$55:$C$114,Ferraz!$J$55:$J$114)</f>
        <v>#N/A</v>
      </c>
    </row>
    <row r="341" spans="1:5" hidden="1" x14ac:dyDescent="0.3">
      <c r="A341" t="s">
        <v>22</v>
      </c>
      <c r="B341" t="str">
        <f>Ferraz!C67</f>
        <v xml:space="preserve">07 - Consumo de gás </v>
      </c>
      <c r="C341" t="str">
        <f>_xlfn.XLOOKUP(B341,Ferraz!$C$55:$C$114,Ferraz!$O$55:$O$114)</f>
        <v>⏳ Em Execução</v>
      </c>
      <c r="D341" s="803">
        <f>_xlfn.XLOOKUP(B341,Ferraz!$C$55:$C$114,Ferraz!$J$55:$J$114)</f>
        <v>46023</v>
      </c>
    </row>
    <row r="342" spans="1:5" hidden="1" x14ac:dyDescent="0.3">
      <c r="A342" t="s">
        <v>22</v>
      </c>
      <c r="B342">
        <f>Ferraz!C68</f>
        <v>0</v>
      </c>
      <c r="C342" t="e">
        <f>_xlfn.XLOOKUP(B342,Ferraz!$C$55:$C$114,Ferraz!$O$55:$O$114)</f>
        <v>#N/A</v>
      </c>
      <c r="D342" s="803" t="e">
        <f>_xlfn.XLOOKUP(B342,Ferraz!$C$55:$C$114,Ferraz!$J$55:$J$114)</f>
        <v>#N/A</v>
      </c>
    </row>
    <row r="343" spans="1:5" hidden="1" x14ac:dyDescent="0.3">
      <c r="A343" t="s">
        <v>22</v>
      </c>
      <c r="B343" t="str">
        <f>Ferraz!C69</f>
        <v>09 - Critério para descarte de consumíveis</v>
      </c>
      <c r="C343" t="str">
        <f>_xlfn.XLOOKUP(B343,Ferraz!$C$55:$C$114,Ferraz!$O$55:$O$114)</f>
        <v>⏳ Em Execução</v>
      </c>
      <c r="D343" s="803">
        <f>_xlfn.XLOOKUP(B343,Ferraz!$C$55:$C$114,Ferraz!$J$55:$J$114)</f>
        <v>0</v>
      </c>
    </row>
    <row r="344" spans="1:5" hidden="1" x14ac:dyDescent="0.3">
      <c r="A344" t="s">
        <v>22</v>
      </c>
      <c r="B344">
        <f>Ferraz!C70</f>
        <v>0</v>
      </c>
      <c r="C344" t="e">
        <f>_xlfn.XLOOKUP(B344,Ferraz!$C$55:$C$114,Ferraz!$O$55:$O$114)</f>
        <v>#N/A</v>
      </c>
      <c r="D344" s="803" t="e">
        <f>_xlfn.XLOOKUP(B344,Ferraz!$C$55:$C$114,Ferraz!$J$55:$J$114)</f>
        <v>#N/A</v>
      </c>
    </row>
    <row r="345" spans="1:5" hidden="1" x14ac:dyDescent="0.3">
      <c r="A345" t="s">
        <v>22</v>
      </c>
      <c r="B345" t="str">
        <f>Ferraz!C71</f>
        <v xml:space="preserve">10 - Consumo de energia elétrica: vazamentos de ar </v>
      </c>
      <c r="C345" t="str">
        <f>_xlfn.XLOOKUP(B345,Ferraz!$C$55:$C$114,Ferraz!$O$55:$O$114)</f>
        <v>⏳ Em Execução</v>
      </c>
      <c r="D345" s="803">
        <f>_xlfn.XLOOKUP(B345,Ferraz!$C$55:$C$114,Ferraz!$J$55:$J$114)</f>
        <v>46054</v>
      </c>
    </row>
    <row r="346" spans="1:5" hidden="1" x14ac:dyDescent="0.3">
      <c r="A346" t="s">
        <v>22</v>
      </c>
      <c r="B346">
        <f>Ferraz!C72</f>
        <v>0</v>
      </c>
      <c r="C346" t="e">
        <f>_xlfn.XLOOKUP(B346,Ferraz!$C$55:$C$114,Ferraz!$O$55:$O$114)</f>
        <v>#N/A</v>
      </c>
      <c r="D346" s="803" t="e">
        <f>_xlfn.XLOOKUP(B346,Ferraz!$C$55:$C$114,Ferraz!$J$55:$J$114)</f>
        <v>#N/A</v>
      </c>
    </row>
    <row r="347" spans="1:5" hidden="1" x14ac:dyDescent="0.3">
      <c r="A347" t="s">
        <v>22</v>
      </c>
      <c r="B347" t="e">
        <f>Ferraz!#REF!</f>
        <v>#REF!</v>
      </c>
      <c r="C347" t="e">
        <f>_xlfn.XLOOKUP(B347,Ferraz!$C$55:$C$114,Ferraz!$O$55:$O$114)</f>
        <v>#REF!</v>
      </c>
      <c r="D347" s="803" t="e">
        <f>_xlfn.XLOOKUP(B347,Ferraz!$C$55:$C$114,Ferraz!$J$55:$J$114)</f>
        <v>#REF!</v>
      </c>
    </row>
    <row r="348" spans="1:5" hidden="1" x14ac:dyDescent="0.3">
      <c r="A348" t="s">
        <v>22</v>
      </c>
      <c r="B348" t="e">
        <f>Ferraz!#REF!</f>
        <v>#REF!</v>
      </c>
      <c r="C348" t="e">
        <f>_xlfn.XLOOKUP(B348,Ferraz!$C$55:$C$114,Ferraz!$O$55:$O$114)</f>
        <v>#REF!</v>
      </c>
      <c r="D348" s="803" t="e">
        <f>_xlfn.XLOOKUP(B348,Ferraz!$C$55:$C$114,Ferraz!$J$55:$J$114)</f>
        <v>#REF!</v>
      </c>
    </row>
    <row r="349" spans="1:5" hidden="1" x14ac:dyDescent="0.3">
      <c r="A349" t="s">
        <v>22</v>
      </c>
      <c r="B349" t="str">
        <f>Ferraz!C73</f>
        <v>12 - Sistema hidráulico 3500T</v>
      </c>
      <c r="C349" t="str">
        <f>_xlfn.XLOOKUP(B349,Ferraz!$C$55:$C$114,Ferraz!$O$55:$O$114)</f>
        <v>⏳ Em Execução</v>
      </c>
      <c r="D349" s="803">
        <f>_xlfn.XLOOKUP(B349,Ferraz!$C$55:$C$114,Ferraz!$J$55:$J$114)</f>
        <v>0</v>
      </c>
    </row>
    <row r="350" spans="1:5" hidden="1" x14ac:dyDescent="0.3">
      <c r="A350" t="s">
        <v>22</v>
      </c>
      <c r="B350">
        <f>Ferraz!C74</f>
        <v>0</v>
      </c>
      <c r="C350" t="e">
        <f>_xlfn.XLOOKUP(B350,Ferraz!$C$55:$C$114,Ferraz!$O$55:$O$114)</f>
        <v>#N/A</v>
      </c>
      <c r="D350" s="803" t="e">
        <f>_xlfn.XLOOKUP(B350,Ferraz!$C$55:$C$114,Ferraz!$J$55:$J$114)</f>
        <v>#N/A</v>
      </c>
    </row>
    <row r="351" spans="1:5" hidden="1" x14ac:dyDescent="0.3">
      <c r="A351" t="s">
        <v>22</v>
      </c>
      <c r="B351" t="str">
        <f>Ferraz!C75</f>
        <v xml:space="preserve">13 - Transferência Hasenclaver para o plasma </v>
      </c>
      <c r="C351" t="str">
        <f>_xlfn.XLOOKUP(B351,Ferraz!$C$55:$C$114,Ferraz!$O$55:$O$114)</f>
        <v>⏳ Em Execução</v>
      </c>
      <c r="D351" s="803">
        <f>_xlfn.XLOOKUP(B351,Ferraz!$C$55:$C$114,Ferraz!$J$55:$J$114)</f>
        <v>0</v>
      </c>
    </row>
    <row r="352" spans="1:5" hidden="1" x14ac:dyDescent="0.3">
      <c r="A352" t="s">
        <v>22</v>
      </c>
      <c r="B352">
        <f>Ferraz!C76</f>
        <v>0</v>
      </c>
      <c r="C352" t="e">
        <f>_xlfn.XLOOKUP(B352,Ferraz!$C$55:$C$114,Ferraz!$O$55:$O$114)</f>
        <v>#N/A</v>
      </c>
      <c r="D352" s="803" t="e">
        <f>_xlfn.XLOOKUP(B352,Ferraz!$C$55:$C$114,Ferraz!$J$55:$J$114)</f>
        <v>#N/A</v>
      </c>
    </row>
    <row r="353" spans="1:4" hidden="1" x14ac:dyDescent="0.3">
      <c r="A353" t="s">
        <v>22</v>
      </c>
      <c r="B353" t="str">
        <f>Ferraz!C77</f>
        <v>14 - Consumo de EPI's</v>
      </c>
      <c r="C353" t="str">
        <f>_xlfn.XLOOKUP(B353,Ferraz!$C$55:$C$114,Ferraz!$O$55:$O$114)</f>
        <v>⏳ Em Execução</v>
      </c>
      <c r="D353" s="803">
        <f>_xlfn.XLOOKUP(B353,Ferraz!$C$55:$C$114,Ferraz!$J$55:$J$114)</f>
        <v>46023</v>
      </c>
    </row>
    <row r="354" spans="1:4" hidden="1" x14ac:dyDescent="0.3">
      <c r="A354" t="s">
        <v>22</v>
      </c>
      <c r="B354">
        <f>Ferraz!C78</f>
        <v>0</v>
      </c>
      <c r="C354" t="e">
        <f>_xlfn.XLOOKUP(B354,Ferraz!$C$55:$C$114,Ferraz!$O$55:$O$114)</f>
        <v>#N/A</v>
      </c>
      <c r="D354" s="803" t="e">
        <f>_xlfn.XLOOKUP(B354,Ferraz!$C$55:$C$114,Ferraz!$J$55:$J$114)</f>
        <v>#N/A</v>
      </c>
    </row>
    <row r="355" spans="1:4" hidden="1" x14ac:dyDescent="0.3">
      <c r="A355" t="s">
        <v>22</v>
      </c>
      <c r="B355" t="str">
        <f>Ferraz!C79</f>
        <v>15 - Enclausuramento do jato granalha</v>
      </c>
      <c r="C355" t="str">
        <f>_xlfn.XLOOKUP(B355,Ferraz!$C$55:$C$114,Ferraz!$O$55:$O$114)</f>
        <v>📝 Não iniciado</v>
      </c>
      <c r="D355" s="803">
        <f>_xlfn.XLOOKUP(B355,Ferraz!$C$55:$C$114,Ferraz!$J$55:$J$114)</f>
        <v>0</v>
      </c>
    </row>
    <row r="356" spans="1:4" hidden="1" x14ac:dyDescent="0.3">
      <c r="A356" t="s">
        <v>22</v>
      </c>
      <c r="B356">
        <f>Ferraz!C80</f>
        <v>0</v>
      </c>
      <c r="C356" t="e">
        <f>_xlfn.XLOOKUP(B356,Ferraz!$C$55:$C$114,Ferraz!$O$55:$O$114)</f>
        <v>#N/A</v>
      </c>
      <c r="D356" s="803" t="e">
        <f>_xlfn.XLOOKUP(B356,Ferraz!$C$55:$C$114,Ferraz!$J$55:$J$114)</f>
        <v>#N/A</v>
      </c>
    </row>
    <row r="357" spans="1:4" hidden="1" x14ac:dyDescent="0.3">
      <c r="A357" t="s">
        <v>22</v>
      </c>
      <c r="B357" t="str">
        <f>Ferraz!C81</f>
        <v>16 - Tolerância das MP's</v>
      </c>
      <c r="C357" t="str">
        <f>_xlfn.XLOOKUP(B357,Ferraz!$C$55:$C$114,Ferraz!$O$55:$O$114)</f>
        <v>⏳ Em Execução</v>
      </c>
      <c r="D357" s="803">
        <f>_xlfn.XLOOKUP(B357,Ferraz!$C$55:$C$114,Ferraz!$J$55:$J$114)</f>
        <v>46204</v>
      </c>
    </row>
    <row r="358" spans="1:4" hidden="1" x14ac:dyDescent="0.3">
      <c r="A358" t="s">
        <v>22</v>
      </c>
      <c r="B358">
        <f>Ferraz!C82</f>
        <v>0</v>
      </c>
      <c r="C358" t="e">
        <f>_xlfn.XLOOKUP(B358,Ferraz!$C$55:$C$114,Ferraz!$O$55:$O$114)</f>
        <v>#N/A</v>
      </c>
      <c r="D358" s="803" t="e">
        <f>_xlfn.XLOOKUP(B358,Ferraz!$C$55:$C$114,Ferraz!$J$55:$J$114)</f>
        <v>#N/A</v>
      </c>
    </row>
    <row r="359" spans="1:4" hidden="1" x14ac:dyDescent="0.3">
      <c r="A359" t="s">
        <v>22</v>
      </c>
      <c r="B359" t="str">
        <f>Ferraz!C83</f>
        <v xml:space="preserve">Consumo de água </v>
      </c>
      <c r="C359" t="str">
        <f>_xlfn.XLOOKUP(B359,Ferraz!$C$55:$C$114,Ferraz!$O$55:$O$114)</f>
        <v>⏳ Em Execução</v>
      </c>
      <c r="D359" s="803">
        <f>_xlfn.XLOOKUP(B359,Ferraz!$C$55:$C$114,Ferraz!$J$55:$J$114)</f>
        <v>46023</v>
      </c>
    </row>
    <row r="360" spans="1:4" hidden="1" x14ac:dyDescent="0.3">
      <c r="A360" t="s">
        <v>22</v>
      </c>
      <c r="B360">
        <f>Ferraz!C84</f>
        <v>0</v>
      </c>
      <c r="C360" t="e">
        <f>_xlfn.XLOOKUP(B360,Ferraz!$C$55:$C$114,Ferraz!$O$55:$O$114)</f>
        <v>#N/A</v>
      </c>
      <c r="D360" s="803" t="e">
        <f>_xlfn.XLOOKUP(B360,Ferraz!$C$55:$C$114,Ferraz!$J$55:$J$114)</f>
        <v>#N/A</v>
      </c>
    </row>
    <row r="361" spans="1:4" hidden="1" x14ac:dyDescent="0.3">
      <c r="A361" t="s">
        <v>22</v>
      </c>
      <c r="B361">
        <f>Ferraz!C85</f>
        <v>0</v>
      </c>
      <c r="C361" t="e">
        <f>_xlfn.XLOOKUP(B361,Ferraz!$C$55:$C$114,Ferraz!$O$55:$O$114)</f>
        <v>#N/A</v>
      </c>
      <c r="D361" s="803" t="e">
        <f>_xlfn.XLOOKUP(B361,Ferraz!$C$55:$C$114,Ferraz!$J$55:$J$114)</f>
        <v>#N/A</v>
      </c>
    </row>
    <row r="362" spans="1:4" hidden="1" x14ac:dyDescent="0.3">
      <c r="A362" t="s">
        <v>22</v>
      </c>
      <c r="B362">
        <f>Ferraz!C86</f>
        <v>0</v>
      </c>
      <c r="C362" t="e">
        <f>_xlfn.XLOOKUP(B362,Ferraz!$C$55:$C$114,Ferraz!$O$55:$O$114)</f>
        <v>#N/A</v>
      </c>
      <c r="D362" s="803" t="e">
        <f>_xlfn.XLOOKUP(B362,Ferraz!$C$55:$C$114,Ferraz!$J$55:$J$114)</f>
        <v>#N/A</v>
      </c>
    </row>
    <row r="363" spans="1:4" hidden="1" x14ac:dyDescent="0.3">
      <c r="A363" t="s">
        <v>22</v>
      </c>
      <c r="B363" t="str">
        <f>Ferraz!C87</f>
        <v>19 - Insumos logística</v>
      </c>
      <c r="C363" t="str">
        <f>_xlfn.XLOOKUP(B363,Ferraz!$C$55:$C$114,Ferraz!$O$55:$O$114)</f>
        <v>⏳ Em Execução</v>
      </c>
      <c r="D363" s="803">
        <f>_xlfn.XLOOKUP(B363,Ferraz!$C$55:$C$114,Ferraz!$J$55:$J$114)</f>
        <v>0</v>
      </c>
    </row>
    <row r="364" spans="1:4" hidden="1" x14ac:dyDescent="0.3">
      <c r="A364" t="s">
        <v>22</v>
      </c>
      <c r="B364">
        <f>Ferraz!C88</f>
        <v>0</v>
      </c>
      <c r="C364" t="e">
        <f>_xlfn.XLOOKUP(B364,Ferraz!$C$55:$C$114,Ferraz!$O$55:$O$114)</f>
        <v>#N/A</v>
      </c>
      <c r="D364" s="803" t="e">
        <f>_xlfn.XLOOKUP(B364,Ferraz!$C$55:$C$114,Ferraz!$J$55:$J$114)</f>
        <v>#N/A</v>
      </c>
    </row>
    <row r="365" spans="1:4" hidden="1" x14ac:dyDescent="0.3">
      <c r="A365" t="s">
        <v>22</v>
      </c>
      <c r="B365" t="str">
        <f>Ferraz!C89</f>
        <v>20 - Limpador de grelha</v>
      </c>
      <c r="C365" t="str">
        <f>_xlfn.XLOOKUP(B365,Ferraz!$C$55:$C$114,Ferraz!$O$55:$O$114)</f>
        <v>⏳ Em Execução</v>
      </c>
      <c r="D365" s="803">
        <f>_xlfn.XLOOKUP(B365,Ferraz!$C$55:$C$114,Ferraz!$J$55:$J$114)</f>
        <v>46204</v>
      </c>
    </row>
    <row r="366" spans="1:4" hidden="1" x14ac:dyDescent="0.3">
      <c r="A366" t="s">
        <v>22</v>
      </c>
      <c r="B366">
        <f>Ferraz!C90</f>
        <v>0</v>
      </c>
      <c r="C366" t="e">
        <f>_xlfn.XLOOKUP(B366,Ferraz!$C$55:$C$114,Ferraz!$O$55:$O$114)</f>
        <v>#N/A</v>
      </c>
      <c r="D366" s="803" t="e">
        <f>_xlfn.XLOOKUP(B366,Ferraz!$C$55:$C$114,Ferraz!$J$55:$J$114)</f>
        <v>#N/A</v>
      </c>
    </row>
    <row r="367" spans="1:4" hidden="1" x14ac:dyDescent="0.3">
      <c r="A367" t="s">
        <v>22</v>
      </c>
      <c r="B367">
        <f>Ferraz!C91</f>
        <v>0</v>
      </c>
      <c r="C367" t="e">
        <f>_xlfn.XLOOKUP(B367,Ferraz!$C$55:$C$114,Ferraz!$O$55:$O$114)</f>
        <v>#N/A</v>
      </c>
      <c r="D367" s="803" t="e">
        <f>_xlfn.XLOOKUP(B367,Ferraz!$C$55:$C$114,Ferraz!$J$55:$J$114)</f>
        <v>#N/A</v>
      </c>
    </row>
    <row r="368" spans="1:4" hidden="1" x14ac:dyDescent="0.3">
      <c r="A368" t="s">
        <v>22</v>
      </c>
      <c r="B368">
        <f>Ferraz!C92</f>
        <v>0</v>
      </c>
      <c r="C368" t="e">
        <f>_xlfn.XLOOKUP(B368,Ferraz!$C$55:$C$114,Ferraz!$O$55:$O$114)</f>
        <v>#N/A</v>
      </c>
      <c r="D368" s="803" t="e">
        <f>_xlfn.XLOOKUP(B368,Ferraz!$C$55:$C$114,Ferraz!$J$55:$J$114)</f>
        <v>#N/A</v>
      </c>
    </row>
    <row r="369" spans="1:5" x14ac:dyDescent="0.3">
      <c r="A369" t="s">
        <v>22</v>
      </c>
      <c r="B369" t="str">
        <f>Ferraz!C93</f>
        <v xml:space="preserve">22 - Tablet - Dobradeira </v>
      </c>
      <c r="C369" t="str">
        <f>_xlfn.XLOOKUP(B369,Ferraz!$C$55:$C$114,Ferraz!$O$55:$O$114)</f>
        <v>✓ Concluído</v>
      </c>
      <c r="D369" s="804">
        <f>_xlfn.XLOOKUP(B369,Ferraz!$C$55:$C$114,Ferraz!$J$55:$J$114)</f>
        <v>0</v>
      </c>
      <c r="E369" s="235" t="str">
        <f ca="1">_xlfn.XLOOKUP(B369,Pareto!S:S,Pareto!V:V)</f>
        <v/>
      </c>
    </row>
    <row r="370" spans="1:5" hidden="1" x14ac:dyDescent="0.3">
      <c r="A370" t="s">
        <v>22</v>
      </c>
      <c r="B370">
        <f>Ferraz!C94</f>
        <v>0</v>
      </c>
      <c r="C370" t="e">
        <f>_xlfn.XLOOKUP(B370,Ferraz!$C$55:$C$114,Ferraz!$O$55:$O$114)</f>
        <v>#N/A</v>
      </c>
      <c r="D370" s="803" t="e">
        <f>_xlfn.XLOOKUP(B370,Ferraz!$C$55:$C$114,Ferraz!$J$55:$J$114)</f>
        <v>#N/A</v>
      </c>
    </row>
    <row r="371" spans="1:5" hidden="1" x14ac:dyDescent="0.3">
      <c r="A371" t="s">
        <v>22</v>
      </c>
      <c r="B371" t="str">
        <f>Ferraz!C95</f>
        <v xml:space="preserve">23 - Devolução das máquinas de solda alugadas </v>
      </c>
      <c r="C371" t="str">
        <f>_xlfn.XLOOKUP(B371,Ferraz!$C$55:$C$114,Ferraz!$O$55:$O$114)</f>
        <v>✓ Concluído</v>
      </c>
      <c r="D371" s="803">
        <f>_xlfn.XLOOKUP(B371,Ferraz!$C$55:$C$114,Ferraz!$J$55:$J$114)</f>
        <v>0</v>
      </c>
    </row>
    <row r="372" spans="1:5" hidden="1" x14ac:dyDescent="0.3">
      <c r="A372" t="s">
        <v>22</v>
      </c>
      <c r="B372">
        <f>Ferraz!C96</f>
        <v>0</v>
      </c>
      <c r="C372" t="e">
        <f>_xlfn.XLOOKUP(B372,Ferraz!$C$55:$C$114,Ferraz!$O$55:$O$114)</f>
        <v>#N/A</v>
      </c>
      <c r="D372" s="803" t="e">
        <f>_xlfn.XLOOKUP(B372,Ferraz!$C$55:$C$114,Ferraz!$J$55:$J$114)</f>
        <v>#N/A</v>
      </c>
    </row>
    <row r="373" spans="1:5" hidden="1" x14ac:dyDescent="0.3">
      <c r="A373" t="s">
        <v>22</v>
      </c>
      <c r="B373" t="str">
        <f>Ferraz!C97</f>
        <v xml:space="preserve">24 - Aquisição do equipamento de ultrassom </v>
      </c>
      <c r="C373" t="str">
        <f>_xlfn.XLOOKUP(B373,Ferraz!$C$55:$C$114,Ferraz!$O$55:$O$114)</f>
        <v>📝 Não iniciado</v>
      </c>
      <c r="D373" s="803">
        <f>_xlfn.XLOOKUP(B373,Ferraz!$C$55:$C$114,Ferraz!$J$55:$J$114)</f>
        <v>0</v>
      </c>
    </row>
    <row r="374" spans="1:5" hidden="1" x14ac:dyDescent="0.3">
      <c r="A374" t="s">
        <v>22</v>
      </c>
      <c r="B374">
        <f>Ferraz!C98</f>
        <v>0</v>
      </c>
      <c r="C374" t="e">
        <f>_xlfn.XLOOKUP(B374,Ferraz!$C$55:$C$114,Ferraz!$O$55:$O$114)</f>
        <v>#N/A</v>
      </c>
      <c r="D374" s="803" t="e">
        <f>_xlfn.XLOOKUP(B374,Ferraz!$C$55:$C$114,Ferraz!$J$55:$J$114)</f>
        <v>#N/A</v>
      </c>
    </row>
    <row r="375" spans="1:5" hidden="1" x14ac:dyDescent="0.3">
      <c r="A375" t="s">
        <v>22</v>
      </c>
      <c r="B375">
        <f>Ferraz!C111</f>
        <v>0</v>
      </c>
      <c r="C375" t="e">
        <f>_xlfn.XLOOKUP(B375,Ferraz!$C$55:$C$114,Ferraz!$O$55:$O$114)</f>
        <v>#N/A</v>
      </c>
      <c r="D375" s="803" t="e">
        <f>_xlfn.XLOOKUP(B375,Ferraz!$C$55:$C$114,Ferraz!$J$55:$J$114)</f>
        <v>#N/A</v>
      </c>
    </row>
    <row r="376" spans="1:5" hidden="1" x14ac:dyDescent="0.3">
      <c r="A376" t="s">
        <v>22</v>
      </c>
      <c r="B376">
        <f>Ferraz!C112</f>
        <v>0</v>
      </c>
      <c r="C376" t="e">
        <f>_xlfn.XLOOKUP(B376,Ferraz!$C$55:$C$114,Ferraz!$O$55:$O$114)</f>
        <v>#N/A</v>
      </c>
      <c r="D376" s="803" t="e">
        <f>_xlfn.XLOOKUP(B376,Ferraz!$C$55:$C$114,Ferraz!$J$55:$J$114)</f>
        <v>#N/A</v>
      </c>
    </row>
    <row r="377" spans="1:5" hidden="1" x14ac:dyDescent="0.3">
      <c r="A377" t="s">
        <v>22</v>
      </c>
      <c r="B377">
        <f>Ferraz!C113</f>
        <v>0</v>
      </c>
      <c r="C377" t="e">
        <f>_xlfn.XLOOKUP(B377,Ferraz!$C$55:$C$114,Ferraz!$O$55:$O$114)</f>
        <v>#N/A</v>
      </c>
      <c r="D377" s="803" t="e">
        <f>_xlfn.XLOOKUP(B377,Ferraz!$C$55:$C$114,Ferraz!$J$55:$J$114)</f>
        <v>#N/A</v>
      </c>
    </row>
    <row r="378" spans="1:5" hidden="1" x14ac:dyDescent="0.3">
      <c r="A378" t="s">
        <v>22</v>
      </c>
      <c r="B378">
        <f>Ferraz!C114</f>
        <v>0</v>
      </c>
      <c r="C378" t="e">
        <f>_xlfn.XLOOKUP(B378,Ferraz!$C$55:$C$114,Ferraz!$O$55:$O$114)</f>
        <v>#N/A</v>
      </c>
      <c r="D378" s="803" t="e">
        <f>_xlfn.XLOOKUP(B378,Ferraz!$C$55:$C$114,Ferraz!$J$55:$J$114)</f>
        <v>#N/A</v>
      </c>
    </row>
    <row r="379" spans="1:5" hidden="1" x14ac:dyDescent="0.3">
      <c r="A379" t="s">
        <v>26</v>
      </c>
      <c r="B379" t="str">
        <f>'Compras '!D31</f>
        <v>Negociação Produtos Pré tratamento</v>
      </c>
      <c r="C379" t="str">
        <f>_xlfn.XLOOKUP(B379,'Compras '!$D$31:$D$146,'Compras '!$O$31:$O$146)</f>
        <v>⏳ Em Execução</v>
      </c>
      <c r="D379" s="803">
        <f>_xlfn.XLOOKUP(B379,'Compras '!$D$31:$D$146,'Compras '!$J$31:$J$146)</f>
        <v>46204</v>
      </c>
    </row>
    <row r="380" spans="1:5" hidden="1" x14ac:dyDescent="0.3">
      <c r="A380" t="s">
        <v>26</v>
      </c>
      <c r="B380">
        <f>'Compras '!D32</f>
        <v>0</v>
      </c>
      <c r="C380" t="e">
        <f>_xlfn.XLOOKUP(B380,'Compras '!$D$31:$D$146,'Compras '!$O$31:$O$146)</f>
        <v>#N/A</v>
      </c>
      <c r="D380" s="803" t="e">
        <f>_xlfn.XLOOKUP(B380,'Compras '!$D$31:$D$146,'Compras '!$J$31:$J$146)</f>
        <v>#N/A</v>
      </c>
    </row>
    <row r="381" spans="1:5" hidden="1" x14ac:dyDescent="0.3">
      <c r="A381" t="s">
        <v>26</v>
      </c>
      <c r="B381" t="str">
        <f>'Compras '!D33</f>
        <v>Redução de custo Porca 73189 da curva A</v>
      </c>
      <c r="C381" t="str">
        <f>_xlfn.XLOOKUP(B381,'Compras '!$D$31:$D$146,'Compras '!$O$31:$O$146)</f>
        <v>⏳ Em Execução</v>
      </c>
      <c r="D381" s="803">
        <f>_xlfn.XLOOKUP(B381,'Compras '!$D$31:$D$146,'Compras '!$J$31:$J$146)</f>
        <v>46222</v>
      </c>
    </row>
    <row r="382" spans="1:5" hidden="1" x14ac:dyDescent="0.3">
      <c r="A382" t="s">
        <v>26</v>
      </c>
      <c r="B382">
        <f>'Compras '!D34</f>
        <v>0</v>
      </c>
      <c r="C382" t="e">
        <f>_xlfn.XLOOKUP(B382,'Compras '!$D$31:$D$146,'Compras '!$O$31:$O$146)</f>
        <v>#N/A</v>
      </c>
      <c r="D382" s="803" t="e">
        <f>_xlfn.XLOOKUP(B382,'Compras '!$D$31:$D$146,'Compras '!$J$31:$J$146)</f>
        <v>#N/A</v>
      </c>
    </row>
    <row r="383" spans="1:5" hidden="1" x14ac:dyDescent="0.3">
      <c r="A383" t="s">
        <v>26</v>
      </c>
      <c r="B383" t="str">
        <f>'Compras '!D35</f>
        <v>SRM Componentes</v>
      </c>
      <c r="C383" t="str">
        <f>_xlfn.XLOOKUP(B383,'Compras '!$D$31:$D$146,'Compras '!$O$31:$O$146)</f>
        <v>⏳ Em Execução</v>
      </c>
      <c r="D383" s="803">
        <f>_xlfn.XLOOKUP(B383,'Compras '!$D$31:$D$146,'Compras '!$J$31:$J$146)</f>
        <v>46279</v>
      </c>
    </row>
    <row r="384" spans="1:5" hidden="1" x14ac:dyDescent="0.3">
      <c r="A384" t="s">
        <v>26</v>
      </c>
      <c r="B384">
        <f>'Compras '!D36</f>
        <v>0</v>
      </c>
      <c r="C384" t="e">
        <f>_xlfn.XLOOKUP(B384,'Compras '!$D$31:$D$146,'Compras '!$O$31:$O$146)</f>
        <v>#N/A</v>
      </c>
      <c r="D384" s="803" t="e">
        <f>_xlfn.XLOOKUP(B384,'Compras '!$D$31:$D$146,'Compras '!$J$31:$J$146)</f>
        <v>#N/A</v>
      </c>
    </row>
    <row r="385" spans="1:5" hidden="1" x14ac:dyDescent="0.3">
      <c r="A385" t="s">
        <v>26</v>
      </c>
      <c r="B385" t="str">
        <f>'Compras '!D37</f>
        <v>Unificação itens de Distribuição Fixadores.</v>
      </c>
      <c r="C385" t="str">
        <f>_xlfn.XLOOKUP(B385,'Compras '!$D$31:$D$146,'Compras '!$O$31:$O$146)</f>
        <v>⏳ Em Execução</v>
      </c>
      <c r="D385" s="803">
        <f>_xlfn.XLOOKUP(B385,'Compras '!$D$31:$D$146,'Compras '!$J$31:$J$146)</f>
        <v>46366</v>
      </c>
    </row>
    <row r="386" spans="1:5" hidden="1" x14ac:dyDescent="0.3">
      <c r="A386" t="s">
        <v>26</v>
      </c>
      <c r="B386">
        <f>'Compras '!D38</f>
        <v>0</v>
      </c>
      <c r="C386" t="e">
        <f>_xlfn.XLOOKUP(B386,'Compras '!$D$31:$D$146,'Compras '!$O$31:$O$146)</f>
        <v>#N/A</v>
      </c>
      <c r="D386" s="803" t="e">
        <f>_xlfn.XLOOKUP(B386,'Compras '!$D$31:$D$146,'Compras '!$J$31:$J$146)</f>
        <v>#N/A</v>
      </c>
    </row>
    <row r="387" spans="1:5" x14ac:dyDescent="0.3">
      <c r="A387" t="s">
        <v>26</v>
      </c>
      <c r="B387" t="str">
        <f>'Compras '!D39</f>
        <v>Redução de custo Abrasivos Curva A Ferraz</v>
      </c>
      <c r="C387" t="str">
        <f>_xlfn.XLOOKUP(B387,'Compras '!$D$31:$D$146,'Compras '!$O$31:$O$146)</f>
        <v>✓ Concluído</v>
      </c>
      <c r="D387" s="804">
        <f>_xlfn.XLOOKUP(B387,'Compras '!$D$31:$D$146,'Compras '!$J$31:$J$146)</f>
        <v>46071</v>
      </c>
      <c r="E387" s="235">
        <f ca="1">_xlfn.XLOOKUP(B387,Pareto!S:S,Pareto!V:V)</f>
        <v>52996.666666666664</v>
      </c>
    </row>
    <row r="388" spans="1:5" hidden="1" x14ac:dyDescent="0.3">
      <c r="A388" t="s">
        <v>26</v>
      </c>
      <c r="B388">
        <f>'Compras '!D40</f>
        <v>0</v>
      </c>
      <c r="C388" t="e">
        <f>_xlfn.XLOOKUP(B388,'Compras '!$D$31:$D$146,'Compras '!$O$31:$O$146)</f>
        <v>#N/A</v>
      </c>
      <c r="D388" s="803" t="e">
        <f>_xlfn.XLOOKUP(B388,'Compras '!$D$31:$D$146,'Compras '!$J$31:$J$146)</f>
        <v>#N/A</v>
      </c>
    </row>
    <row r="389" spans="1:5" hidden="1" x14ac:dyDescent="0.3">
      <c r="A389" t="s">
        <v>26</v>
      </c>
      <c r="B389" t="str">
        <f>'Compras '!D41</f>
        <v>Substituição Plano Médico - São Leopoldo</v>
      </c>
      <c r="C389" t="str">
        <f>_xlfn.XLOOKUP(B389,'Compras '!$D$31:$D$146,'Compras '!$O$31:$O$146)</f>
        <v>⏳ Em Execução</v>
      </c>
      <c r="D389" s="803">
        <f>_xlfn.XLOOKUP(B389,'Compras '!$D$31:$D$146,'Compras '!$J$31:$J$146)</f>
        <v>46174</v>
      </c>
    </row>
    <row r="390" spans="1:5" hidden="1" x14ac:dyDescent="0.3">
      <c r="A390" t="s">
        <v>26</v>
      </c>
      <c r="B390">
        <f>'Compras '!D42</f>
        <v>0</v>
      </c>
      <c r="C390" t="e">
        <f>_xlfn.XLOOKUP(B390,'Compras '!$D$31:$D$146,'Compras '!$O$31:$O$146)</f>
        <v>#N/A</v>
      </c>
      <c r="D390" s="803" t="e">
        <f>_xlfn.XLOOKUP(B390,'Compras '!$D$31:$D$146,'Compras '!$J$31:$J$146)</f>
        <v>#N/A</v>
      </c>
    </row>
    <row r="391" spans="1:5" hidden="1" x14ac:dyDescent="0.3">
      <c r="A391" t="s">
        <v>26</v>
      </c>
      <c r="B391" t="str">
        <f>'Compras '!D43</f>
        <v>Mão de Obra Terceirizada</v>
      </c>
      <c r="C391" t="str">
        <f>_xlfn.XLOOKUP(B391,'Compras '!$D$31:$D$146,'Compras '!$O$31:$O$146)</f>
        <v>⏳ Em Execução</v>
      </c>
      <c r="D391" s="803">
        <f>_xlfn.XLOOKUP(B391,'Compras '!$D$31:$D$146,'Compras '!$J$31:$J$146)</f>
        <v>46174</v>
      </c>
    </row>
    <row r="392" spans="1:5" hidden="1" x14ac:dyDescent="0.3">
      <c r="A392" t="s">
        <v>26</v>
      </c>
      <c r="B392">
        <f>'Compras '!D44</f>
        <v>0</v>
      </c>
      <c r="C392" t="e">
        <f>_xlfn.XLOOKUP(B392,'Compras '!$D$31:$D$146,'Compras '!$O$31:$O$146)</f>
        <v>#N/A</v>
      </c>
      <c r="D392" s="803" t="e">
        <f>_xlfn.XLOOKUP(B392,'Compras '!$D$31:$D$146,'Compras '!$J$31:$J$146)</f>
        <v>#N/A</v>
      </c>
    </row>
    <row r="393" spans="1:5" hidden="1" x14ac:dyDescent="0.3">
      <c r="A393" t="s">
        <v>26</v>
      </c>
      <c r="B393" t="str">
        <f>'Compras '!D45</f>
        <v>Recuperação de valores - Energia Elétrica</v>
      </c>
      <c r="C393" t="str">
        <f>_xlfn.XLOOKUP(B393,'Compras '!$D$31:$D$146,'Compras '!$O$31:$O$146)</f>
        <v>⏳ Em Execução</v>
      </c>
      <c r="D393" s="803">
        <f>_xlfn.XLOOKUP(B393,'Compras '!$D$31:$D$146,'Compras '!$J$31:$J$146)</f>
        <v>46174</v>
      </c>
    </row>
    <row r="394" spans="1:5" hidden="1" x14ac:dyDescent="0.3">
      <c r="A394" t="s">
        <v>26</v>
      </c>
      <c r="B394">
        <f>'Compras '!D46</f>
        <v>0</v>
      </c>
      <c r="C394" t="e">
        <f>_xlfn.XLOOKUP(B394,'Compras '!$D$31:$D$146,'Compras '!$O$31:$O$146)</f>
        <v>#N/A</v>
      </c>
      <c r="D394" s="803" t="e">
        <f>_xlfn.XLOOKUP(B394,'Compras '!$D$31:$D$146,'Compras '!$J$31:$J$146)</f>
        <v>#N/A</v>
      </c>
    </row>
    <row r="395" spans="1:5" hidden="1" x14ac:dyDescent="0.3">
      <c r="A395" t="s">
        <v>26</v>
      </c>
      <c r="B395" t="str">
        <f>'Compras '!D47</f>
        <v>Recuperação de valores - Água</v>
      </c>
      <c r="C395" t="str">
        <f>_xlfn.XLOOKUP(B395,'Compras '!$D$31:$D$146,'Compras '!$O$31:$O$146)</f>
        <v>⏳ Em Execução</v>
      </c>
      <c r="D395" s="803">
        <f>_xlfn.XLOOKUP(B395,'Compras '!$D$31:$D$146,'Compras '!$J$31:$J$146)</f>
        <v>46357</v>
      </c>
    </row>
    <row r="396" spans="1:5" hidden="1" x14ac:dyDescent="0.3">
      <c r="A396" t="s">
        <v>26</v>
      </c>
      <c r="B396">
        <f>'Compras '!D48</f>
        <v>0</v>
      </c>
      <c r="C396" t="e">
        <f>_xlfn.XLOOKUP(B396,'Compras '!$D$31:$D$146,'Compras '!$O$31:$O$146)</f>
        <v>#N/A</v>
      </c>
      <c r="D396" s="803" t="e">
        <f>_xlfn.XLOOKUP(B396,'Compras '!$D$31:$D$146,'Compras '!$J$31:$J$146)</f>
        <v>#N/A</v>
      </c>
    </row>
    <row r="397" spans="1:5" hidden="1" x14ac:dyDescent="0.3">
      <c r="A397" t="s">
        <v>26</v>
      </c>
      <c r="B397" t="str">
        <f>'Compras '!D49</f>
        <v>Resourcing Pino Esférico GM Lipos p/ Maxdel</v>
      </c>
      <c r="C397" t="str">
        <f>_xlfn.XLOOKUP(B397,'Compras '!$D$31:$D$146,'Compras '!$O$31:$O$146)</f>
        <v>⏳ Em Execução</v>
      </c>
      <c r="D397" s="803">
        <f>_xlfn.XLOOKUP(B397,'Compras '!$D$31:$D$146,'Compras '!$J$31:$J$146)</f>
        <v>46300</v>
      </c>
    </row>
    <row r="398" spans="1:5" hidden="1" x14ac:dyDescent="0.3">
      <c r="A398" t="s">
        <v>26</v>
      </c>
      <c r="B398">
        <f>'Compras '!D50</f>
        <v>0</v>
      </c>
      <c r="C398" t="e">
        <f>_xlfn.XLOOKUP(B398,'Compras '!$D$31:$D$146,'Compras '!$O$31:$O$146)</f>
        <v>#N/A</v>
      </c>
      <c r="D398" s="803" t="e">
        <f>_xlfn.XLOOKUP(B398,'Compras '!$D$31:$D$146,'Compras '!$J$31:$J$146)</f>
        <v>#N/A</v>
      </c>
    </row>
    <row r="399" spans="1:5" hidden="1" x14ac:dyDescent="0.3">
      <c r="A399" t="s">
        <v>26</v>
      </c>
      <c r="B399" t="str">
        <f>'Compras '!D51</f>
        <v>Resourcing Maletas Man (Mercante para Cartec)</v>
      </c>
      <c r="C399" t="str">
        <f>_xlfn.XLOOKUP(B399,'Compras '!$D$31:$D$146,'Compras '!$O$31:$O$146)</f>
        <v>✓ Concluído</v>
      </c>
      <c r="D399" s="803">
        <f>_xlfn.XLOOKUP(B399,'Compras '!$D$31:$D$146,'Compras '!$J$31:$J$146)</f>
        <v>46097</v>
      </c>
    </row>
    <row r="400" spans="1:5" hidden="1" x14ac:dyDescent="0.3">
      <c r="A400" t="s">
        <v>26</v>
      </c>
      <c r="B400">
        <f>'Compras '!D52</f>
        <v>0</v>
      </c>
      <c r="C400" t="e">
        <f>_xlfn.XLOOKUP(B400,'Compras '!$D$31:$D$146,'Compras '!$O$31:$O$146)</f>
        <v>#N/A</v>
      </c>
      <c r="D400" s="803" t="e">
        <f>_xlfn.XLOOKUP(B400,'Compras '!$D$31:$D$146,'Compras '!$J$31:$J$146)</f>
        <v>#N/A</v>
      </c>
    </row>
    <row r="401" spans="1:5" hidden="1" x14ac:dyDescent="0.3">
      <c r="A401" t="s">
        <v>26</v>
      </c>
      <c r="B401" t="str">
        <f>'Compras '!D53</f>
        <v>Troca de fonte do arame de solda de Belgo para Gerdau</v>
      </c>
      <c r="C401" t="str">
        <f>_xlfn.XLOOKUP(B401,'Compras '!$D$31:$D$146,'Compras '!$O$31:$O$146)</f>
        <v>✓ Concluído</v>
      </c>
      <c r="D401" s="803">
        <f>_xlfn.XLOOKUP(B401,'Compras '!$D$31:$D$146,'Compras '!$J$31:$J$146)</f>
        <v>46174</v>
      </c>
    </row>
    <row r="402" spans="1:5" hidden="1" x14ac:dyDescent="0.3">
      <c r="A402" t="s">
        <v>26</v>
      </c>
      <c r="B402">
        <f>'Compras '!D54</f>
        <v>0</v>
      </c>
      <c r="C402" t="e">
        <f>_xlfn.XLOOKUP(B402,'Compras '!$D$31:$D$146,'Compras '!$O$31:$O$146)</f>
        <v>#N/A</v>
      </c>
      <c r="D402" s="803" t="e">
        <f>_xlfn.XLOOKUP(B402,'Compras '!$D$31:$D$146,'Compras '!$J$31:$J$146)</f>
        <v>#N/A</v>
      </c>
    </row>
    <row r="403" spans="1:5" hidden="1" x14ac:dyDescent="0.3">
      <c r="A403" t="s">
        <v>26</v>
      </c>
      <c r="B403" t="str">
        <f>'Compras '!D55</f>
        <v>Testes e troca do fornecedor de insumos de usinagem</v>
      </c>
      <c r="C403" t="str">
        <f>_xlfn.XLOOKUP(B403,'Compras '!$D$31:$D$146,'Compras '!$O$31:$O$146)</f>
        <v>⏳ Em Execução</v>
      </c>
      <c r="D403" s="803">
        <f>_xlfn.XLOOKUP(B403,'Compras '!$D$31:$D$146,'Compras '!$J$31:$J$146)</f>
        <v>46204</v>
      </c>
    </row>
    <row r="404" spans="1:5" hidden="1" x14ac:dyDescent="0.3">
      <c r="A404" t="s">
        <v>26</v>
      </c>
      <c r="B404">
        <f>'Compras '!D56</f>
        <v>0</v>
      </c>
      <c r="C404" t="e">
        <f>_xlfn.XLOOKUP(B404,'Compras '!$D$31:$D$146,'Compras '!$O$31:$O$146)</f>
        <v>#N/A</v>
      </c>
      <c r="D404" s="803" t="e">
        <f>_xlfn.XLOOKUP(B404,'Compras '!$D$31:$D$146,'Compras '!$J$31:$J$146)</f>
        <v>#N/A</v>
      </c>
    </row>
    <row r="405" spans="1:5" x14ac:dyDescent="0.3">
      <c r="A405" t="s">
        <v>26</v>
      </c>
      <c r="B405" t="str">
        <f>'Compras '!D57</f>
        <v>Mudança de Modalidade Gerador Anchieta</v>
      </c>
      <c r="C405" t="str">
        <f>_xlfn.XLOOKUP(B405,'Compras '!$D$31:$D$146,'Compras '!$O$31:$O$146)</f>
        <v>✓ Concluído</v>
      </c>
      <c r="D405" s="804">
        <f>_xlfn.XLOOKUP(B405,'Compras '!$D$31:$D$146,'Compras '!$J$31:$J$146)</f>
        <v>46038</v>
      </c>
      <c r="E405" s="235">
        <f ca="1">_xlfn.XLOOKUP(B405,Pareto!S:S,Pareto!V:V)</f>
        <v>16448.45</v>
      </c>
    </row>
    <row r="406" spans="1:5" hidden="1" x14ac:dyDescent="0.3">
      <c r="A406" t="s">
        <v>26</v>
      </c>
      <c r="B406">
        <f>'Compras '!D58</f>
        <v>0</v>
      </c>
      <c r="C406" t="e">
        <f>_xlfn.XLOOKUP(B406,'Compras '!$D$31:$D$146,'Compras '!$O$31:$O$146)</f>
        <v>#N/A</v>
      </c>
      <c r="D406" s="803" t="e">
        <f>_xlfn.XLOOKUP(B406,'Compras '!$D$31:$D$146,'Compras '!$J$31:$J$146)</f>
        <v>#N/A</v>
      </c>
    </row>
    <row r="407" spans="1:5" x14ac:dyDescent="0.3">
      <c r="A407" t="s">
        <v>26</v>
      </c>
      <c r="B407" t="str">
        <f>'Compras '!D59</f>
        <v>Modalidade Tarifária</v>
      </c>
      <c r="C407" t="str">
        <f>_xlfn.XLOOKUP(B407,'Compras '!$D$31:$D$146,'Compras '!$O$31:$O$146)</f>
        <v>✓ Concluído</v>
      </c>
      <c r="D407" s="804">
        <f>_xlfn.XLOOKUP(B407,'Compras '!$D$31:$D$146,'Compras '!$J$31:$J$146)</f>
        <v>46111</v>
      </c>
      <c r="E407" s="235">
        <f ca="1">_xlfn.XLOOKUP(B407,Pareto!S:S,Pareto!V:V)</f>
        <v>18102</v>
      </c>
    </row>
    <row r="408" spans="1:5" hidden="1" x14ac:dyDescent="0.3">
      <c r="A408" t="s">
        <v>26</v>
      </c>
      <c r="B408">
        <f>'Compras '!D60</f>
        <v>0</v>
      </c>
      <c r="C408" t="e">
        <f>_xlfn.XLOOKUP(B408,'Compras '!$D$31:$D$146,'Compras '!$O$31:$O$146)</f>
        <v>#N/A</v>
      </c>
      <c r="D408" s="803" t="e">
        <f>_xlfn.XLOOKUP(B408,'Compras '!$D$31:$D$146,'Compras '!$J$31:$J$146)</f>
        <v>#N/A</v>
      </c>
    </row>
    <row r="409" spans="1:5" hidden="1" x14ac:dyDescent="0.3">
      <c r="A409" t="s">
        <v>26</v>
      </c>
      <c r="B409" t="str">
        <f>'Compras '!D61</f>
        <v>Viabilizar Material Alternativo de Menor Custo para Utilização na Carcaça da Scania</v>
      </c>
      <c r="C409" t="str">
        <f>_xlfn.XLOOKUP(B409,'Compras '!$D$31:$D$146,'Compras '!$O$31:$O$146)</f>
        <v>⏳ Em Execução</v>
      </c>
      <c r="D409" s="803">
        <f>_xlfn.XLOOKUP(B409,'Compras '!$D$31:$D$146,'Compras '!$J$31:$J$146)</f>
        <v>46327</v>
      </c>
    </row>
    <row r="410" spans="1:5" hidden="1" x14ac:dyDescent="0.3">
      <c r="A410" t="s">
        <v>26</v>
      </c>
      <c r="B410">
        <f>'Compras '!D62</f>
        <v>0</v>
      </c>
      <c r="C410" t="e">
        <f>_xlfn.XLOOKUP(B410,'Compras '!$D$31:$D$146,'Compras '!$O$31:$O$146)</f>
        <v>#N/A</v>
      </c>
      <c r="D410" s="803" t="e">
        <f>_xlfn.XLOOKUP(B410,'Compras '!$D$31:$D$146,'Compras '!$J$31:$J$146)</f>
        <v>#N/A</v>
      </c>
    </row>
    <row r="411" spans="1:5" hidden="1" x14ac:dyDescent="0.3">
      <c r="A411" t="s">
        <v>26</v>
      </c>
      <c r="B411" t="str">
        <f>'Compras '!D63</f>
        <v>Viabilizar itens Usiminas via Gonvarri-Full Service</v>
      </c>
      <c r="C411" t="str">
        <f>_xlfn.XLOOKUP(B411,'Compras '!$D$31:$D$146,'Compras '!$O$31:$O$146)</f>
        <v>✓ Concluído</v>
      </c>
      <c r="D411" s="803">
        <f>_xlfn.XLOOKUP(B411,'Compras '!$D$31:$D$146,'Compras '!$J$31:$J$146)</f>
        <v>46082</v>
      </c>
    </row>
    <row r="412" spans="1:5" hidden="1" x14ac:dyDescent="0.3">
      <c r="A412" t="s">
        <v>26</v>
      </c>
      <c r="B412">
        <f>'Compras '!D64</f>
        <v>0</v>
      </c>
      <c r="C412" t="e">
        <f>_xlfn.XLOOKUP(B412,'Compras '!$D$31:$D$146,'Compras '!$O$31:$O$146)</f>
        <v>#N/A</v>
      </c>
      <c r="D412" s="803" t="e">
        <f>_xlfn.XLOOKUP(B412,'Compras '!$D$31:$D$146,'Compras '!$J$31:$J$146)</f>
        <v>#N/A</v>
      </c>
    </row>
    <row r="413" spans="1:5" hidden="1" x14ac:dyDescent="0.3">
      <c r="A413" t="s">
        <v>26</v>
      </c>
      <c r="B413" t="str">
        <f>'Compras '!D65</f>
        <v>Estudo de viabilidade compressores</v>
      </c>
      <c r="C413" t="str">
        <f>_xlfn.XLOOKUP(B413,'Compras '!$D$31:$D$146,'Compras '!$O$31:$O$146)</f>
        <v>⏳ Em Execução</v>
      </c>
      <c r="D413" s="803" t="str">
        <f>_xlfn.XLOOKUP(B413,'Compras '!$D$31:$D$146,'Compras '!$J$31:$J$146)</f>
        <v>-</v>
      </c>
    </row>
    <row r="414" spans="1:5" hidden="1" x14ac:dyDescent="0.3">
      <c r="A414" t="s">
        <v>26</v>
      </c>
      <c r="B414">
        <f>'Compras '!D66</f>
        <v>0</v>
      </c>
      <c r="C414" t="e">
        <f>_xlfn.XLOOKUP(B414,'Compras '!$D$31:$D$146,'Compras '!$O$31:$O$146)</f>
        <v>#N/A</v>
      </c>
      <c r="D414" s="803" t="e">
        <f>_xlfn.XLOOKUP(B414,'Compras '!$D$31:$D$146,'Compras '!$J$31:$J$146)</f>
        <v>#N/A</v>
      </c>
    </row>
    <row r="415" spans="1:5" hidden="1" x14ac:dyDescent="0.3">
      <c r="A415" t="s">
        <v>26</v>
      </c>
      <c r="B415" t="str">
        <f>'Compras '!D67</f>
        <v>Desenvolvimento novos modelos de planos médicos</v>
      </c>
      <c r="C415" t="str">
        <f>_xlfn.XLOOKUP(B415,'Compras '!$D$31:$D$146,'Compras '!$O$31:$O$146)</f>
        <v>⏳ Em Execução</v>
      </c>
      <c r="D415" s="803">
        <f>_xlfn.XLOOKUP(B415,'Compras '!$D$31:$D$146,'Compras '!$J$31:$J$146)</f>
        <v>46157</v>
      </c>
    </row>
    <row r="416" spans="1:5" hidden="1" x14ac:dyDescent="0.3">
      <c r="A416" t="s">
        <v>26</v>
      </c>
      <c r="B416">
        <f>'Compras '!D68</f>
        <v>0</v>
      </c>
      <c r="C416" t="e">
        <f>_xlfn.XLOOKUP(B416,'Compras '!$D$31:$D$146,'Compras '!$O$31:$O$146)</f>
        <v>#N/A</v>
      </c>
      <c r="D416" s="803" t="e">
        <f>_xlfn.XLOOKUP(B416,'Compras '!$D$31:$D$146,'Compras '!$J$31:$J$146)</f>
        <v>#N/A</v>
      </c>
    </row>
    <row r="417" spans="1:5" hidden="1" x14ac:dyDescent="0.3">
      <c r="A417" t="s">
        <v>26</v>
      </c>
      <c r="B417" t="str">
        <f>'Compras '!D69</f>
        <v>Estudo de viabilidade lixadeiras</v>
      </c>
      <c r="C417" t="str">
        <f>_xlfn.XLOOKUP(B417,'Compras '!$D$31:$D$146,'Compras '!$O$31:$O$146)</f>
        <v>⏳ Em Execução</v>
      </c>
      <c r="D417" s="803">
        <f>_xlfn.XLOOKUP(B417,'Compras '!$D$31:$D$146,'Compras '!$J$31:$J$146)</f>
        <v>46113</v>
      </c>
    </row>
    <row r="418" spans="1:5" hidden="1" x14ac:dyDescent="0.3">
      <c r="A418" t="s">
        <v>26</v>
      </c>
      <c r="B418">
        <f>'Compras '!D70</f>
        <v>0</v>
      </c>
      <c r="C418" t="e">
        <f>_xlfn.XLOOKUP(B418,'Compras '!$D$31:$D$146,'Compras '!$O$31:$O$146)</f>
        <v>#N/A</v>
      </c>
      <c r="D418" s="803" t="e">
        <f>_xlfn.XLOOKUP(B418,'Compras '!$D$31:$D$146,'Compras '!$J$31:$J$146)</f>
        <v>#N/A</v>
      </c>
    </row>
    <row r="419" spans="1:5" hidden="1" x14ac:dyDescent="0.3">
      <c r="A419" t="s">
        <v>26</v>
      </c>
      <c r="B419" t="str">
        <f>'Compras '!D71</f>
        <v>Projeto DANA - Mudança de CH para BQ</v>
      </c>
      <c r="C419" t="str">
        <f>_xlfn.XLOOKUP(B419,'Compras '!$D$31:$D$146,'Compras '!$O$31:$O$146)</f>
        <v>✓ Concluído</v>
      </c>
      <c r="D419" s="803">
        <f>_xlfn.XLOOKUP(B419,'Compras '!$D$31:$D$146,'Compras '!$J$31:$J$146)</f>
        <v>46174</v>
      </c>
    </row>
    <row r="420" spans="1:5" hidden="1" x14ac:dyDescent="0.3">
      <c r="A420" t="s">
        <v>26</v>
      </c>
      <c r="B420">
        <f>'Compras '!D72</f>
        <v>0</v>
      </c>
      <c r="C420" t="e">
        <f>_xlfn.XLOOKUP(B420,'Compras '!$D$31:$D$146,'Compras '!$O$31:$O$146)</f>
        <v>#N/A</v>
      </c>
      <c r="D420" s="803" t="e">
        <f>_xlfn.XLOOKUP(B420,'Compras '!$D$31:$D$146,'Compras '!$J$31:$J$146)</f>
        <v>#N/A</v>
      </c>
    </row>
    <row r="421" spans="1:5" hidden="1" x14ac:dyDescent="0.3">
      <c r="A421" t="s">
        <v>26</v>
      </c>
      <c r="B421" t="str">
        <f>'Compras '!D73</f>
        <v>Negociação Boellhoff
85290 - PORCA QUADRADA SOLDA PROJEÇÃO - M5</v>
      </c>
      <c r="C421" t="str">
        <f>_xlfn.XLOOKUP(B421,'Compras '!$D$31:$D$146,'Compras '!$O$31:$O$146)</f>
        <v>⏳ Em Execução</v>
      </c>
      <c r="D421" s="803">
        <f>_xlfn.XLOOKUP(B421,'Compras '!$D$31:$D$146,'Compras '!$J$31:$J$146)</f>
        <v>46204</v>
      </c>
    </row>
    <row r="422" spans="1:5" hidden="1" x14ac:dyDescent="0.3">
      <c r="A422" t="s">
        <v>26</v>
      </c>
      <c r="B422">
        <f>'Compras '!D74</f>
        <v>0</v>
      </c>
      <c r="C422" t="e">
        <f>_xlfn.XLOOKUP(B422,'Compras '!$D$31:$D$146,'Compras '!$O$31:$O$146)</f>
        <v>#N/A</v>
      </c>
      <c r="D422" s="803" t="e">
        <f>_xlfn.XLOOKUP(B422,'Compras '!$D$31:$D$146,'Compras '!$J$31:$J$146)</f>
        <v>#N/A</v>
      </c>
    </row>
    <row r="423" spans="1:5" hidden="1" x14ac:dyDescent="0.3">
      <c r="A423" t="s">
        <v>26</v>
      </c>
      <c r="B423" t="str">
        <f>'Compras '!D75</f>
        <v>Troca de fonte fita zebrada e etiqueta litografada</v>
      </c>
      <c r="C423" t="str">
        <f>_xlfn.XLOOKUP(B423,'Compras '!$D$31:$D$146,'Compras '!$O$31:$O$146)</f>
        <v>✓ Concluído</v>
      </c>
      <c r="D423" s="803">
        <f>_xlfn.XLOOKUP(B423,'Compras '!$D$31:$D$146,'Compras '!$J$31:$J$146)</f>
        <v>46113</v>
      </c>
    </row>
    <row r="424" spans="1:5" hidden="1" x14ac:dyDescent="0.3">
      <c r="A424" t="s">
        <v>26</v>
      </c>
      <c r="B424">
        <f>'Compras '!D76</f>
        <v>0</v>
      </c>
      <c r="C424" t="e">
        <f>_xlfn.XLOOKUP(B424,'Compras '!$D$31:$D$146,'Compras '!$O$31:$O$146)</f>
        <v>#N/A</v>
      </c>
      <c r="D424" s="803" t="e">
        <f>_xlfn.XLOOKUP(B424,'Compras '!$D$31:$D$146,'Compras '!$J$31:$J$146)</f>
        <v>#N/A</v>
      </c>
    </row>
    <row r="425" spans="1:5" hidden="1" x14ac:dyDescent="0.3">
      <c r="A425" t="s">
        <v>26</v>
      </c>
      <c r="B425" t="str">
        <f>'Compras '!D77</f>
        <v>Unificação óleos utilizados nas plantas</v>
      </c>
      <c r="C425" t="str">
        <f>_xlfn.XLOOKUP(B425,'Compras '!$D$31:$D$146,'Compras '!$O$31:$O$146)</f>
        <v>⏳ Em Execução</v>
      </c>
      <c r="D425" s="803">
        <f>_xlfn.XLOOKUP(B425,'Compras '!$D$31:$D$146,'Compras '!$J$31:$J$146)</f>
        <v>46569</v>
      </c>
    </row>
    <row r="426" spans="1:5" hidden="1" x14ac:dyDescent="0.3">
      <c r="A426" t="s">
        <v>26</v>
      </c>
      <c r="B426">
        <f>'Compras '!D78</f>
        <v>0</v>
      </c>
      <c r="C426" t="e">
        <f>_xlfn.XLOOKUP(B426,'Compras '!$D$31:$D$146,'Compras '!$O$31:$O$146)</f>
        <v>#N/A</v>
      </c>
      <c r="D426" s="803" t="e">
        <f>_xlfn.XLOOKUP(B426,'Compras '!$D$31:$D$146,'Compras '!$J$31:$J$146)</f>
        <v>#N/A</v>
      </c>
    </row>
    <row r="427" spans="1:5" x14ac:dyDescent="0.3">
      <c r="A427" t="s">
        <v>26</v>
      </c>
      <c r="B427" t="str">
        <f>'Compras '!D79</f>
        <v>BID carimbos industriais</v>
      </c>
      <c r="C427" t="str">
        <f>_xlfn.XLOOKUP(B427,'Compras '!$D$31:$D$146,'Compras '!$O$31:$O$146)</f>
        <v>✓ Concluído</v>
      </c>
      <c r="D427" s="804">
        <f>_xlfn.XLOOKUP(B427,'Compras '!$D$31:$D$146,'Compras '!$J$31:$J$146)</f>
        <v>46082</v>
      </c>
      <c r="E427" s="235">
        <f ca="1">_xlfn.XLOOKUP(B427,Pareto!S:S,Pareto!V:V)</f>
        <v>762.48249999999996</v>
      </c>
    </row>
    <row r="428" spans="1:5" hidden="1" x14ac:dyDescent="0.3">
      <c r="A428" t="s">
        <v>26</v>
      </c>
      <c r="B428">
        <f>'Compras '!D80</f>
        <v>0</v>
      </c>
      <c r="C428" t="e">
        <f>_xlfn.XLOOKUP(B428,'Compras '!$D$31:$D$146,'Compras '!$O$31:$O$146)</f>
        <v>#N/A</v>
      </c>
      <c r="D428" s="803" t="e">
        <f>_xlfn.XLOOKUP(B428,'Compras '!$D$31:$D$146,'Compras '!$J$31:$J$146)</f>
        <v>#N/A</v>
      </c>
    </row>
    <row r="429" spans="1:5" hidden="1" x14ac:dyDescent="0.3">
      <c r="A429" t="s">
        <v>26</v>
      </c>
      <c r="B429" t="str">
        <f>'Compras '!D81</f>
        <v>BID eletrodos de solda</v>
      </c>
      <c r="C429" t="str">
        <f>_xlfn.XLOOKUP(B429,'Compras '!$D$31:$D$146,'Compras '!$O$31:$O$146)</f>
        <v>⏳ Em Execução</v>
      </c>
      <c r="D429" s="803">
        <f>_xlfn.XLOOKUP(B429,'Compras '!$D$31:$D$146,'Compras '!$J$31:$J$146)</f>
        <v>46113</v>
      </c>
    </row>
    <row r="430" spans="1:5" hidden="1" x14ac:dyDescent="0.3">
      <c r="A430" t="s">
        <v>26</v>
      </c>
      <c r="B430">
        <f>'Compras '!D82</f>
        <v>0</v>
      </c>
      <c r="C430" t="e">
        <f>_xlfn.XLOOKUP(B430,'Compras '!$D$31:$D$146,'Compras '!$O$31:$O$146)</f>
        <v>#N/A</v>
      </c>
      <c r="D430" s="803" t="e">
        <f>_xlfn.XLOOKUP(B430,'Compras '!$D$31:$D$146,'Compras '!$J$31:$J$146)</f>
        <v>#N/A</v>
      </c>
    </row>
    <row r="431" spans="1:5" x14ac:dyDescent="0.3">
      <c r="A431" t="s">
        <v>26</v>
      </c>
      <c r="B431" t="str">
        <f>'Compras '!D83</f>
        <v>BID complementar punções Jarinu</v>
      </c>
      <c r="C431" t="str">
        <f>_xlfn.XLOOKUP(B431,'Compras '!$D$31:$D$146,'Compras '!$O$31:$O$146)</f>
        <v>✓ Concluído</v>
      </c>
      <c r="D431" s="804">
        <f>_xlfn.XLOOKUP(B431,'Compras '!$D$31:$D$146,'Compras '!$J$31:$J$146)</f>
        <v>46082</v>
      </c>
      <c r="E431" s="235">
        <f ca="1">_xlfn.XLOOKUP(B431,Pareto!S:S,Pareto!V:V)</f>
        <v>6395.0825000000004</v>
      </c>
    </row>
    <row r="432" spans="1:5" hidden="1" x14ac:dyDescent="0.3">
      <c r="A432" t="s">
        <v>26</v>
      </c>
      <c r="B432">
        <f>'Compras '!D84</f>
        <v>0</v>
      </c>
      <c r="C432" t="e">
        <f>_xlfn.XLOOKUP(B432,'Compras '!$D$31:$D$146,'Compras '!$O$31:$O$146)</f>
        <v>#N/A</v>
      </c>
      <c r="D432" s="803" t="e">
        <f>_xlfn.XLOOKUP(B432,'Compras '!$D$31:$D$146,'Compras '!$J$31:$J$146)</f>
        <v>#N/A</v>
      </c>
    </row>
    <row r="433" spans="1:5" x14ac:dyDescent="0.3">
      <c r="A433" t="s">
        <v>26</v>
      </c>
      <c r="B433" t="str">
        <f>'Compras '!D85</f>
        <v>BID tampões pintura Anchieta</v>
      </c>
      <c r="C433" t="str">
        <f>_xlfn.XLOOKUP(B433,'Compras '!$D$31:$D$146,'Compras '!$O$31:$O$146)</f>
        <v>✓ Concluído</v>
      </c>
      <c r="D433" s="804">
        <f>_xlfn.XLOOKUP(B433,'Compras '!$D$31:$D$146,'Compras '!$J$31:$J$146)</f>
        <v>46023</v>
      </c>
      <c r="E433" s="235">
        <f ca="1">_xlfn.XLOOKUP(B433,Pareto!S:S,Pareto!V:V)</f>
        <v>8791.2124999999996</v>
      </c>
    </row>
    <row r="434" spans="1:5" hidden="1" x14ac:dyDescent="0.3">
      <c r="A434" t="s">
        <v>26</v>
      </c>
      <c r="B434">
        <f>'Compras '!D86</f>
        <v>0</v>
      </c>
      <c r="C434" t="e">
        <f>_xlfn.XLOOKUP(B434,'Compras '!$D$31:$D$146,'Compras '!$O$31:$O$146)</f>
        <v>#N/A</v>
      </c>
      <c r="D434" s="803" t="e">
        <f>_xlfn.XLOOKUP(B434,'Compras '!$D$31:$D$146,'Compras '!$J$31:$J$146)</f>
        <v>#N/A</v>
      </c>
    </row>
    <row r="435" spans="1:5" hidden="1" x14ac:dyDescent="0.3">
      <c r="A435" t="s">
        <v>26</v>
      </c>
      <c r="B435" t="str">
        <f>'Compras '!D87</f>
        <v>BID consumíveis laser</v>
      </c>
      <c r="C435" t="str">
        <f>_xlfn.XLOOKUP(B435,'Compras '!$D$31:$D$146,'Compras '!$O$31:$O$146)</f>
        <v>✓ Concluído</v>
      </c>
      <c r="D435" s="803">
        <f>_xlfn.XLOOKUP(B435,'Compras '!$D$31:$D$146,'Compras '!$J$31:$J$146)</f>
        <v>46235</v>
      </c>
    </row>
    <row r="436" spans="1:5" hidden="1" x14ac:dyDescent="0.3">
      <c r="A436" t="s">
        <v>26</v>
      </c>
      <c r="B436">
        <f>'Compras '!D88</f>
        <v>0</v>
      </c>
      <c r="C436" t="e">
        <f>_xlfn.XLOOKUP(B436,'Compras '!$D$31:$D$146,'Compras '!$O$31:$O$146)</f>
        <v>#N/A</v>
      </c>
      <c r="D436" s="803" t="e">
        <f>_xlfn.XLOOKUP(B436,'Compras '!$D$31:$D$146,'Compras '!$J$31:$J$146)</f>
        <v>#N/A</v>
      </c>
    </row>
    <row r="437" spans="1:5" x14ac:dyDescent="0.3">
      <c r="A437" t="s">
        <v>26</v>
      </c>
      <c r="B437" t="str">
        <f>'Compras '!D89</f>
        <v>Troca fornecedor decapagem gancheiras Ferraz</v>
      </c>
      <c r="C437" t="str">
        <f>_xlfn.XLOOKUP(B437,'Compras '!$D$31:$D$146,'Compras '!$O$31:$O$146)</f>
        <v>✓ Concluído</v>
      </c>
      <c r="D437" s="804">
        <f>_xlfn.XLOOKUP(B437,'Compras '!$D$31:$D$146,'Compras '!$J$31:$J$146)</f>
        <v>46071</v>
      </c>
      <c r="E437" s="235">
        <f ca="1">_xlfn.XLOOKUP(B437,Pareto!S:S,Pareto!V:V)</f>
        <v>32969.933333333334</v>
      </c>
    </row>
    <row r="438" spans="1:5" hidden="1" x14ac:dyDescent="0.3">
      <c r="A438" t="s">
        <v>26</v>
      </c>
      <c r="B438">
        <f>'Compras '!D90</f>
        <v>0</v>
      </c>
      <c r="C438" t="e">
        <f>_xlfn.XLOOKUP(B438,'Compras '!$D$31:$D$146,'Compras '!$O$31:$O$146)</f>
        <v>#N/A</v>
      </c>
      <c r="D438" s="803" t="e">
        <f>_xlfn.XLOOKUP(B438,'Compras '!$D$31:$D$146,'Compras '!$J$31:$J$146)</f>
        <v>#N/A</v>
      </c>
    </row>
    <row r="439" spans="1:5" hidden="1" x14ac:dyDescent="0.3">
      <c r="A439" t="s">
        <v>26</v>
      </c>
      <c r="B439" t="str">
        <f>'Compras '!D91</f>
        <v>Troca da fonte de arame de solda para China</v>
      </c>
      <c r="C439" t="str">
        <f>_xlfn.XLOOKUP(B439,'Compras '!$D$31:$D$146,'Compras '!$O$31:$O$146)</f>
        <v>📝 Não iniciado</v>
      </c>
      <c r="D439" s="803">
        <f>_xlfn.XLOOKUP(B439,'Compras '!$D$31:$D$146,'Compras '!$J$31:$J$146)</f>
        <v>46568</v>
      </c>
    </row>
    <row r="440" spans="1:5" hidden="1" x14ac:dyDescent="0.3">
      <c r="A440" t="s">
        <v>26</v>
      </c>
      <c r="B440">
        <f>'Compras '!D92</f>
        <v>0</v>
      </c>
      <c r="C440" t="e">
        <f>_xlfn.XLOOKUP(B440,'Compras '!$D$31:$D$146,'Compras '!$O$31:$O$146)</f>
        <v>#N/A</v>
      </c>
      <c r="D440" s="803" t="e">
        <f>_xlfn.XLOOKUP(B440,'Compras '!$D$31:$D$146,'Compras '!$J$31:$J$146)</f>
        <v>#N/A</v>
      </c>
    </row>
    <row r="441" spans="1:5" hidden="1" x14ac:dyDescent="0.3">
      <c r="A441" t="s">
        <v>26</v>
      </c>
      <c r="B441" t="str">
        <f>'Compras '!D93</f>
        <v>Redução MP Viga Banana</v>
      </c>
      <c r="C441" t="str">
        <f>_xlfn.XLOOKUP(B441,'Compras '!$D$31:$D$146,'Compras '!$O$31:$O$146)</f>
        <v>✓ Concluído</v>
      </c>
      <c r="D441" s="803">
        <f>_xlfn.XLOOKUP(B441,'Compras '!$D$31:$D$146,'Compras '!$J$31:$J$146)</f>
        <v>46066</v>
      </c>
    </row>
    <row r="442" spans="1:5" hidden="1" x14ac:dyDescent="0.3">
      <c r="A442" t="s">
        <v>26</v>
      </c>
      <c r="B442">
        <f>'Compras '!D94</f>
        <v>0</v>
      </c>
      <c r="C442" t="e">
        <f>_xlfn.XLOOKUP(B442,'Compras '!$D$31:$D$146,'Compras '!$O$31:$O$146)</f>
        <v>#N/A</v>
      </c>
      <c r="D442" s="803" t="e">
        <f>_xlfn.XLOOKUP(B442,'Compras '!$D$31:$D$146,'Compras '!$J$31:$J$146)</f>
        <v>#N/A</v>
      </c>
    </row>
    <row r="443" spans="1:5" x14ac:dyDescent="0.3">
      <c r="A443" t="s">
        <v>26</v>
      </c>
      <c r="B443" t="str">
        <f>'Compras '!D95</f>
        <v>Resourcing Hasmman para Metalac</v>
      </c>
      <c r="C443" t="str">
        <f>_xlfn.XLOOKUP(B443,'Compras '!$D$31:$D$146,'Compras '!$O$31:$O$146)</f>
        <v>✓ Concluído</v>
      </c>
      <c r="D443" s="804">
        <f>_xlfn.XLOOKUP(B443,'Compras '!$D$31:$D$146,'Compras '!$J$31:$J$146)</f>
        <v>46072</v>
      </c>
      <c r="E443" s="235">
        <f ca="1">_xlfn.XLOOKUP(B443,Pareto!S:S,Pareto!V:V)</f>
        <v>51645.666666666664</v>
      </c>
    </row>
    <row r="444" spans="1:5" hidden="1" x14ac:dyDescent="0.3">
      <c r="A444" t="s">
        <v>26</v>
      </c>
      <c r="B444">
        <f>'Compras '!D96</f>
        <v>0</v>
      </c>
      <c r="C444" t="e">
        <f>_xlfn.XLOOKUP(B444,'Compras '!$D$31:$D$146,'Compras '!$O$31:$O$146)</f>
        <v>#N/A</v>
      </c>
      <c r="D444" s="803" t="e">
        <f>_xlfn.XLOOKUP(B444,'Compras '!$D$31:$D$146,'Compras '!$J$31:$J$146)</f>
        <v>#N/A</v>
      </c>
    </row>
    <row r="445" spans="1:5" x14ac:dyDescent="0.3">
      <c r="A445" t="s">
        <v>26</v>
      </c>
      <c r="B445" t="str">
        <f>'Compras '!D97</f>
        <v>Negociação de preços materiais carcaça Dana</v>
      </c>
      <c r="C445" t="str">
        <f>_xlfn.XLOOKUP(B445,'Compras '!$D$31:$D$146,'Compras '!$O$31:$O$146)</f>
        <v>✓ Concluído</v>
      </c>
      <c r="D445" s="804">
        <f>_xlfn.XLOOKUP(B445,'Compras '!$D$31:$D$146,'Compras '!$J$31:$J$146)</f>
        <v>45992</v>
      </c>
      <c r="E445" s="235">
        <f ca="1">_xlfn.XLOOKUP(B445,Pareto!S:S,Pareto!V:V)</f>
        <v>1104667.6333333333</v>
      </c>
    </row>
    <row r="446" spans="1:5" hidden="1" x14ac:dyDescent="0.3">
      <c r="A446" t="s">
        <v>26</v>
      </c>
      <c r="B446">
        <f>'Compras '!D98</f>
        <v>0</v>
      </c>
      <c r="C446" t="e">
        <f>_xlfn.XLOOKUP(B446,'Compras '!$D$31:$D$146,'Compras '!$O$31:$O$146)</f>
        <v>#N/A</v>
      </c>
      <c r="D446" s="803" t="e">
        <f>_xlfn.XLOOKUP(B446,'Compras '!$D$31:$D$146,'Compras '!$J$31:$J$146)</f>
        <v>#N/A</v>
      </c>
    </row>
    <row r="447" spans="1:5" hidden="1" x14ac:dyDescent="0.3">
      <c r="A447" t="s">
        <v>26</v>
      </c>
      <c r="B447" t="str">
        <f>'Compras '!D99</f>
        <v>Conseguir Ex tarifário Ferramentas Saga</v>
      </c>
      <c r="C447" t="str">
        <f>_xlfn.XLOOKUP(B447,'Compras '!$D$31:$D$146,'Compras '!$O$31:$O$146)</f>
        <v>⏳ Em Execução</v>
      </c>
      <c r="D447" s="803">
        <f>_xlfn.XLOOKUP(B447,'Compras '!$D$31:$D$146,'Compras '!$J$31:$J$146)</f>
        <v>46296</v>
      </c>
    </row>
    <row r="448" spans="1:5" hidden="1" x14ac:dyDescent="0.3">
      <c r="A448" t="s">
        <v>26</v>
      </c>
      <c r="B448">
        <f>'Compras '!D100</f>
        <v>0</v>
      </c>
      <c r="C448" t="e">
        <f>_xlfn.XLOOKUP(B448,'Compras '!$D$31:$D$146,'Compras '!$O$31:$O$146)</f>
        <v>#N/A</v>
      </c>
      <c r="D448" s="803" t="e">
        <f>_xlfn.XLOOKUP(B448,'Compras '!$D$31:$D$146,'Compras '!$J$31:$J$146)</f>
        <v>#N/A</v>
      </c>
    </row>
    <row r="449" spans="1:4" hidden="1" x14ac:dyDescent="0.3">
      <c r="A449" t="s">
        <v>26</v>
      </c>
      <c r="B449" t="str">
        <f>'Compras '!D101</f>
        <v>Estratégia comercial com as Usinas</v>
      </c>
      <c r="C449" t="str">
        <f>_xlfn.XLOOKUP(B449,'Compras '!$D$31:$D$146,'Compras '!$O$31:$O$146)</f>
        <v>⏳ Em Execução</v>
      </c>
      <c r="D449" s="803">
        <f>_xlfn.XLOOKUP(B449,'Compras '!$D$31:$D$146,'Compras '!$J$31:$J$146)</f>
        <v>46266</v>
      </c>
    </row>
    <row r="450" spans="1:4" hidden="1" x14ac:dyDescent="0.3">
      <c r="A450" t="s">
        <v>26</v>
      </c>
      <c r="B450">
        <f>'Compras '!D102</f>
        <v>0</v>
      </c>
      <c r="C450" t="e">
        <f>_xlfn.XLOOKUP(B450,'Compras '!$D$31:$D$146,'Compras '!$O$31:$O$146)</f>
        <v>#N/A</v>
      </c>
      <c r="D450" s="803" t="e">
        <f>_xlfn.XLOOKUP(B450,'Compras '!$D$31:$D$146,'Compras '!$J$31:$J$146)</f>
        <v>#N/A</v>
      </c>
    </row>
    <row r="451" spans="1:4" hidden="1" x14ac:dyDescent="0.3">
      <c r="A451" t="s">
        <v>26</v>
      </c>
      <c r="B451" t="str">
        <f>'Compras '!D103</f>
        <v>Negociação Porca Bollhoff 15341 Saga</v>
      </c>
      <c r="C451" t="str">
        <f>_xlfn.XLOOKUP(B451,'Compras '!$D$31:$D$146,'Compras '!$O$31:$O$146)</f>
        <v>✓ Concluído</v>
      </c>
      <c r="D451" s="803">
        <f>_xlfn.XLOOKUP(B451,'Compras '!$D$31:$D$146,'Compras '!$J$31:$J$146)</f>
        <v>46101</v>
      </c>
    </row>
    <row r="452" spans="1:4" hidden="1" x14ac:dyDescent="0.3">
      <c r="A452" t="s">
        <v>26</v>
      </c>
      <c r="B452">
        <f>'Compras '!D104</f>
        <v>0</v>
      </c>
      <c r="C452" t="e">
        <f>_xlfn.XLOOKUP(B452,'Compras '!$D$31:$D$146,'Compras '!$O$31:$O$146)</f>
        <v>#N/A</v>
      </c>
      <c r="D452" s="803" t="e">
        <f>_xlfn.XLOOKUP(B452,'Compras '!$D$31:$D$146,'Compras '!$J$31:$J$146)</f>
        <v>#N/A</v>
      </c>
    </row>
    <row r="453" spans="1:4" hidden="1" x14ac:dyDescent="0.3">
      <c r="A453" t="s">
        <v>26</v>
      </c>
      <c r="B453" t="str">
        <f>'Compras '!D105</f>
        <v>Projeto DANA - Fornecimento MTL</v>
      </c>
      <c r="C453" t="str">
        <f>_xlfn.XLOOKUP(B453,'Compras '!$D$31:$D$146,'Compras '!$O$31:$O$146)</f>
        <v>📝 Não iniciado</v>
      </c>
      <c r="D453" s="803">
        <f>_xlfn.XLOOKUP(B453,'Compras '!$D$31:$D$146,'Compras '!$J$31:$J$146)</f>
        <v>46204</v>
      </c>
    </row>
    <row r="454" spans="1:4" hidden="1" x14ac:dyDescent="0.3">
      <c r="A454" t="s">
        <v>26</v>
      </c>
      <c r="B454">
        <f>'Compras '!D106</f>
        <v>0</v>
      </c>
      <c r="C454" t="e">
        <f>_xlfn.XLOOKUP(B454,'Compras '!$D$31:$D$146,'Compras '!$O$31:$O$146)</f>
        <v>#N/A</v>
      </c>
      <c r="D454" s="803" t="e">
        <f>_xlfn.XLOOKUP(B454,'Compras '!$D$31:$D$146,'Compras '!$J$31:$J$146)</f>
        <v>#N/A</v>
      </c>
    </row>
    <row r="455" spans="1:4" hidden="1" x14ac:dyDescent="0.3">
      <c r="A455" t="s">
        <v>26</v>
      </c>
      <c r="B455" t="str">
        <f>'Compras '!D107</f>
        <v>Destinação Borra Plasma Ferraz</v>
      </c>
      <c r="C455" t="str">
        <f>_xlfn.XLOOKUP(B455,'Compras '!$D$31:$D$146,'Compras '!$O$31:$O$146)</f>
        <v>✓ Concluído</v>
      </c>
      <c r="D455" s="803">
        <f>_xlfn.XLOOKUP(B455,'Compras '!$D$31:$D$146,'Compras '!$J$31:$J$146)</f>
        <v>46143</v>
      </c>
    </row>
    <row r="456" spans="1:4" hidden="1" x14ac:dyDescent="0.3">
      <c r="A456" t="s">
        <v>26</v>
      </c>
      <c r="B456">
        <f>'Compras '!D108</f>
        <v>0</v>
      </c>
      <c r="C456" t="e">
        <f>_xlfn.XLOOKUP(B456,'Compras '!$D$31:$D$146,'Compras '!$O$31:$O$146)</f>
        <v>#N/A</v>
      </c>
      <c r="D456" s="803" t="e">
        <f>_xlfn.XLOOKUP(B456,'Compras '!$D$31:$D$146,'Compras '!$J$31:$J$146)</f>
        <v>#N/A</v>
      </c>
    </row>
    <row r="457" spans="1:4" hidden="1" x14ac:dyDescent="0.3">
      <c r="A457" t="s">
        <v>26</v>
      </c>
      <c r="B457" t="str">
        <f>'Compras '!D109</f>
        <v>Ex Tarifário Transfer Norda</v>
      </c>
      <c r="C457" t="str">
        <f>_xlfn.XLOOKUP(B457,'Compras '!$D$31:$D$146,'Compras '!$O$31:$O$146)</f>
        <v>⏳ Em Execução</v>
      </c>
      <c r="D457" s="803">
        <f>_xlfn.XLOOKUP(B457,'Compras '!$D$31:$D$146,'Compras '!$J$31:$J$146)</f>
        <v>46311</v>
      </c>
    </row>
    <row r="458" spans="1:4" hidden="1" x14ac:dyDescent="0.3">
      <c r="A458" t="s">
        <v>26</v>
      </c>
      <c r="B458">
        <f>'Compras '!D110</f>
        <v>0</v>
      </c>
      <c r="C458" t="e">
        <f>_xlfn.XLOOKUP(B458,'Compras '!$D$31:$D$146,'Compras '!$O$31:$O$146)</f>
        <v>#N/A</v>
      </c>
      <c r="D458" s="803" t="e">
        <f>_xlfn.XLOOKUP(B458,'Compras '!$D$31:$D$146,'Compras '!$J$31:$J$146)</f>
        <v>#N/A</v>
      </c>
    </row>
    <row r="459" spans="1:4" hidden="1" x14ac:dyDescent="0.3">
      <c r="A459" t="s">
        <v>26</v>
      </c>
      <c r="B459" t="str">
        <f>'Compras '!D111</f>
        <v>Redução Itens Mercedes</v>
      </c>
      <c r="C459" t="str">
        <f>_xlfn.XLOOKUP(B459,'Compras '!$D$31:$D$146,'Compras '!$O$31:$O$146)</f>
        <v>⏳ Em Execução</v>
      </c>
      <c r="D459" s="803">
        <f>_xlfn.XLOOKUP(B459,'Compras '!$D$31:$D$146,'Compras '!$J$31:$J$146)</f>
        <v>46113</v>
      </c>
    </row>
    <row r="460" spans="1:4" hidden="1" x14ac:dyDescent="0.3">
      <c r="A460" t="s">
        <v>26</v>
      </c>
      <c r="B460">
        <f>'Compras '!D112</f>
        <v>0</v>
      </c>
      <c r="C460" t="e">
        <f>_xlfn.XLOOKUP(B460,'Compras '!$D$31:$D$146,'Compras '!$O$31:$O$146)</f>
        <v>#N/A</v>
      </c>
      <c r="D460" s="803" t="e">
        <f>_xlfn.XLOOKUP(B460,'Compras '!$D$31:$D$146,'Compras '!$J$31:$J$146)</f>
        <v>#N/A</v>
      </c>
    </row>
    <row r="461" spans="1:4" hidden="1" x14ac:dyDescent="0.3">
      <c r="A461" t="s">
        <v>26</v>
      </c>
      <c r="B461">
        <f>'Compras '!D145</f>
        <v>0</v>
      </c>
      <c r="C461" t="e">
        <f>_xlfn.XLOOKUP(B461,'Compras '!$D$31:$D$146,'Compras '!$O$31:$O$146)</f>
        <v>#N/A</v>
      </c>
      <c r="D461" s="803" t="e">
        <f>_xlfn.XLOOKUP(B461,'Compras '!$D$31:$D$146,'Compras '!$J$31:$J$146)</f>
        <v>#N/A</v>
      </c>
    </row>
    <row r="462" spans="1:4" hidden="1" x14ac:dyDescent="0.3">
      <c r="A462" t="s">
        <v>26</v>
      </c>
      <c r="B462">
        <f>'Compras '!D146</f>
        <v>0</v>
      </c>
      <c r="C462" t="e">
        <f>_xlfn.XLOOKUP(B462,'Compras '!$D$31:$D$146,'Compras '!$O$31:$O$146)</f>
        <v>#N/A</v>
      </c>
      <c r="D462" s="803" t="e">
        <f>_xlfn.XLOOKUP(B462,'Compras '!$D$31:$D$146,'Compras '!$J$31:$J$146)</f>
        <v>#N/A</v>
      </c>
    </row>
    <row r="463" spans="1:4" hidden="1" x14ac:dyDescent="0.3">
      <c r="A463" t="s">
        <v>26</v>
      </c>
      <c r="B463">
        <f>'Compras '!C147</f>
        <v>0</v>
      </c>
      <c r="C463" t="e">
        <f>_xlfn.XLOOKUP(B463,'Compras '!$D$31:$D$146,'Compras '!$O$31:$O$146)</f>
        <v>#N/A</v>
      </c>
      <c r="D463" s="803" t="e">
        <f>_xlfn.XLOOKUP(B463,'Compras '!$D$31:$D$146,'Compras '!$J$31:$J$146)</f>
        <v>#N/A</v>
      </c>
    </row>
    <row r="464" spans="1:4" hidden="1" x14ac:dyDescent="0.3">
      <c r="A464" t="s">
        <v>26</v>
      </c>
      <c r="B464">
        <f>'Compras '!C148</f>
        <v>0</v>
      </c>
      <c r="C464" t="e">
        <f>_xlfn.XLOOKUP(B464,'Compras '!$D$31:$D$146,'Compras '!$O$31:$O$146)</f>
        <v>#N/A</v>
      </c>
      <c r="D464" s="803" t="e">
        <f>_xlfn.XLOOKUP(B464,'Compras '!$D$31:$D$146,'Compras '!$J$31:$J$146)</f>
        <v>#N/A</v>
      </c>
    </row>
    <row r="465" spans="1:4" hidden="1" x14ac:dyDescent="0.3">
      <c r="A465" t="s">
        <v>26</v>
      </c>
      <c r="B465">
        <f>'Compras '!C149</f>
        <v>0</v>
      </c>
      <c r="C465" t="e">
        <f>_xlfn.XLOOKUP(B465,'Compras '!$D$31:$D$146,'Compras '!$O$31:$O$146)</f>
        <v>#N/A</v>
      </c>
      <c r="D465" s="803" t="e">
        <f>_xlfn.XLOOKUP(B465,'Compras '!$D$31:$D$146,'Compras '!$J$31:$J$146)</f>
        <v>#N/A</v>
      </c>
    </row>
    <row r="466" spans="1:4" hidden="1" x14ac:dyDescent="0.3">
      <c r="A466" t="s">
        <v>26</v>
      </c>
      <c r="B466">
        <f>'Compras '!C150</f>
        <v>0</v>
      </c>
      <c r="C466" t="e">
        <f>_xlfn.XLOOKUP(B466,'Compras '!$D$31:$D$146,'Compras '!$O$31:$O$146)</f>
        <v>#N/A</v>
      </c>
      <c r="D466" s="803" t="e">
        <f>_xlfn.XLOOKUP(B466,'Compras '!$D$31:$D$146,'Compras '!$J$31:$J$146)</f>
        <v>#N/A</v>
      </c>
    </row>
    <row r="467" spans="1:4" hidden="1" x14ac:dyDescent="0.3">
      <c r="A467" t="s">
        <v>26</v>
      </c>
      <c r="B467">
        <f>'Compras '!C151</f>
        <v>0</v>
      </c>
      <c r="C467" t="e">
        <f>_xlfn.XLOOKUP(B467,'Compras '!$D$31:$D$146,'Compras '!$O$31:$O$146)</f>
        <v>#N/A</v>
      </c>
      <c r="D467" s="803" t="e">
        <f>_xlfn.XLOOKUP(B467,'Compras '!$D$31:$D$146,'Compras '!$J$31:$J$146)</f>
        <v>#N/A</v>
      </c>
    </row>
    <row r="468" spans="1:4" hidden="1" x14ac:dyDescent="0.3">
      <c r="A468" t="s">
        <v>26</v>
      </c>
      <c r="B468">
        <f>'Compras '!C152</f>
        <v>0</v>
      </c>
      <c r="C468" t="e">
        <f>_xlfn.XLOOKUP(B468,'Compras '!$D$31:$D$146,'Compras '!$O$31:$O$146)</f>
        <v>#N/A</v>
      </c>
      <c r="D468" s="803" t="e">
        <f>_xlfn.XLOOKUP(B468,'Compras '!$D$31:$D$146,'Compras '!$J$31:$J$146)</f>
        <v>#N/A</v>
      </c>
    </row>
    <row r="469" spans="1:4" hidden="1" x14ac:dyDescent="0.3">
      <c r="A469" t="s">
        <v>26</v>
      </c>
      <c r="B469">
        <f>'Compras '!C153</f>
        <v>0</v>
      </c>
      <c r="C469" t="e">
        <f>_xlfn.XLOOKUP(B469,'Compras '!$D$31:$D$146,'Compras '!$O$31:$O$146)</f>
        <v>#N/A</v>
      </c>
      <c r="D469" s="803" t="e">
        <f>_xlfn.XLOOKUP(B469,'Compras '!$D$31:$D$146,'Compras '!$J$31:$J$146)</f>
        <v>#N/A</v>
      </c>
    </row>
    <row r="470" spans="1:4" hidden="1" x14ac:dyDescent="0.3">
      <c r="A470" t="s">
        <v>26</v>
      </c>
      <c r="B470">
        <f>'Compras '!C154</f>
        <v>0</v>
      </c>
      <c r="C470" t="e">
        <f>_xlfn.XLOOKUP(B470,'Compras '!$D$31:$D$146,'Compras '!$O$31:$O$146)</f>
        <v>#N/A</v>
      </c>
      <c r="D470" s="803" t="e">
        <f>_xlfn.XLOOKUP(B470,'Compras '!$D$31:$D$146,'Compras '!$J$31:$J$146)</f>
        <v>#N/A</v>
      </c>
    </row>
    <row r="471" spans="1:4" hidden="1" x14ac:dyDescent="0.3">
      <c r="A471" t="s">
        <v>26</v>
      </c>
      <c r="B471">
        <f>'Compras '!C155</f>
        <v>0</v>
      </c>
      <c r="C471" t="e">
        <f>_xlfn.XLOOKUP(B471,'Compras '!$D$31:$D$146,'Compras '!$O$31:$O$146)</f>
        <v>#N/A</v>
      </c>
      <c r="D471" s="803" t="e">
        <f>_xlfn.XLOOKUP(B471,'Compras '!$D$31:$D$146,'Compras '!$J$31:$J$146)</f>
        <v>#N/A</v>
      </c>
    </row>
    <row r="472" spans="1:4" hidden="1" x14ac:dyDescent="0.3">
      <c r="A472" t="s">
        <v>26</v>
      </c>
      <c r="B472">
        <f>'Compras '!C156</f>
        <v>0</v>
      </c>
      <c r="C472" t="e">
        <f>_xlfn.XLOOKUP(B472,'Compras '!$D$31:$D$146,'Compras '!$O$31:$O$146)</f>
        <v>#N/A</v>
      </c>
      <c r="D472" s="803" t="e">
        <f>_xlfn.XLOOKUP(B472,'Compras '!$D$31:$D$146,'Compras '!$J$31:$J$146)</f>
        <v>#N/A</v>
      </c>
    </row>
    <row r="473" spans="1:4" hidden="1" x14ac:dyDescent="0.3">
      <c r="A473" t="s">
        <v>26</v>
      </c>
      <c r="B473">
        <f>'Compras '!C157</f>
        <v>0</v>
      </c>
      <c r="C473" t="e">
        <f>_xlfn.XLOOKUP(B473,'Compras '!$D$31:$D$146,'Compras '!$O$31:$O$146)</f>
        <v>#N/A</v>
      </c>
      <c r="D473" s="803" t="e">
        <f>_xlfn.XLOOKUP(B473,'Compras '!$D$31:$D$146,'Compras '!$J$31:$J$146)</f>
        <v>#N/A</v>
      </c>
    </row>
    <row r="474" spans="1:4" hidden="1" x14ac:dyDescent="0.3">
      <c r="A474" t="s">
        <v>26</v>
      </c>
      <c r="B474">
        <f>'Compras '!C158</f>
        <v>0</v>
      </c>
      <c r="C474" t="e">
        <f>_xlfn.XLOOKUP(B474,'Compras '!$D$31:$D$146,'Compras '!$O$31:$O$146)</f>
        <v>#N/A</v>
      </c>
      <c r="D474" s="803" t="e">
        <f>_xlfn.XLOOKUP(B474,'Compras '!$D$31:$D$146,'Compras '!$J$31:$J$146)</f>
        <v>#N/A</v>
      </c>
    </row>
    <row r="475" spans="1:4" hidden="1" x14ac:dyDescent="0.3">
      <c r="A475" t="s">
        <v>26</v>
      </c>
      <c r="B475">
        <f>'Compras '!C159</f>
        <v>0</v>
      </c>
      <c r="C475" t="e">
        <f>_xlfn.XLOOKUP(B475,'Compras '!$D$31:$D$146,'Compras '!$O$31:$O$146)</f>
        <v>#N/A</v>
      </c>
      <c r="D475" s="803" t="e">
        <f>_xlfn.XLOOKUP(B475,'Compras '!$D$31:$D$146,'Compras '!$J$31:$J$146)</f>
        <v>#N/A</v>
      </c>
    </row>
    <row r="476" spans="1:4" hidden="1" x14ac:dyDescent="0.3">
      <c r="A476" t="s">
        <v>26</v>
      </c>
      <c r="B476">
        <f>'Compras '!C160</f>
        <v>0</v>
      </c>
      <c r="C476" t="e">
        <f>_xlfn.XLOOKUP(B476,'Compras '!$D$31:$D$146,'Compras '!$O$31:$O$146)</f>
        <v>#N/A</v>
      </c>
      <c r="D476" s="803" t="e">
        <f>_xlfn.XLOOKUP(B476,'Compras '!$D$31:$D$146,'Compras '!$J$31:$J$146)</f>
        <v>#N/A</v>
      </c>
    </row>
    <row r="477" spans="1:4" hidden="1" x14ac:dyDescent="0.3">
      <c r="A477" t="s">
        <v>26</v>
      </c>
      <c r="B477">
        <f>'Compras '!C161</f>
        <v>0</v>
      </c>
      <c r="C477" t="e">
        <f>_xlfn.XLOOKUP(B477,'Compras '!$D$31:$D$146,'Compras '!$O$31:$O$146)</f>
        <v>#N/A</v>
      </c>
      <c r="D477" s="803" t="e">
        <f>_xlfn.XLOOKUP(B477,'Compras '!$D$31:$D$146,'Compras '!$J$31:$J$146)</f>
        <v>#N/A</v>
      </c>
    </row>
    <row r="478" spans="1:4" hidden="1" x14ac:dyDescent="0.3">
      <c r="A478" t="s">
        <v>26</v>
      </c>
      <c r="B478">
        <f>'Compras '!C162</f>
        <v>0</v>
      </c>
      <c r="C478" t="e">
        <f>_xlfn.XLOOKUP(B478,'Compras '!$D$31:$D$146,'Compras '!$O$31:$O$146)</f>
        <v>#N/A</v>
      </c>
      <c r="D478" s="803" t="e">
        <f>_xlfn.XLOOKUP(B478,'Compras '!$D$31:$D$146,'Compras '!$J$31:$J$146)</f>
        <v>#N/A</v>
      </c>
    </row>
    <row r="479" spans="1:4" hidden="1" x14ac:dyDescent="0.3">
      <c r="A479" t="s">
        <v>26</v>
      </c>
      <c r="B479">
        <f>'Compras '!C163</f>
        <v>0</v>
      </c>
      <c r="C479" t="e">
        <f>_xlfn.XLOOKUP(B479,'Compras '!$D$31:$D$146,'Compras '!$O$31:$O$146)</f>
        <v>#N/A</v>
      </c>
      <c r="D479" s="803" t="e">
        <f>_xlfn.XLOOKUP(B479,'Compras '!$D$31:$D$146,'Compras '!$J$31:$J$146)</f>
        <v>#N/A</v>
      </c>
    </row>
    <row r="480" spans="1:4" hidden="1" x14ac:dyDescent="0.3">
      <c r="A480" t="s">
        <v>26</v>
      </c>
      <c r="B480">
        <f>'Compras '!C164</f>
        <v>0</v>
      </c>
      <c r="C480" t="e">
        <f>_xlfn.XLOOKUP(B480,'Compras '!$D$31:$D$146,'Compras '!$O$31:$O$146)</f>
        <v>#N/A</v>
      </c>
      <c r="D480" s="803" t="e">
        <f>_xlfn.XLOOKUP(B480,'Compras '!$D$31:$D$146,'Compras '!$J$31:$J$146)</f>
        <v>#N/A</v>
      </c>
    </row>
    <row r="481" spans="1:4" hidden="1" x14ac:dyDescent="0.3">
      <c r="A481" t="s">
        <v>26</v>
      </c>
      <c r="B481">
        <f>'Compras '!C165</f>
        <v>0</v>
      </c>
      <c r="C481" t="e">
        <f>_xlfn.XLOOKUP(B481,'Compras '!$D$31:$D$146,'Compras '!$O$31:$O$146)</f>
        <v>#N/A</v>
      </c>
      <c r="D481" s="803" t="e">
        <f>_xlfn.XLOOKUP(B481,'Compras '!$D$31:$D$146,'Compras '!$J$31:$J$146)</f>
        <v>#N/A</v>
      </c>
    </row>
    <row r="482" spans="1:4" hidden="1" x14ac:dyDescent="0.3">
      <c r="A482" t="s">
        <v>26</v>
      </c>
      <c r="B482">
        <f>'Compras '!C166</f>
        <v>0</v>
      </c>
      <c r="C482" t="e">
        <f>_xlfn.XLOOKUP(B482,'Compras '!$D$31:$D$146,'Compras '!$O$31:$O$146)</f>
        <v>#N/A</v>
      </c>
      <c r="D482" s="803" t="e">
        <f>_xlfn.XLOOKUP(B482,'Compras '!$D$31:$D$146,'Compras '!$J$31:$J$146)</f>
        <v>#N/A</v>
      </c>
    </row>
    <row r="483" spans="1:4" hidden="1" x14ac:dyDescent="0.3">
      <c r="A483" t="s">
        <v>26</v>
      </c>
      <c r="B483">
        <f>'Compras '!C167</f>
        <v>0</v>
      </c>
      <c r="C483" t="e">
        <f>_xlfn.XLOOKUP(B483,'Compras '!$D$31:$D$146,'Compras '!$O$31:$O$146)</f>
        <v>#N/A</v>
      </c>
      <c r="D483" s="803" t="e">
        <f>_xlfn.XLOOKUP(B483,'Compras '!$D$31:$D$146,'Compras '!$J$31:$J$146)</f>
        <v>#N/A</v>
      </c>
    </row>
    <row r="484" spans="1:4" hidden="1" x14ac:dyDescent="0.3">
      <c r="A484" t="s">
        <v>26</v>
      </c>
      <c r="B484">
        <f>'Compras '!C168</f>
        <v>0</v>
      </c>
      <c r="C484" t="e">
        <f>_xlfn.XLOOKUP(B484,'Compras '!$D$31:$D$146,'Compras '!$O$31:$O$146)</f>
        <v>#N/A</v>
      </c>
      <c r="D484" s="803" t="e">
        <f>_xlfn.XLOOKUP(B484,'Compras '!$D$31:$D$146,'Compras '!$J$31:$J$146)</f>
        <v>#N/A</v>
      </c>
    </row>
    <row r="485" spans="1:4" hidden="1" x14ac:dyDescent="0.3">
      <c r="A485" t="s">
        <v>26</v>
      </c>
      <c r="B485">
        <f>'Compras '!C169</f>
        <v>0</v>
      </c>
      <c r="C485" t="e">
        <f>_xlfn.XLOOKUP(B485,'Compras '!$D$31:$D$146,'Compras '!$O$31:$O$146)</f>
        <v>#N/A</v>
      </c>
      <c r="D485" s="803" t="e">
        <f>_xlfn.XLOOKUP(B485,'Compras '!$D$31:$D$146,'Compras '!$J$31:$J$146)</f>
        <v>#N/A</v>
      </c>
    </row>
    <row r="486" spans="1:4" hidden="1" x14ac:dyDescent="0.3">
      <c r="A486" t="s">
        <v>26</v>
      </c>
      <c r="B486">
        <f>'Compras '!C170</f>
        <v>0</v>
      </c>
      <c r="C486" t="e">
        <f>_xlfn.XLOOKUP(B486,'Compras '!$D$31:$D$146,'Compras '!$O$31:$O$146)</f>
        <v>#N/A</v>
      </c>
      <c r="D486" s="803" t="e">
        <f>_xlfn.XLOOKUP(B486,'Compras '!$D$31:$D$146,'Compras '!$J$31:$J$146)</f>
        <v>#N/A</v>
      </c>
    </row>
    <row r="487" spans="1:4" hidden="1" x14ac:dyDescent="0.3">
      <c r="A487" t="s">
        <v>26</v>
      </c>
      <c r="B487">
        <f>'Compras '!C171</f>
        <v>0</v>
      </c>
      <c r="C487" t="e">
        <f>_xlfn.XLOOKUP(B487,'Compras '!$D$31:$D$146,'Compras '!$O$31:$O$146)</f>
        <v>#N/A</v>
      </c>
      <c r="D487" s="803" t="e">
        <f>_xlfn.XLOOKUP(B487,'Compras '!$D$31:$D$146,'Compras '!$J$31:$J$146)</f>
        <v>#N/A</v>
      </c>
    </row>
    <row r="488" spans="1:4" hidden="1" x14ac:dyDescent="0.3">
      <c r="A488" t="s">
        <v>26</v>
      </c>
      <c r="B488">
        <f>'Compras '!C172</f>
        <v>0</v>
      </c>
      <c r="C488" t="e">
        <f>_xlfn.XLOOKUP(B488,'Compras '!$D$31:$D$146,'Compras '!$O$31:$O$146)</f>
        <v>#N/A</v>
      </c>
      <c r="D488" s="803" t="e">
        <f>_xlfn.XLOOKUP(B488,'Compras '!$D$31:$D$146,'Compras '!$J$31:$J$146)</f>
        <v>#N/A</v>
      </c>
    </row>
    <row r="489" spans="1:4" hidden="1" x14ac:dyDescent="0.3">
      <c r="A489" t="s">
        <v>26</v>
      </c>
      <c r="B489">
        <f>'Compras '!C173</f>
        <v>0</v>
      </c>
      <c r="C489" t="e">
        <f>_xlfn.XLOOKUP(B489,'Compras '!$D$31:$D$146,'Compras '!$O$31:$O$146)</f>
        <v>#N/A</v>
      </c>
      <c r="D489" s="803" t="e">
        <f>_xlfn.XLOOKUP(B489,'Compras '!$D$31:$D$146,'Compras '!$J$31:$J$146)</f>
        <v>#N/A</v>
      </c>
    </row>
    <row r="490" spans="1:4" hidden="1" x14ac:dyDescent="0.3">
      <c r="A490" t="s">
        <v>26</v>
      </c>
      <c r="B490">
        <f>'Compras '!C174</f>
        <v>0</v>
      </c>
      <c r="C490" t="e">
        <f>_xlfn.XLOOKUP(B490,'Compras '!$D$31:$D$146,'Compras '!$O$31:$O$146)</f>
        <v>#N/A</v>
      </c>
      <c r="D490" s="803" t="e">
        <f>_xlfn.XLOOKUP(B490,'Compras '!$D$31:$D$146,'Compras '!$J$31:$J$146)</f>
        <v>#N/A</v>
      </c>
    </row>
    <row r="491" spans="1:4" hidden="1" x14ac:dyDescent="0.3">
      <c r="A491" t="s">
        <v>26</v>
      </c>
      <c r="B491">
        <f>'Compras '!C175</f>
        <v>0</v>
      </c>
      <c r="C491" t="e">
        <f>_xlfn.XLOOKUP(B491,'Compras '!$D$31:$D$146,'Compras '!$O$31:$O$146)</f>
        <v>#N/A</v>
      </c>
      <c r="D491" s="803" t="e">
        <f>_xlfn.XLOOKUP(B491,'Compras '!$D$31:$D$146,'Compras '!$J$31:$J$146)</f>
        <v>#N/A</v>
      </c>
    </row>
    <row r="492" spans="1:4" hidden="1" x14ac:dyDescent="0.3">
      <c r="A492" t="s">
        <v>26</v>
      </c>
      <c r="B492">
        <f>'Compras '!C176</f>
        <v>0</v>
      </c>
      <c r="C492" t="e">
        <f>_xlfn.XLOOKUP(B492,'Compras '!$D$31:$D$146,'Compras '!$O$31:$O$146)</f>
        <v>#N/A</v>
      </c>
      <c r="D492" s="803" t="e">
        <f>_xlfn.XLOOKUP(B492,'Compras '!$D$31:$D$146,'Compras '!$J$31:$J$146)</f>
        <v>#N/A</v>
      </c>
    </row>
    <row r="493" spans="1:4" hidden="1" x14ac:dyDescent="0.3">
      <c r="A493" t="s">
        <v>26</v>
      </c>
      <c r="B493">
        <f>'Compras '!C177</f>
        <v>0</v>
      </c>
      <c r="C493" t="e">
        <f>_xlfn.XLOOKUP(B493,'Compras '!$D$31:$D$146,'Compras '!$O$31:$O$146)</f>
        <v>#N/A</v>
      </c>
      <c r="D493" s="803" t="e">
        <f>_xlfn.XLOOKUP(B493,'Compras '!$D$31:$D$146,'Compras '!$J$31:$J$146)</f>
        <v>#N/A</v>
      </c>
    </row>
    <row r="494" spans="1:4" hidden="1" x14ac:dyDescent="0.3">
      <c r="A494" t="s">
        <v>26</v>
      </c>
      <c r="B494">
        <f>'Compras '!C178</f>
        <v>0</v>
      </c>
      <c r="C494" t="e">
        <f>_xlfn.XLOOKUP(B494,'Compras '!$D$31:$D$146,'Compras '!$O$31:$O$146)</f>
        <v>#N/A</v>
      </c>
      <c r="D494" s="803" t="e">
        <f>_xlfn.XLOOKUP(B494,'Compras '!$D$31:$D$146,'Compras '!$J$31:$J$146)</f>
        <v>#N/A</v>
      </c>
    </row>
    <row r="495" spans="1:4" hidden="1" x14ac:dyDescent="0.3">
      <c r="A495" t="s">
        <v>26</v>
      </c>
      <c r="B495">
        <f>'Compras '!C179</f>
        <v>0</v>
      </c>
      <c r="C495" t="e">
        <f>_xlfn.XLOOKUP(B495,'Compras '!$D$31:$D$146,'Compras '!$O$31:$O$146)</f>
        <v>#N/A</v>
      </c>
      <c r="D495" s="803" t="e">
        <f>_xlfn.XLOOKUP(B495,'Compras '!$D$31:$D$146,'Compras '!$J$31:$J$146)</f>
        <v>#N/A</v>
      </c>
    </row>
    <row r="496" spans="1:4" hidden="1" x14ac:dyDescent="0.3">
      <c r="A496" t="s">
        <v>26</v>
      </c>
      <c r="B496">
        <f>'Compras '!C180</f>
        <v>0</v>
      </c>
      <c r="C496" t="e">
        <f>_xlfn.XLOOKUP(B496,'Compras '!$D$31:$D$146,'Compras '!$O$31:$O$146)</f>
        <v>#N/A</v>
      </c>
      <c r="D496" s="803" t="e">
        <f>_xlfn.XLOOKUP(B496,'Compras '!$D$31:$D$146,'Compras '!$J$31:$J$146)</f>
        <v>#N/A</v>
      </c>
    </row>
    <row r="497" spans="1:4" hidden="1" x14ac:dyDescent="0.3">
      <c r="A497" t="s">
        <v>26</v>
      </c>
      <c r="B497">
        <f>'Compras '!C181</f>
        <v>0</v>
      </c>
      <c r="C497" t="e">
        <f>_xlfn.XLOOKUP(B497,'Compras '!$D$31:$D$146,'Compras '!$O$31:$O$146)</f>
        <v>#N/A</v>
      </c>
      <c r="D497" s="803" t="e">
        <f>_xlfn.XLOOKUP(B497,'Compras '!$D$31:$D$146,'Compras '!$J$31:$J$146)</f>
        <v>#N/A</v>
      </c>
    </row>
    <row r="498" spans="1:4" hidden="1" x14ac:dyDescent="0.3">
      <c r="A498" t="s">
        <v>26</v>
      </c>
      <c r="B498">
        <f>'Compras '!C182</f>
        <v>0</v>
      </c>
      <c r="C498" t="e">
        <f>_xlfn.XLOOKUP(B498,'Compras '!$D$31:$D$146,'Compras '!$O$31:$O$146)</f>
        <v>#N/A</v>
      </c>
      <c r="D498" s="803" t="e">
        <f>_xlfn.XLOOKUP(B498,'Compras '!$D$31:$D$146,'Compras '!$J$31:$J$146)</f>
        <v>#N/A</v>
      </c>
    </row>
    <row r="499" spans="1:4" hidden="1" x14ac:dyDescent="0.3">
      <c r="A499" t="s">
        <v>26</v>
      </c>
      <c r="B499">
        <f>'Compras '!C183</f>
        <v>0</v>
      </c>
      <c r="C499" t="e">
        <f>_xlfn.XLOOKUP(B499,'Compras '!$D$31:$D$146,'Compras '!$O$31:$O$146)</f>
        <v>#N/A</v>
      </c>
      <c r="D499" s="803" t="e">
        <f>_xlfn.XLOOKUP(B499,'Compras '!$D$31:$D$146,'Compras '!$J$31:$J$146)</f>
        <v>#N/A</v>
      </c>
    </row>
    <row r="500" spans="1:4" hidden="1" x14ac:dyDescent="0.3">
      <c r="A500" t="s">
        <v>26</v>
      </c>
      <c r="B500" cm="1">
        <f t="array" ref="B500:B501">'Compras '!C184:C185</f>
        <v>0</v>
      </c>
      <c r="C500" t="e">
        <f>_xlfn.XLOOKUP(B500,'Compras '!$D$31:$D$146,'Compras '!$O$31:$O$146)</f>
        <v>#N/A</v>
      </c>
      <c r="D500" s="803" t="e">
        <f>_xlfn.XLOOKUP(B500,'Compras '!$D$31:$D$146,'Compras '!$J$31:$J$146)</f>
        <v>#N/A</v>
      </c>
    </row>
    <row r="501" spans="1:4" hidden="1" x14ac:dyDescent="0.3">
      <c r="A501" t="s">
        <v>26</v>
      </c>
      <c r="B501">
        <v>0</v>
      </c>
      <c r="C501" t="e">
        <f>_xlfn.XLOOKUP(B501,'Compras '!$D$31:$D$146,'Compras '!$O$31:$O$146)</f>
        <v>#N/A</v>
      </c>
      <c r="D501" s="803" t="e">
        <f>_xlfn.XLOOKUP(B501,'Compras '!$D$31:$D$146,'Compras '!$J$31:$J$146)</f>
        <v>#N/A</v>
      </c>
    </row>
  </sheetData>
  <autoFilter ref="A8:E501" xr:uid="{A5D77255-D4EC-4A07-AFDC-53B2A8646398}">
    <filterColumn colId="1">
      <filters>
        <filter val="01 - Clientes com baixa margem de contribuição."/>
        <filter val="01 - Desenvolver célula de solda para soldar porcas"/>
        <filter val="01 - Redução de peso bruto DA000489A"/>
        <filter val="01 - Redução de Refugo"/>
        <filter val="01 - VENDA DE ATIVOS"/>
        <filter val="02 -  REDUÇÃO DE PESO BRUTO DD000506Z_x000a_"/>
        <filter val="02 - Aumentar a produtividade da estamparia atraves da implementação lote econômico e multiplos de MTP"/>
        <filter val="02 - Eficiência dos planos de corte"/>
        <filter val="02 - Eficiência uso de eletricidade"/>
        <filter val="02 - TANQUE DE DECAPAGEM"/>
        <filter val="03 - Consumo de desmoldante"/>
        <filter val="03 - Otimização de processo - Cavalo Marinho"/>
        <filter val="03 - PRODUTOS QUÍMICOS KTL"/>
        <filter val="03 - Redução de consumo de MP dos blanks com a técnica de corte Wave"/>
        <filter val="03- Comunização de Materiais"/>
        <filter val="04 - Aluguel de corte plasma"/>
        <filter val="04 - GÁS"/>
        <filter val="04 - Otimização de processo - Pulmão"/>
        <filter val="04 - Redução da largura dos slitters"/>
        <filter val="04 - Redução dos retrabalhos"/>
        <filter val="05 -  REDUÇÃO DE PESO BRUTO DD000502/503Z"/>
        <filter val="05 - Aplicar borda aparadas nas bobinas"/>
        <filter val="05 - Empilhadeira - Diadema"/>
        <filter val="05 - Nitrogênio da máquina laser"/>
        <filter val="05 - REDUÇÃO DE FRETE"/>
        <filter val="06 - Acabamento capo CN13"/>
        <filter val="06 - CONSUMO DE TINTA PÓ"/>
        <filter val="06 - Produtividade"/>
        <filter val="06 - Reaproveitamento de lixas"/>
        <filter val="06 - Redução consumo MTP aplicando tolerância mínima"/>
        <filter val="07 - Balanceamento de carga máquina entre a prensa Gutmnan / Minster"/>
        <filter val="07 - Consumo de água"/>
        <filter val="07 - CONSUMO DE EPI e SERVIÇOS"/>
        <filter val="07 - Consumo de gás"/>
        <filter val="07 - Troca dos fornecedores de tubo do Capo CN13"/>
        <filter val="08 - Individualização de zonas de segurança da máquina Baltec"/>
        <filter val="08 - Redução de peso bruto MB002446LA / MB003670LA / MB003671LA"/>
        <filter val="08 - Reestruturação"/>
        <filter val="08- ÁGUA"/>
        <filter val="09 - Aumento de performance dos itens estampados na prensa Minster"/>
        <filter val="09 - Critério para descarte de consumíveis"/>
        <filter val="09 - ENERGIA ELÉTRICA"/>
        <filter val="09 - REDUÇÃO DE CUSTO LOCAÇÃO DE PTA (12METROS)"/>
        <filter val="09 - Taxa de Esgoto"/>
        <filter val="10 - Aumento de performance dos itens estampados na prensa Isgec"/>
        <filter val="10 - Consumo de energia elétrica: vazamentos de ar"/>
        <filter val="10 - CONSUMO PERNA DE MOÇA"/>
        <filter val="10 - Padronização de arame de solda"/>
        <filter val="10 - Vazamentos de Ar Comprimido"/>
        <filter val="11 - Aumento de performance dos itens estampados nas prensas Gutmmans"/>
        <filter val="11 - Consumo de pastilhas"/>
        <filter val="11 - Resourcing de DSL para DD"/>
        <filter val="11 - WORKSHOP LIXAMENTO DD / DF"/>
        <filter val="11- Substituíção de Empilhadeiras GPL."/>
        <filter val="12 -  REDUÇÃO DE PESO BRUTO DD000504/505Z_x000a_"/>
        <filter val="12 - Aproveitamento de peças Obsoletas - A9583176540"/>
        <filter val="12 - Aumento do OEE do equipamento ISGEC"/>
        <filter val="12 - Sistema hidráulico 3500T"/>
        <filter val="12 - Vendas de descartáveis"/>
        <filter val="13 - Consumo de materiais da ETE"/>
        <filter val="13 - Redução de Componente - 4065 de 6 para 4"/>
        <filter val="13 - Redução de consumo no passo do blank dos itens VW000954Z/955Z"/>
        <filter val="13 - Transferência Hasenclaver para o plasma"/>
        <filter val="13- REDUZIR A QUANTIDADE DE MÁQUINAS DE SOLDA MIG/MAG LOCADAS"/>
        <filter val="14 - Consumo de EPI's"/>
        <filter val="14 - Redução de consumo no passo do blank dos itens VW000950AA/951AA"/>
        <filter val="14 - REDUÇÃO DE MP DA000518Z (Anchieta) Código DD - VB000324Z"/>
        <filter val="14-Adicionar serviços de portaria e limpeza em um único prestador terceirizado com serviços gerais."/>
        <filter val="15 - Enclausuramento do jato granalha"/>
        <filter val="15 - Kaizem - Botões BI - MANUAL"/>
        <filter val="15 - Redução de consumo no slitter dos itens VW000950AA/951AA"/>
        <filter val="15- Redução do custo mensal de empilhadeira locada (LOCAPEX)."/>
        <filter val="16 - Eficiência de MO na linha de Solda e Montagem"/>
        <filter val="16 - Melhoria no fluxo de processo para redução de MOD"/>
        <filter val="16 - Tolerância das MP's"/>
        <filter val="16- Redução de gastos com energia elétrica."/>
        <filter val="17 - Consumo de água"/>
        <filter val="17 - MB003537LB_MB003538LB"/>
        <filter val="17 - reduzindo gargalos do processo"/>
        <filter val="17- Redução de gasto com copo plásticos descartáveis."/>
        <filter val="18 -  REDUÇÃO DE PESO BRUTO DD000507z_x000a_"/>
        <filter val="18 - Melhoria no fluxo de processo para redução de MOD"/>
        <filter val="18 - Venda de Embalagens e ativos"/>
        <filter val="19 - Consumo de EPI's."/>
        <filter val="19 - Insumos logística"/>
        <filter val="19 - Kaizen Facão. DA000481Z - PRODUTIVIDADE"/>
        <filter val="19 - Redução da largura da bobina mãe do Curvão"/>
        <filter val="20 - Limpador de grelha"/>
        <filter val="20 - Redução com gasto com transporte de peças  DELGA X  FORNECEDOR."/>
        <filter val="20 - Redução refugo em relação ao budget"/>
        <filter val="20 - Troca do modelo disco Flap"/>
        <filter val="21 - Kaizen_Redução de peso bruto MB003537LA_MB003538LA"/>
        <filter val="21 - Redução de MOD CSR61014"/>
        <filter val="21- Venda de ATIVOS"/>
        <filter val="22 - Aproveitamento de Retalho do corte laser - MB002316LA_MB003533LA_MB003673LC"/>
        <filter val="22 - Redução de MOD CSR61015"/>
        <filter val="22 - Tablet - Dobradeira"/>
        <filter val="22- Eliminar custo com usinagem externa CN 00016/17"/>
        <filter val="23 - Redução do consumo de MTP VW000938AB (- 3 mm no passo)"/>
        <filter val="23 - Redução do peso bruto VW000581Z / VW000582Z"/>
        <filter val="24 - KAIZEN - Redução de peso bruto_MB002289LA_MB002290LA_Rev00_Bruno Manachini"/>
        <filter val="24 - Redução de consumo de MTP China 1 porca (-10 mm)"/>
        <filter val="25 - KAIZEN - Redução de peso bruto_MB003601LA_Rev00_Bruno Manachini"/>
        <filter val="25 - Redução de consumo de MTP China 2 porca (-10 mm)"/>
        <filter val="26 - Redução de gastos com HE"/>
        <filter val="26 - Redução_de_MP - DJ000059Z_DJ000060Z"/>
        <filter val="27 - DA000459AA - STC Volvo_"/>
        <filter val="27 - Redução consumo MTP aplicando tolerância mínima curva B"/>
        <filter val="28 -  Redução consumo MTP aplicando tolerância mínima curva C"/>
        <filter val="28 - DA000487Z_DA000488Z - STC Scania P"/>
        <filter val="29 - DA000489Z_DA000490Z - STC Scania M_"/>
        <filter val="29 - Redução do consumo MTP no passo do Blank VW000942AB / 943AB -5MM"/>
        <filter val="30 - DA000491Z_DE000492Z - STC Scania G_"/>
        <filter val="30 - Redução de Refugo"/>
        <filter val="31 - Comunização da chapa CHQ0475ED12502650"/>
        <filter val="31 - Redução impressora Backup"/>
        <filter val="32 - Empilhadeiras Eletricas"/>
        <filter val="32 - Redução de Peso Bruto do item MB003594LA"/>
        <filter val="33 - Redução de Peso Bruto do item MB003610LA"/>
        <filter val="33- Rollout impressora Administrativo"/>
        <filter val="34 - Iluminação em LED"/>
        <filter val="34 - Redução de Peso Bruto do item MB003554LA"/>
        <filter val="35 - Redução de Peso Bruto do item MB003597LA"/>
        <filter val="36 - Redução de Peso Bruto do item MB003673LA"/>
        <filter val="37 - Redução de Peso Bruto do item MB003673LD"/>
        <filter val="38 - Redução de Peso Bruto do item SV000205LB"/>
        <filter val="39 - Redução de Peso Bruto do item VB000323LA"/>
        <filter val="40 - Redução de Peso Bruto do item VW001138LA"/>
        <filter val="41 - Redução de Peso Bruto do item SV001141LA"/>
        <filter val="42 - Aluguel de Compressor"/>
        <filter val="43 - Automação Boomerang"/>
        <filter val="44 - Mudança de fonte Usiminas para Arcelor"/>
        <filter val="45 - Redução de MP GM000409Z"/>
        <filter val="46 - AGUA DESMINERALIZADA"/>
        <filter val="47 - REDUÇÃO DE MP DJ000079Z – 80Z"/>
        <filter val="48 - REDUÇÃO DE MP BOZ0150HX1000"/>
        <filter val="49 - REDUÇÃO DE MP GM000408Z / GM000409Z"/>
        <filter val="50 - Suporte da lanterna MB003681"/>
        <filter val="51 - Redução de MP - GM000402Z_403Z_Passo"/>
        <filter val="52 - Redução de MP - GM000458Z / GM000459Z"/>
        <filter val="BID carimbos industriais"/>
        <filter val="BID complementar punções Jarinu"/>
        <filter val="BID consumíveis laser"/>
        <filter val="BID eletrodos de solda"/>
        <filter val="BID tampões pintura Anchieta"/>
        <filter val="Conseguir Ex tarifário Ferramentas Saga"/>
        <filter val="Desenvolvimento novos modelos de planos médicos"/>
        <filter val="Destinação Borra Plasma Ferraz"/>
        <filter val="Estratégia comercial com as Usinas"/>
        <filter val="Estudo de viabilidade compressores"/>
        <filter val="Estudo de viabilidade lixadeiras"/>
        <filter val="Ex Tarifário Transfer Norda"/>
        <filter val="Mão de Obra Terceirizada"/>
        <filter val="Modalidade Tarifária"/>
        <filter val="Mudança de Modalidade Gerador Anchieta"/>
        <filter val="Negociação Boellhoff_x000a_85290 - PORCA QUADRADA SOLDA PROJEÇÃO - M5"/>
        <filter val="Negociação de preços materiais carcaça Dana"/>
        <filter val="Negociação Porca Bollhoff 15341 Saga"/>
        <filter val="Negociação Produtos Pré tratamento"/>
        <filter val="Projeto DANA - Fornecimento MTL"/>
        <filter val="Projeto DANA - Mudança de CH para BQ"/>
        <filter val="Recuperação de valores - Água"/>
        <filter val="Recuperação de valores - Energia Elétrica"/>
        <filter val="Redução de custo Abrasivos Curva A Ferraz"/>
        <filter val="Redução de custo Porca 73189 da curva A"/>
        <filter val="Redução Itens Mercedes"/>
        <filter val="Redução MP Viga Banana"/>
        <filter val="Resourcing Hasmman para Metalac"/>
        <filter val="Resourcing Maletas Man (Mercante para Cartec)"/>
        <filter val="Resourcing Pino Esférico GM Lipos p/ Maxdel"/>
        <filter val="SRM Componentes"/>
        <filter val="Substituição Plano Médico - São Leopoldo"/>
        <filter val="Testes e troca do fornecedor de insumos de usinagem"/>
        <filter val="Troca da fonte de arame de solda para China"/>
        <filter val="Troca de fonte do arame de solda de Belgo para Gerdau"/>
        <filter val="Troca de fonte fita zebrada e etiqueta litografada"/>
        <filter val="Troca fornecedor decapagem gancheiras Ferraz"/>
        <filter val="Unificação itens de Distribuição Fixadores."/>
        <filter val="Unificação óleos utilizados nas plantas"/>
        <filter val="Viabilizar itens Usiminas via Gonvarri-Full Service"/>
        <filter val="Viabilizar Material Alternativo de Menor Custo para Utilização na Carcaça da Scania"/>
      </filters>
    </filterColumn>
    <filterColumn colId="2">
      <filters>
        <filter val="✓ Concluído"/>
      </filters>
    </filterColumn>
    <filterColumn colId="3">
      <filters>
        <dateGroupItem year="2026" month="1" dateTimeGrouping="month"/>
        <dateGroupItem year="2026" month="2" dateTimeGrouping="month"/>
        <dateGroupItem year="2026" month="3" dateTimeGrouping="month"/>
        <dateGroupItem year="2025" dateTimeGrouping="year"/>
      </filters>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2C27-0FBA-4CBF-B2AA-BD347440595E}">
  <dimension ref="B1:AB49"/>
  <sheetViews>
    <sheetView topLeftCell="G1" zoomScale="70" zoomScaleNormal="70" workbookViewId="0">
      <selection activeCell="R5" sqref="R5"/>
    </sheetView>
  </sheetViews>
  <sheetFormatPr defaultRowHeight="14.4" x14ac:dyDescent="0.3"/>
  <cols>
    <col min="2" max="2" width="68.5546875" customWidth="1"/>
    <col min="3" max="3" width="5.44140625" style="594" bestFit="1" customWidth="1"/>
    <col min="4" max="4" width="11" bestFit="1" customWidth="1"/>
    <col min="5" max="5" width="8.5546875" customWidth="1"/>
    <col min="6" max="6" width="68.44140625" customWidth="1"/>
    <col min="7" max="7" width="10.5546875" style="594" bestFit="1" customWidth="1"/>
    <col min="8" max="8" width="11.44140625" style="594" bestFit="1" customWidth="1"/>
    <col min="9" max="9" width="8.5546875" customWidth="1"/>
    <col min="10" max="10" width="68.44140625" customWidth="1"/>
    <col min="11" max="11" width="10.5546875" style="594" bestFit="1" customWidth="1"/>
    <col min="13" max="13" width="50.5546875" bestFit="1" customWidth="1"/>
    <col min="15" max="15" width="9.5546875" bestFit="1" customWidth="1"/>
    <col min="17" max="17" width="11.44140625" bestFit="1" customWidth="1"/>
    <col min="18" max="18" width="10.44140625" bestFit="1" customWidth="1"/>
    <col min="19" max="19" width="11" bestFit="1" customWidth="1"/>
    <col min="20" max="20" width="11.44140625" bestFit="1" customWidth="1"/>
    <col min="21" max="21" width="12" bestFit="1" customWidth="1"/>
    <col min="22" max="22" width="9.44140625" bestFit="1" customWidth="1"/>
    <col min="23" max="23" width="15" bestFit="1" customWidth="1"/>
    <col min="24" max="24" width="13.5546875" bestFit="1" customWidth="1"/>
    <col min="25" max="25" width="11.44140625" bestFit="1" customWidth="1"/>
    <col min="26" max="27" width="4.44140625" customWidth="1"/>
  </cols>
  <sheetData>
    <row r="1" spans="2:28" x14ac:dyDescent="0.3">
      <c r="Q1" s="1747" t="s">
        <v>2562</v>
      </c>
      <c r="R1" s="1747"/>
      <c r="S1" s="1747"/>
      <c r="T1" s="1747"/>
      <c r="U1" s="1747"/>
      <c r="V1" s="1747"/>
      <c r="W1" s="1747"/>
      <c r="X1" s="1747"/>
      <c r="Y1" s="1747"/>
      <c r="Z1" s="1747"/>
      <c r="AA1" s="1747"/>
      <c r="AB1" s="1747"/>
    </row>
    <row r="2" spans="2:28" ht="46.8" x14ac:dyDescent="0.3">
      <c r="B2" s="99" t="s">
        <v>73</v>
      </c>
      <c r="C2" s="101" t="s">
        <v>548</v>
      </c>
      <c r="D2" s="99" t="s">
        <v>2563</v>
      </c>
      <c r="F2" s="99" t="s">
        <v>2564</v>
      </c>
      <c r="G2" s="99" t="s">
        <v>548</v>
      </c>
      <c r="H2" s="99" t="s">
        <v>2565</v>
      </c>
      <c r="J2" s="99" t="s">
        <v>2566</v>
      </c>
      <c r="K2" s="99" t="s">
        <v>548</v>
      </c>
      <c r="M2" s="99" t="s">
        <v>2567</v>
      </c>
      <c r="N2" s="99" t="s">
        <v>548</v>
      </c>
      <c r="O2" s="99" t="s">
        <v>2568</v>
      </c>
      <c r="Q2" s="99" t="s">
        <v>73</v>
      </c>
      <c r="R2" s="99" t="s">
        <v>231</v>
      </c>
      <c r="S2" s="99" t="s">
        <v>200</v>
      </c>
      <c r="T2" s="99" t="s">
        <v>165</v>
      </c>
      <c r="U2" s="99" t="s">
        <v>225</v>
      </c>
      <c r="V2" s="99" t="s">
        <v>2239</v>
      </c>
      <c r="W2" s="99" t="s">
        <v>183</v>
      </c>
      <c r="X2" s="99" t="s">
        <v>178</v>
      </c>
      <c r="Y2" s="743" t="s">
        <v>2569</v>
      </c>
      <c r="Z2" s="99" t="s">
        <v>2570</v>
      </c>
      <c r="AA2" s="99" t="s">
        <v>2571</v>
      </c>
      <c r="AB2" s="99" t="s">
        <v>133</v>
      </c>
    </row>
    <row r="3" spans="2:28" x14ac:dyDescent="0.3">
      <c r="B3" s="112" t="s">
        <v>551</v>
      </c>
      <c r="C3" s="718">
        <v>1</v>
      </c>
      <c r="D3" s="721" t="str">
        <f t="shared" ref="D3:D49" si="0">IF(ISERROR(VLOOKUP(B3,F:F,1,FALSE)),"NÃO","SIM")</f>
        <v>SIM</v>
      </c>
      <c r="F3" s="727" t="s">
        <v>551</v>
      </c>
      <c r="G3" s="721">
        <v>1</v>
      </c>
      <c r="H3" s="721">
        <f t="shared" ref="H3:H49" si="1">_xlfn.XLOOKUP(F3,B:B,C:C)</f>
        <v>1</v>
      </c>
      <c r="J3" s="727" t="s">
        <v>551</v>
      </c>
      <c r="K3" s="721">
        <v>1</v>
      </c>
      <c r="M3" s="736" t="s">
        <v>551</v>
      </c>
      <c r="N3" s="738">
        <v>1</v>
      </c>
      <c r="O3" s="738"/>
      <c r="Q3" s="738" t="s">
        <v>21</v>
      </c>
      <c r="R3" s="738">
        <v>6</v>
      </c>
      <c r="S3" s="738">
        <v>49</v>
      </c>
      <c r="T3" s="738">
        <v>6</v>
      </c>
      <c r="U3" s="738">
        <v>4</v>
      </c>
      <c r="V3" s="738">
        <v>24</v>
      </c>
      <c r="W3" s="738">
        <v>3</v>
      </c>
      <c r="X3" s="738">
        <v>3</v>
      </c>
      <c r="Y3" s="738">
        <v>13</v>
      </c>
      <c r="Z3" s="738">
        <v>6</v>
      </c>
      <c r="AA3" s="738">
        <v>4</v>
      </c>
      <c r="AB3" s="738">
        <f>SUM(R3:Z3)</f>
        <v>114</v>
      </c>
    </row>
    <row r="4" spans="2:28" x14ac:dyDescent="0.3">
      <c r="B4" s="345" t="s">
        <v>559</v>
      </c>
      <c r="C4" s="719">
        <v>1</v>
      </c>
      <c r="D4" s="721" t="str">
        <f t="shared" si="0"/>
        <v>SIM</v>
      </c>
      <c r="F4" s="729" t="s">
        <v>559</v>
      </c>
      <c r="G4" s="722">
        <v>1</v>
      </c>
      <c r="H4" s="722">
        <f t="shared" si="1"/>
        <v>1</v>
      </c>
      <c r="J4" s="727" t="s">
        <v>563</v>
      </c>
      <c r="K4" s="721">
        <v>1</v>
      </c>
      <c r="M4" s="737" t="s">
        <v>2572</v>
      </c>
      <c r="N4" s="739">
        <v>1</v>
      </c>
      <c r="O4" s="739"/>
      <c r="Q4" s="739" t="s">
        <v>25</v>
      </c>
      <c r="R4" s="739">
        <v>5</v>
      </c>
      <c r="S4" s="739">
        <v>49</v>
      </c>
      <c r="T4" s="739">
        <v>7</v>
      </c>
      <c r="U4" s="739">
        <v>4</v>
      </c>
      <c r="V4" s="739">
        <v>23</v>
      </c>
      <c r="W4" s="739"/>
      <c r="X4" s="739">
        <v>3</v>
      </c>
      <c r="Y4" s="739">
        <v>13</v>
      </c>
      <c r="Z4" s="739">
        <v>6</v>
      </c>
      <c r="AA4" s="739">
        <v>4</v>
      </c>
      <c r="AB4" s="739">
        <f>SUM(R4:AA4)</f>
        <v>114</v>
      </c>
    </row>
    <row r="5" spans="2:28" x14ac:dyDescent="0.3">
      <c r="B5" s="724" t="s">
        <v>868</v>
      </c>
      <c r="C5" s="718">
        <v>1</v>
      </c>
      <c r="D5" s="721" t="str">
        <f t="shared" si="0"/>
        <v>NÃO</v>
      </c>
      <c r="F5" s="727" t="s">
        <v>563</v>
      </c>
      <c r="G5" s="721">
        <v>1</v>
      </c>
      <c r="H5" s="721">
        <f t="shared" si="1"/>
        <v>1</v>
      </c>
      <c r="J5" s="728" t="s">
        <v>567</v>
      </c>
      <c r="K5" s="722">
        <v>1</v>
      </c>
      <c r="M5" s="736" t="s">
        <v>2573</v>
      </c>
      <c r="N5" s="738">
        <v>1</v>
      </c>
      <c r="O5" s="738"/>
      <c r="Q5" s="738" t="s">
        <v>22</v>
      </c>
      <c r="R5" s="738">
        <v>12</v>
      </c>
      <c r="S5" s="738">
        <v>53</v>
      </c>
      <c r="T5" s="738">
        <v>6</v>
      </c>
      <c r="U5" s="738">
        <v>4</v>
      </c>
      <c r="V5" s="738">
        <v>18</v>
      </c>
      <c r="W5" s="738">
        <v>3</v>
      </c>
      <c r="X5" s="738">
        <v>3</v>
      </c>
      <c r="Y5" s="738">
        <v>13</v>
      </c>
      <c r="Z5" s="738">
        <v>5</v>
      </c>
      <c r="AA5" s="738">
        <v>4</v>
      </c>
      <c r="AB5" s="738">
        <f>SUM(R5:AA5)</f>
        <v>121</v>
      </c>
    </row>
    <row r="6" spans="2:28" x14ac:dyDescent="0.3">
      <c r="B6" s="345" t="s">
        <v>645</v>
      </c>
      <c r="C6" s="719">
        <v>1</v>
      </c>
      <c r="D6" s="721" t="str">
        <f t="shared" si="0"/>
        <v>SIM</v>
      </c>
      <c r="F6" s="728" t="s">
        <v>567</v>
      </c>
      <c r="G6" s="722">
        <v>1</v>
      </c>
      <c r="H6" s="722">
        <f t="shared" si="1"/>
        <v>2</v>
      </c>
      <c r="J6" s="727" t="s">
        <v>571</v>
      </c>
      <c r="K6" s="721">
        <v>1</v>
      </c>
      <c r="M6" s="737" t="s">
        <v>2574</v>
      </c>
      <c r="N6" s="739">
        <v>1</v>
      </c>
      <c r="O6" s="739"/>
      <c r="Q6" s="739" t="s">
        <v>24</v>
      </c>
      <c r="R6" s="739">
        <v>15</v>
      </c>
      <c r="S6" s="739">
        <v>37</v>
      </c>
      <c r="T6" s="739">
        <v>6</v>
      </c>
      <c r="U6" s="739">
        <v>2</v>
      </c>
      <c r="V6" s="739">
        <v>16</v>
      </c>
      <c r="W6" s="739">
        <v>11</v>
      </c>
      <c r="X6" s="739">
        <v>11</v>
      </c>
      <c r="Y6" s="739">
        <v>12</v>
      </c>
      <c r="Z6" s="739">
        <v>5</v>
      </c>
      <c r="AA6" s="739">
        <v>8</v>
      </c>
      <c r="AB6" s="739">
        <f t="shared" ref="AB6:AB7" si="2">SUM(R6:Z6)</f>
        <v>115</v>
      </c>
    </row>
    <row r="7" spans="2:28" x14ac:dyDescent="0.3">
      <c r="B7" s="112" t="s">
        <v>602</v>
      </c>
      <c r="C7" s="718">
        <v>1</v>
      </c>
      <c r="D7" s="721" t="str">
        <f t="shared" si="0"/>
        <v>SIM</v>
      </c>
      <c r="F7" s="727" t="s">
        <v>571</v>
      </c>
      <c r="G7" s="721">
        <v>1</v>
      </c>
      <c r="H7" s="721">
        <f t="shared" si="1"/>
        <v>2</v>
      </c>
      <c r="J7" s="728" t="s">
        <v>575</v>
      </c>
      <c r="K7" s="722">
        <v>1</v>
      </c>
      <c r="M7" s="736" t="s">
        <v>2575</v>
      </c>
      <c r="N7" s="738">
        <v>1</v>
      </c>
      <c r="O7" s="738"/>
      <c r="Q7" s="738" t="s">
        <v>23</v>
      </c>
      <c r="R7" s="738">
        <v>6</v>
      </c>
      <c r="S7" s="738">
        <v>43</v>
      </c>
      <c r="T7" s="738">
        <v>6</v>
      </c>
      <c r="U7" s="738">
        <v>4</v>
      </c>
      <c r="V7" s="738">
        <v>13</v>
      </c>
      <c r="W7" s="738">
        <v>3</v>
      </c>
      <c r="X7" s="738">
        <v>3</v>
      </c>
      <c r="Y7" s="738">
        <v>13</v>
      </c>
      <c r="Z7" s="738">
        <v>5</v>
      </c>
      <c r="AA7" s="738">
        <v>4</v>
      </c>
      <c r="AB7" s="738">
        <f t="shared" si="2"/>
        <v>96</v>
      </c>
    </row>
    <row r="8" spans="2:28" x14ac:dyDescent="0.3">
      <c r="B8" s="345" t="s">
        <v>583</v>
      </c>
      <c r="C8" s="719">
        <v>1</v>
      </c>
      <c r="D8" s="721" t="str">
        <f t="shared" si="0"/>
        <v>SIM</v>
      </c>
      <c r="F8" s="728" t="s">
        <v>575</v>
      </c>
      <c r="G8" s="722">
        <v>1</v>
      </c>
      <c r="H8" s="722">
        <f t="shared" si="1"/>
        <v>1</v>
      </c>
      <c r="J8" s="728" t="s">
        <v>579</v>
      </c>
      <c r="K8" s="722">
        <v>1</v>
      </c>
      <c r="M8" s="737" t="s">
        <v>2576</v>
      </c>
      <c r="N8" s="739">
        <v>1</v>
      </c>
      <c r="O8" s="739"/>
      <c r="Q8" s="741" t="s">
        <v>2577</v>
      </c>
      <c r="R8" s="741">
        <f t="shared" ref="R8:AA8" si="3">SUM(R3:R7)</f>
        <v>44</v>
      </c>
      <c r="S8" s="741">
        <f t="shared" si="3"/>
        <v>231</v>
      </c>
      <c r="T8" s="741">
        <f t="shared" si="3"/>
        <v>31</v>
      </c>
      <c r="U8" s="741">
        <f t="shared" si="3"/>
        <v>18</v>
      </c>
      <c r="V8" s="741">
        <f t="shared" si="3"/>
        <v>94</v>
      </c>
      <c r="W8" s="741">
        <f t="shared" si="3"/>
        <v>20</v>
      </c>
      <c r="X8" s="741">
        <f t="shared" si="3"/>
        <v>23</v>
      </c>
      <c r="Y8" s="741">
        <f t="shared" si="3"/>
        <v>64</v>
      </c>
      <c r="Z8" s="741">
        <f t="shared" si="3"/>
        <v>27</v>
      </c>
      <c r="AA8" s="741">
        <f t="shared" si="3"/>
        <v>24</v>
      </c>
      <c r="AB8" s="741">
        <f>SUM(AB3:AB7)</f>
        <v>560</v>
      </c>
    </row>
    <row r="9" spans="2:28" x14ac:dyDescent="0.3">
      <c r="B9" s="112" t="s">
        <v>639</v>
      </c>
      <c r="C9" s="718">
        <v>1</v>
      </c>
      <c r="D9" s="721" t="str">
        <f t="shared" si="0"/>
        <v>SIM</v>
      </c>
      <c r="F9" s="730" t="s">
        <v>883</v>
      </c>
      <c r="G9" s="721">
        <v>1</v>
      </c>
      <c r="H9" s="721">
        <f t="shared" si="1"/>
        <v>1</v>
      </c>
      <c r="J9" s="727" t="s">
        <v>583</v>
      </c>
      <c r="K9" s="721">
        <v>1</v>
      </c>
      <c r="M9" s="736" t="s">
        <v>2578</v>
      </c>
      <c r="N9" s="738">
        <v>1</v>
      </c>
      <c r="O9" s="738"/>
      <c r="Q9" s="744" t="s">
        <v>2579</v>
      </c>
      <c r="R9" s="745">
        <f t="shared" ref="R9:AA9" si="4">R8/$AB$8</f>
        <v>7.857142857142857E-2</v>
      </c>
      <c r="S9" s="745">
        <f t="shared" si="4"/>
        <v>0.41249999999999998</v>
      </c>
      <c r="T9" s="745">
        <f t="shared" si="4"/>
        <v>5.5357142857142855E-2</v>
      </c>
      <c r="U9" s="745">
        <f t="shared" si="4"/>
        <v>3.214285714285714E-2</v>
      </c>
      <c r="V9" s="745">
        <f t="shared" si="4"/>
        <v>0.16785714285714284</v>
      </c>
      <c r="W9" s="745">
        <f t="shared" si="4"/>
        <v>3.5714285714285712E-2</v>
      </c>
      <c r="X9" s="745">
        <f t="shared" si="4"/>
        <v>4.1071428571428571E-2</v>
      </c>
      <c r="Y9" s="745">
        <f t="shared" si="4"/>
        <v>0.11428571428571428</v>
      </c>
      <c r="Z9" s="745">
        <f t="shared" si="4"/>
        <v>4.8214285714285716E-2</v>
      </c>
      <c r="AA9" s="745">
        <f t="shared" si="4"/>
        <v>4.2857142857142858E-2</v>
      </c>
      <c r="AB9" s="745"/>
    </row>
    <row r="10" spans="2:28" x14ac:dyDescent="0.3">
      <c r="B10" s="345" t="s">
        <v>599</v>
      </c>
      <c r="C10" s="719">
        <v>1</v>
      </c>
      <c r="D10" s="721" t="str">
        <f t="shared" si="0"/>
        <v>SIM</v>
      </c>
      <c r="F10" s="728" t="s">
        <v>579</v>
      </c>
      <c r="G10" s="722">
        <v>1</v>
      </c>
      <c r="H10" s="722">
        <f t="shared" si="1"/>
        <v>1</v>
      </c>
      <c r="J10" s="345" t="s">
        <v>2580</v>
      </c>
      <c r="K10" s="722">
        <v>1</v>
      </c>
      <c r="M10" s="737" t="s">
        <v>2581</v>
      </c>
      <c r="N10" s="739">
        <v>1</v>
      </c>
      <c r="O10" s="739"/>
    </row>
    <row r="11" spans="2:28" x14ac:dyDescent="0.3">
      <c r="B11" s="112" t="s">
        <v>870</v>
      </c>
      <c r="C11" s="718">
        <v>1</v>
      </c>
      <c r="D11" s="721" t="str">
        <f t="shared" si="0"/>
        <v>SIM</v>
      </c>
      <c r="F11" s="727" t="s">
        <v>583</v>
      </c>
      <c r="G11" s="721">
        <v>1</v>
      </c>
      <c r="H11" s="721">
        <f t="shared" si="1"/>
        <v>1</v>
      </c>
      <c r="J11" s="735" t="s">
        <v>593</v>
      </c>
      <c r="K11" s="721">
        <v>1</v>
      </c>
      <c r="M11" s="736" t="s">
        <v>2582</v>
      </c>
      <c r="N11" s="738">
        <v>1</v>
      </c>
      <c r="O11" s="738"/>
    </row>
    <row r="12" spans="2:28" x14ac:dyDescent="0.3">
      <c r="B12" s="345" t="s">
        <v>642</v>
      </c>
      <c r="C12" s="719">
        <v>1</v>
      </c>
      <c r="D12" s="721" t="str">
        <f t="shared" si="0"/>
        <v>SIM</v>
      </c>
      <c r="F12" s="733" t="s">
        <v>878</v>
      </c>
      <c r="G12" s="722">
        <v>1</v>
      </c>
      <c r="H12" s="722">
        <f t="shared" si="1"/>
        <v>1</v>
      </c>
      <c r="J12" s="728" t="s">
        <v>596</v>
      </c>
      <c r="K12" s="722">
        <v>1</v>
      </c>
      <c r="M12" s="737" t="s">
        <v>2583</v>
      </c>
      <c r="N12" s="739">
        <v>1</v>
      </c>
      <c r="O12" s="739"/>
    </row>
    <row r="13" spans="2:28" x14ac:dyDescent="0.3">
      <c r="B13" s="112" t="s">
        <v>627</v>
      </c>
      <c r="C13" s="718">
        <v>1</v>
      </c>
      <c r="D13" s="721" t="str">
        <f t="shared" si="0"/>
        <v>SIM</v>
      </c>
      <c r="F13" s="732" t="s">
        <v>590</v>
      </c>
      <c r="G13" s="721">
        <v>1</v>
      </c>
      <c r="H13" s="721">
        <f t="shared" si="1"/>
        <v>1</v>
      </c>
      <c r="J13" s="727" t="s">
        <v>599</v>
      </c>
      <c r="K13" s="721">
        <v>1</v>
      </c>
      <c r="M13" s="736" t="s">
        <v>2584</v>
      </c>
      <c r="N13" s="738">
        <v>1</v>
      </c>
      <c r="O13" s="738"/>
    </row>
    <row r="14" spans="2:28" x14ac:dyDescent="0.3">
      <c r="B14" s="345" t="s">
        <v>872</v>
      </c>
      <c r="C14" s="719">
        <v>1</v>
      </c>
      <c r="D14" s="721" t="str">
        <f t="shared" si="0"/>
        <v>SIM</v>
      </c>
      <c r="F14" s="728" t="s">
        <v>593</v>
      </c>
      <c r="G14" s="722">
        <v>1</v>
      </c>
      <c r="H14" s="722">
        <f t="shared" si="1"/>
        <v>1</v>
      </c>
      <c r="J14" s="345"/>
      <c r="K14" s="722"/>
    </row>
    <row r="15" spans="2:28" x14ac:dyDescent="0.3">
      <c r="B15" s="112" t="s">
        <v>634</v>
      </c>
      <c r="C15" s="718">
        <v>1</v>
      </c>
      <c r="D15" s="721" t="str">
        <f t="shared" si="0"/>
        <v>SIM</v>
      </c>
      <c r="F15" s="730" t="s">
        <v>875</v>
      </c>
      <c r="G15" s="721">
        <v>1</v>
      </c>
      <c r="H15" s="721">
        <f t="shared" si="1"/>
        <v>1</v>
      </c>
      <c r="J15" s="112"/>
      <c r="K15" s="721"/>
    </row>
    <row r="16" spans="2:28" x14ac:dyDescent="0.3">
      <c r="B16" s="345" t="s">
        <v>873</v>
      </c>
      <c r="C16" s="719">
        <v>1</v>
      </c>
      <c r="D16" s="721" t="str">
        <f t="shared" si="0"/>
        <v>SIM</v>
      </c>
      <c r="F16" s="728" t="s">
        <v>596</v>
      </c>
      <c r="G16" s="722">
        <v>1</v>
      </c>
      <c r="H16" s="722">
        <f t="shared" si="1"/>
        <v>1</v>
      </c>
      <c r="J16" s="345"/>
      <c r="K16" s="722"/>
    </row>
    <row r="17" spans="2:11" x14ac:dyDescent="0.3">
      <c r="B17" s="724" t="s">
        <v>874</v>
      </c>
      <c r="C17" s="718">
        <v>1</v>
      </c>
      <c r="D17" s="721" t="str">
        <f t="shared" si="0"/>
        <v>NÃO</v>
      </c>
      <c r="F17" s="727" t="s">
        <v>599</v>
      </c>
      <c r="G17" s="721">
        <v>1</v>
      </c>
      <c r="H17" s="721">
        <f t="shared" si="1"/>
        <v>1</v>
      </c>
      <c r="J17" s="112"/>
      <c r="K17" s="721"/>
    </row>
    <row r="18" spans="2:11" x14ac:dyDescent="0.3">
      <c r="B18" s="345" t="s">
        <v>875</v>
      </c>
      <c r="C18" s="719">
        <v>1</v>
      </c>
      <c r="D18" s="721" t="str">
        <f t="shared" si="0"/>
        <v>SIM</v>
      </c>
      <c r="F18" s="345" t="s">
        <v>605</v>
      </c>
      <c r="G18" s="734">
        <v>2</v>
      </c>
      <c r="H18" s="722">
        <f t="shared" si="1"/>
        <v>3</v>
      </c>
      <c r="J18" s="345"/>
      <c r="K18" s="722"/>
    </row>
    <row r="19" spans="2:11" x14ac:dyDescent="0.3">
      <c r="B19" s="112" t="s">
        <v>876</v>
      </c>
      <c r="C19" s="718">
        <v>1</v>
      </c>
      <c r="D19" s="721" t="str">
        <f t="shared" si="0"/>
        <v>SIM</v>
      </c>
      <c r="F19" s="112" t="s">
        <v>602</v>
      </c>
      <c r="G19" s="721">
        <v>2</v>
      </c>
      <c r="H19" s="721">
        <f t="shared" si="1"/>
        <v>1</v>
      </c>
      <c r="J19" s="112"/>
      <c r="K19" s="721"/>
    </row>
    <row r="20" spans="2:11" x14ac:dyDescent="0.3">
      <c r="B20" s="345" t="s">
        <v>563</v>
      </c>
      <c r="C20" s="719">
        <v>1</v>
      </c>
      <c r="D20" s="721" t="str">
        <f t="shared" si="0"/>
        <v>SIM</v>
      </c>
      <c r="F20" s="729" t="s">
        <v>587</v>
      </c>
      <c r="G20" s="722">
        <v>2</v>
      </c>
      <c r="H20" s="722">
        <f t="shared" si="1"/>
        <v>1</v>
      </c>
      <c r="J20" s="345"/>
      <c r="K20" s="722"/>
    </row>
    <row r="21" spans="2:11" x14ac:dyDescent="0.3">
      <c r="B21" s="112" t="s">
        <v>596</v>
      </c>
      <c r="C21" s="718">
        <v>1</v>
      </c>
      <c r="D21" s="721" t="str">
        <f t="shared" si="0"/>
        <v>SIM</v>
      </c>
      <c r="F21" s="732" t="s">
        <v>882</v>
      </c>
      <c r="G21" s="721">
        <v>2</v>
      </c>
      <c r="H21" s="721">
        <f t="shared" si="1"/>
        <v>1</v>
      </c>
      <c r="J21" s="112"/>
      <c r="K21" s="721"/>
    </row>
    <row r="22" spans="2:11" x14ac:dyDescent="0.3">
      <c r="B22" s="345" t="s">
        <v>587</v>
      </c>
      <c r="C22" s="719">
        <v>1</v>
      </c>
      <c r="D22" s="721" t="str">
        <f t="shared" si="0"/>
        <v>SIM</v>
      </c>
      <c r="F22" s="731" t="s">
        <v>881</v>
      </c>
      <c r="G22" s="722">
        <v>2</v>
      </c>
      <c r="H22" s="722">
        <f t="shared" si="1"/>
        <v>1</v>
      </c>
      <c r="J22" s="345"/>
      <c r="K22" s="722"/>
    </row>
    <row r="23" spans="2:11" x14ac:dyDescent="0.3">
      <c r="B23" s="112" t="s">
        <v>878</v>
      </c>
      <c r="C23" s="718">
        <v>1</v>
      </c>
      <c r="D23" s="721" t="str">
        <f t="shared" si="0"/>
        <v>SIM</v>
      </c>
      <c r="F23" s="112" t="s">
        <v>608</v>
      </c>
      <c r="G23" s="721">
        <v>2</v>
      </c>
      <c r="H23" s="721">
        <f t="shared" si="1"/>
        <v>2</v>
      </c>
      <c r="J23" s="112"/>
      <c r="K23" s="721"/>
    </row>
    <row r="24" spans="2:11" x14ac:dyDescent="0.3">
      <c r="B24" s="345" t="s">
        <v>590</v>
      </c>
      <c r="C24" s="719">
        <v>1</v>
      </c>
      <c r="D24" s="721" t="str">
        <f t="shared" si="0"/>
        <v>SIM</v>
      </c>
      <c r="F24" s="345" t="s">
        <v>611</v>
      </c>
      <c r="G24" s="722">
        <v>2</v>
      </c>
      <c r="H24" s="722">
        <f t="shared" si="1"/>
        <v>2</v>
      </c>
      <c r="J24" s="345"/>
      <c r="K24" s="722"/>
    </row>
    <row r="25" spans="2:11" x14ac:dyDescent="0.3">
      <c r="B25" s="112" t="s">
        <v>593</v>
      </c>
      <c r="C25" s="718">
        <v>1</v>
      </c>
      <c r="D25" s="721" t="str">
        <f t="shared" si="0"/>
        <v>SIM</v>
      </c>
      <c r="F25" s="112" t="s">
        <v>614</v>
      </c>
      <c r="G25" s="721">
        <v>2</v>
      </c>
      <c r="H25" s="721">
        <f t="shared" si="1"/>
        <v>2</v>
      </c>
      <c r="J25" s="112"/>
      <c r="K25" s="721"/>
    </row>
    <row r="26" spans="2:11" x14ac:dyDescent="0.3">
      <c r="B26" s="725" t="s">
        <v>879</v>
      </c>
      <c r="C26" s="719">
        <v>1</v>
      </c>
      <c r="D26" s="721" t="str">
        <f t="shared" si="0"/>
        <v>NÃO</v>
      </c>
      <c r="F26" s="345" t="s">
        <v>872</v>
      </c>
      <c r="G26" s="722">
        <v>2</v>
      </c>
      <c r="H26" s="722">
        <f t="shared" si="1"/>
        <v>1</v>
      </c>
      <c r="J26" s="345"/>
      <c r="K26" s="722"/>
    </row>
    <row r="27" spans="2:11" x14ac:dyDescent="0.3">
      <c r="B27" s="724" t="s">
        <v>880</v>
      </c>
      <c r="C27" s="718">
        <v>1</v>
      </c>
      <c r="D27" s="721" t="str">
        <f t="shared" si="0"/>
        <v>NÃO</v>
      </c>
      <c r="F27" s="112" t="s">
        <v>617</v>
      </c>
      <c r="G27" s="721">
        <v>2</v>
      </c>
      <c r="H27" s="721">
        <f t="shared" si="1"/>
        <v>1</v>
      </c>
      <c r="J27" s="112"/>
      <c r="K27" s="721"/>
    </row>
    <row r="28" spans="2:11" x14ac:dyDescent="0.3">
      <c r="B28" s="345" t="s">
        <v>881</v>
      </c>
      <c r="C28" s="719">
        <v>1</v>
      </c>
      <c r="D28" s="721" t="str">
        <f t="shared" si="0"/>
        <v>SIM</v>
      </c>
      <c r="F28" s="345" t="s">
        <v>621</v>
      </c>
      <c r="G28" s="722">
        <v>2</v>
      </c>
      <c r="H28" s="722">
        <f t="shared" si="1"/>
        <v>3</v>
      </c>
      <c r="J28" s="345"/>
      <c r="K28" s="722"/>
    </row>
    <row r="29" spans="2:11" x14ac:dyDescent="0.3">
      <c r="B29" s="112" t="s">
        <v>882</v>
      </c>
      <c r="C29" s="718">
        <v>1</v>
      </c>
      <c r="D29" s="721" t="str">
        <f t="shared" si="0"/>
        <v>SIM</v>
      </c>
      <c r="F29" s="112" t="s">
        <v>624</v>
      </c>
      <c r="G29" s="721">
        <v>2</v>
      </c>
      <c r="H29" s="721">
        <f t="shared" si="1"/>
        <v>3</v>
      </c>
      <c r="J29" s="112"/>
      <c r="K29" s="721"/>
    </row>
    <row r="30" spans="2:11" x14ac:dyDescent="0.3">
      <c r="B30" s="345" t="s">
        <v>575</v>
      </c>
      <c r="C30" s="719">
        <v>1</v>
      </c>
      <c r="D30" s="721" t="str">
        <f t="shared" si="0"/>
        <v>SIM</v>
      </c>
      <c r="F30" s="345" t="s">
        <v>627</v>
      </c>
      <c r="G30" s="722">
        <v>2</v>
      </c>
      <c r="H30" s="722">
        <f t="shared" si="1"/>
        <v>1</v>
      </c>
      <c r="J30" s="345"/>
      <c r="K30" s="722"/>
    </row>
    <row r="31" spans="2:11" x14ac:dyDescent="0.3">
      <c r="B31" s="112" t="s">
        <v>883</v>
      </c>
      <c r="C31" s="718">
        <v>1</v>
      </c>
      <c r="D31" s="721" t="str">
        <f t="shared" si="0"/>
        <v>SIM</v>
      </c>
      <c r="F31" s="112" t="s">
        <v>630</v>
      </c>
      <c r="G31" s="721">
        <v>2</v>
      </c>
      <c r="H31" s="721">
        <f t="shared" si="1"/>
        <v>2</v>
      </c>
      <c r="J31" s="112"/>
      <c r="K31" s="721"/>
    </row>
    <row r="32" spans="2:11" x14ac:dyDescent="0.3">
      <c r="B32" s="345" t="s">
        <v>579</v>
      </c>
      <c r="C32" s="719">
        <v>1</v>
      </c>
      <c r="D32" s="721" t="str">
        <f t="shared" si="0"/>
        <v>SIM</v>
      </c>
      <c r="F32" s="345" t="s">
        <v>634</v>
      </c>
      <c r="G32" s="722">
        <v>2</v>
      </c>
      <c r="H32" s="722">
        <f t="shared" si="1"/>
        <v>1</v>
      </c>
      <c r="J32" s="345"/>
      <c r="K32" s="722"/>
    </row>
    <row r="33" spans="2:11" x14ac:dyDescent="0.3">
      <c r="B33" s="112" t="s">
        <v>617</v>
      </c>
      <c r="C33" s="718">
        <v>1</v>
      </c>
      <c r="D33" s="721" t="str">
        <f t="shared" si="0"/>
        <v>SIM</v>
      </c>
      <c r="F33" s="112" t="s">
        <v>884</v>
      </c>
      <c r="G33" s="721">
        <v>2</v>
      </c>
      <c r="H33" s="721">
        <f t="shared" si="1"/>
        <v>2</v>
      </c>
      <c r="J33" s="112"/>
      <c r="K33" s="721"/>
    </row>
    <row r="34" spans="2:11" x14ac:dyDescent="0.3">
      <c r="B34" s="345" t="s">
        <v>611</v>
      </c>
      <c r="C34" s="719">
        <v>2</v>
      </c>
      <c r="D34" s="721" t="str">
        <f t="shared" si="0"/>
        <v>SIM</v>
      </c>
      <c r="F34" s="345" t="s">
        <v>887</v>
      </c>
      <c r="G34" s="722">
        <v>2</v>
      </c>
      <c r="H34" s="722">
        <f t="shared" si="1"/>
        <v>2</v>
      </c>
      <c r="J34" s="345"/>
      <c r="K34" s="722"/>
    </row>
    <row r="35" spans="2:11" x14ac:dyDescent="0.3">
      <c r="B35" s="112" t="s">
        <v>884</v>
      </c>
      <c r="C35" s="718">
        <v>2</v>
      </c>
      <c r="D35" s="721" t="str">
        <f t="shared" si="0"/>
        <v>SIM</v>
      </c>
      <c r="F35" s="112" t="s">
        <v>888</v>
      </c>
      <c r="G35" s="721">
        <v>2</v>
      </c>
      <c r="H35" s="721">
        <f t="shared" si="1"/>
        <v>3</v>
      </c>
      <c r="J35" s="112"/>
      <c r="K35" s="721"/>
    </row>
    <row r="36" spans="2:11" x14ac:dyDescent="0.3">
      <c r="B36" s="345" t="s">
        <v>636</v>
      </c>
      <c r="C36" s="719">
        <v>2</v>
      </c>
      <c r="D36" s="721" t="str">
        <f t="shared" si="0"/>
        <v>SIM</v>
      </c>
      <c r="F36" s="345" t="s">
        <v>636</v>
      </c>
      <c r="G36" s="722">
        <v>2</v>
      </c>
      <c r="H36" s="722">
        <f t="shared" si="1"/>
        <v>2</v>
      </c>
      <c r="J36" s="345"/>
      <c r="K36" s="722"/>
    </row>
    <row r="37" spans="2:11" x14ac:dyDescent="0.3">
      <c r="B37" s="112" t="s">
        <v>630</v>
      </c>
      <c r="C37" s="718">
        <v>2</v>
      </c>
      <c r="D37" s="721" t="str">
        <f t="shared" si="0"/>
        <v>SIM</v>
      </c>
      <c r="F37" s="112" t="s">
        <v>639</v>
      </c>
      <c r="G37" s="721">
        <v>2</v>
      </c>
      <c r="H37" s="721">
        <f t="shared" si="1"/>
        <v>1</v>
      </c>
      <c r="J37" s="112"/>
      <c r="K37" s="721"/>
    </row>
    <row r="38" spans="2:11" x14ac:dyDescent="0.3">
      <c r="B38" s="345" t="s">
        <v>567</v>
      </c>
      <c r="C38" s="719">
        <v>2</v>
      </c>
      <c r="D38" s="721" t="str">
        <f t="shared" si="0"/>
        <v>SIM</v>
      </c>
      <c r="F38" s="345" t="s">
        <v>642</v>
      </c>
      <c r="G38" s="722">
        <v>2</v>
      </c>
      <c r="H38" s="722">
        <f t="shared" si="1"/>
        <v>1</v>
      </c>
      <c r="J38" s="345"/>
      <c r="K38" s="722"/>
    </row>
    <row r="39" spans="2:11" x14ac:dyDescent="0.3">
      <c r="B39" s="112" t="s">
        <v>608</v>
      </c>
      <c r="C39" s="718">
        <v>2</v>
      </c>
      <c r="D39" s="721" t="str">
        <f t="shared" si="0"/>
        <v>SIM</v>
      </c>
      <c r="F39" s="112" t="s">
        <v>876</v>
      </c>
      <c r="G39" s="721">
        <v>2</v>
      </c>
      <c r="H39" s="721">
        <f t="shared" si="1"/>
        <v>1</v>
      </c>
      <c r="J39" s="112"/>
      <c r="K39" s="721"/>
    </row>
    <row r="40" spans="2:11" x14ac:dyDescent="0.3">
      <c r="B40" s="345" t="s">
        <v>614</v>
      </c>
      <c r="C40" s="719">
        <v>2</v>
      </c>
      <c r="D40" s="721" t="str">
        <f t="shared" si="0"/>
        <v>SIM</v>
      </c>
      <c r="F40" s="345" t="s">
        <v>645</v>
      </c>
      <c r="G40" s="722">
        <v>3</v>
      </c>
      <c r="H40" s="722">
        <f t="shared" si="1"/>
        <v>1</v>
      </c>
      <c r="J40" s="345"/>
      <c r="K40" s="722"/>
    </row>
    <row r="41" spans="2:11" x14ac:dyDescent="0.3">
      <c r="B41" s="724" t="s">
        <v>885</v>
      </c>
      <c r="C41" s="718">
        <v>2</v>
      </c>
      <c r="D41" s="721" t="str">
        <f t="shared" si="0"/>
        <v>NÃO</v>
      </c>
      <c r="F41" s="112" t="s">
        <v>870</v>
      </c>
      <c r="G41" s="721">
        <v>3</v>
      </c>
      <c r="H41" s="721">
        <f t="shared" si="1"/>
        <v>1</v>
      </c>
      <c r="J41" s="112"/>
      <c r="K41" s="721"/>
    </row>
    <row r="42" spans="2:11" x14ac:dyDescent="0.3">
      <c r="B42" s="725" t="s">
        <v>886</v>
      </c>
      <c r="C42" s="719">
        <v>2</v>
      </c>
      <c r="D42" s="721" t="str">
        <f t="shared" si="0"/>
        <v>NÃO</v>
      </c>
      <c r="F42" s="345" t="s">
        <v>873</v>
      </c>
      <c r="G42" s="722">
        <v>3</v>
      </c>
      <c r="H42" s="722">
        <f t="shared" si="1"/>
        <v>1</v>
      </c>
      <c r="J42" s="345"/>
      <c r="K42" s="722"/>
    </row>
    <row r="43" spans="2:11" x14ac:dyDescent="0.3">
      <c r="B43" s="649" t="s">
        <v>887</v>
      </c>
      <c r="C43" s="720">
        <v>2</v>
      </c>
      <c r="D43" s="721" t="str">
        <f t="shared" si="0"/>
        <v>SIM</v>
      </c>
      <c r="F43" s="649"/>
      <c r="G43" s="723">
        <v>4</v>
      </c>
      <c r="H43" s="723">
        <f t="shared" si="1"/>
        <v>0</v>
      </c>
      <c r="J43" s="649"/>
      <c r="K43" s="723"/>
    </row>
    <row r="44" spans="2:11" x14ac:dyDescent="0.3">
      <c r="B44" s="345" t="s">
        <v>571</v>
      </c>
      <c r="C44" s="719">
        <v>2</v>
      </c>
      <c r="D44" s="721" t="str">
        <f t="shared" si="0"/>
        <v>SIM</v>
      </c>
      <c r="F44" s="345"/>
      <c r="G44" s="722">
        <v>4</v>
      </c>
      <c r="H44" s="722">
        <f t="shared" si="1"/>
        <v>0</v>
      </c>
      <c r="J44" s="345"/>
      <c r="K44" s="722"/>
    </row>
    <row r="45" spans="2:11" x14ac:dyDescent="0.3">
      <c r="B45" s="112" t="s">
        <v>621</v>
      </c>
      <c r="C45" s="718">
        <v>3</v>
      </c>
      <c r="D45" s="721" t="str">
        <f t="shared" si="0"/>
        <v>SIM</v>
      </c>
      <c r="F45" s="112"/>
      <c r="G45" s="721">
        <v>4</v>
      </c>
      <c r="H45" s="721">
        <f t="shared" si="1"/>
        <v>0</v>
      </c>
      <c r="J45" s="112"/>
      <c r="K45" s="721"/>
    </row>
    <row r="46" spans="2:11" x14ac:dyDescent="0.3">
      <c r="B46" s="345" t="s">
        <v>888</v>
      </c>
      <c r="C46" s="719">
        <v>3</v>
      </c>
      <c r="D46" s="721" t="str">
        <f t="shared" si="0"/>
        <v>SIM</v>
      </c>
      <c r="F46" s="345"/>
      <c r="G46" s="722">
        <v>4</v>
      </c>
      <c r="H46" s="722">
        <f t="shared" si="1"/>
        <v>0</v>
      </c>
      <c r="J46" s="345"/>
      <c r="K46" s="722"/>
    </row>
    <row r="47" spans="2:11" x14ac:dyDescent="0.3">
      <c r="B47" s="112" t="s">
        <v>605</v>
      </c>
      <c r="C47" s="718">
        <v>3</v>
      </c>
      <c r="D47" s="721" t="str">
        <f t="shared" si="0"/>
        <v>SIM</v>
      </c>
      <c r="F47" s="112"/>
      <c r="G47" s="721">
        <v>4</v>
      </c>
      <c r="H47" s="721">
        <f t="shared" si="1"/>
        <v>0</v>
      </c>
      <c r="J47" s="112"/>
      <c r="K47" s="721"/>
    </row>
    <row r="48" spans="2:11" x14ac:dyDescent="0.3">
      <c r="B48" s="726" t="s">
        <v>1331</v>
      </c>
      <c r="C48" s="719">
        <v>3</v>
      </c>
      <c r="D48" s="721" t="str">
        <f t="shared" si="0"/>
        <v>NÃO</v>
      </c>
      <c r="F48" s="344"/>
      <c r="G48" s="722">
        <v>4</v>
      </c>
      <c r="H48" s="722">
        <f t="shared" si="1"/>
        <v>0</v>
      </c>
      <c r="J48" s="344"/>
      <c r="K48" s="722"/>
    </row>
    <row r="49" spans="2:11" x14ac:dyDescent="0.3">
      <c r="B49" s="649" t="s">
        <v>624</v>
      </c>
      <c r="C49" s="720">
        <v>3</v>
      </c>
      <c r="D49" s="721" t="str">
        <f t="shared" si="0"/>
        <v>SIM</v>
      </c>
      <c r="F49" s="649"/>
      <c r="G49" s="723">
        <v>4</v>
      </c>
      <c r="H49" s="723">
        <f t="shared" si="1"/>
        <v>0</v>
      </c>
      <c r="J49" s="649"/>
      <c r="K49" s="723"/>
    </row>
  </sheetData>
  <autoFilter ref="B2:H49" xr:uid="{F0F62C27-0FBA-4CBF-B2AA-BD347440595E}"/>
  <mergeCells count="1">
    <mergeCell ref="Q1:AB1"/>
  </mergeCells>
  <conditionalFormatting sqref="D3:D49">
    <cfRule type="containsText" dxfId="2" priority="1" operator="containsText" text="NÃO">
      <formula>NOT(ISERROR(SEARCH("NÃO",D3)))</formula>
    </cfRule>
  </conditionalFormatting>
  <dataValidations count="1">
    <dataValidation type="list" allowBlank="1" showInputMessage="1" showErrorMessage="1" sqref="G37:G42 G2:G5 G11:G17 G19:G20 G26 G30 G32 C2:C27 K2:K4 K9 K11:K13 N2:N4 N9 N11:N13" xr:uid="{D2D82338-6837-49DF-A093-2519B9860B77}">
      <formula1>"1,2,3"</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ab1930-d403-4c69-b2cd-8cc48f527d10" xsi:nil="true"/>
    <lcf76f155ced4ddcb4097134ff3c332f xmlns="c06ce65c-ed18-47f4-a957-afd315448c9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727649CF29EFE48B02377D08B4D4D2B" ma:contentTypeVersion="11" ma:contentTypeDescription="Crie um novo documento." ma:contentTypeScope="" ma:versionID="b5712d053a6364e25a7eed67b83bd543">
  <xsd:schema xmlns:xsd="http://www.w3.org/2001/XMLSchema" xmlns:xs="http://www.w3.org/2001/XMLSchema" xmlns:p="http://schemas.microsoft.com/office/2006/metadata/properties" xmlns:ns2="c06ce65c-ed18-47f4-a957-afd315448c9c" xmlns:ns3="f5ab1930-d403-4c69-b2cd-8cc48f527d10" targetNamespace="http://schemas.microsoft.com/office/2006/metadata/properties" ma:root="true" ma:fieldsID="5f9e9bd46678fb3be4523e0016dec7e4" ns2:_="" ns3:_="">
    <xsd:import namespace="c06ce65c-ed18-47f4-a957-afd315448c9c"/>
    <xsd:import namespace="f5ab1930-d403-4c69-b2cd-8cc48f527d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6ce65c-ed18-47f4-a957-afd315448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fd1f8024-b835-45a2-a23a-fb2d16ad56d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ab1930-d403-4c69-b2cd-8cc48f527d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447033-4c72-47d1-a22c-5e651f971dba}" ma:internalName="TaxCatchAll" ma:showField="CatchAllData" ma:web="f5ab1930-d403-4c69-b2cd-8cc48f527d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4A5AE6-6066-4BA2-83B0-2E8D0C5E2B4D}">
  <ds:schemaRefs>
    <ds:schemaRef ds:uri="http://purl.org/dc/terms/"/>
    <ds:schemaRef ds:uri="http://schemas.microsoft.com/office/2006/documentManagement/types"/>
    <ds:schemaRef ds:uri="http://purl.org/dc/elements/1.1/"/>
    <ds:schemaRef ds:uri="http://purl.org/dc/dcmitype/"/>
    <ds:schemaRef ds:uri="f5ab1930-d403-4c69-b2cd-8cc48f527d10"/>
    <ds:schemaRef ds:uri="http://www.w3.org/XML/1998/namespace"/>
    <ds:schemaRef ds:uri="http://schemas.microsoft.com/office/infopath/2007/PartnerControls"/>
    <ds:schemaRef ds:uri="http://schemas.openxmlformats.org/package/2006/metadata/core-properties"/>
    <ds:schemaRef ds:uri="c06ce65c-ed18-47f4-a957-afd315448c9c"/>
    <ds:schemaRef ds:uri="http://schemas.microsoft.com/office/2006/metadata/properties"/>
  </ds:schemaRefs>
</ds:datastoreItem>
</file>

<file path=customXml/itemProps2.xml><?xml version="1.0" encoding="utf-8"?>
<ds:datastoreItem xmlns:ds="http://schemas.openxmlformats.org/officeDocument/2006/customXml" ds:itemID="{2A98891D-89AC-4300-B684-B97C88E714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6ce65c-ed18-47f4-a957-afd315448c9c"/>
    <ds:schemaRef ds:uri="f5ab1930-d403-4c69-b2cd-8cc48f527d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BEA8F4-47D8-45CF-A7BC-47A006CD43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24</vt:i4>
      </vt:variant>
    </vt:vector>
  </HeadingPairs>
  <TitlesOfParts>
    <vt:vector size="24" baseType="lpstr">
      <vt:lpstr>MASTER</vt:lpstr>
      <vt:lpstr>5 Unidades  +</vt:lpstr>
      <vt:lpstr>Diadema</vt:lpstr>
      <vt:lpstr>Jarinu</vt:lpstr>
      <vt:lpstr>Ferraz</vt:lpstr>
      <vt:lpstr>São Leopoldo</vt:lpstr>
      <vt:lpstr>Comitê Aço</vt:lpstr>
      <vt:lpstr>Top 5 Projetos</vt:lpstr>
      <vt:lpstr>Diretoria Financeira</vt:lpstr>
      <vt:lpstr>Head Qualidade&amp;Dir. Industrial</vt:lpstr>
      <vt:lpstr>Config</vt:lpstr>
      <vt:lpstr>Testes</vt:lpstr>
      <vt:lpstr>Calculos</vt:lpstr>
      <vt:lpstr>Anchieta</vt:lpstr>
      <vt:lpstr>Compras </vt:lpstr>
      <vt:lpstr>Vendas</vt:lpstr>
      <vt:lpstr>Corporativo</vt:lpstr>
      <vt:lpstr>SPD</vt:lpstr>
      <vt:lpstr>Pareto</vt:lpstr>
      <vt:lpstr>Parâmetros</vt:lpstr>
      <vt:lpstr>R.E</vt:lpstr>
      <vt:lpstr>Top Ganhos </vt:lpstr>
      <vt:lpstr>Concluidos</vt:lpstr>
      <vt:lpstr>SPD (teste)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openpyxl;gabri</dc:creator>
  <cp:keywords/>
  <dc:description/>
  <cp:lastModifiedBy>Gabriel Gustavo de Souza</cp:lastModifiedBy>
  <cp:revision/>
  <dcterms:created xsi:type="dcterms:W3CDTF">2026-01-13T19:16:44Z</dcterms:created>
  <dcterms:modified xsi:type="dcterms:W3CDTF">2026-06-23T20:02:54Z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0x0101002727649CF29EFE48B02377D08B4D4D2B</vt:lpwstr>
  </property>
  <property fmtid="{D5CDD505-2E9C-101B-9397-08002B2CF9AE}" pid="3" name="MediaServiceImageTags">
    <vt:lpwstr/>
  </property>
</Properties>
</file>